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4.xml" ContentType="application/vnd.openxmlformats-officedocument.spreadsheetml.table+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comments9.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3"/>
  <workbookPr filterPrivacy="1" codeName="ThisWorkbook"/>
  <xr:revisionPtr revIDLastSave="0" documentId="11_C2631AD0DC21B053C20E8BC5AE2F377D64D4F265" xr6:coauthVersionLast="47" xr6:coauthVersionMax="47" xr10:uidLastSave="{00000000-0000-0000-0000-000000000000}"/>
  <bookViews>
    <workbookView xWindow="0" yWindow="0" windowWidth="28800" windowHeight="12330" tabRatio="924" firstSheet="3" activeTab="9" xr2:uid="{00000000-000D-0000-FFFF-FFFF00000000}"/>
  </bookViews>
  <sheets>
    <sheet name="Data" sheetId="8" state="hidden" r:id="rId1"/>
    <sheet name="2019" sheetId="30" r:id="rId2"/>
    <sheet name="anak asuh 2019" sheetId="37" state="hidden" r:id="rId3"/>
    <sheet name="2020" sheetId="1" r:id="rId4"/>
    <sheet name="anak asuh 2020" sheetId="38" state="hidden" r:id="rId5"/>
    <sheet name="2021" sheetId="6" r:id="rId6"/>
    <sheet name="anak asuh 2021" sheetId="35" state="hidden" r:id="rId7"/>
    <sheet name="2022" sheetId="11" r:id="rId8"/>
    <sheet name="anak asuh 2022" sheetId="36" state="hidden" r:id="rId9"/>
    <sheet name="2023" sheetId="42" r:id="rId10"/>
    <sheet name="Category" sheetId="5" r:id="rId11"/>
    <sheet name="Rekap Donasi seminari thn 2023" sheetId="49" state="hidden" r:id="rId12"/>
    <sheet name="Pengurus Site per 18 feb 2021" sheetId="19" state="hidden" r:id="rId13"/>
    <sheet name="Yearly" sheetId="3" r:id="rId14"/>
    <sheet name="Per Kategori " sheetId="21" r:id="rId15"/>
    <sheet name="Per anak" sheetId="27" r:id="rId16"/>
    <sheet name="Program Sosial" sheetId="12" state="hidden" r:id="rId17"/>
    <sheet name="TOTAL BANTUAN 2019-2023" sheetId="34" r:id="rId18"/>
    <sheet name="S2 2019" sheetId="31" r:id="rId19"/>
    <sheet name="S2 2020" sheetId="4" r:id="rId20"/>
    <sheet name="S1-S2  2021" sheetId="9" r:id="rId21"/>
    <sheet name="S1 2022" sheetId="13" state="hidden" r:id="rId22"/>
    <sheet name="S2 2021" sheetId="10" state="hidden" r:id="rId23"/>
    <sheet name="S1 - S2  2022" sheetId="15" r:id="rId24"/>
    <sheet name="S1 - S2  2023" sheetId="43" r:id="rId25"/>
    <sheet name="Data Base P.Asuhan &amp; Jompo" sheetId="44" state="hidden" r:id="rId26"/>
    <sheet name="Data Base Anak Asuh,Seminari " sheetId="45" state="hidden" r:id="rId27"/>
    <sheet name="Masa Berlaku Proposal" sheetId="18" state="hidden" r:id="rId28"/>
    <sheet name="notes" sheetId="7" state="hidden" r:id="rId29"/>
    <sheet name="Sheet1" sheetId="2"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0" hidden="1">Category!$B$3:$AL$339</definedName>
    <definedName name="_xlnm._FilterDatabase" localSheetId="0" hidden="1">Data!$B$1:$H$52</definedName>
    <definedName name="ColumnTitle1" localSheetId="1">List5[[#Headers],[Tanggal Pengajuan]]</definedName>
    <definedName name="ColumnTitle1" localSheetId="5">List3[[#Headers],[Tanggal Pengajuan]]</definedName>
    <definedName name="ColumnTitle1" localSheetId="7">List34[[#Headers],[Tanggal Pengajuan]]</definedName>
    <definedName name="ColumnTitle1" localSheetId="9">List346[[#Headers],[Tanggal Pengajuan]]</definedName>
    <definedName name="ColumnTitle1" localSheetId="10">List[[#Headers],[Tanggal Pengajuan]]</definedName>
    <definedName name="ColumnTitle1" localSheetId="15">List[[#Headers],[Tanggal Pengajuan]]</definedName>
    <definedName name="ColumnTitle1" localSheetId="14">List[[#Headers],[Tanggal Pengajuan]]</definedName>
    <definedName name="ColumnTitle1" localSheetId="23">List[[#Headers],[Tanggal Pengajuan]]</definedName>
    <definedName name="ColumnTitle1" localSheetId="24">List[[#Headers],[Tanggal Pengajuan]]</definedName>
    <definedName name="ColumnTitle1" localSheetId="21">List[[#Headers],[Tanggal Pengajuan]]</definedName>
    <definedName name="ColumnTitle1" localSheetId="20">List[[#Headers],[Tanggal Pengajuan]]</definedName>
    <definedName name="ColumnTitle1" localSheetId="18">List[[#Headers],[Tanggal Pengajuan]]</definedName>
    <definedName name="ColumnTitle1" localSheetId="22">List[[#Headers],[Tanggal Pengajuan]]</definedName>
    <definedName name="ColumnTitle1" localSheetId="17">List[[#Headers],[Tanggal Pengajuan]]</definedName>
    <definedName name="ColumnTitle1">List[[#Headers],[Tanggal Pengajuan]]</definedName>
    <definedName name="_xlnm.Print_Area" localSheetId="1">'2019'!$B$2:$L$33</definedName>
    <definedName name="_xlnm.Print_Area" localSheetId="3">'2020'!$B$2:$M$80</definedName>
    <definedName name="_xlnm.Print_Area" localSheetId="5">'2021'!$B$156:$Q$436</definedName>
    <definedName name="_xlnm.Print_Area" localSheetId="7">'2022'!$A$1:$M$87</definedName>
    <definedName name="_xlnm.Print_Area" localSheetId="9">'2023'!$A$1:$M$154</definedName>
    <definedName name="_xlnm.Print_Area" localSheetId="10">Category!$A$1:$AL$340</definedName>
    <definedName name="_xlnm.Print_Area" localSheetId="27">'Masa Berlaku Proposal'!$B$2:$H$63</definedName>
    <definedName name="_xlnm.Print_Area" localSheetId="15">'Per anak'!$B$57:$G$116</definedName>
    <definedName name="_xlnm.Print_Area" localSheetId="14">'Per Kategori '!$B$4:$T$18</definedName>
    <definedName name="_xlnm.Print_Area" localSheetId="11">'Rekap Donasi seminari thn 2023'!$A$1:$AG$13</definedName>
    <definedName name="_xlnm.Print_Area" localSheetId="21">'S1 2022'!$B$1:$H$45</definedName>
    <definedName name="_xlnm.Print_Area" localSheetId="20">'S1-S2  2021'!$B$2:$O$11</definedName>
    <definedName name="_xlnm.Print_Area" localSheetId="18">'S2 2019'!$B$1:$O$11</definedName>
    <definedName name="_xlnm.Print_Area" localSheetId="19">'S2 2020'!$B$1:$O$11</definedName>
    <definedName name="_xlnm.Print_Area" localSheetId="17">'TOTAL BANTUAN 2019-2023'!$B$1:$N$169</definedName>
    <definedName name="_xlnm.Print_Area" localSheetId="13">Yearly!$B$1:$U$16</definedName>
    <definedName name="_xlnm.Print_Titles" localSheetId="1">'2019'!$2:$2</definedName>
    <definedName name="_xlnm.Print_Titles" localSheetId="3">'2020'!$2:$2</definedName>
    <definedName name="_xlnm.Print_Titles" localSheetId="5">'2021'!$2:$2</definedName>
    <definedName name="_xlnm.Print_Titles" localSheetId="7">'2022'!$2:$2</definedName>
    <definedName name="_xlnm.Print_Titles" localSheetId="9">'2023'!$2:$2</definedName>
    <definedName name="_xlnm.Print_Titles" localSheetId="17">'TOTAL BANTUAN 2019-2023'!$1:$4</definedName>
  </definedNames>
  <calcPr calcId="191028"/>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5" i="34" l="1"/>
  <c r="M165" i="34"/>
  <c r="M166" i="34"/>
  <c r="N166" i="34"/>
  <c r="D218" i="5"/>
  <c r="B134" i="5"/>
  <c r="E218" i="5"/>
  <c r="F218" i="5"/>
  <c r="G218" i="5"/>
  <c r="H218" i="5"/>
  <c r="I218" i="5"/>
  <c r="J218" i="5"/>
  <c r="K218" i="5"/>
  <c r="N16" i="1"/>
  <c r="N17" i="1"/>
  <c r="N22" i="1"/>
  <c r="N23"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6" i="1"/>
  <c r="I50" i="1"/>
  <c r="I54" i="1"/>
  <c r="I55" i="1"/>
  <c r="I56" i="1"/>
  <c r="I63" i="1"/>
  <c r="I73" i="1"/>
  <c r="I74" i="1"/>
  <c r="I76" i="1"/>
  <c r="I78" i="1"/>
  <c r="I79" i="1"/>
  <c r="I80" i="1"/>
  <c r="I87" i="1"/>
  <c r="H87" i="1"/>
  <c r="I88" i="1"/>
  <c r="N3" i="1"/>
  <c r="N4" i="1"/>
  <c r="N5" i="1"/>
  <c r="N6" i="1"/>
  <c r="N7" i="1"/>
  <c r="N8" i="1"/>
  <c r="N9" i="1"/>
  <c r="N10" i="1"/>
  <c r="N11" i="1"/>
  <c r="N12" i="1"/>
  <c r="N13" i="1"/>
  <c r="N14" i="1"/>
  <c r="N15" i="1"/>
  <c r="N18" i="1"/>
  <c r="N19" i="1"/>
  <c r="N20" i="1"/>
  <c r="N21"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L218" i="5"/>
  <c r="M218" i="5"/>
  <c r="N218" i="5"/>
  <c r="O218" i="5"/>
  <c r="P218" i="5"/>
  <c r="Q218" i="5"/>
  <c r="R218" i="5"/>
  <c r="S218" i="5"/>
  <c r="T218" i="5"/>
  <c r="U218" i="5"/>
  <c r="V218" i="5"/>
  <c r="W218" i="5"/>
  <c r="X218" i="5"/>
  <c r="D148" i="6"/>
  <c r="D149" i="6"/>
  <c r="D150" i="6"/>
  <c r="D200" i="6"/>
  <c r="B48" i="8"/>
  <c r="G18" i="6"/>
  <c r="E148" i="6"/>
  <c r="F148" i="6"/>
  <c r="E149" i="6"/>
  <c r="F149" i="6"/>
  <c r="E150" i="6"/>
  <c r="F150" i="6"/>
  <c r="F151" i="6"/>
  <c r="G197" i="6"/>
  <c r="G198" i="6"/>
  <c r="D201" i="6"/>
  <c r="G225"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C104" i="5"/>
  <c r="C136" i="5"/>
  <c r="E476" i="6"/>
  <c r="G476" i="6"/>
  <c r="E477" i="6"/>
  <c r="G477" i="6"/>
  <c r="E478" i="6"/>
  <c r="G478" i="6"/>
  <c r="E479" i="6"/>
  <c r="G479" i="6"/>
  <c r="E480" i="6"/>
  <c r="G480" i="6"/>
  <c r="G481" i="6"/>
  <c r="Y218" i="5"/>
  <c r="AM218" i="5"/>
  <c r="N4" i="11"/>
  <c r="N6" i="11"/>
  <c r="N7" i="11"/>
  <c r="N8" i="11"/>
  <c r="I3" i="11"/>
  <c r="I4" i="11"/>
  <c r="I5" i="11"/>
  <c r="I6" i="11"/>
  <c r="I7" i="11"/>
  <c r="I8" i="11"/>
  <c r="I9" i="11"/>
  <c r="I10" i="11"/>
  <c r="I11" i="11"/>
  <c r="I12" i="11"/>
  <c r="I13" i="11"/>
  <c r="I14" i="11"/>
  <c r="I15" i="11"/>
  <c r="I16" i="11"/>
  <c r="I17" i="11"/>
  <c r="I18" i="11"/>
  <c r="I19" i="11"/>
  <c r="I21" i="11"/>
  <c r="I22"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H52" i="11"/>
  <c r="I52" i="11"/>
  <c r="H53" i="11"/>
  <c r="I53" i="11"/>
  <c r="H54" i="11"/>
  <c r="I54" i="11"/>
  <c r="H55" i="11"/>
  <c r="I55" i="11"/>
  <c r="H56" i="11"/>
  <c r="I56" i="11"/>
  <c r="H57" i="11"/>
  <c r="I57" i="11"/>
  <c r="H58" i="11"/>
  <c r="I58" i="11"/>
  <c r="H59" i="11"/>
  <c r="I59" i="11"/>
  <c r="H60" i="11"/>
  <c r="I60" i="11"/>
  <c r="H61" i="11"/>
  <c r="I61" i="11"/>
  <c r="H62" i="11"/>
  <c r="I62" i="11"/>
  <c r="H63" i="11"/>
  <c r="I63" i="11"/>
  <c r="H64" i="11"/>
  <c r="I64" i="11"/>
  <c r="H65" i="11"/>
  <c r="I65" i="11"/>
  <c r="H66" i="11"/>
  <c r="I66" i="11"/>
  <c r="H67" i="11"/>
  <c r="I67" i="11"/>
  <c r="H68" i="11"/>
  <c r="I68" i="11"/>
  <c r="H69" i="11"/>
  <c r="I69" i="11"/>
  <c r="H70" i="11"/>
  <c r="I70" i="11"/>
  <c r="H71" i="11"/>
  <c r="I71" i="11"/>
  <c r="H72" i="11"/>
  <c r="I72" i="11"/>
  <c r="H73" i="11"/>
  <c r="I73" i="11"/>
  <c r="H74" i="11"/>
  <c r="I74" i="11"/>
  <c r="H75" i="11"/>
  <c r="I75" i="11"/>
  <c r="H76" i="11"/>
  <c r="I76" i="11"/>
  <c r="H77" i="11"/>
  <c r="I77" i="11"/>
  <c r="H78" i="11"/>
  <c r="I78" i="11"/>
  <c r="H79" i="11"/>
  <c r="I79" i="11"/>
  <c r="H80" i="11"/>
  <c r="I80" i="11"/>
  <c r="H81" i="11"/>
  <c r="I81" i="11"/>
  <c r="H82" i="11"/>
  <c r="I82" i="11"/>
  <c r="I83"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40" i="11"/>
  <c r="I141" i="11"/>
  <c r="I142" i="11"/>
  <c r="I143" i="11"/>
  <c r="I144" i="11"/>
  <c r="I145" i="11"/>
  <c r="I146" i="11"/>
  <c r="I147" i="11"/>
  <c r="I148" i="11"/>
  <c r="I149" i="11"/>
  <c r="I150" i="11"/>
  <c r="I151" i="11"/>
  <c r="I160" i="11"/>
  <c r="I161" i="11"/>
  <c r="I162" i="11"/>
  <c r="I163" i="11"/>
  <c r="I164" i="11"/>
  <c r="I165" i="11"/>
  <c r="I166" i="11"/>
  <c r="I167" i="11"/>
  <c r="I168" i="11"/>
  <c r="I169" i="11"/>
  <c r="I170" i="11"/>
  <c r="I171" i="11"/>
  <c r="I172" i="11"/>
  <c r="I173" i="11"/>
  <c r="I174" i="11"/>
  <c r="I179" i="11"/>
  <c r="I180" i="11"/>
  <c r="I181" i="11"/>
  <c r="I183" i="11"/>
  <c r="I184" i="11"/>
  <c r="I185" i="11"/>
  <c r="I186" i="11"/>
  <c r="H187" i="11"/>
  <c r="I187"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5" i="11"/>
  <c r="I226" i="11"/>
  <c r="I227" i="11"/>
  <c r="I228"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341" i="11"/>
  <c r="I342" i="11"/>
  <c r="I343" i="11"/>
  <c r="I344" i="11"/>
  <c r="I345" i="11"/>
  <c r="I346" i="11"/>
  <c r="I347" i="11"/>
  <c r="I348" i="11"/>
  <c r="I349" i="11"/>
  <c r="I350" i="11"/>
  <c r="I351" i="11"/>
  <c r="I352" i="11"/>
  <c r="I353" i="11"/>
  <c r="I354" i="11"/>
  <c r="I355" i="11"/>
  <c r="I356" i="11"/>
  <c r="I357" i="11"/>
  <c r="I358" i="11"/>
  <c r="I359" i="11"/>
  <c r="I360" i="11"/>
  <c r="I361" i="11"/>
  <c r="I362" i="11"/>
  <c r="I363" i="11"/>
  <c r="I364" i="11"/>
  <c r="I365" i="11"/>
  <c r="I366" i="11"/>
  <c r="I367" i="11"/>
  <c r="I368" i="11"/>
  <c r="I369" i="11"/>
  <c r="I370" i="11"/>
  <c r="I371" i="11"/>
  <c r="I372" i="11"/>
  <c r="I373" i="11"/>
  <c r="I374" i="11"/>
  <c r="I375" i="11"/>
  <c r="I376"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I403" i="11"/>
  <c r="I404" i="11"/>
  <c r="I405" i="11"/>
  <c r="I406" i="11"/>
  <c r="I407" i="11"/>
  <c r="I408" i="11"/>
  <c r="I409" i="11"/>
  <c r="I410" i="11"/>
  <c r="I411" i="11"/>
  <c r="I412" i="11"/>
  <c r="I413" i="11"/>
  <c r="I414" i="11"/>
  <c r="I415" i="11"/>
  <c r="I416" i="11"/>
  <c r="I417" i="11"/>
  <c r="I418" i="11"/>
  <c r="I419" i="11"/>
  <c r="I420" i="11"/>
  <c r="I421" i="11"/>
  <c r="I422" i="11"/>
  <c r="I423" i="11"/>
  <c r="I424" i="11"/>
  <c r="I425" i="11"/>
  <c r="I426" i="11"/>
  <c r="I427" i="11"/>
  <c r="I428" i="11"/>
  <c r="I429" i="11"/>
  <c r="I430" i="11"/>
  <c r="I431" i="11"/>
  <c r="I432" i="11"/>
  <c r="I433" i="11"/>
  <c r="I434" i="11"/>
  <c r="I435" i="11"/>
  <c r="I436" i="11"/>
  <c r="I437" i="11"/>
  <c r="I438" i="11"/>
  <c r="I439" i="11"/>
  <c r="I440" i="11"/>
  <c r="I441" i="11"/>
  <c r="I442" i="11"/>
  <c r="I443" i="11"/>
  <c r="I444" i="11"/>
  <c r="I445" i="11"/>
  <c r="I446" i="11"/>
  <c r="I447" i="11"/>
  <c r="I448" i="11"/>
  <c r="I449" i="11"/>
  <c r="I450" i="11"/>
  <c r="I451" i="11"/>
  <c r="I452" i="11"/>
  <c r="I453" i="11"/>
  <c r="I454" i="11"/>
  <c r="I455" i="11"/>
  <c r="I456" i="11"/>
  <c r="I457" i="11"/>
  <c r="I458" i="11"/>
  <c r="I459" i="11"/>
  <c r="I460" i="11"/>
  <c r="I461" i="11"/>
  <c r="I462" i="11"/>
  <c r="I463" i="11"/>
  <c r="I464" i="11"/>
  <c r="I465" i="11"/>
  <c r="I466" i="11"/>
  <c r="I467" i="11"/>
  <c r="I468" i="11"/>
  <c r="I469" i="11"/>
  <c r="I470" i="11"/>
  <c r="I471" i="11"/>
  <c r="I472" i="11"/>
  <c r="I473" i="11"/>
  <c r="I474" i="11"/>
  <c r="I475" i="11"/>
  <c r="I476" i="11"/>
  <c r="I477" i="11"/>
  <c r="I478" i="11"/>
  <c r="I479" i="11"/>
  <c r="I480" i="11"/>
  <c r="I481" i="11"/>
  <c r="I482" i="11"/>
  <c r="I483" i="11"/>
  <c r="I484" i="11"/>
  <c r="I485" i="11"/>
  <c r="I486" i="11"/>
  <c r="I487" i="11"/>
  <c r="I488" i="11"/>
  <c r="I489" i="11"/>
  <c r="I490" i="11"/>
  <c r="I491" i="11"/>
  <c r="I492" i="11"/>
  <c r="I493" i="11"/>
  <c r="I494" i="11"/>
  <c r="I495" i="11"/>
  <c r="I496" i="11"/>
  <c r="I497" i="11"/>
  <c r="I498" i="11"/>
  <c r="I499" i="11"/>
  <c r="I500" i="11"/>
  <c r="I501" i="11"/>
  <c r="I502" i="11"/>
  <c r="I503" i="11"/>
  <c r="I504" i="11"/>
  <c r="I505" i="11"/>
  <c r="I506" i="11"/>
  <c r="I507" i="11"/>
  <c r="I508" i="11"/>
  <c r="I509" i="11"/>
  <c r="I510" i="11"/>
  <c r="I511" i="11"/>
  <c r="I512" i="11"/>
  <c r="I513" i="11"/>
  <c r="I514" i="11"/>
  <c r="I515" i="11"/>
  <c r="I516" i="11"/>
  <c r="I517" i="11"/>
  <c r="I518" i="11"/>
  <c r="I519" i="11"/>
  <c r="I520" i="11"/>
  <c r="I521" i="11"/>
  <c r="I522" i="11"/>
  <c r="I523" i="11"/>
  <c r="I524" i="11"/>
  <c r="I525" i="11"/>
  <c r="I526" i="11"/>
  <c r="I527" i="11"/>
  <c r="I528" i="11"/>
  <c r="I529" i="11"/>
  <c r="I530" i="11"/>
  <c r="I531" i="11"/>
  <c r="I532" i="11"/>
  <c r="I533" i="11"/>
  <c r="I534" i="11"/>
  <c r="I535" i="11"/>
  <c r="I536" i="11"/>
  <c r="I537" i="11"/>
  <c r="I538" i="11"/>
  <c r="I539" i="11"/>
  <c r="I540" i="11"/>
  <c r="I541" i="11"/>
  <c r="I542" i="11"/>
  <c r="I543" i="11"/>
  <c r="I544" i="11"/>
  <c r="I545" i="11"/>
  <c r="I546" i="11"/>
  <c r="I547" i="11"/>
  <c r="I548" i="11"/>
  <c r="I549" i="11"/>
  <c r="I550" i="11"/>
  <c r="I551" i="11"/>
  <c r="I552" i="11"/>
  <c r="I553" i="11"/>
  <c r="I554" i="11"/>
  <c r="I555" i="11"/>
  <c r="I556" i="11"/>
  <c r="I557" i="11"/>
  <c r="I558" i="11"/>
  <c r="I559" i="11"/>
  <c r="I560" i="11"/>
  <c r="I561" i="11"/>
  <c r="I562" i="11"/>
  <c r="I563" i="11"/>
  <c r="I564" i="11"/>
  <c r="I565" i="11"/>
  <c r="I566" i="11"/>
  <c r="I567" i="11"/>
  <c r="I568" i="11"/>
  <c r="I569" i="11"/>
  <c r="I570" i="11"/>
  <c r="I571" i="11"/>
  <c r="I572" i="11"/>
  <c r="I573" i="11"/>
  <c r="I574" i="11"/>
  <c r="I575" i="11"/>
  <c r="I576" i="11"/>
  <c r="I577" i="11"/>
  <c r="I578" i="11"/>
  <c r="I579" i="11"/>
  <c r="I580" i="11"/>
  <c r="I581" i="11"/>
  <c r="I582" i="11"/>
  <c r="I583" i="11"/>
  <c r="I584" i="11"/>
  <c r="I585" i="11"/>
  <c r="I586" i="11"/>
  <c r="I587" i="11"/>
  <c r="I588" i="11"/>
  <c r="I589" i="11"/>
  <c r="I590" i="11"/>
  <c r="I591" i="11"/>
  <c r="I592" i="11"/>
  <c r="I593" i="11"/>
  <c r="I594" i="11"/>
  <c r="I595" i="11"/>
  <c r="I596" i="11"/>
  <c r="I597" i="11"/>
  <c r="I598" i="11"/>
  <c r="I599" i="11"/>
  <c r="I600" i="11"/>
  <c r="I601" i="11"/>
  <c r="I602" i="11"/>
  <c r="I603" i="11"/>
  <c r="I604" i="11"/>
  <c r="I605" i="11"/>
  <c r="I606" i="11"/>
  <c r="I607" i="11"/>
  <c r="I608" i="11"/>
  <c r="I609" i="11"/>
  <c r="I610" i="11"/>
  <c r="I611" i="11"/>
  <c r="I612" i="11"/>
  <c r="I613" i="11"/>
  <c r="I614" i="11"/>
  <c r="I615" i="11"/>
  <c r="I616" i="11"/>
  <c r="I617" i="11"/>
  <c r="I618" i="11"/>
  <c r="I619" i="11"/>
  <c r="I620" i="11"/>
  <c r="I621" i="11"/>
  <c r="I622" i="11"/>
  <c r="I623" i="11"/>
  <c r="I624" i="11"/>
  <c r="I625" i="11"/>
  <c r="I626" i="11"/>
  <c r="I627" i="11"/>
  <c r="I628" i="11"/>
  <c r="I629" i="11"/>
  <c r="I630" i="11"/>
  <c r="I631" i="11"/>
  <c r="I632" i="11"/>
  <c r="I633" i="11"/>
  <c r="I634" i="11"/>
  <c r="I635" i="11"/>
  <c r="I636" i="11"/>
  <c r="I637" i="11"/>
  <c r="I638" i="11"/>
  <c r="I639" i="11"/>
  <c r="I640" i="11"/>
  <c r="I641" i="11"/>
  <c r="I642" i="11"/>
  <c r="I643" i="11"/>
  <c r="I644" i="11"/>
  <c r="I645" i="11"/>
  <c r="I646" i="11"/>
  <c r="I647" i="11"/>
  <c r="I648" i="11"/>
  <c r="I649" i="11"/>
  <c r="I650" i="11"/>
  <c r="I651" i="11"/>
  <c r="I652" i="11"/>
  <c r="I653" i="11"/>
  <c r="I654" i="11"/>
  <c r="I655" i="11"/>
  <c r="I656" i="11"/>
  <c r="I657" i="11"/>
  <c r="I658" i="11"/>
  <c r="I659" i="11"/>
  <c r="I660" i="11"/>
  <c r="I661" i="11"/>
  <c r="I662" i="11"/>
  <c r="I663" i="11"/>
  <c r="I664" i="11"/>
  <c r="I665" i="11"/>
  <c r="I666" i="11"/>
  <c r="I667" i="11"/>
  <c r="I668" i="11"/>
  <c r="I669" i="11"/>
  <c r="I670" i="11"/>
  <c r="I671" i="11"/>
  <c r="I672" i="11"/>
  <c r="I673" i="11"/>
  <c r="I674" i="11"/>
  <c r="I675" i="11"/>
  <c r="I676" i="11"/>
  <c r="I677" i="11"/>
  <c r="I678" i="11"/>
  <c r="I679" i="11"/>
  <c r="I680" i="11"/>
  <c r="I681" i="11"/>
  <c r="I682" i="11"/>
  <c r="I683" i="11"/>
  <c r="I684" i="11"/>
  <c r="I685" i="11"/>
  <c r="I686" i="11"/>
  <c r="I687" i="11"/>
  <c r="I688" i="11"/>
  <c r="I689" i="11"/>
  <c r="I690" i="11"/>
  <c r="I691" i="11"/>
  <c r="I692" i="11"/>
  <c r="I693" i="11"/>
  <c r="I694" i="11"/>
  <c r="I695" i="11"/>
  <c r="I696" i="11"/>
  <c r="I697" i="11"/>
  <c r="I698" i="11"/>
  <c r="I699" i="11"/>
  <c r="I700" i="11"/>
  <c r="I701" i="11"/>
  <c r="I702" i="11"/>
  <c r="I703" i="11"/>
  <c r="I704" i="11"/>
  <c r="I705" i="11"/>
  <c r="I706" i="11"/>
  <c r="I707" i="11"/>
  <c r="I708" i="11"/>
  <c r="I709" i="11"/>
  <c r="I710" i="11"/>
  <c r="I711" i="11"/>
  <c r="I712" i="11"/>
  <c r="I713" i="11"/>
  <c r="I714" i="11"/>
  <c r="I715" i="11"/>
  <c r="I716" i="11"/>
  <c r="I717" i="11"/>
  <c r="I718" i="11"/>
  <c r="I719" i="11"/>
  <c r="I720" i="11"/>
  <c r="I721" i="11"/>
  <c r="I722" i="11"/>
  <c r="I723" i="11"/>
  <c r="I724" i="11"/>
  <c r="I725" i="11"/>
  <c r="I726" i="11"/>
  <c r="I727" i="11"/>
  <c r="I728" i="11"/>
  <c r="I729" i="11"/>
  <c r="I730" i="11"/>
  <c r="I731" i="11"/>
  <c r="I732" i="11"/>
  <c r="I733" i="11"/>
  <c r="I734" i="11"/>
  <c r="I735" i="11"/>
  <c r="I736" i="11"/>
  <c r="I737" i="11"/>
  <c r="I738" i="11"/>
  <c r="I739" i="11"/>
  <c r="I740" i="11"/>
  <c r="I741" i="11"/>
  <c r="I742" i="11"/>
  <c r="I743" i="11"/>
  <c r="I744" i="11"/>
  <c r="I745" i="11"/>
  <c r="I746" i="11"/>
  <c r="I747" i="11"/>
  <c r="I748" i="11"/>
  <c r="I749" i="11"/>
  <c r="I750" i="11"/>
  <c r="I751" i="11"/>
  <c r="I752" i="11"/>
  <c r="I753" i="11"/>
  <c r="I754" i="11"/>
  <c r="I755" i="11"/>
  <c r="I756" i="11"/>
  <c r="I757" i="11"/>
  <c r="I758" i="11"/>
  <c r="I759" i="11"/>
  <c r="I760" i="11"/>
  <c r="I761" i="11"/>
  <c r="I762" i="11"/>
  <c r="I763" i="11"/>
  <c r="I764" i="11"/>
  <c r="I765" i="11"/>
  <c r="I766" i="11"/>
  <c r="I767" i="11"/>
  <c r="I768" i="11"/>
  <c r="I769" i="11"/>
  <c r="I770" i="11"/>
  <c r="I771" i="11"/>
  <c r="I772" i="11"/>
  <c r="I773" i="11"/>
  <c r="I774" i="11"/>
  <c r="I775" i="11"/>
  <c r="I776" i="11"/>
  <c r="I777" i="11"/>
  <c r="I778" i="11"/>
  <c r="I779" i="11"/>
  <c r="I780" i="11"/>
  <c r="I781" i="11"/>
  <c r="I782" i="11"/>
  <c r="I783" i="11"/>
  <c r="I784" i="11"/>
  <c r="I785" i="11"/>
  <c r="I786" i="11"/>
  <c r="I787" i="11"/>
  <c r="I788" i="11"/>
  <c r="I789" i="11"/>
  <c r="I790" i="11"/>
  <c r="I791" i="11"/>
  <c r="I792" i="11"/>
  <c r="I793" i="11"/>
  <c r="I794" i="11"/>
  <c r="I795" i="11"/>
  <c r="I796" i="11"/>
  <c r="I797" i="11"/>
  <c r="I798" i="11"/>
  <c r="I799" i="11"/>
  <c r="I800" i="11"/>
  <c r="I801" i="11"/>
  <c r="I802" i="11"/>
  <c r="I803" i="11"/>
  <c r="I804" i="11"/>
  <c r="I805" i="11"/>
  <c r="I806" i="11"/>
  <c r="I807" i="11"/>
  <c r="I808" i="11"/>
  <c r="I809" i="11"/>
  <c r="I810" i="11"/>
  <c r="I811" i="11"/>
  <c r="I812" i="11"/>
  <c r="I813" i="11"/>
  <c r="I814" i="11"/>
  <c r="I815" i="11"/>
  <c r="I816" i="11"/>
  <c r="I817" i="11"/>
  <c r="I818" i="11"/>
  <c r="I819" i="11"/>
  <c r="I820" i="11"/>
  <c r="I821" i="11"/>
  <c r="I822" i="11"/>
  <c r="I823" i="11"/>
  <c r="I824" i="11"/>
  <c r="I825" i="11"/>
  <c r="I826" i="11"/>
  <c r="I827" i="11"/>
  <c r="I828" i="11"/>
  <c r="I829" i="11"/>
  <c r="I830" i="11"/>
  <c r="I831" i="11"/>
  <c r="I832" i="11"/>
  <c r="I833" i="11"/>
  <c r="I834" i="11"/>
  <c r="I835" i="11"/>
  <c r="I836" i="11"/>
  <c r="I837" i="11"/>
  <c r="I838" i="11"/>
  <c r="I839" i="11"/>
  <c r="I840" i="11"/>
  <c r="I841" i="11"/>
  <c r="I842" i="11"/>
  <c r="I843" i="11"/>
  <c r="I844" i="11"/>
  <c r="I845" i="11"/>
  <c r="I846" i="11"/>
  <c r="I847" i="11"/>
  <c r="I848" i="11"/>
  <c r="I849" i="11"/>
  <c r="I850" i="11"/>
  <c r="I851" i="11"/>
  <c r="I852" i="11"/>
  <c r="I853" i="11"/>
  <c r="I854" i="11"/>
  <c r="I855" i="11"/>
  <c r="I856" i="11"/>
  <c r="I857" i="11"/>
  <c r="I858" i="11"/>
  <c r="I859" i="11"/>
  <c r="I860" i="11"/>
  <c r="I861" i="11"/>
  <c r="I862" i="11"/>
  <c r="I863" i="11"/>
  <c r="I864" i="11"/>
  <c r="I865" i="11"/>
  <c r="I866" i="11"/>
  <c r="I867" i="11"/>
  <c r="I868" i="11"/>
  <c r="I869" i="11"/>
  <c r="I870" i="11"/>
  <c r="I871" i="11"/>
  <c r="I872" i="11"/>
  <c r="I873" i="11"/>
  <c r="I874" i="11"/>
  <c r="I875" i="11"/>
  <c r="I876" i="11"/>
  <c r="I877" i="11"/>
  <c r="I878" i="11"/>
  <c r="I879" i="11"/>
  <c r="I880" i="11"/>
  <c r="I881" i="11"/>
  <c r="I882" i="11"/>
  <c r="I883" i="11"/>
  <c r="I924" i="11"/>
  <c r="I925" i="11"/>
  <c r="I926" i="11"/>
  <c r="I927" i="11"/>
  <c r="I928" i="11"/>
  <c r="I929" i="11"/>
  <c r="I930" i="11"/>
  <c r="I931" i="11"/>
  <c r="I932" i="11"/>
  <c r="I933" i="11"/>
  <c r="I934" i="11"/>
  <c r="I935" i="11"/>
  <c r="I936" i="11"/>
  <c r="I937" i="11"/>
  <c r="I938" i="11"/>
  <c r="I939" i="11"/>
  <c r="I940" i="11"/>
  <c r="I941" i="11"/>
  <c r="I942" i="11"/>
  <c r="I943" i="11"/>
  <c r="I944" i="11"/>
  <c r="I945" i="11"/>
  <c r="I946" i="11"/>
  <c r="I947" i="11"/>
  <c r="I948" i="11"/>
  <c r="I949" i="11"/>
  <c r="I950" i="11"/>
  <c r="I951" i="11"/>
  <c r="I952" i="11"/>
  <c r="I953" i="11"/>
  <c r="H954" i="11"/>
  <c r="I954" i="11"/>
  <c r="I955" i="11"/>
  <c r="I956" i="11"/>
  <c r="I957" i="11"/>
  <c r="I958" i="11"/>
  <c r="I959" i="11"/>
  <c r="I960" i="11"/>
  <c r="I961" i="11"/>
  <c r="I962" i="11"/>
  <c r="I963" i="11"/>
  <c r="I964" i="11"/>
  <c r="I965" i="11"/>
  <c r="I966" i="11"/>
  <c r="I967" i="11"/>
  <c r="I968" i="11"/>
  <c r="I969" i="11"/>
  <c r="I970" i="11"/>
  <c r="I971" i="11"/>
  <c r="I972" i="11"/>
  <c r="I973" i="11"/>
  <c r="I974" i="11"/>
  <c r="I975" i="11"/>
  <c r="I976" i="11"/>
  <c r="I977" i="11"/>
  <c r="I978" i="11"/>
  <c r="I979" i="11"/>
  <c r="I980" i="11"/>
  <c r="H1021" i="11"/>
  <c r="I1021" i="11"/>
  <c r="I1022" i="11"/>
  <c r="I1023" i="11"/>
  <c r="I1024" i="11"/>
  <c r="I1025" i="11"/>
  <c r="I1026" i="11"/>
  <c r="I1027" i="11"/>
  <c r="I1028" i="11"/>
  <c r="I1029" i="11"/>
  <c r="I1030" i="11"/>
  <c r="I1031" i="11"/>
  <c r="I1032" i="11"/>
  <c r="I1033" i="11"/>
  <c r="I1034" i="11"/>
  <c r="I1035" i="11"/>
  <c r="I1036" i="11"/>
  <c r="I1037" i="11"/>
  <c r="I1038" i="11"/>
  <c r="I1039" i="11"/>
  <c r="I1040" i="11"/>
  <c r="I1041" i="11"/>
  <c r="I1042" i="11"/>
  <c r="I1043" i="11"/>
  <c r="I1044" i="11"/>
  <c r="I1045" i="11"/>
  <c r="I1046" i="11"/>
  <c r="I1047" i="11"/>
  <c r="I1048" i="11"/>
  <c r="I1049" i="11"/>
  <c r="I1050" i="11"/>
  <c r="I1051" i="11"/>
  <c r="I1052" i="11"/>
  <c r="I1053" i="11"/>
  <c r="I1054" i="11"/>
  <c r="I1055" i="11"/>
  <c r="I1056" i="11"/>
  <c r="I1057" i="11"/>
  <c r="I1058" i="11"/>
  <c r="I1059" i="11"/>
  <c r="I1060" i="11"/>
  <c r="I1061" i="11"/>
  <c r="I1062" i="11"/>
  <c r="I1063" i="11"/>
  <c r="I1064" i="11"/>
  <c r="I1065" i="11"/>
  <c r="I1066" i="11"/>
  <c r="I1067" i="11"/>
  <c r="I1068" i="11"/>
  <c r="I1069" i="11"/>
  <c r="I1070" i="11"/>
  <c r="I1071" i="11"/>
  <c r="I1072" i="11"/>
  <c r="I1073" i="11"/>
  <c r="I1074" i="11"/>
  <c r="I1075" i="11"/>
  <c r="I1076" i="11"/>
  <c r="I1077" i="11"/>
  <c r="I1078" i="11"/>
  <c r="I1079" i="11"/>
  <c r="I1080" i="11"/>
  <c r="I1081" i="11"/>
  <c r="H1082" i="11"/>
  <c r="I1082" i="11"/>
  <c r="H1083" i="11"/>
  <c r="I1083" i="11"/>
  <c r="H1084" i="11"/>
  <c r="I1084" i="11"/>
  <c r="H1085" i="11"/>
  <c r="I1085" i="11"/>
  <c r="H1086" i="11"/>
  <c r="I1086" i="11"/>
  <c r="I1087" i="11"/>
  <c r="I1088" i="11"/>
  <c r="I1089" i="11"/>
  <c r="I1090" i="11"/>
  <c r="I1091" i="11"/>
  <c r="I1092" i="11"/>
  <c r="I1093" i="11"/>
  <c r="I1094" i="11"/>
  <c r="I1095" i="11"/>
  <c r="I1096" i="11"/>
  <c r="I1097" i="11"/>
  <c r="I1098" i="11"/>
  <c r="I1099" i="11"/>
  <c r="I1100" i="11"/>
  <c r="I1101" i="11"/>
  <c r="I1102" i="11"/>
  <c r="I1103" i="11"/>
  <c r="I1104" i="11"/>
  <c r="I1105" i="11"/>
  <c r="I1106" i="11"/>
  <c r="I1107" i="11"/>
  <c r="H1107" i="11"/>
  <c r="I1108" i="11"/>
  <c r="N3" i="11"/>
  <c r="N5"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N299" i="11"/>
  <c r="N300" i="11"/>
  <c r="N301" i="11"/>
  <c r="N302" i="11"/>
  <c r="N303" i="11"/>
  <c r="N304" i="11"/>
  <c r="N305" i="11"/>
  <c r="N306" i="11"/>
  <c r="N307" i="11"/>
  <c r="N308" i="11"/>
  <c r="N309" i="11"/>
  <c r="N310" i="11"/>
  <c r="N311" i="11"/>
  <c r="N312" i="11"/>
  <c r="N313" i="11"/>
  <c r="N314" i="11"/>
  <c r="N315" i="11"/>
  <c r="N316" i="11"/>
  <c r="N317" i="11"/>
  <c r="N318" i="11"/>
  <c r="N319" i="11"/>
  <c r="N320" i="11"/>
  <c r="N321" i="11"/>
  <c r="N322" i="11"/>
  <c r="N323" i="11"/>
  <c r="N324" i="11"/>
  <c r="N325" i="11"/>
  <c r="N326" i="11"/>
  <c r="N327" i="11"/>
  <c r="N328" i="11"/>
  <c r="N329" i="11"/>
  <c r="N330" i="11"/>
  <c r="N331" i="11"/>
  <c r="N332" i="11"/>
  <c r="N333" i="11"/>
  <c r="N334" i="11"/>
  <c r="N335" i="11"/>
  <c r="N336" i="11"/>
  <c r="N337" i="11"/>
  <c r="N338" i="11"/>
  <c r="N339" i="11"/>
  <c r="N340" i="11"/>
  <c r="N341" i="11"/>
  <c r="N342" i="11"/>
  <c r="N343" i="11"/>
  <c r="N344" i="11"/>
  <c r="N345" i="11"/>
  <c r="N346" i="11"/>
  <c r="N347" i="11"/>
  <c r="N348" i="11"/>
  <c r="N349" i="11"/>
  <c r="N350" i="11"/>
  <c r="N351" i="11"/>
  <c r="N352" i="11"/>
  <c r="N353" i="11"/>
  <c r="N354" i="11"/>
  <c r="N355" i="11"/>
  <c r="N356" i="11"/>
  <c r="N357" i="11"/>
  <c r="N358" i="11"/>
  <c r="N359" i="11"/>
  <c r="N360" i="11"/>
  <c r="N361" i="11"/>
  <c r="N362" i="11"/>
  <c r="N363" i="11"/>
  <c r="N364" i="11"/>
  <c r="N365" i="11"/>
  <c r="N366" i="11"/>
  <c r="N367" i="11"/>
  <c r="N368" i="11"/>
  <c r="N369" i="11"/>
  <c r="N370" i="11"/>
  <c r="N371" i="11"/>
  <c r="N372" i="11"/>
  <c r="N373" i="11"/>
  <c r="N374" i="11"/>
  <c r="N375" i="11"/>
  <c r="N376" i="11"/>
  <c r="N377" i="11"/>
  <c r="N378" i="11"/>
  <c r="N379" i="11"/>
  <c r="N380" i="11"/>
  <c r="N381" i="11"/>
  <c r="N382" i="11"/>
  <c r="N383" i="11"/>
  <c r="N384" i="11"/>
  <c r="N385" i="11"/>
  <c r="N386" i="11"/>
  <c r="N387" i="11"/>
  <c r="N388" i="11"/>
  <c r="N389" i="11"/>
  <c r="N390" i="11"/>
  <c r="N391" i="11"/>
  <c r="N392" i="11"/>
  <c r="N393" i="11"/>
  <c r="N394" i="11"/>
  <c r="N395" i="11"/>
  <c r="N396" i="11"/>
  <c r="N397" i="11"/>
  <c r="N398" i="11"/>
  <c r="N399" i="11"/>
  <c r="N400" i="11"/>
  <c r="N401" i="11"/>
  <c r="N402" i="11"/>
  <c r="N403" i="11"/>
  <c r="N404" i="11"/>
  <c r="N405" i="11"/>
  <c r="N406" i="11"/>
  <c r="N407" i="11"/>
  <c r="N408" i="11"/>
  <c r="N409" i="11"/>
  <c r="N410" i="11"/>
  <c r="N411" i="11"/>
  <c r="N412" i="11"/>
  <c r="N413" i="11"/>
  <c r="N414" i="11"/>
  <c r="N415" i="11"/>
  <c r="N416" i="11"/>
  <c r="N417" i="11"/>
  <c r="N418" i="11"/>
  <c r="N419" i="11"/>
  <c r="N420" i="11"/>
  <c r="N421" i="11"/>
  <c r="N422" i="11"/>
  <c r="N423" i="11"/>
  <c r="N424" i="11"/>
  <c r="N425" i="11"/>
  <c r="N426" i="11"/>
  <c r="N427" i="11"/>
  <c r="N428" i="11"/>
  <c r="N429" i="11"/>
  <c r="N430" i="11"/>
  <c r="N431" i="11"/>
  <c r="N432" i="11"/>
  <c r="N433" i="11"/>
  <c r="N434" i="11"/>
  <c r="N435" i="11"/>
  <c r="N436" i="11"/>
  <c r="N437" i="11"/>
  <c r="N438" i="11"/>
  <c r="N439" i="11"/>
  <c r="N440" i="11"/>
  <c r="N441" i="11"/>
  <c r="N442" i="11"/>
  <c r="N443" i="11"/>
  <c r="N444" i="11"/>
  <c r="N445" i="11"/>
  <c r="N446" i="11"/>
  <c r="N447" i="11"/>
  <c r="N448" i="11"/>
  <c r="N449" i="11"/>
  <c r="N450" i="11"/>
  <c r="N451" i="11"/>
  <c r="N452" i="11"/>
  <c r="N453" i="11"/>
  <c r="N454" i="11"/>
  <c r="N455" i="11"/>
  <c r="N456" i="11"/>
  <c r="N457" i="11"/>
  <c r="N458" i="11"/>
  <c r="N459" i="11"/>
  <c r="N460" i="11"/>
  <c r="N461" i="11"/>
  <c r="N462" i="11"/>
  <c r="N463" i="11"/>
  <c r="N464" i="11"/>
  <c r="N465" i="11"/>
  <c r="N466" i="11"/>
  <c r="N467" i="11"/>
  <c r="N468" i="11"/>
  <c r="N469" i="11"/>
  <c r="N470" i="11"/>
  <c r="N471" i="11"/>
  <c r="N472" i="11"/>
  <c r="N473" i="11"/>
  <c r="N474" i="11"/>
  <c r="N475" i="11"/>
  <c r="N476" i="11"/>
  <c r="N477" i="11"/>
  <c r="N478" i="11"/>
  <c r="N479" i="11"/>
  <c r="N480" i="11"/>
  <c r="N481" i="11"/>
  <c r="N482" i="11"/>
  <c r="N483" i="11"/>
  <c r="N484" i="11"/>
  <c r="N485" i="11"/>
  <c r="N486" i="11"/>
  <c r="N487" i="11"/>
  <c r="N488" i="11"/>
  <c r="N489" i="11"/>
  <c r="N490" i="11"/>
  <c r="N491" i="11"/>
  <c r="N492" i="11"/>
  <c r="N493" i="11"/>
  <c r="N494" i="11"/>
  <c r="N495" i="11"/>
  <c r="N496" i="11"/>
  <c r="N497" i="11"/>
  <c r="N498" i="11"/>
  <c r="N499" i="11"/>
  <c r="N500" i="11"/>
  <c r="N501" i="11"/>
  <c r="N502" i="11"/>
  <c r="N503" i="11"/>
  <c r="N504" i="11"/>
  <c r="N505" i="11"/>
  <c r="N506" i="11"/>
  <c r="N507" i="11"/>
  <c r="N508" i="11"/>
  <c r="N509" i="11"/>
  <c r="N510" i="11"/>
  <c r="N511" i="11"/>
  <c r="N512" i="11"/>
  <c r="N513" i="11"/>
  <c r="N514" i="11"/>
  <c r="N515" i="11"/>
  <c r="N516" i="11"/>
  <c r="N517" i="11"/>
  <c r="N518" i="11"/>
  <c r="N519" i="11"/>
  <c r="N520" i="11"/>
  <c r="N521" i="11"/>
  <c r="N522" i="11"/>
  <c r="N523" i="11"/>
  <c r="N524" i="11"/>
  <c r="N525" i="11"/>
  <c r="N526" i="11"/>
  <c r="N527" i="11"/>
  <c r="N528" i="11"/>
  <c r="N529" i="11"/>
  <c r="N530" i="11"/>
  <c r="N531" i="11"/>
  <c r="N532" i="11"/>
  <c r="N533" i="11"/>
  <c r="N534" i="11"/>
  <c r="N535" i="11"/>
  <c r="N536" i="11"/>
  <c r="N537" i="11"/>
  <c r="N538" i="11"/>
  <c r="N539" i="11"/>
  <c r="N540" i="11"/>
  <c r="N541" i="11"/>
  <c r="N542" i="11"/>
  <c r="N543" i="11"/>
  <c r="N544" i="11"/>
  <c r="N545" i="11"/>
  <c r="N546" i="11"/>
  <c r="N547" i="11"/>
  <c r="N548" i="11"/>
  <c r="N549" i="11"/>
  <c r="N550" i="11"/>
  <c r="N551" i="11"/>
  <c r="N552" i="11"/>
  <c r="N553" i="11"/>
  <c r="N554" i="11"/>
  <c r="N555" i="11"/>
  <c r="N556" i="11"/>
  <c r="N557" i="11"/>
  <c r="N558" i="11"/>
  <c r="N559" i="11"/>
  <c r="N560" i="11"/>
  <c r="N561" i="11"/>
  <c r="N562" i="11"/>
  <c r="N563" i="11"/>
  <c r="N564" i="11"/>
  <c r="N565" i="11"/>
  <c r="N566" i="11"/>
  <c r="N567" i="11"/>
  <c r="N568" i="11"/>
  <c r="N569" i="11"/>
  <c r="N570" i="11"/>
  <c r="N571" i="11"/>
  <c r="N572" i="11"/>
  <c r="N573" i="11"/>
  <c r="N574" i="11"/>
  <c r="N575" i="11"/>
  <c r="N576" i="11"/>
  <c r="N577" i="11"/>
  <c r="N578" i="11"/>
  <c r="N579" i="11"/>
  <c r="N580" i="11"/>
  <c r="N581" i="11"/>
  <c r="N582" i="11"/>
  <c r="N583" i="11"/>
  <c r="N584" i="11"/>
  <c r="N585" i="11"/>
  <c r="N586" i="11"/>
  <c r="N587" i="11"/>
  <c r="N588" i="11"/>
  <c r="N589" i="11"/>
  <c r="N590" i="11"/>
  <c r="N591" i="11"/>
  <c r="N592" i="11"/>
  <c r="N593" i="11"/>
  <c r="N594" i="11"/>
  <c r="N595" i="11"/>
  <c r="N596" i="11"/>
  <c r="N597" i="11"/>
  <c r="N598" i="11"/>
  <c r="N599" i="11"/>
  <c r="N600" i="11"/>
  <c r="N601" i="11"/>
  <c r="N602" i="11"/>
  <c r="N603" i="11"/>
  <c r="N604" i="11"/>
  <c r="N605" i="11"/>
  <c r="N606" i="11"/>
  <c r="N607" i="11"/>
  <c r="N608" i="11"/>
  <c r="N609" i="11"/>
  <c r="N610" i="11"/>
  <c r="N611" i="11"/>
  <c r="N612" i="11"/>
  <c r="N613" i="11"/>
  <c r="N614" i="11"/>
  <c r="N615" i="11"/>
  <c r="N616" i="11"/>
  <c r="N617" i="11"/>
  <c r="N618" i="11"/>
  <c r="N619" i="11"/>
  <c r="N620" i="11"/>
  <c r="N621" i="11"/>
  <c r="N622" i="11"/>
  <c r="N623" i="11"/>
  <c r="N624" i="11"/>
  <c r="N625" i="11"/>
  <c r="N626" i="11"/>
  <c r="N627" i="11"/>
  <c r="N628" i="11"/>
  <c r="N629" i="11"/>
  <c r="N630" i="11"/>
  <c r="N631" i="11"/>
  <c r="N632" i="11"/>
  <c r="N633" i="11"/>
  <c r="N634" i="11"/>
  <c r="N635" i="11"/>
  <c r="N636" i="11"/>
  <c r="N637" i="11"/>
  <c r="N638" i="11"/>
  <c r="N639" i="11"/>
  <c r="N640" i="11"/>
  <c r="N641" i="11"/>
  <c r="N642" i="11"/>
  <c r="N643" i="11"/>
  <c r="N644" i="11"/>
  <c r="N645" i="11"/>
  <c r="N646" i="11"/>
  <c r="N647" i="11"/>
  <c r="N648" i="11"/>
  <c r="N649" i="11"/>
  <c r="N650" i="11"/>
  <c r="N651" i="11"/>
  <c r="N652" i="11"/>
  <c r="N653" i="11"/>
  <c r="N654" i="11"/>
  <c r="N655" i="11"/>
  <c r="N656" i="11"/>
  <c r="N657" i="11"/>
  <c r="N658" i="11"/>
  <c r="N659" i="11"/>
  <c r="N660" i="11"/>
  <c r="N661" i="11"/>
  <c r="N662" i="11"/>
  <c r="N663" i="11"/>
  <c r="N664" i="11"/>
  <c r="N665" i="11"/>
  <c r="N666" i="11"/>
  <c r="N667" i="11"/>
  <c r="N668" i="11"/>
  <c r="N669" i="11"/>
  <c r="N670" i="11"/>
  <c r="N671" i="11"/>
  <c r="N672" i="11"/>
  <c r="N673" i="11"/>
  <c r="N674" i="11"/>
  <c r="N675" i="11"/>
  <c r="N676" i="11"/>
  <c r="N677" i="11"/>
  <c r="N678" i="11"/>
  <c r="N679" i="11"/>
  <c r="N680" i="11"/>
  <c r="N681" i="11"/>
  <c r="N682" i="11"/>
  <c r="N683" i="11"/>
  <c r="N684" i="11"/>
  <c r="N685" i="11"/>
  <c r="N686" i="11"/>
  <c r="N687" i="11"/>
  <c r="N688" i="11"/>
  <c r="N689" i="11"/>
  <c r="N690" i="11"/>
  <c r="N691" i="11"/>
  <c r="N692" i="11"/>
  <c r="N693" i="11"/>
  <c r="N694" i="11"/>
  <c r="N695" i="11"/>
  <c r="N696" i="11"/>
  <c r="N697" i="11"/>
  <c r="N698" i="11"/>
  <c r="N699" i="11"/>
  <c r="N700" i="11"/>
  <c r="N701" i="11"/>
  <c r="N702" i="11"/>
  <c r="N703" i="11"/>
  <c r="N704" i="11"/>
  <c r="N705" i="11"/>
  <c r="N706" i="11"/>
  <c r="N707" i="11"/>
  <c r="N714" i="11"/>
  <c r="N715" i="11"/>
  <c r="N716" i="11"/>
  <c r="N717" i="11"/>
  <c r="N718" i="11"/>
  <c r="N719" i="11"/>
  <c r="N720" i="11"/>
  <c r="N721" i="11"/>
  <c r="N722" i="11"/>
  <c r="N723" i="11"/>
  <c r="N724" i="11"/>
  <c r="N725" i="11"/>
  <c r="N726" i="11"/>
  <c r="N727" i="11"/>
  <c r="N728" i="11"/>
  <c r="N729" i="11"/>
  <c r="N730" i="11"/>
  <c r="N731" i="11"/>
  <c r="N732" i="11"/>
  <c r="N733" i="11"/>
  <c r="N734" i="11"/>
  <c r="N735" i="11"/>
  <c r="N736" i="11"/>
  <c r="N737" i="11"/>
  <c r="N738" i="11"/>
  <c r="N739" i="11"/>
  <c r="N781" i="11"/>
  <c r="N782" i="11"/>
  <c r="N785" i="11"/>
  <c r="N790" i="11"/>
  <c r="N793" i="11"/>
  <c r="N794" i="11"/>
  <c r="N795" i="11"/>
  <c r="N796" i="11"/>
  <c r="N797" i="11"/>
  <c r="N798" i="11"/>
  <c r="N799" i="11"/>
  <c r="N800" i="11"/>
  <c r="N801" i="11"/>
  <c r="N802" i="11"/>
  <c r="N803" i="11"/>
  <c r="N804" i="11"/>
  <c r="N805" i="11"/>
  <c r="N806" i="11"/>
  <c r="N807" i="11"/>
  <c r="N808" i="11"/>
  <c r="N809" i="11"/>
  <c r="N810" i="11"/>
  <c r="N811" i="11"/>
  <c r="N812" i="11"/>
  <c r="N813" i="11"/>
  <c r="N814" i="11"/>
  <c r="N815" i="11"/>
  <c r="N816" i="11"/>
  <c r="N817" i="11"/>
  <c r="N818" i="11"/>
  <c r="N819" i="11"/>
  <c r="N820" i="11"/>
  <c r="N821" i="11"/>
  <c r="N822" i="11"/>
  <c r="N823" i="11"/>
  <c r="N824" i="11"/>
  <c r="N825" i="11"/>
  <c r="N826" i="11"/>
  <c r="N827" i="11"/>
  <c r="N828" i="11"/>
  <c r="N829" i="11"/>
  <c r="N830" i="11"/>
  <c r="N831" i="11"/>
  <c r="N832" i="11"/>
  <c r="N833" i="11"/>
  <c r="N834" i="11"/>
  <c r="N835" i="11"/>
  <c r="N836" i="11"/>
  <c r="N837" i="11"/>
  <c r="N838" i="11"/>
  <c r="N839" i="11"/>
  <c r="N840" i="11"/>
  <c r="N841" i="11"/>
  <c r="N842" i="11"/>
  <c r="N843" i="11"/>
  <c r="N844" i="11"/>
  <c r="N845" i="11"/>
  <c r="N846" i="11"/>
  <c r="N847" i="11"/>
  <c r="N848" i="11"/>
  <c r="N849" i="11"/>
  <c r="N850" i="11"/>
  <c r="N851" i="11"/>
  <c r="N852" i="11"/>
  <c r="N853" i="11"/>
  <c r="N854" i="11"/>
  <c r="N855" i="11"/>
  <c r="N856" i="11"/>
  <c r="N857" i="11"/>
  <c r="N858" i="11"/>
  <c r="N859" i="11"/>
  <c r="N860" i="11"/>
  <c r="N861" i="11"/>
  <c r="N862" i="11"/>
  <c r="N863" i="11"/>
  <c r="N864" i="11"/>
  <c r="N865" i="11"/>
  <c r="N866" i="11"/>
  <c r="N867" i="11"/>
  <c r="N868" i="11"/>
  <c r="N869" i="11"/>
  <c r="N870" i="11"/>
  <c r="N871" i="11"/>
  <c r="N872" i="11"/>
  <c r="N873" i="11"/>
  <c r="N874" i="11"/>
  <c r="N875" i="11"/>
  <c r="N876" i="11"/>
  <c r="N877" i="11"/>
  <c r="N878" i="11"/>
  <c r="N879" i="11"/>
  <c r="N880" i="11"/>
  <c r="N881" i="11"/>
  <c r="N882" i="11"/>
  <c r="N883" i="11"/>
  <c r="N884" i="11"/>
  <c r="N885" i="11"/>
  <c r="N886" i="11"/>
  <c r="N887" i="11"/>
  <c r="N888" i="11"/>
  <c r="N889" i="11"/>
  <c r="N890" i="11"/>
  <c r="N891" i="11"/>
  <c r="N892" i="11"/>
  <c r="N893" i="11"/>
  <c r="N894" i="11"/>
  <c r="N895" i="11"/>
  <c r="N896" i="11"/>
  <c r="N897" i="11"/>
  <c r="N898" i="11"/>
  <c r="N899" i="11"/>
  <c r="N900" i="11"/>
  <c r="N901" i="11"/>
  <c r="N902" i="11"/>
  <c r="N903" i="11"/>
  <c r="N904" i="11"/>
  <c r="N905" i="11"/>
  <c r="N906" i="11"/>
  <c r="N907" i="11"/>
  <c r="N908" i="11"/>
  <c r="N909" i="11"/>
  <c r="N910" i="11"/>
  <c r="N911" i="11"/>
  <c r="N912" i="11"/>
  <c r="N913" i="11"/>
  <c r="N914" i="11"/>
  <c r="N915" i="11"/>
  <c r="N916" i="11"/>
  <c r="N917" i="11"/>
  <c r="N918" i="11"/>
  <c r="N919" i="11"/>
  <c r="N920" i="11"/>
  <c r="N921" i="11"/>
  <c r="N922" i="11"/>
  <c r="N923" i="11"/>
  <c r="N924" i="11"/>
  <c r="N925" i="11"/>
  <c r="N926" i="11"/>
  <c r="N927" i="11"/>
  <c r="N928" i="11"/>
  <c r="N929" i="11"/>
  <c r="N930" i="11"/>
  <c r="N931" i="11"/>
  <c r="N932" i="11"/>
  <c r="N933" i="11"/>
  <c r="N934" i="11"/>
  <c r="N935" i="11"/>
  <c r="N936" i="11"/>
  <c r="N937" i="11"/>
  <c r="N938" i="11"/>
  <c r="N939" i="11"/>
  <c r="N940" i="11"/>
  <c r="N941" i="11"/>
  <c r="N942" i="11"/>
  <c r="N943" i="11"/>
  <c r="N944" i="11"/>
  <c r="N945" i="11"/>
  <c r="N946" i="11"/>
  <c r="N947" i="11"/>
  <c r="N948" i="11"/>
  <c r="N949" i="11"/>
  <c r="N950" i="11"/>
  <c r="N951" i="11"/>
  <c r="N952" i="11"/>
  <c r="N953" i="11"/>
  <c r="N954" i="11"/>
  <c r="N955" i="11"/>
  <c r="N956" i="11"/>
  <c r="N957" i="11"/>
  <c r="N958" i="11"/>
  <c r="N959" i="11"/>
  <c r="N960" i="11"/>
  <c r="N961" i="11"/>
  <c r="N962" i="11"/>
  <c r="N963" i="11"/>
  <c r="N964" i="11"/>
  <c r="N965" i="11"/>
  <c r="N966" i="11"/>
  <c r="N967" i="11"/>
  <c r="N968" i="11"/>
  <c r="N969" i="11"/>
  <c r="N970" i="11"/>
  <c r="N971" i="11"/>
  <c r="N972" i="11"/>
  <c r="N973" i="11"/>
  <c r="N974" i="11"/>
  <c r="N975" i="11"/>
  <c r="N976" i="11"/>
  <c r="N977" i="11"/>
  <c r="N978" i="11"/>
  <c r="N979" i="11"/>
  <c r="N980" i="11"/>
  <c r="N981" i="11"/>
  <c r="N982" i="11"/>
  <c r="N983" i="11"/>
  <c r="N984" i="11"/>
  <c r="N985" i="11"/>
  <c r="N986" i="11"/>
  <c r="N987" i="11"/>
  <c r="N988" i="11"/>
  <c r="N989" i="11"/>
  <c r="N990" i="11"/>
  <c r="N991" i="11"/>
  <c r="N992" i="11"/>
  <c r="N993" i="11"/>
  <c r="N994" i="11"/>
  <c r="N995" i="11"/>
  <c r="N996" i="11"/>
  <c r="N997" i="11"/>
  <c r="N998" i="11"/>
  <c r="N999" i="11"/>
  <c r="N1000" i="11"/>
  <c r="N1001" i="11"/>
  <c r="N1002" i="11"/>
  <c r="N1003" i="11"/>
  <c r="N1004" i="11"/>
  <c r="N1005" i="11"/>
  <c r="N1006" i="11"/>
  <c r="N1007" i="11"/>
  <c r="N1008" i="11"/>
  <c r="N1009" i="11"/>
  <c r="N1010" i="11"/>
  <c r="N1011" i="11"/>
  <c r="N1012" i="11"/>
  <c r="N1013" i="11"/>
  <c r="N1014" i="11"/>
  <c r="N1015" i="11"/>
  <c r="N1016" i="11"/>
  <c r="N1017" i="11"/>
  <c r="N1018" i="11"/>
  <c r="N1019" i="11"/>
  <c r="N1020" i="11"/>
  <c r="N1021" i="11"/>
  <c r="N1022" i="11"/>
  <c r="N1023" i="11"/>
  <c r="N1024" i="11"/>
  <c r="N1025" i="11"/>
  <c r="N1026" i="11"/>
  <c r="N1027" i="11"/>
  <c r="N1028" i="11"/>
  <c r="N1029" i="11"/>
  <c r="N1030" i="11"/>
  <c r="N1031" i="11"/>
  <c r="N1032" i="11"/>
  <c r="N1033" i="11"/>
  <c r="N1034" i="11"/>
  <c r="N1035" i="11"/>
  <c r="N1036" i="11"/>
  <c r="N1037" i="11"/>
  <c r="N1038" i="11"/>
  <c r="N1039" i="11"/>
  <c r="N1040" i="11"/>
  <c r="N1041" i="11"/>
  <c r="N1042" i="11"/>
  <c r="N1043" i="11"/>
  <c r="N1044" i="11"/>
  <c r="N1045" i="11"/>
  <c r="N1046" i="11"/>
  <c r="N1047" i="11"/>
  <c r="N1048" i="11"/>
  <c r="N1049" i="11"/>
  <c r="N1050" i="11"/>
  <c r="N1051" i="11"/>
  <c r="N1052" i="11"/>
  <c r="N1053" i="11"/>
  <c r="N1054" i="11"/>
  <c r="N1055" i="11"/>
  <c r="N1056" i="11"/>
  <c r="N1057" i="11"/>
  <c r="N1058" i="11"/>
  <c r="N1059" i="11"/>
  <c r="N1060" i="11"/>
  <c r="N1061" i="11"/>
  <c r="N1062" i="11"/>
  <c r="N1063" i="11"/>
  <c r="N1064" i="11"/>
  <c r="N1065" i="11"/>
  <c r="N1066" i="11"/>
  <c r="N1067" i="11"/>
  <c r="N1068" i="11"/>
  <c r="N1069" i="11"/>
  <c r="N1070" i="11"/>
  <c r="N1071" i="11"/>
  <c r="N1072" i="11"/>
  <c r="N1073" i="11"/>
  <c r="N1074" i="11"/>
  <c r="N1075" i="11"/>
  <c r="N1076" i="11"/>
  <c r="N1077" i="11"/>
  <c r="N1078" i="11"/>
  <c r="N1079" i="11"/>
  <c r="N1080" i="11"/>
  <c r="N1081" i="11"/>
  <c r="N1082" i="11"/>
  <c r="N1083" i="11"/>
  <c r="N1084" i="11"/>
  <c r="N1085" i="11"/>
  <c r="N1086" i="11"/>
  <c r="N1087" i="11"/>
  <c r="N1088" i="11"/>
  <c r="N1089" i="11"/>
  <c r="N1090" i="11"/>
  <c r="N1091" i="11"/>
  <c r="N1092" i="11"/>
  <c r="N1093" i="11"/>
  <c r="N1094" i="11"/>
  <c r="N1095" i="11"/>
  <c r="N1096" i="11"/>
  <c r="N1097" i="11"/>
  <c r="N1098" i="11"/>
  <c r="N1099" i="11"/>
  <c r="N1100" i="11"/>
  <c r="N1101" i="11"/>
  <c r="N1102" i="11"/>
  <c r="N1103" i="11"/>
  <c r="N1104" i="11"/>
  <c r="N1105" i="11"/>
  <c r="N1106" i="11"/>
  <c r="AN218" i="5"/>
  <c r="AO218" i="5"/>
  <c r="AP218" i="5"/>
  <c r="AQ218" i="5"/>
  <c r="AR218" i="5"/>
  <c r="AS218" i="5"/>
  <c r="AT218" i="5"/>
  <c r="AU218" i="5"/>
  <c r="AV218" i="5"/>
  <c r="AW218" i="5"/>
  <c r="AX218" i="5"/>
  <c r="AY218" i="5"/>
  <c r="BA218" i="5"/>
  <c r="N12" i="42"/>
  <c r="N13" i="42"/>
  <c r="N14" i="42"/>
  <c r="N15" i="42"/>
  <c r="I3" i="42"/>
  <c r="I4" i="42"/>
  <c r="I5" i="42"/>
  <c r="I6" i="42"/>
  <c r="I7" i="42"/>
  <c r="I8" i="42"/>
  <c r="I9" i="42"/>
  <c r="I10" i="42"/>
  <c r="I11" i="42"/>
  <c r="I12" i="42"/>
  <c r="I13" i="42"/>
  <c r="I14" i="42"/>
  <c r="I15" i="42"/>
  <c r="I16" i="42"/>
  <c r="I17" i="42"/>
  <c r="I18" i="42"/>
  <c r="I19" i="42"/>
  <c r="I20" i="42"/>
  <c r="I21" i="42"/>
  <c r="I22" i="42"/>
  <c r="I23" i="42"/>
  <c r="I24" i="42"/>
  <c r="I25" i="42"/>
  <c r="I26" i="42"/>
  <c r="I27" i="42"/>
  <c r="I28" i="42"/>
  <c r="I29" i="42"/>
  <c r="I30" i="42"/>
  <c r="I31" i="42"/>
  <c r="I32" i="42"/>
  <c r="I33" i="42"/>
  <c r="I34" i="42"/>
  <c r="I35" i="42"/>
  <c r="I36" i="42"/>
  <c r="I37" i="42"/>
  <c r="I38" i="42"/>
  <c r="I39" i="42"/>
  <c r="I40" i="42"/>
  <c r="I41" i="42"/>
  <c r="I42" i="42"/>
  <c r="I43" i="42"/>
  <c r="I44" i="42"/>
  <c r="I45" i="42"/>
  <c r="I46" i="42"/>
  <c r="I47" i="42"/>
  <c r="I48" i="42"/>
  <c r="I49" i="42"/>
  <c r="I50" i="42"/>
  <c r="I51" i="42"/>
  <c r="I52" i="42"/>
  <c r="I53" i="42"/>
  <c r="I54" i="42"/>
  <c r="I55" i="42"/>
  <c r="I56" i="42"/>
  <c r="I57" i="42"/>
  <c r="I58" i="42"/>
  <c r="I59" i="42"/>
  <c r="I60" i="42"/>
  <c r="I61" i="42"/>
  <c r="I62" i="42"/>
  <c r="I63" i="42"/>
  <c r="I64" i="42"/>
  <c r="I65" i="42"/>
  <c r="I66" i="42"/>
  <c r="I67" i="42"/>
  <c r="I68" i="42"/>
  <c r="I69" i="42"/>
  <c r="I70" i="42"/>
  <c r="I71" i="42"/>
  <c r="I72" i="42"/>
  <c r="I73" i="42"/>
  <c r="I74" i="42"/>
  <c r="I75" i="42"/>
  <c r="I76" i="42"/>
  <c r="I77" i="42"/>
  <c r="I78" i="42"/>
  <c r="I79" i="42"/>
  <c r="I80" i="42"/>
  <c r="I81" i="42"/>
  <c r="I82" i="42"/>
  <c r="I83" i="42"/>
  <c r="I84" i="42"/>
  <c r="I85" i="42"/>
  <c r="I86" i="42"/>
  <c r="I87" i="42"/>
  <c r="I88" i="42"/>
  <c r="H89" i="42"/>
  <c r="I89" i="42"/>
  <c r="H90" i="42"/>
  <c r="I90" i="42"/>
  <c r="I91" i="42"/>
  <c r="I92" i="42"/>
  <c r="I93" i="42"/>
  <c r="I94" i="42"/>
  <c r="I95" i="42"/>
  <c r="I96" i="42"/>
  <c r="I97" i="42"/>
  <c r="I98" i="42"/>
  <c r="I100" i="42"/>
  <c r="I101" i="42"/>
  <c r="I102" i="42"/>
  <c r="I103" i="42"/>
  <c r="I104" i="42"/>
  <c r="I105" i="42"/>
  <c r="I106" i="42"/>
  <c r="I107" i="42"/>
  <c r="I108" i="42"/>
  <c r="I109" i="42"/>
  <c r="I110" i="42"/>
  <c r="I111" i="42"/>
  <c r="I112" i="42"/>
  <c r="I113" i="42"/>
  <c r="I114" i="42"/>
  <c r="I115" i="42"/>
  <c r="I116" i="42"/>
  <c r="I117" i="42"/>
  <c r="I118" i="42"/>
  <c r="I119" i="42"/>
  <c r="I120" i="42"/>
  <c r="I121" i="42"/>
  <c r="I122" i="42"/>
  <c r="I123" i="42"/>
  <c r="I124" i="42"/>
  <c r="I125" i="42"/>
  <c r="I126" i="42"/>
  <c r="I127" i="42"/>
  <c r="I128" i="42"/>
  <c r="I129" i="42"/>
  <c r="I130" i="42"/>
  <c r="I131" i="42"/>
  <c r="I132" i="42"/>
  <c r="I133" i="42"/>
  <c r="I134" i="42"/>
  <c r="I135" i="42"/>
  <c r="I136" i="42"/>
  <c r="I137" i="42"/>
  <c r="I138" i="42"/>
  <c r="I139" i="42"/>
  <c r="I140" i="42"/>
  <c r="I141" i="42"/>
  <c r="I142" i="42"/>
  <c r="I143" i="42"/>
  <c r="I144" i="42"/>
  <c r="I145" i="42"/>
  <c r="I146" i="42"/>
  <c r="I147" i="42"/>
  <c r="I148" i="42"/>
  <c r="I149" i="42"/>
  <c r="I150" i="42"/>
  <c r="I151" i="42"/>
  <c r="I152" i="42"/>
  <c r="I153" i="42"/>
  <c r="I154" i="42"/>
  <c r="I155" i="42"/>
  <c r="I156" i="42"/>
  <c r="I157" i="42"/>
  <c r="I158" i="42"/>
  <c r="I159" i="42"/>
  <c r="I160" i="42"/>
  <c r="I161" i="42"/>
  <c r="I162" i="42"/>
  <c r="I163" i="42"/>
  <c r="I164" i="42"/>
  <c r="I165" i="42"/>
  <c r="I166" i="42"/>
  <c r="I167" i="42"/>
  <c r="I168" i="42"/>
  <c r="I169" i="42"/>
  <c r="I170" i="42"/>
  <c r="I171" i="42"/>
  <c r="I172" i="42"/>
  <c r="I173" i="42"/>
  <c r="I174" i="42"/>
  <c r="I175" i="42"/>
  <c r="I176" i="42"/>
  <c r="I177" i="42"/>
  <c r="I178" i="42"/>
  <c r="I179" i="42"/>
  <c r="I180" i="42"/>
  <c r="I181" i="42"/>
  <c r="I182" i="42"/>
  <c r="I183" i="42"/>
  <c r="I184" i="42"/>
  <c r="I185" i="42"/>
  <c r="I186" i="42"/>
  <c r="I187" i="42"/>
  <c r="I188" i="42"/>
  <c r="I189" i="42"/>
  <c r="I190" i="42"/>
  <c r="I191" i="42"/>
  <c r="I192" i="42"/>
  <c r="I193" i="42"/>
  <c r="I194" i="42"/>
  <c r="I195" i="42"/>
  <c r="I196" i="42"/>
  <c r="I197" i="42"/>
  <c r="I198" i="42"/>
  <c r="I199" i="42"/>
  <c r="I200" i="42"/>
  <c r="I201" i="42"/>
  <c r="I202" i="42"/>
  <c r="I203" i="42"/>
  <c r="I204" i="42"/>
  <c r="I205" i="42"/>
  <c r="I206" i="42"/>
  <c r="I207" i="42"/>
  <c r="I208" i="42"/>
  <c r="I209" i="42"/>
  <c r="I210" i="42"/>
  <c r="I211" i="42"/>
  <c r="I212" i="42"/>
  <c r="I213" i="42"/>
  <c r="I214" i="42"/>
  <c r="I215" i="42"/>
  <c r="I216" i="42"/>
  <c r="I217" i="42"/>
  <c r="I218" i="42"/>
  <c r="I219" i="42"/>
  <c r="I220" i="42"/>
  <c r="I221" i="42"/>
  <c r="I222" i="42"/>
  <c r="I223" i="42"/>
  <c r="I224" i="42"/>
  <c r="I225" i="42"/>
  <c r="I226" i="42"/>
  <c r="I227" i="42"/>
  <c r="I228" i="42"/>
  <c r="I229" i="42"/>
  <c r="I230" i="42"/>
  <c r="I231" i="42"/>
  <c r="I232" i="42"/>
  <c r="I233" i="42"/>
  <c r="I234" i="42"/>
  <c r="I235" i="42"/>
  <c r="I236" i="42"/>
  <c r="I237" i="42"/>
  <c r="I238" i="42"/>
  <c r="I239" i="42"/>
  <c r="I240" i="42"/>
  <c r="I241" i="42"/>
  <c r="I242" i="42"/>
  <c r="I243" i="42"/>
  <c r="I244" i="42"/>
  <c r="I245" i="42"/>
  <c r="I246" i="42"/>
  <c r="I247" i="42"/>
  <c r="I248" i="42"/>
  <c r="I249" i="42"/>
  <c r="I250" i="42"/>
  <c r="I251" i="42"/>
  <c r="I252" i="42"/>
  <c r="I253" i="42"/>
  <c r="I254" i="42"/>
  <c r="I255" i="42"/>
  <c r="I256" i="42"/>
  <c r="I257" i="42"/>
  <c r="I258" i="42"/>
  <c r="I259" i="42"/>
  <c r="I260" i="42"/>
  <c r="I261" i="42"/>
  <c r="I262" i="42"/>
  <c r="I263" i="42"/>
  <c r="I264" i="42"/>
  <c r="I265" i="42"/>
  <c r="I266" i="42"/>
  <c r="I267" i="42"/>
  <c r="I268" i="42"/>
  <c r="I269" i="42"/>
  <c r="I270" i="42"/>
  <c r="I271" i="42"/>
  <c r="I272" i="42"/>
  <c r="I273" i="42"/>
  <c r="I274" i="42"/>
  <c r="I275" i="42"/>
  <c r="I276" i="42"/>
  <c r="I277" i="42"/>
  <c r="I278" i="42"/>
  <c r="I279" i="42"/>
  <c r="I280" i="42"/>
  <c r="I281" i="42"/>
  <c r="I282" i="42"/>
  <c r="I283" i="42"/>
  <c r="I284" i="42"/>
  <c r="I285" i="42"/>
  <c r="I286" i="42"/>
  <c r="I287" i="42"/>
  <c r="I288" i="42"/>
  <c r="I289" i="42"/>
  <c r="I300" i="42"/>
  <c r="I301" i="42"/>
  <c r="I302" i="42"/>
  <c r="I303" i="42"/>
  <c r="I304" i="42"/>
  <c r="I305" i="42"/>
  <c r="I306" i="42"/>
  <c r="I307" i="42"/>
  <c r="I308" i="42"/>
  <c r="I309" i="42"/>
  <c r="I310" i="42"/>
  <c r="I311" i="42"/>
  <c r="I312" i="42"/>
  <c r="I313" i="42"/>
  <c r="I314" i="42"/>
  <c r="I315" i="42"/>
  <c r="I316" i="42"/>
  <c r="I317" i="42"/>
  <c r="I318" i="42"/>
  <c r="I319" i="42"/>
  <c r="I320" i="42"/>
  <c r="I321" i="42"/>
  <c r="I322" i="42"/>
  <c r="I323" i="42"/>
  <c r="I324" i="42"/>
  <c r="I325" i="42"/>
  <c r="I326" i="42"/>
  <c r="I327" i="42"/>
  <c r="I328" i="42"/>
  <c r="I329" i="42"/>
  <c r="I330" i="42"/>
  <c r="I331" i="42"/>
  <c r="I332" i="42"/>
  <c r="I333" i="42"/>
  <c r="I334" i="42"/>
  <c r="I335" i="42"/>
  <c r="I336" i="42"/>
  <c r="I337" i="42"/>
  <c r="I338" i="42"/>
  <c r="I339" i="42"/>
  <c r="I340" i="42"/>
  <c r="I341" i="42"/>
  <c r="I342" i="42"/>
  <c r="I343" i="42"/>
  <c r="I344" i="42"/>
  <c r="I345" i="42"/>
  <c r="I346" i="42"/>
  <c r="I347" i="42"/>
  <c r="I348" i="42"/>
  <c r="I349" i="42"/>
  <c r="I350" i="42"/>
  <c r="I351" i="42"/>
  <c r="I352" i="42"/>
  <c r="I353" i="42"/>
  <c r="I354" i="42"/>
  <c r="I355" i="42"/>
  <c r="I356" i="42"/>
  <c r="I357" i="42"/>
  <c r="I358" i="42"/>
  <c r="I359" i="42"/>
  <c r="I360" i="42"/>
  <c r="I361" i="42"/>
  <c r="I362" i="42"/>
  <c r="I363" i="42"/>
  <c r="I364" i="42"/>
  <c r="I365" i="42"/>
  <c r="I366" i="42"/>
  <c r="I367" i="42"/>
  <c r="I368" i="42"/>
  <c r="I369" i="42"/>
  <c r="I370" i="42"/>
  <c r="I371" i="42"/>
  <c r="I372" i="42"/>
  <c r="I373" i="42"/>
  <c r="I374" i="42"/>
  <c r="I375" i="42"/>
  <c r="I376" i="42"/>
  <c r="I377" i="42"/>
  <c r="I378" i="42"/>
  <c r="I379" i="42"/>
  <c r="I380" i="42"/>
  <c r="I381" i="42"/>
  <c r="I382" i="42"/>
  <c r="I383" i="42"/>
  <c r="I384" i="42"/>
  <c r="I385" i="42"/>
  <c r="I386" i="42"/>
  <c r="I387" i="42"/>
  <c r="I388" i="42"/>
  <c r="I389" i="42"/>
  <c r="I390" i="42"/>
  <c r="I391" i="42"/>
  <c r="I392" i="42"/>
  <c r="I393" i="42"/>
  <c r="I394" i="42"/>
  <c r="I395" i="42"/>
  <c r="I396" i="42"/>
  <c r="I397" i="42"/>
  <c r="I398" i="42"/>
  <c r="I399" i="42"/>
  <c r="I400" i="42"/>
  <c r="I401" i="42"/>
  <c r="I402" i="42"/>
  <c r="I403" i="42"/>
  <c r="I404" i="42"/>
  <c r="I405" i="42"/>
  <c r="I406" i="42"/>
  <c r="I407" i="42"/>
  <c r="I408" i="42"/>
  <c r="I409" i="42"/>
  <c r="I410" i="42"/>
  <c r="I411" i="42"/>
  <c r="I412" i="42"/>
  <c r="I413" i="42"/>
  <c r="I414" i="42"/>
  <c r="I415" i="42"/>
  <c r="I416" i="42"/>
  <c r="I417" i="42"/>
  <c r="I418" i="42"/>
  <c r="I419" i="42"/>
  <c r="I420" i="42"/>
  <c r="I421" i="42"/>
  <c r="I422" i="42"/>
  <c r="I423" i="42"/>
  <c r="I424" i="42"/>
  <c r="I425" i="42"/>
  <c r="I426" i="42"/>
  <c r="I427" i="42"/>
  <c r="I428" i="42"/>
  <c r="I429" i="42"/>
  <c r="I430" i="42"/>
  <c r="I431" i="42"/>
  <c r="I432" i="42"/>
  <c r="I433" i="42"/>
  <c r="I434" i="42"/>
  <c r="I435" i="42"/>
  <c r="I436" i="42"/>
  <c r="I437" i="42"/>
  <c r="I438" i="42"/>
  <c r="I439" i="42"/>
  <c r="I440" i="42"/>
  <c r="I441" i="42"/>
  <c r="I442" i="42"/>
  <c r="I443" i="42"/>
  <c r="I444" i="42"/>
  <c r="I445" i="42"/>
  <c r="I446" i="42"/>
  <c r="I447" i="42"/>
  <c r="I448" i="42"/>
  <c r="I449" i="42"/>
  <c r="I450" i="42"/>
  <c r="I451" i="42"/>
  <c r="I452" i="42"/>
  <c r="I453" i="42"/>
  <c r="I454" i="42"/>
  <c r="I455" i="42"/>
  <c r="I456" i="42"/>
  <c r="I457" i="42"/>
  <c r="I458" i="42"/>
  <c r="I459" i="42"/>
  <c r="I460" i="42"/>
  <c r="I461" i="42"/>
  <c r="I462" i="42"/>
  <c r="I463" i="42"/>
  <c r="I464" i="42"/>
  <c r="I465" i="42"/>
  <c r="I466" i="42"/>
  <c r="I467" i="42"/>
  <c r="I468" i="42"/>
  <c r="I469" i="42"/>
  <c r="I470" i="42"/>
  <c r="I471" i="42"/>
  <c r="I472" i="42"/>
  <c r="I473" i="42"/>
  <c r="I474" i="42"/>
  <c r="I475" i="42"/>
  <c r="I476" i="42"/>
  <c r="I477" i="42"/>
  <c r="I478" i="42"/>
  <c r="I479" i="42"/>
  <c r="I480" i="42"/>
  <c r="I481" i="42"/>
  <c r="I482" i="42"/>
  <c r="I483" i="42"/>
  <c r="I484" i="42"/>
  <c r="I485" i="42"/>
  <c r="I486" i="42"/>
  <c r="I487" i="42"/>
  <c r="I488" i="42"/>
  <c r="I489" i="42"/>
  <c r="I490" i="42"/>
  <c r="I491" i="42"/>
  <c r="I492" i="42"/>
  <c r="I493" i="42"/>
  <c r="I494" i="42"/>
  <c r="I495" i="42"/>
  <c r="I496" i="42"/>
  <c r="I497" i="42"/>
  <c r="I498" i="42"/>
  <c r="I499" i="42"/>
  <c r="I500" i="42"/>
  <c r="I501" i="42"/>
  <c r="I502" i="42"/>
  <c r="I503" i="42"/>
  <c r="I504" i="42"/>
  <c r="I505" i="42"/>
  <c r="I506" i="42"/>
  <c r="I507" i="42"/>
  <c r="I508" i="42"/>
  <c r="I509" i="42"/>
  <c r="I510" i="42"/>
  <c r="I511" i="42"/>
  <c r="I512" i="42"/>
  <c r="I513" i="42"/>
  <c r="I514" i="42"/>
  <c r="I515" i="42"/>
  <c r="I516" i="42"/>
  <c r="I517" i="42"/>
  <c r="I518" i="42"/>
  <c r="I519" i="42"/>
  <c r="I520" i="42"/>
  <c r="I521" i="42"/>
  <c r="I522" i="42"/>
  <c r="I523" i="42"/>
  <c r="I524" i="42"/>
  <c r="I525" i="42"/>
  <c r="I526" i="42"/>
  <c r="I527" i="42"/>
  <c r="I528" i="42"/>
  <c r="I529" i="42"/>
  <c r="I530" i="42"/>
  <c r="I531" i="42"/>
  <c r="I532" i="42"/>
  <c r="I533" i="42"/>
  <c r="I534" i="42"/>
  <c r="I535" i="42"/>
  <c r="I536" i="42"/>
  <c r="I537" i="42"/>
  <c r="I538" i="42"/>
  <c r="I539" i="42"/>
  <c r="I540" i="42"/>
  <c r="I541" i="42"/>
  <c r="I542" i="42"/>
  <c r="I543" i="42"/>
  <c r="I544" i="42"/>
  <c r="I545" i="42"/>
  <c r="I546" i="42"/>
  <c r="I547" i="42"/>
  <c r="I548" i="42"/>
  <c r="I549" i="42"/>
  <c r="I550" i="42"/>
  <c r="I551" i="42"/>
  <c r="I552" i="42"/>
  <c r="I553" i="42"/>
  <c r="I554" i="42"/>
  <c r="I555" i="42"/>
  <c r="I556" i="42"/>
  <c r="I557" i="42"/>
  <c r="I558" i="42"/>
  <c r="I559" i="42"/>
  <c r="I560" i="42"/>
  <c r="I561" i="42"/>
  <c r="I562" i="42"/>
  <c r="I563" i="42"/>
  <c r="I564" i="42"/>
  <c r="I565" i="42"/>
  <c r="I566" i="42"/>
  <c r="I567" i="42"/>
  <c r="I568" i="42"/>
  <c r="I569" i="42"/>
  <c r="I570" i="42"/>
  <c r="I571" i="42"/>
  <c r="I572" i="42"/>
  <c r="I573" i="42"/>
  <c r="I574" i="42"/>
  <c r="I575" i="42"/>
  <c r="I576" i="42"/>
  <c r="I577" i="42"/>
  <c r="I578" i="42"/>
  <c r="I579" i="42"/>
  <c r="I580" i="42"/>
  <c r="I581" i="42"/>
  <c r="I582" i="42"/>
  <c r="I583" i="42"/>
  <c r="I584" i="42"/>
  <c r="I585" i="42"/>
  <c r="I586" i="42"/>
  <c r="I587" i="42"/>
  <c r="I588" i="42"/>
  <c r="I589" i="42"/>
  <c r="I590" i="42"/>
  <c r="I591" i="42"/>
  <c r="I592" i="42"/>
  <c r="I593" i="42"/>
  <c r="I594" i="42"/>
  <c r="I595" i="42"/>
  <c r="I596" i="42"/>
  <c r="I597" i="42"/>
  <c r="I598" i="42"/>
  <c r="I599" i="42"/>
  <c r="I600" i="42"/>
  <c r="I601" i="42"/>
  <c r="I602" i="42"/>
  <c r="I603" i="42"/>
  <c r="I604" i="42"/>
  <c r="I605" i="42"/>
  <c r="I606" i="42"/>
  <c r="I607" i="42"/>
  <c r="I608" i="42"/>
  <c r="I609" i="42"/>
  <c r="I610" i="42"/>
  <c r="I611" i="42"/>
  <c r="I612" i="42"/>
  <c r="I613" i="42"/>
  <c r="I614" i="42"/>
  <c r="I615" i="42"/>
  <c r="I616" i="42"/>
  <c r="I617" i="42"/>
  <c r="I618" i="42"/>
  <c r="I619" i="42"/>
  <c r="I620" i="42"/>
  <c r="I621" i="42"/>
  <c r="I622" i="42"/>
  <c r="I623" i="42"/>
  <c r="I624" i="42"/>
  <c r="I625" i="42"/>
  <c r="I626" i="42"/>
  <c r="I627" i="42"/>
  <c r="I628" i="42"/>
  <c r="I629" i="42"/>
  <c r="I630" i="42"/>
  <c r="I631" i="42"/>
  <c r="I632" i="42"/>
  <c r="I633" i="42"/>
  <c r="I634" i="42"/>
  <c r="I635" i="42"/>
  <c r="I636" i="42"/>
  <c r="I637" i="42"/>
  <c r="I638" i="42"/>
  <c r="I639" i="42"/>
  <c r="I640" i="42"/>
  <c r="I641" i="42"/>
  <c r="I642" i="42"/>
  <c r="I643" i="42"/>
  <c r="I644" i="42"/>
  <c r="I645" i="42"/>
  <c r="I646" i="42"/>
  <c r="I647" i="42"/>
  <c r="I648" i="42"/>
  <c r="I649" i="42"/>
  <c r="I650" i="42"/>
  <c r="I651" i="42"/>
  <c r="I652" i="42"/>
  <c r="I653" i="42"/>
  <c r="I654" i="42"/>
  <c r="I655" i="42"/>
  <c r="I656" i="42"/>
  <c r="I657" i="42"/>
  <c r="I658" i="42"/>
  <c r="I659" i="42"/>
  <c r="I660" i="42"/>
  <c r="I661" i="42"/>
  <c r="I662" i="42"/>
  <c r="I663" i="42"/>
  <c r="I664" i="42"/>
  <c r="I665" i="42"/>
  <c r="I666" i="42"/>
  <c r="I667" i="42"/>
  <c r="I668" i="42"/>
  <c r="I669" i="42"/>
  <c r="I670" i="42"/>
  <c r="I671" i="42"/>
  <c r="I672" i="42"/>
  <c r="I673" i="42"/>
  <c r="I674" i="42"/>
  <c r="I675" i="42"/>
  <c r="I676" i="42"/>
  <c r="I677" i="42"/>
  <c r="I678" i="42"/>
  <c r="I679" i="42"/>
  <c r="I680" i="42"/>
  <c r="I681" i="42"/>
  <c r="I682" i="42"/>
  <c r="I683" i="42"/>
  <c r="I684" i="42"/>
  <c r="I685" i="42"/>
  <c r="I686" i="42"/>
  <c r="I687" i="42"/>
  <c r="I688" i="42"/>
  <c r="I689" i="42"/>
  <c r="I690" i="42"/>
  <c r="I691" i="42"/>
  <c r="I692" i="42"/>
  <c r="I693" i="42"/>
  <c r="I694" i="42"/>
  <c r="I695" i="42"/>
  <c r="I696" i="42"/>
  <c r="I697" i="42"/>
  <c r="I698" i="42"/>
  <c r="I699" i="42"/>
  <c r="I700" i="42"/>
  <c r="I701" i="42"/>
  <c r="I702" i="42"/>
  <c r="I703" i="42"/>
  <c r="I704" i="42"/>
  <c r="I705" i="42"/>
  <c r="I706" i="42"/>
  <c r="I707" i="42"/>
  <c r="I708" i="42"/>
  <c r="I709" i="42"/>
  <c r="I710" i="42"/>
  <c r="I711" i="42"/>
  <c r="I712" i="42"/>
  <c r="I713" i="42"/>
  <c r="I714" i="42"/>
  <c r="I715" i="42"/>
  <c r="I716" i="42"/>
  <c r="I717" i="42"/>
  <c r="I718" i="42"/>
  <c r="I719" i="42"/>
  <c r="I720" i="42"/>
  <c r="I721" i="42"/>
  <c r="I722" i="42"/>
  <c r="I723" i="42"/>
  <c r="I724" i="42"/>
  <c r="I725" i="42"/>
  <c r="I726" i="42"/>
  <c r="I727" i="42"/>
  <c r="I728" i="42"/>
  <c r="I729" i="42"/>
  <c r="I730" i="42"/>
  <c r="I731" i="42"/>
  <c r="I732" i="42"/>
  <c r="I733" i="42"/>
  <c r="I734" i="42"/>
  <c r="I735" i="42"/>
  <c r="I736" i="42"/>
  <c r="I737" i="42"/>
  <c r="I738" i="42"/>
  <c r="I739" i="42"/>
  <c r="I740" i="42"/>
  <c r="I741" i="42"/>
  <c r="I742" i="42"/>
  <c r="I743" i="42"/>
  <c r="I744" i="42"/>
  <c r="I745" i="42"/>
  <c r="I746" i="42"/>
  <c r="I747" i="42"/>
  <c r="I748" i="42"/>
  <c r="I749" i="42"/>
  <c r="I750" i="42"/>
  <c r="I751" i="42"/>
  <c r="I752" i="42"/>
  <c r="I753" i="42"/>
  <c r="I754" i="42"/>
  <c r="I755" i="42"/>
  <c r="I756" i="42"/>
  <c r="I757" i="42"/>
  <c r="I758" i="42"/>
  <c r="I759" i="42"/>
  <c r="I760" i="42"/>
  <c r="I761" i="42"/>
  <c r="I762" i="42"/>
  <c r="I763" i="42"/>
  <c r="I764" i="42"/>
  <c r="I765" i="42"/>
  <c r="I766" i="42"/>
  <c r="I767" i="42"/>
  <c r="I768" i="42"/>
  <c r="I769" i="42"/>
  <c r="I770" i="42"/>
  <c r="I771" i="42"/>
  <c r="I772" i="42"/>
  <c r="I773" i="42"/>
  <c r="I774" i="42"/>
  <c r="I775" i="42"/>
  <c r="I776" i="42"/>
  <c r="I777" i="42"/>
  <c r="I778" i="42"/>
  <c r="I779" i="42"/>
  <c r="I780" i="42"/>
  <c r="I781" i="42"/>
  <c r="I782" i="42"/>
  <c r="I783" i="42"/>
  <c r="I784" i="42"/>
  <c r="I785" i="42"/>
  <c r="I786" i="42"/>
  <c r="I787" i="42"/>
  <c r="I788" i="42"/>
  <c r="I789" i="42"/>
  <c r="I790" i="42"/>
  <c r="I791" i="42"/>
  <c r="I792" i="42"/>
  <c r="I793" i="42"/>
  <c r="I794" i="42"/>
  <c r="I795" i="42"/>
  <c r="I796" i="42"/>
  <c r="I797" i="42"/>
  <c r="I798" i="42"/>
  <c r="I799" i="42"/>
  <c r="I800" i="42"/>
  <c r="I801" i="42"/>
  <c r="I802" i="42"/>
  <c r="I803" i="42"/>
  <c r="I804" i="42"/>
  <c r="I805" i="42"/>
  <c r="I806" i="42"/>
  <c r="I807" i="42"/>
  <c r="I808" i="42"/>
  <c r="I809" i="42"/>
  <c r="I810" i="42"/>
  <c r="I811" i="42"/>
  <c r="I812" i="42"/>
  <c r="I813" i="42"/>
  <c r="I814" i="42"/>
  <c r="I815" i="42"/>
  <c r="I816" i="42"/>
  <c r="I817" i="42"/>
  <c r="I818" i="42"/>
  <c r="I819" i="42"/>
  <c r="I820" i="42"/>
  <c r="I821" i="42"/>
  <c r="I822" i="42"/>
  <c r="I823" i="42"/>
  <c r="I824" i="42"/>
  <c r="I825" i="42"/>
  <c r="I826" i="42"/>
  <c r="I827" i="42"/>
  <c r="I828" i="42"/>
  <c r="I829" i="42"/>
  <c r="I830" i="42"/>
  <c r="I831" i="42"/>
  <c r="I832" i="42"/>
  <c r="I833" i="42"/>
  <c r="I834" i="42"/>
  <c r="I835" i="42"/>
  <c r="I836" i="42"/>
  <c r="I837" i="42"/>
  <c r="I838" i="42"/>
  <c r="I839" i="42"/>
  <c r="I840" i="42"/>
  <c r="I841" i="42"/>
  <c r="I842" i="42"/>
  <c r="I843" i="42"/>
  <c r="I844" i="42"/>
  <c r="I845" i="42"/>
  <c r="I846" i="42"/>
  <c r="I847" i="42"/>
  <c r="I848" i="42"/>
  <c r="I849" i="42"/>
  <c r="I850" i="42"/>
  <c r="I851" i="42"/>
  <c r="I852" i="42"/>
  <c r="I853" i="42"/>
  <c r="I854" i="42"/>
  <c r="I855" i="42"/>
  <c r="I856" i="42"/>
  <c r="I857" i="42"/>
  <c r="I858" i="42"/>
  <c r="I859" i="42"/>
  <c r="I860" i="42"/>
  <c r="I861" i="42"/>
  <c r="I862" i="42"/>
  <c r="I863" i="42"/>
  <c r="I864" i="42"/>
  <c r="I865" i="42"/>
  <c r="I866" i="42"/>
  <c r="I867" i="42"/>
  <c r="I868" i="42"/>
  <c r="I869" i="42"/>
  <c r="I870" i="42"/>
  <c r="I871" i="42"/>
  <c r="I872" i="42"/>
  <c r="I873" i="42"/>
  <c r="I874" i="42"/>
  <c r="I875" i="42"/>
  <c r="I876" i="42"/>
  <c r="I877" i="42"/>
  <c r="I878" i="42"/>
  <c r="I879" i="42"/>
  <c r="I880" i="42"/>
  <c r="I881" i="42"/>
  <c r="I882" i="42"/>
  <c r="I883" i="42"/>
  <c r="I884" i="42"/>
  <c r="I885" i="42"/>
  <c r="I886" i="42"/>
  <c r="I887" i="42"/>
  <c r="I888" i="42"/>
  <c r="I889" i="42"/>
  <c r="I890" i="42"/>
  <c r="I891" i="42"/>
  <c r="I892" i="42"/>
  <c r="I893" i="42"/>
  <c r="I894" i="42"/>
  <c r="I895" i="42"/>
  <c r="I896" i="42"/>
  <c r="I897" i="42"/>
  <c r="I898" i="42"/>
  <c r="I899" i="42"/>
  <c r="I900" i="42"/>
  <c r="I901" i="42"/>
  <c r="I902" i="42"/>
  <c r="I903" i="42"/>
  <c r="I904" i="42"/>
  <c r="I905" i="42"/>
  <c r="I906" i="42"/>
  <c r="I907" i="42"/>
  <c r="I908" i="42"/>
  <c r="I909" i="42"/>
  <c r="I910" i="42"/>
  <c r="I911" i="42"/>
  <c r="I912" i="42"/>
  <c r="I913" i="42"/>
  <c r="I914" i="42"/>
  <c r="I915" i="42"/>
  <c r="I916" i="42"/>
  <c r="I917" i="42"/>
  <c r="I918" i="42"/>
  <c r="I919" i="42"/>
  <c r="I920" i="42"/>
  <c r="I921" i="42"/>
  <c r="I922" i="42"/>
  <c r="I923" i="42"/>
  <c r="I924" i="42"/>
  <c r="I925" i="42"/>
  <c r="I926" i="42"/>
  <c r="I927" i="42"/>
  <c r="I928" i="42"/>
  <c r="I929" i="42"/>
  <c r="I930" i="42"/>
  <c r="I931" i="42"/>
  <c r="I932" i="42"/>
  <c r="I933" i="42"/>
  <c r="I934" i="42"/>
  <c r="I935" i="42"/>
  <c r="I936" i="42"/>
  <c r="I937" i="42"/>
  <c r="I938" i="42"/>
  <c r="I939" i="42"/>
  <c r="I940" i="42"/>
  <c r="I941" i="42"/>
  <c r="I942" i="42"/>
  <c r="I943" i="42"/>
  <c r="I944" i="42"/>
  <c r="I945" i="42"/>
  <c r="I946" i="42"/>
  <c r="I947" i="42"/>
  <c r="I948" i="42"/>
  <c r="I949" i="42"/>
  <c r="I950" i="42"/>
  <c r="I951" i="42"/>
  <c r="I952" i="42"/>
  <c r="I953" i="42"/>
  <c r="H953" i="42"/>
  <c r="I954" i="42"/>
  <c r="N3" i="42"/>
  <c r="N4" i="42"/>
  <c r="N5" i="42"/>
  <c r="N6" i="42"/>
  <c r="N7" i="42"/>
  <c r="N8" i="42"/>
  <c r="N9" i="42"/>
  <c r="N10" i="42"/>
  <c r="N11"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N67" i="42"/>
  <c r="N68" i="42"/>
  <c r="N69" i="42"/>
  <c r="N70" i="42"/>
  <c r="N71" i="42"/>
  <c r="N72" i="42"/>
  <c r="N73" i="42"/>
  <c r="N74" i="42"/>
  <c r="N75" i="42"/>
  <c r="N76" i="42"/>
  <c r="N77" i="42"/>
  <c r="N78" i="42"/>
  <c r="N79" i="42"/>
  <c r="N80" i="42"/>
  <c r="N81" i="42"/>
  <c r="N82" i="42"/>
  <c r="N83" i="42"/>
  <c r="N84" i="42"/>
  <c r="N85" i="42"/>
  <c r="N86" i="42"/>
  <c r="N87" i="42"/>
  <c r="N88" i="42"/>
  <c r="N89" i="42"/>
  <c r="N90" i="42"/>
  <c r="N91" i="42"/>
  <c r="N92" i="42"/>
  <c r="N93" i="42"/>
  <c r="N94" i="42"/>
  <c r="N95" i="42"/>
  <c r="N96" i="42"/>
  <c r="N97" i="42"/>
  <c r="N98" i="42"/>
  <c r="N99" i="42"/>
  <c r="N100" i="42"/>
  <c r="N101" i="42"/>
  <c r="N102" i="42"/>
  <c r="N103" i="42"/>
  <c r="N104" i="42"/>
  <c r="N105" i="42"/>
  <c r="N106" i="42"/>
  <c r="N107" i="42"/>
  <c r="N108" i="42"/>
  <c r="N109" i="42"/>
  <c r="N110" i="42"/>
  <c r="N111" i="42"/>
  <c r="N112" i="42"/>
  <c r="N113" i="42"/>
  <c r="N114" i="42"/>
  <c r="N115" i="42"/>
  <c r="N116" i="42"/>
  <c r="N117" i="42"/>
  <c r="N118" i="42"/>
  <c r="N119" i="42"/>
  <c r="N120" i="42"/>
  <c r="N121" i="42"/>
  <c r="N122" i="42"/>
  <c r="N123" i="42"/>
  <c r="N124" i="42"/>
  <c r="N125" i="42"/>
  <c r="N126" i="42"/>
  <c r="N127" i="42"/>
  <c r="N128" i="42"/>
  <c r="N129" i="42"/>
  <c r="N130" i="42"/>
  <c r="N131" i="42"/>
  <c r="N132" i="42"/>
  <c r="N133" i="42"/>
  <c r="N134" i="42"/>
  <c r="N135" i="42"/>
  <c r="N136" i="42"/>
  <c r="N137" i="42"/>
  <c r="N138" i="42"/>
  <c r="N139" i="42"/>
  <c r="N140" i="42"/>
  <c r="N141" i="42"/>
  <c r="N142" i="42"/>
  <c r="N143" i="42"/>
  <c r="N144" i="42"/>
  <c r="N145" i="42"/>
  <c r="N146" i="42"/>
  <c r="N147" i="42"/>
  <c r="N148" i="42"/>
  <c r="N149" i="42"/>
  <c r="N150" i="42"/>
  <c r="N151" i="42"/>
  <c r="N152" i="42"/>
  <c r="N153" i="42"/>
  <c r="N154" i="42"/>
  <c r="N155" i="42"/>
  <c r="N156" i="42"/>
  <c r="N157" i="42"/>
  <c r="N158" i="42"/>
  <c r="N159" i="42"/>
  <c r="N160" i="42"/>
  <c r="N161" i="42"/>
  <c r="N162" i="42"/>
  <c r="N163" i="42"/>
  <c r="N164" i="42"/>
  <c r="N165" i="42"/>
  <c r="N166" i="42"/>
  <c r="N167" i="42"/>
  <c r="N168" i="42"/>
  <c r="N169" i="42"/>
  <c r="N170" i="42"/>
  <c r="N171" i="42"/>
  <c r="N172" i="42"/>
  <c r="N173" i="42"/>
  <c r="N174" i="42"/>
  <c r="N175" i="42"/>
  <c r="N176" i="42"/>
  <c r="N177" i="42"/>
  <c r="N178" i="42"/>
  <c r="N179" i="42"/>
  <c r="N180" i="42"/>
  <c r="N181" i="42"/>
  <c r="N182" i="42"/>
  <c r="N183" i="42"/>
  <c r="N184" i="42"/>
  <c r="N185" i="42"/>
  <c r="N186" i="42"/>
  <c r="N187" i="42"/>
  <c r="N188" i="42"/>
  <c r="N189" i="42"/>
  <c r="N190" i="42"/>
  <c r="N191" i="42"/>
  <c r="N192" i="42"/>
  <c r="N193" i="42"/>
  <c r="N194" i="42"/>
  <c r="N195" i="42"/>
  <c r="N196" i="42"/>
  <c r="N197" i="42"/>
  <c r="N198" i="42"/>
  <c r="N199" i="42"/>
  <c r="N200" i="42"/>
  <c r="N201" i="42"/>
  <c r="N202" i="42"/>
  <c r="N203" i="42"/>
  <c r="N204" i="42"/>
  <c r="N205" i="42"/>
  <c r="N206" i="42"/>
  <c r="N207" i="42"/>
  <c r="N208" i="42"/>
  <c r="N209" i="42"/>
  <c r="N210" i="42"/>
  <c r="N211" i="42"/>
  <c r="N212" i="42"/>
  <c r="N213" i="42"/>
  <c r="N214" i="42"/>
  <c r="N215" i="42"/>
  <c r="N216" i="42"/>
  <c r="N217" i="42"/>
  <c r="N218" i="42"/>
  <c r="N219" i="42"/>
  <c r="N220" i="42"/>
  <c r="N221" i="42"/>
  <c r="N222" i="42"/>
  <c r="N223" i="42"/>
  <c r="N224" i="42"/>
  <c r="N225" i="42"/>
  <c r="N226" i="42"/>
  <c r="N227" i="42"/>
  <c r="N228" i="42"/>
  <c r="N229" i="42"/>
  <c r="N230" i="42"/>
  <c r="N231" i="42"/>
  <c r="N232" i="42"/>
  <c r="N233" i="42"/>
  <c r="N234" i="42"/>
  <c r="N235" i="42"/>
  <c r="N236" i="42"/>
  <c r="N237" i="42"/>
  <c r="N238" i="42"/>
  <c r="N239" i="42"/>
  <c r="N240" i="42"/>
  <c r="N241" i="42"/>
  <c r="N242" i="42"/>
  <c r="N243" i="42"/>
  <c r="N244" i="42"/>
  <c r="N245" i="42"/>
  <c r="N246" i="42"/>
  <c r="N247" i="42"/>
  <c r="N248" i="42"/>
  <c r="N249" i="42"/>
  <c r="N250" i="42"/>
  <c r="N251" i="42"/>
  <c r="N252" i="42"/>
  <c r="N253" i="42"/>
  <c r="N254" i="42"/>
  <c r="N255" i="42"/>
  <c r="N256" i="42"/>
  <c r="N257" i="42"/>
  <c r="N258" i="42"/>
  <c r="N259" i="42"/>
  <c r="N260" i="42"/>
  <c r="N261" i="42"/>
  <c r="N262" i="42"/>
  <c r="N263" i="42"/>
  <c r="N264" i="42"/>
  <c r="N265" i="42"/>
  <c r="N266" i="42"/>
  <c r="N267" i="42"/>
  <c r="N268" i="42"/>
  <c r="N269" i="42"/>
  <c r="N270" i="42"/>
  <c r="N271" i="42"/>
  <c r="N272" i="42"/>
  <c r="N273" i="42"/>
  <c r="N274" i="42"/>
  <c r="N275" i="42"/>
  <c r="N276" i="42"/>
  <c r="N277" i="42"/>
  <c r="N278" i="42"/>
  <c r="N279" i="42"/>
  <c r="N280" i="42"/>
  <c r="N281" i="42"/>
  <c r="N282" i="42"/>
  <c r="N283" i="42"/>
  <c r="N284" i="42"/>
  <c r="N285" i="42"/>
  <c r="N286" i="42"/>
  <c r="N287" i="42"/>
  <c r="N288" i="42"/>
  <c r="N289" i="42"/>
  <c r="N290" i="42"/>
  <c r="N291" i="42"/>
  <c r="N292" i="42"/>
  <c r="N293" i="42"/>
  <c r="N294" i="42"/>
  <c r="N295" i="42"/>
  <c r="N296" i="42"/>
  <c r="N297" i="42"/>
  <c r="N298" i="42"/>
  <c r="N299" i="42"/>
  <c r="N300" i="42"/>
  <c r="N301" i="42"/>
  <c r="N302" i="42"/>
  <c r="N303" i="42"/>
  <c r="N304" i="42"/>
  <c r="N305" i="42"/>
  <c r="N306" i="42"/>
  <c r="N307" i="42"/>
  <c r="N308" i="42"/>
  <c r="N309" i="42"/>
  <c r="N310" i="42"/>
  <c r="N311" i="42"/>
  <c r="N312" i="42"/>
  <c r="N313" i="42"/>
  <c r="N314" i="42"/>
  <c r="N315" i="42"/>
  <c r="N316" i="42"/>
  <c r="N317" i="42"/>
  <c r="N318" i="42"/>
  <c r="N319" i="42"/>
  <c r="N320" i="42"/>
  <c r="N321" i="42"/>
  <c r="N322" i="42"/>
  <c r="N323" i="42"/>
  <c r="N324" i="42"/>
  <c r="N325" i="42"/>
  <c r="N326" i="42"/>
  <c r="N327" i="42"/>
  <c r="N328" i="42"/>
  <c r="N329" i="42"/>
  <c r="N330" i="42"/>
  <c r="N331" i="42"/>
  <c r="N332" i="42"/>
  <c r="N333" i="42"/>
  <c r="N334" i="42"/>
  <c r="N335" i="42"/>
  <c r="N336" i="42"/>
  <c r="N337" i="42"/>
  <c r="N338" i="42"/>
  <c r="N339" i="42"/>
  <c r="N340" i="42"/>
  <c r="N341" i="42"/>
  <c r="N342" i="42"/>
  <c r="N343" i="42"/>
  <c r="N344" i="42"/>
  <c r="N345" i="42"/>
  <c r="N346" i="42"/>
  <c r="N347" i="42"/>
  <c r="N348" i="42"/>
  <c r="N349" i="42"/>
  <c r="N350" i="42"/>
  <c r="N351" i="42"/>
  <c r="N352" i="42"/>
  <c r="N353" i="42"/>
  <c r="N354" i="42"/>
  <c r="N355" i="42"/>
  <c r="N356" i="42"/>
  <c r="N357" i="42"/>
  <c r="N358" i="42"/>
  <c r="N359" i="42"/>
  <c r="N360" i="42"/>
  <c r="N361" i="42"/>
  <c r="N362" i="42"/>
  <c r="N363" i="42"/>
  <c r="N364" i="42"/>
  <c r="N365" i="42"/>
  <c r="N366" i="42"/>
  <c r="N367" i="42"/>
  <c r="N368" i="42"/>
  <c r="N369" i="42"/>
  <c r="N370" i="42"/>
  <c r="N371" i="42"/>
  <c r="N372" i="42"/>
  <c r="N373" i="42"/>
  <c r="N374" i="42"/>
  <c r="N375" i="42"/>
  <c r="N376" i="42"/>
  <c r="N377" i="42"/>
  <c r="N378" i="42"/>
  <c r="N379" i="42"/>
  <c r="N380" i="42"/>
  <c r="N381" i="42"/>
  <c r="N382" i="42"/>
  <c r="N383" i="42"/>
  <c r="N384" i="42"/>
  <c r="N385" i="42"/>
  <c r="N386" i="42"/>
  <c r="N387" i="42"/>
  <c r="N388" i="42"/>
  <c r="N389" i="42"/>
  <c r="N390" i="42"/>
  <c r="N391" i="42"/>
  <c r="N392" i="42"/>
  <c r="N393" i="42"/>
  <c r="N394" i="42"/>
  <c r="N395" i="42"/>
  <c r="N396" i="42"/>
  <c r="N397" i="42"/>
  <c r="N398" i="42"/>
  <c r="N399" i="42"/>
  <c r="N400" i="42"/>
  <c r="N401" i="42"/>
  <c r="N402" i="42"/>
  <c r="N403" i="42"/>
  <c r="N404" i="42"/>
  <c r="N405" i="42"/>
  <c r="N406" i="42"/>
  <c r="N407" i="42"/>
  <c r="N408" i="42"/>
  <c r="N409" i="42"/>
  <c r="N410" i="42"/>
  <c r="N411" i="42"/>
  <c r="N412" i="42"/>
  <c r="N413" i="42"/>
  <c r="N414" i="42"/>
  <c r="N415" i="42"/>
  <c r="N416" i="42"/>
  <c r="N417" i="42"/>
  <c r="N418" i="42"/>
  <c r="N419" i="42"/>
  <c r="N420" i="42"/>
  <c r="N421" i="42"/>
  <c r="N422" i="42"/>
  <c r="N423" i="42"/>
  <c r="N424" i="42"/>
  <c r="N425" i="42"/>
  <c r="N426" i="42"/>
  <c r="N427" i="42"/>
  <c r="N428" i="42"/>
  <c r="N429" i="42"/>
  <c r="N430" i="42"/>
  <c r="N431" i="42"/>
  <c r="N432" i="42"/>
  <c r="N433" i="42"/>
  <c r="N434" i="42"/>
  <c r="N435" i="42"/>
  <c r="N436" i="42"/>
  <c r="N437" i="42"/>
  <c r="N438" i="42"/>
  <c r="N439" i="42"/>
  <c r="N440" i="42"/>
  <c r="N441" i="42"/>
  <c r="N442" i="42"/>
  <c r="N443" i="42"/>
  <c r="N444" i="42"/>
  <c r="N445" i="42"/>
  <c r="N446" i="42"/>
  <c r="N447" i="42"/>
  <c r="N448" i="42"/>
  <c r="N449" i="42"/>
  <c r="N450" i="42"/>
  <c r="N451" i="42"/>
  <c r="N452" i="42"/>
  <c r="N453" i="42"/>
  <c r="N454" i="42"/>
  <c r="N455" i="42"/>
  <c r="N456" i="42"/>
  <c r="N457" i="42"/>
  <c r="N458" i="42"/>
  <c r="N459" i="42"/>
  <c r="N460" i="42"/>
  <c r="N461" i="42"/>
  <c r="N462" i="42"/>
  <c r="N463" i="42"/>
  <c r="N464" i="42"/>
  <c r="N465" i="42"/>
  <c r="N466" i="42"/>
  <c r="N467" i="42"/>
  <c r="N468" i="42"/>
  <c r="N469" i="42"/>
  <c r="N470" i="42"/>
  <c r="N471" i="42"/>
  <c r="N472" i="42"/>
  <c r="N473" i="42"/>
  <c r="N474" i="42"/>
  <c r="N475" i="42"/>
  <c r="N476" i="42"/>
  <c r="N477" i="42"/>
  <c r="N478" i="42"/>
  <c r="N479" i="42"/>
  <c r="N480" i="42"/>
  <c r="N481" i="42"/>
  <c r="N482" i="42"/>
  <c r="N483" i="42"/>
  <c r="N484" i="42"/>
  <c r="N485" i="42"/>
  <c r="N486" i="42"/>
  <c r="N487" i="42"/>
  <c r="N488" i="42"/>
  <c r="N489" i="42"/>
  <c r="N490" i="42"/>
  <c r="N491" i="42"/>
  <c r="N492" i="42"/>
  <c r="N493" i="42"/>
  <c r="N494" i="42"/>
  <c r="N495" i="42"/>
  <c r="N496" i="42"/>
  <c r="N497" i="42"/>
  <c r="N498" i="42"/>
  <c r="N499" i="42"/>
  <c r="N500" i="42"/>
  <c r="N501" i="42"/>
  <c r="N502" i="42"/>
  <c r="N503" i="42"/>
  <c r="N504" i="42"/>
  <c r="N505" i="42"/>
  <c r="N506" i="42"/>
  <c r="N507" i="42"/>
  <c r="N508" i="42"/>
  <c r="N509" i="42"/>
  <c r="N510" i="42"/>
  <c r="N511" i="42"/>
  <c r="N512" i="42"/>
  <c r="N513" i="42"/>
  <c r="N514" i="42"/>
  <c r="N515" i="42"/>
  <c r="N516" i="42"/>
  <c r="N517" i="42"/>
  <c r="N518" i="42"/>
  <c r="N519" i="42"/>
  <c r="N520" i="42"/>
  <c r="N521" i="42"/>
  <c r="N522" i="42"/>
  <c r="N523" i="42"/>
  <c r="N524" i="42"/>
  <c r="N525" i="42"/>
  <c r="N526" i="42"/>
  <c r="N527" i="42"/>
  <c r="N528" i="42"/>
  <c r="N529" i="42"/>
  <c r="N530" i="42"/>
  <c r="N531" i="42"/>
  <c r="N532" i="42"/>
  <c r="N533" i="42"/>
  <c r="N534" i="42"/>
  <c r="N535" i="42"/>
  <c r="N536" i="42"/>
  <c r="N537" i="42"/>
  <c r="N538" i="42"/>
  <c r="N539" i="42"/>
  <c r="N540" i="42"/>
  <c r="N541" i="42"/>
  <c r="N542" i="42"/>
  <c r="N543" i="42"/>
  <c r="N544" i="42"/>
  <c r="N545" i="42"/>
  <c r="N546" i="42"/>
  <c r="N547" i="42"/>
  <c r="N548" i="42"/>
  <c r="N549" i="42"/>
  <c r="N550" i="42"/>
  <c r="N551" i="42"/>
  <c r="N552" i="42"/>
  <c r="N553" i="42"/>
  <c r="N554" i="42"/>
  <c r="N555" i="42"/>
  <c r="N556" i="42"/>
  <c r="N557" i="42"/>
  <c r="N558" i="42"/>
  <c r="N559" i="42"/>
  <c r="N560" i="42"/>
  <c r="N561" i="42"/>
  <c r="N562" i="42"/>
  <c r="N563" i="42"/>
  <c r="N564" i="42"/>
  <c r="N565" i="42"/>
  <c r="N566" i="42"/>
  <c r="N567" i="42"/>
  <c r="N568" i="42"/>
  <c r="N569" i="42"/>
  <c r="N570" i="42"/>
  <c r="N571" i="42"/>
  <c r="N572" i="42"/>
  <c r="N573" i="42"/>
  <c r="N574" i="42"/>
  <c r="N575" i="42"/>
  <c r="N576" i="42"/>
  <c r="N577" i="42"/>
  <c r="N578" i="42"/>
  <c r="N579" i="42"/>
  <c r="N580" i="42"/>
  <c r="N581" i="42"/>
  <c r="N582" i="42"/>
  <c r="N583" i="42"/>
  <c r="N584" i="42"/>
  <c r="N585" i="42"/>
  <c r="N586" i="42"/>
  <c r="N587" i="42"/>
  <c r="N588" i="42"/>
  <c r="N589" i="42"/>
  <c r="N590" i="42"/>
  <c r="N591" i="42"/>
  <c r="N592" i="42"/>
  <c r="N593" i="42"/>
  <c r="N594" i="42"/>
  <c r="N595" i="42"/>
  <c r="N596" i="42"/>
  <c r="N597" i="42"/>
  <c r="N598" i="42"/>
  <c r="N599" i="42"/>
  <c r="N600" i="42"/>
  <c r="N601" i="42"/>
  <c r="N602" i="42"/>
  <c r="N603" i="42"/>
  <c r="N604" i="42"/>
  <c r="N605" i="42"/>
  <c r="N606" i="42"/>
  <c r="N607" i="42"/>
  <c r="N608" i="42"/>
  <c r="N609" i="42"/>
  <c r="N610" i="42"/>
  <c r="N611" i="42"/>
  <c r="N612" i="42"/>
  <c r="N613" i="42"/>
  <c r="N614" i="42"/>
  <c r="N615" i="42"/>
  <c r="N616" i="42"/>
  <c r="N617" i="42"/>
  <c r="N618" i="42"/>
  <c r="N619" i="42"/>
  <c r="N620" i="42"/>
  <c r="N621" i="42"/>
  <c r="N622" i="42"/>
  <c r="N623" i="42"/>
  <c r="N624" i="42"/>
  <c r="N625" i="42"/>
  <c r="N626" i="42"/>
  <c r="N627" i="42"/>
  <c r="N628" i="42"/>
  <c r="N629" i="42"/>
  <c r="N630" i="42"/>
  <c r="N631" i="42"/>
  <c r="N632" i="42"/>
  <c r="N633" i="42"/>
  <c r="N634" i="42"/>
  <c r="N635" i="42"/>
  <c r="N636" i="42"/>
  <c r="N637" i="42"/>
  <c r="N638" i="42"/>
  <c r="N639" i="42"/>
  <c r="N640" i="42"/>
  <c r="N641" i="42"/>
  <c r="N642" i="42"/>
  <c r="N643" i="42"/>
  <c r="N644" i="42"/>
  <c r="N645" i="42"/>
  <c r="N646" i="42"/>
  <c r="N647" i="42"/>
  <c r="N648" i="42"/>
  <c r="N649" i="42"/>
  <c r="N650" i="42"/>
  <c r="N651" i="42"/>
  <c r="N652" i="42"/>
  <c r="N653" i="42"/>
  <c r="N654" i="42"/>
  <c r="N655" i="42"/>
  <c r="N656" i="42"/>
  <c r="N657" i="42"/>
  <c r="N658" i="42"/>
  <c r="N659" i="42"/>
  <c r="N660" i="42"/>
  <c r="N661" i="42"/>
  <c r="N662" i="42"/>
  <c r="N663" i="42"/>
  <c r="N664" i="42"/>
  <c r="N665" i="42"/>
  <c r="N666" i="42"/>
  <c r="N667" i="42"/>
  <c r="N668" i="42"/>
  <c r="N669" i="42"/>
  <c r="N670" i="42"/>
  <c r="N671" i="42"/>
  <c r="N672" i="42"/>
  <c r="N673" i="42"/>
  <c r="N674" i="42"/>
  <c r="N675" i="42"/>
  <c r="N676" i="42"/>
  <c r="N677" i="42"/>
  <c r="N678" i="42"/>
  <c r="N679" i="42"/>
  <c r="N680" i="42"/>
  <c r="N681" i="42"/>
  <c r="N682" i="42"/>
  <c r="N683" i="42"/>
  <c r="N684" i="42"/>
  <c r="N685" i="42"/>
  <c r="N686" i="42"/>
  <c r="N687" i="42"/>
  <c r="N688" i="42"/>
  <c r="N689" i="42"/>
  <c r="N690" i="42"/>
  <c r="N691" i="42"/>
  <c r="N692" i="42"/>
  <c r="N693" i="42"/>
  <c r="N694" i="42"/>
  <c r="N695" i="42"/>
  <c r="N696" i="42"/>
  <c r="N697" i="42"/>
  <c r="N698" i="42"/>
  <c r="N699" i="42"/>
  <c r="N700" i="42"/>
  <c r="N701" i="42"/>
  <c r="N702" i="42"/>
  <c r="N703" i="42"/>
  <c r="N704" i="42"/>
  <c r="N705" i="42"/>
  <c r="N706" i="42"/>
  <c r="N707" i="42"/>
  <c r="N708" i="42"/>
  <c r="N709" i="42"/>
  <c r="N710" i="42"/>
  <c r="N711" i="42"/>
  <c r="N712" i="42"/>
  <c r="N713" i="42"/>
  <c r="N714" i="42"/>
  <c r="N715" i="42"/>
  <c r="N716" i="42"/>
  <c r="N717" i="42"/>
  <c r="N718" i="42"/>
  <c r="N719" i="42"/>
  <c r="N720" i="42"/>
  <c r="N721" i="42"/>
  <c r="N722" i="42"/>
  <c r="N723" i="42"/>
  <c r="N724" i="42"/>
  <c r="N725" i="42"/>
  <c r="N726" i="42"/>
  <c r="N727" i="42"/>
  <c r="N728" i="42"/>
  <c r="N729" i="42"/>
  <c r="N730" i="42"/>
  <c r="N731" i="42"/>
  <c r="N732" i="42"/>
  <c r="N733" i="42"/>
  <c r="N734" i="42"/>
  <c r="N735" i="42"/>
  <c r="N736" i="42"/>
  <c r="N737" i="42"/>
  <c r="N738" i="42"/>
  <c r="N739" i="42"/>
  <c r="N740" i="42"/>
  <c r="N741" i="42"/>
  <c r="N742" i="42"/>
  <c r="N743" i="42"/>
  <c r="N744" i="42"/>
  <c r="N745" i="42"/>
  <c r="N746" i="42"/>
  <c r="N747" i="42"/>
  <c r="N748" i="42"/>
  <c r="N749" i="42"/>
  <c r="N750" i="42"/>
  <c r="N751" i="42"/>
  <c r="N752" i="42"/>
  <c r="N753" i="42"/>
  <c r="N754" i="42"/>
  <c r="N755" i="42"/>
  <c r="N756" i="42"/>
  <c r="N757" i="42"/>
  <c r="N758" i="42"/>
  <c r="N759" i="42"/>
  <c r="N760" i="42"/>
  <c r="N761" i="42"/>
  <c r="N762" i="42"/>
  <c r="N763" i="42"/>
  <c r="N764" i="42"/>
  <c r="N765" i="42"/>
  <c r="N766" i="42"/>
  <c r="N767" i="42"/>
  <c r="N768" i="42"/>
  <c r="N769" i="42"/>
  <c r="N770" i="42"/>
  <c r="N771" i="42"/>
  <c r="N772" i="42"/>
  <c r="N773" i="42"/>
  <c r="N774" i="42"/>
  <c r="N775" i="42"/>
  <c r="N782" i="42"/>
  <c r="N783" i="42"/>
  <c r="N784" i="42"/>
  <c r="N785" i="42"/>
  <c r="N786" i="42"/>
  <c r="N787" i="42"/>
  <c r="N788" i="42"/>
  <c r="N789" i="42"/>
  <c r="N790" i="42"/>
  <c r="N791" i="42"/>
  <c r="N792" i="42"/>
  <c r="N793" i="42"/>
  <c r="N794" i="42"/>
  <c r="N795" i="42"/>
  <c r="N796" i="42"/>
  <c r="N797" i="42"/>
  <c r="N798" i="42"/>
  <c r="N799" i="42"/>
  <c r="N800" i="42"/>
  <c r="N801" i="42"/>
  <c r="N802" i="42"/>
  <c r="N803" i="42"/>
  <c r="N804" i="42"/>
  <c r="N805" i="42"/>
  <c r="N806" i="42"/>
  <c r="N807" i="42"/>
  <c r="N849" i="42"/>
  <c r="N850" i="42"/>
  <c r="N853" i="42"/>
  <c r="N858" i="42"/>
  <c r="N861" i="42"/>
  <c r="N862" i="42"/>
  <c r="N863" i="42"/>
  <c r="N864" i="42"/>
  <c r="N865" i="42"/>
  <c r="N866" i="42"/>
  <c r="N867" i="42"/>
  <c r="N868" i="42"/>
  <c r="N869" i="42"/>
  <c r="N870" i="42"/>
  <c r="N871" i="42"/>
  <c r="N872" i="42"/>
  <c r="N873" i="42"/>
  <c r="N874" i="42"/>
  <c r="N875" i="42"/>
  <c r="N876" i="42"/>
  <c r="N877" i="42"/>
  <c r="N878" i="42"/>
  <c r="N879" i="42"/>
  <c r="N880" i="42"/>
  <c r="N881" i="42"/>
  <c r="N882" i="42"/>
  <c r="N883" i="42"/>
  <c r="N884" i="42"/>
  <c r="N885" i="42"/>
  <c r="N886" i="42"/>
  <c r="N887" i="42"/>
  <c r="N888" i="42"/>
  <c r="N889" i="42"/>
  <c r="N890" i="42"/>
  <c r="N891" i="42"/>
  <c r="N892" i="42"/>
  <c r="N893" i="42"/>
  <c r="N894" i="42"/>
  <c r="N895" i="42"/>
  <c r="N896" i="42"/>
  <c r="N897" i="42"/>
  <c r="N898" i="42"/>
  <c r="N899" i="42"/>
  <c r="N900" i="42"/>
  <c r="N901" i="42"/>
  <c r="N902" i="42"/>
  <c r="N903" i="42"/>
  <c r="N904" i="42"/>
  <c r="N905" i="42"/>
  <c r="N906" i="42"/>
  <c r="N907" i="42"/>
  <c r="N908" i="42"/>
  <c r="N909" i="42"/>
  <c r="N910" i="42"/>
  <c r="N911" i="42"/>
  <c r="N912" i="42"/>
  <c r="N913" i="42"/>
  <c r="N914" i="42"/>
  <c r="N915" i="42"/>
  <c r="N916" i="42"/>
  <c r="N917" i="42"/>
  <c r="N918" i="42"/>
  <c r="N919" i="42"/>
  <c r="N920" i="42"/>
  <c r="N921" i="42"/>
  <c r="N922" i="42"/>
  <c r="N923" i="42"/>
  <c r="N924" i="42"/>
  <c r="N925" i="42"/>
  <c r="N926" i="42"/>
  <c r="N927" i="42"/>
  <c r="N928" i="42"/>
  <c r="N929" i="42"/>
  <c r="N930" i="42"/>
  <c r="N931" i="42"/>
  <c r="N932" i="42"/>
  <c r="N933" i="42"/>
  <c r="N934" i="42"/>
  <c r="N935" i="42"/>
  <c r="N936" i="42"/>
  <c r="N937" i="42"/>
  <c r="N938" i="42"/>
  <c r="N939" i="42"/>
  <c r="N940" i="42"/>
  <c r="N941" i="42"/>
  <c r="N942" i="42"/>
  <c r="N943" i="42"/>
  <c r="N944" i="42"/>
  <c r="N945" i="42"/>
  <c r="N946" i="42"/>
  <c r="N947" i="42"/>
  <c r="N948" i="42"/>
  <c r="N949" i="42"/>
  <c r="N950" i="42"/>
  <c r="N951" i="42"/>
  <c r="N952" i="42"/>
  <c r="BB218" i="5"/>
  <c r="BC218" i="5"/>
  <c r="BD218" i="5"/>
  <c r="BE218" i="5"/>
  <c r="BF218" i="5"/>
  <c r="BG218" i="5"/>
  <c r="BH218" i="5"/>
  <c r="BI218" i="5"/>
  <c r="BJ218" i="5"/>
  <c r="BK218" i="5"/>
  <c r="BL218" i="5"/>
  <c r="BM218" i="5"/>
  <c r="D219" i="5"/>
  <c r="E219" i="5"/>
  <c r="F219" i="5"/>
  <c r="G219" i="5"/>
  <c r="H219" i="5"/>
  <c r="I219" i="5"/>
  <c r="J219" i="5"/>
  <c r="K219" i="5"/>
  <c r="L219" i="5"/>
  <c r="M219" i="5"/>
  <c r="N219" i="5"/>
  <c r="O219" i="5"/>
  <c r="P219" i="5"/>
  <c r="Q219" i="5"/>
  <c r="R219" i="5"/>
  <c r="S219" i="5"/>
  <c r="T219" i="5"/>
  <c r="U219" i="5"/>
  <c r="V219" i="5"/>
  <c r="W219" i="5"/>
  <c r="X219" i="5"/>
  <c r="Y219" i="5"/>
  <c r="AM219" i="5"/>
  <c r="AN219" i="5"/>
  <c r="AO219" i="5"/>
  <c r="AP219" i="5"/>
  <c r="AQ219" i="5"/>
  <c r="AR219" i="5"/>
  <c r="AS219" i="5"/>
  <c r="AT219" i="5"/>
  <c r="AU219" i="5"/>
  <c r="AV219" i="5"/>
  <c r="AW219" i="5"/>
  <c r="AX219" i="5"/>
  <c r="AY219" i="5"/>
  <c r="BA219" i="5"/>
  <c r="BB219" i="5"/>
  <c r="BC219" i="5"/>
  <c r="BD219" i="5"/>
  <c r="BE219" i="5"/>
  <c r="BF219" i="5"/>
  <c r="BG219" i="5"/>
  <c r="BH219" i="5"/>
  <c r="BI219" i="5"/>
  <c r="BJ219" i="5"/>
  <c r="BK219" i="5"/>
  <c r="BL219" i="5"/>
  <c r="BM219" i="5"/>
  <c r="D220" i="5"/>
  <c r="E220" i="5"/>
  <c r="F220" i="5"/>
  <c r="G220" i="5"/>
  <c r="H220" i="5"/>
  <c r="I220" i="5"/>
  <c r="J220" i="5"/>
  <c r="K220" i="5"/>
  <c r="L220" i="5"/>
  <c r="M220" i="5"/>
  <c r="N220" i="5"/>
  <c r="O220" i="5"/>
  <c r="P220" i="5"/>
  <c r="Q220" i="5"/>
  <c r="R220" i="5"/>
  <c r="S220" i="5"/>
  <c r="T220" i="5"/>
  <c r="U220" i="5"/>
  <c r="V220" i="5"/>
  <c r="W220" i="5"/>
  <c r="X220" i="5"/>
  <c r="Y220" i="5"/>
  <c r="AM220" i="5"/>
  <c r="AN220" i="5"/>
  <c r="AO220" i="5"/>
  <c r="AP220" i="5"/>
  <c r="AQ220" i="5"/>
  <c r="AR220" i="5"/>
  <c r="AS220" i="5"/>
  <c r="AT220" i="5"/>
  <c r="AU220" i="5"/>
  <c r="AV220" i="5"/>
  <c r="AW220" i="5"/>
  <c r="AX220" i="5"/>
  <c r="AY220" i="5"/>
  <c r="BA220" i="5"/>
  <c r="BB220" i="5"/>
  <c r="BC220" i="5"/>
  <c r="BD220" i="5"/>
  <c r="BE220" i="5"/>
  <c r="BF220" i="5"/>
  <c r="BG220" i="5"/>
  <c r="BH220" i="5"/>
  <c r="BI220" i="5"/>
  <c r="BJ220" i="5"/>
  <c r="BK220" i="5"/>
  <c r="BL220" i="5"/>
  <c r="BM220" i="5"/>
  <c r="D221" i="5"/>
  <c r="E221" i="5"/>
  <c r="F221" i="5"/>
  <c r="G221" i="5"/>
  <c r="H221" i="5"/>
  <c r="I221" i="5"/>
  <c r="J221" i="5"/>
  <c r="K221" i="5"/>
  <c r="L221" i="5"/>
  <c r="M221" i="5"/>
  <c r="N221" i="5"/>
  <c r="O221" i="5"/>
  <c r="P221" i="5"/>
  <c r="Q221" i="5"/>
  <c r="R221" i="5"/>
  <c r="S221" i="5"/>
  <c r="T221" i="5"/>
  <c r="U221" i="5"/>
  <c r="V221" i="5"/>
  <c r="W221" i="5"/>
  <c r="X221" i="5"/>
  <c r="Y221" i="5"/>
  <c r="AM221" i="5"/>
  <c r="AN221" i="5"/>
  <c r="AO221" i="5"/>
  <c r="AP221" i="5"/>
  <c r="AQ221" i="5"/>
  <c r="AR221" i="5"/>
  <c r="AS221" i="5"/>
  <c r="AT221" i="5"/>
  <c r="AU221" i="5"/>
  <c r="AV221" i="5"/>
  <c r="AW221" i="5"/>
  <c r="AX221" i="5"/>
  <c r="AY221" i="5"/>
  <c r="BA221" i="5"/>
  <c r="BB221" i="5"/>
  <c r="BC221" i="5"/>
  <c r="BD221" i="5"/>
  <c r="BE221" i="5"/>
  <c r="BF221" i="5"/>
  <c r="BG221" i="5"/>
  <c r="BH221" i="5"/>
  <c r="BI221" i="5"/>
  <c r="BJ221" i="5"/>
  <c r="BK221" i="5"/>
  <c r="BL221" i="5"/>
  <c r="BM221" i="5"/>
  <c r="D222" i="5"/>
  <c r="E222" i="5"/>
  <c r="F222" i="5"/>
  <c r="G222" i="5"/>
  <c r="H222" i="5"/>
  <c r="I222" i="5"/>
  <c r="J222" i="5"/>
  <c r="K222" i="5"/>
  <c r="L222" i="5"/>
  <c r="M222" i="5"/>
  <c r="N222" i="5"/>
  <c r="O222" i="5"/>
  <c r="P222" i="5"/>
  <c r="Q222" i="5"/>
  <c r="R222" i="5"/>
  <c r="S222" i="5"/>
  <c r="T222" i="5"/>
  <c r="U222" i="5"/>
  <c r="V222" i="5"/>
  <c r="W222" i="5"/>
  <c r="X222" i="5"/>
  <c r="Y222" i="5"/>
  <c r="AM222" i="5"/>
  <c r="AN222" i="5"/>
  <c r="AO222" i="5"/>
  <c r="AP222" i="5"/>
  <c r="AQ222" i="5"/>
  <c r="AR222" i="5"/>
  <c r="AS222" i="5"/>
  <c r="AT222" i="5"/>
  <c r="AU222" i="5"/>
  <c r="AV222" i="5"/>
  <c r="AW222" i="5"/>
  <c r="AX222" i="5"/>
  <c r="AY222" i="5"/>
  <c r="BA222" i="5"/>
  <c r="BB222" i="5"/>
  <c r="BC222" i="5"/>
  <c r="BD222" i="5"/>
  <c r="BE222" i="5"/>
  <c r="BF222" i="5"/>
  <c r="BG222" i="5"/>
  <c r="BH222" i="5"/>
  <c r="BI222" i="5"/>
  <c r="BJ222" i="5"/>
  <c r="BK222" i="5"/>
  <c r="BL222" i="5"/>
  <c r="BM222" i="5"/>
  <c r="D223" i="5"/>
  <c r="E223" i="5"/>
  <c r="F223" i="5"/>
  <c r="G223" i="5"/>
  <c r="H223" i="5"/>
  <c r="I223" i="5"/>
  <c r="J223" i="5"/>
  <c r="K223" i="5"/>
  <c r="L223" i="5"/>
  <c r="M223" i="5"/>
  <c r="N223" i="5"/>
  <c r="O223" i="5"/>
  <c r="P223" i="5"/>
  <c r="Q223" i="5"/>
  <c r="R223" i="5"/>
  <c r="S223" i="5"/>
  <c r="T223" i="5"/>
  <c r="U223" i="5"/>
  <c r="V223" i="5"/>
  <c r="W223" i="5"/>
  <c r="X223" i="5"/>
  <c r="Y223" i="5"/>
  <c r="AM223" i="5"/>
  <c r="AN223" i="5"/>
  <c r="AO223" i="5"/>
  <c r="AP223" i="5"/>
  <c r="AQ223" i="5"/>
  <c r="AR223" i="5"/>
  <c r="AS223" i="5"/>
  <c r="AT223" i="5"/>
  <c r="AU223" i="5"/>
  <c r="AV223" i="5"/>
  <c r="AW223" i="5"/>
  <c r="AX223" i="5"/>
  <c r="AY223" i="5"/>
  <c r="BA223" i="5"/>
  <c r="BB223" i="5"/>
  <c r="BC223" i="5"/>
  <c r="BD223" i="5"/>
  <c r="BE223" i="5"/>
  <c r="BF223" i="5"/>
  <c r="BG223" i="5"/>
  <c r="BH223" i="5"/>
  <c r="BI223" i="5"/>
  <c r="BJ223" i="5"/>
  <c r="BK223" i="5"/>
  <c r="BL223" i="5"/>
  <c r="BM223" i="5"/>
  <c r="D224" i="5"/>
  <c r="E224" i="5"/>
  <c r="F224" i="5"/>
  <c r="G224" i="5"/>
  <c r="H224" i="5"/>
  <c r="I224" i="5"/>
  <c r="J224" i="5"/>
  <c r="K224" i="5"/>
  <c r="L224" i="5"/>
  <c r="M224" i="5"/>
  <c r="N224" i="5"/>
  <c r="O224" i="5"/>
  <c r="P224" i="5"/>
  <c r="Q224" i="5"/>
  <c r="R224" i="5"/>
  <c r="S224" i="5"/>
  <c r="T224" i="5"/>
  <c r="U224" i="5"/>
  <c r="V224" i="5"/>
  <c r="W224" i="5"/>
  <c r="X224" i="5"/>
  <c r="Y224" i="5"/>
  <c r="AM224" i="5"/>
  <c r="AN224" i="5"/>
  <c r="AO224" i="5"/>
  <c r="AP224" i="5"/>
  <c r="AQ224" i="5"/>
  <c r="AR224" i="5"/>
  <c r="AS224" i="5"/>
  <c r="AT224" i="5"/>
  <c r="AU224" i="5"/>
  <c r="AV224" i="5"/>
  <c r="AW224" i="5"/>
  <c r="AX224" i="5"/>
  <c r="AY224" i="5"/>
  <c r="BA224" i="5"/>
  <c r="BB224" i="5"/>
  <c r="BC224" i="5"/>
  <c r="BD224" i="5"/>
  <c r="BE224" i="5"/>
  <c r="BF224" i="5"/>
  <c r="BG224" i="5"/>
  <c r="BH224" i="5"/>
  <c r="BI224" i="5"/>
  <c r="BJ224" i="5"/>
  <c r="BK224" i="5"/>
  <c r="BL224" i="5"/>
  <c r="BM224" i="5"/>
  <c r="D225" i="5"/>
  <c r="E225" i="5"/>
  <c r="F225" i="5"/>
  <c r="G225" i="5"/>
  <c r="H225" i="5"/>
  <c r="I225" i="5"/>
  <c r="J225" i="5"/>
  <c r="K225" i="5"/>
  <c r="L225" i="5"/>
  <c r="M225" i="5"/>
  <c r="N225" i="5"/>
  <c r="O225" i="5"/>
  <c r="P225" i="5"/>
  <c r="Q225" i="5"/>
  <c r="R225" i="5"/>
  <c r="S225" i="5"/>
  <c r="T225" i="5"/>
  <c r="U225" i="5"/>
  <c r="V225" i="5"/>
  <c r="W225" i="5"/>
  <c r="X225" i="5"/>
  <c r="Y225" i="5"/>
  <c r="AM225" i="5"/>
  <c r="AN225" i="5"/>
  <c r="AO225" i="5"/>
  <c r="AP225" i="5"/>
  <c r="AQ225" i="5"/>
  <c r="AR225" i="5"/>
  <c r="AS225" i="5"/>
  <c r="AT225" i="5"/>
  <c r="AU225" i="5"/>
  <c r="AV225" i="5"/>
  <c r="AW225" i="5"/>
  <c r="AX225" i="5"/>
  <c r="AY225" i="5"/>
  <c r="BA225" i="5"/>
  <c r="BB225" i="5"/>
  <c r="BC225" i="5"/>
  <c r="BD225" i="5"/>
  <c r="BE225" i="5"/>
  <c r="BF225" i="5"/>
  <c r="BG225" i="5"/>
  <c r="BH225" i="5"/>
  <c r="BI225" i="5"/>
  <c r="BJ225" i="5"/>
  <c r="BK225" i="5"/>
  <c r="BL225" i="5"/>
  <c r="BM225" i="5"/>
  <c r="D217" i="5"/>
  <c r="E217" i="5"/>
  <c r="F217" i="5"/>
  <c r="G217" i="5"/>
  <c r="H217" i="5"/>
  <c r="I217" i="5"/>
  <c r="J217" i="5"/>
  <c r="K217" i="5"/>
  <c r="L217" i="5"/>
  <c r="M217" i="5"/>
  <c r="N217" i="5"/>
  <c r="O217" i="5"/>
  <c r="P217" i="5"/>
  <c r="Q217" i="5"/>
  <c r="R217" i="5"/>
  <c r="S217" i="5"/>
  <c r="T217" i="5"/>
  <c r="U217" i="5"/>
  <c r="V217" i="5"/>
  <c r="W217" i="5"/>
  <c r="Y217" i="5"/>
  <c r="AM217" i="5"/>
  <c r="AN217" i="5"/>
  <c r="AO217" i="5"/>
  <c r="AP217" i="5"/>
  <c r="AQ217" i="5"/>
  <c r="AR217" i="5"/>
  <c r="AS217" i="5"/>
  <c r="AT217" i="5"/>
  <c r="AU217" i="5"/>
  <c r="AV217" i="5"/>
  <c r="AW217" i="5"/>
  <c r="AX217" i="5"/>
  <c r="AY217" i="5"/>
  <c r="BA217" i="5"/>
  <c r="BB217" i="5"/>
  <c r="BC217" i="5"/>
  <c r="BD217" i="5"/>
  <c r="BE217" i="5"/>
  <c r="BF217" i="5"/>
  <c r="BG217" i="5"/>
  <c r="BH217" i="5"/>
  <c r="BI217" i="5"/>
  <c r="BJ217" i="5"/>
  <c r="BK217" i="5"/>
  <c r="BL217" i="5"/>
  <c r="BM217" i="5"/>
  <c r="BN223" i="5"/>
  <c r="BN221" i="5"/>
  <c r="BN225" i="5"/>
  <c r="BN219" i="5"/>
  <c r="BN218" i="5"/>
  <c r="BN220" i="5"/>
  <c r="BN222" i="5"/>
  <c r="BN224" i="5"/>
  <c r="AZ221" i="5"/>
  <c r="AZ220" i="5"/>
  <c r="AZ222" i="5"/>
  <c r="AZ223" i="5"/>
  <c r="AZ224" i="5"/>
  <c r="AZ225" i="5"/>
  <c r="AZ219" i="5"/>
  <c r="AZ218" i="5"/>
  <c r="BN217" i="5"/>
  <c r="AZ217" i="5"/>
  <c r="X217" i="5"/>
  <c r="O108" i="34"/>
  <c r="E109" i="34"/>
  <c r="K109" i="34"/>
  <c r="O109" i="34"/>
  <c r="E110" i="34"/>
  <c r="K110" i="34"/>
  <c r="E111" i="34"/>
  <c r="K111" i="34"/>
  <c r="O111" i="34"/>
  <c r="E112" i="34"/>
  <c r="K112" i="34"/>
  <c r="O112" i="34"/>
  <c r="O159" i="34"/>
  <c r="N159" i="34"/>
  <c r="M159" i="34"/>
  <c r="O158" i="34"/>
  <c r="N158" i="34"/>
  <c r="M158" i="34"/>
  <c r="O157" i="34"/>
  <c r="N157" i="34"/>
  <c r="M157" i="34"/>
  <c r="O156" i="34"/>
  <c r="N156" i="34"/>
  <c r="M156" i="34"/>
  <c r="O155" i="34"/>
  <c r="N155" i="34"/>
  <c r="M155" i="34"/>
  <c r="M163" i="34"/>
  <c r="M164" i="34"/>
  <c r="C5" i="31"/>
  <c r="N4" i="30"/>
  <c r="N5" i="30"/>
  <c r="C6" i="31"/>
  <c r="C7" i="31"/>
  <c r="C8" i="31"/>
  <c r="N6" i="30"/>
  <c r="N11" i="30"/>
  <c r="N12" i="30"/>
  <c r="N16" i="30"/>
  <c r="H53" i="30"/>
  <c r="N3" i="30"/>
  <c r="N7" i="30"/>
  <c r="N8" i="30"/>
  <c r="N9" i="30"/>
  <c r="N10" i="30"/>
  <c r="N13" i="30"/>
  <c r="N14" i="30"/>
  <c r="N15" i="30"/>
  <c r="N17" i="30"/>
  <c r="N18" i="30"/>
  <c r="N19" i="30"/>
  <c r="N20" i="30"/>
  <c r="N21" i="30"/>
  <c r="N22" i="30"/>
  <c r="N23" i="30"/>
  <c r="N24" i="30"/>
  <c r="N25" i="30"/>
  <c r="N26" i="30"/>
  <c r="N27" i="30"/>
  <c r="N28" i="30"/>
  <c r="N29" i="30"/>
  <c r="N30" i="30"/>
  <c r="N31" i="30"/>
  <c r="N32" i="30"/>
  <c r="N33" i="30"/>
  <c r="N34" i="30"/>
  <c r="N35" i="30"/>
  <c r="N36" i="30"/>
  <c r="N37" i="30"/>
  <c r="N38" i="30"/>
  <c r="N39" i="30"/>
  <c r="N47" i="30"/>
  <c r="N48" i="30"/>
  <c r="N49" i="30"/>
  <c r="N50" i="30"/>
  <c r="N51" i="30"/>
  <c r="C9" i="31"/>
  <c r="C10" i="31"/>
  <c r="C4" i="31"/>
  <c r="C3" i="31"/>
  <c r="D10" i="31"/>
  <c r="E10" i="31"/>
  <c r="F10" i="31"/>
  <c r="G10" i="31"/>
  <c r="H10" i="31"/>
  <c r="I10" i="31"/>
  <c r="J10" i="31"/>
  <c r="K10" i="31"/>
  <c r="L10" i="31"/>
  <c r="M10" i="31"/>
  <c r="N10" i="31"/>
  <c r="O10" i="31"/>
  <c r="C3" i="4"/>
  <c r="D3" i="4"/>
  <c r="E3" i="4"/>
  <c r="F3" i="4"/>
  <c r="G3" i="4"/>
  <c r="H3" i="4"/>
  <c r="I3" i="4"/>
  <c r="J3" i="4"/>
  <c r="K3" i="4"/>
  <c r="L3" i="4"/>
  <c r="M3" i="4"/>
  <c r="N3" i="4"/>
  <c r="O3" i="4"/>
  <c r="C4" i="4"/>
  <c r="D4" i="4"/>
  <c r="E4" i="4"/>
  <c r="F4" i="4"/>
  <c r="G4" i="4"/>
  <c r="H4" i="4"/>
  <c r="I4" i="4"/>
  <c r="J4" i="4"/>
  <c r="K4" i="4"/>
  <c r="L4" i="4"/>
  <c r="M4" i="4"/>
  <c r="N4" i="4"/>
  <c r="O4" i="4"/>
  <c r="C5" i="4"/>
  <c r="D5" i="4"/>
  <c r="E5" i="4"/>
  <c r="F5" i="4"/>
  <c r="G5" i="4"/>
  <c r="H5" i="4"/>
  <c r="I5" i="4"/>
  <c r="J5" i="4"/>
  <c r="K5" i="4"/>
  <c r="L5" i="4"/>
  <c r="M5" i="4"/>
  <c r="N5" i="4"/>
  <c r="O5" i="4"/>
  <c r="C6" i="4"/>
  <c r="D6" i="4"/>
  <c r="E6" i="4"/>
  <c r="F6" i="4"/>
  <c r="G6" i="4"/>
  <c r="H6" i="4"/>
  <c r="I6" i="4"/>
  <c r="J6" i="4"/>
  <c r="K6" i="4"/>
  <c r="L6" i="4"/>
  <c r="M6" i="4"/>
  <c r="N6" i="4"/>
  <c r="O6" i="4"/>
  <c r="C7" i="4"/>
  <c r="D7" i="4"/>
  <c r="E7" i="4"/>
  <c r="F7" i="4"/>
  <c r="G7" i="4"/>
  <c r="H7" i="4"/>
  <c r="I7" i="4"/>
  <c r="J7" i="4"/>
  <c r="K7" i="4"/>
  <c r="L7" i="4"/>
  <c r="M7" i="4"/>
  <c r="N7" i="4"/>
  <c r="O7" i="4"/>
  <c r="C8" i="4"/>
  <c r="D8" i="4"/>
  <c r="E8" i="4"/>
  <c r="F8" i="4"/>
  <c r="G8" i="4"/>
  <c r="H8" i="4"/>
  <c r="I8" i="4"/>
  <c r="J8" i="4"/>
  <c r="K8" i="4"/>
  <c r="L8" i="4"/>
  <c r="M8" i="4"/>
  <c r="N8" i="4"/>
  <c r="O8" i="4"/>
  <c r="C9" i="4"/>
  <c r="D9" i="4"/>
  <c r="E9" i="4"/>
  <c r="F9" i="4"/>
  <c r="G9" i="4"/>
  <c r="H9" i="4"/>
  <c r="I9" i="4"/>
  <c r="J9" i="4"/>
  <c r="K9" i="4"/>
  <c r="L9" i="4"/>
  <c r="M9" i="4"/>
  <c r="N9" i="4"/>
  <c r="O9" i="4"/>
  <c r="C10" i="4"/>
  <c r="D10" i="4"/>
  <c r="E10" i="4"/>
  <c r="F10" i="4"/>
  <c r="G10" i="4"/>
  <c r="H10" i="4"/>
  <c r="I10" i="4"/>
  <c r="J10" i="4"/>
  <c r="K10" i="4"/>
  <c r="L10" i="4"/>
  <c r="M10" i="4"/>
  <c r="N10" i="4"/>
  <c r="O10" i="4"/>
  <c r="O11" i="4"/>
  <c r="O12" i="4"/>
  <c r="G52" i="42"/>
  <c r="BA130" i="5"/>
  <c r="G5" i="42"/>
  <c r="BA49" i="5"/>
  <c r="G6" i="42"/>
  <c r="BA59" i="5"/>
  <c r="G7" i="42"/>
  <c r="G8" i="42"/>
  <c r="G9" i="42"/>
  <c r="G10" i="42"/>
  <c r="BA137" i="5"/>
  <c r="O124" i="34"/>
  <c r="G11" i="42"/>
  <c r="BA55" i="5"/>
  <c r="G12" i="42"/>
  <c r="BA145" i="5"/>
  <c r="O132" i="34"/>
  <c r="G13" i="42"/>
  <c r="BA146" i="5"/>
  <c r="O133" i="34"/>
  <c r="G14" i="42"/>
  <c r="BA147" i="5"/>
  <c r="O134" i="34"/>
  <c r="G15" i="42"/>
  <c r="G16" i="42"/>
  <c r="G17" i="42"/>
  <c r="BA150" i="5"/>
  <c r="O137" i="34"/>
  <c r="G18" i="42"/>
  <c r="BA151" i="5"/>
  <c r="O138" i="34"/>
  <c r="G19" i="42"/>
  <c r="BA152" i="5"/>
  <c r="O139" i="34"/>
  <c r="G20" i="42"/>
  <c r="G21" i="42"/>
  <c r="BA156" i="5"/>
  <c r="O143" i="34"/>
  <c r="G22" i="42"/>
  <c r="BA157" i="5"/>
  <c r="O144" i="34"/>
  <c r="G23" i="42"/>
  <c r="G24" i="42"/>
  <c r="G25" i="42"/>
  <c r="BA161" i="5"/>
  <c r="O148" i="34"/>
  <c r="G26" i="42"/>
  <c r="BA162" i="5"/>
  <c r="O149" i="34"/>
  <c r="G27" i="42"/>
  <c r="BA122" i="5"/>
  <c r="G28" i="42"/>
  <c r="BA129" i="5"/>
  <c r="G29" i="42"/>
  <c r="BA126" i="5"/>
  <c r="G30" i="42"/>
  <c r="BA125" i="5"/>
  <c r="G31" i="42"/>
  <c r="G32" i="42"/>
  <c r="G33" i="42"/>
  <c r="BA194" i="5"/>
  <c r="G34" i="42"/>
  <c r="BA197" i="5"/>
  <c r="G35" i="42"/>
  <c r="BA181" i="5"/>
  <c r="G36" i="42"/>
  <c r="BA182" i="5"/>
  <c r="G37" i="42"/>
  <c r="BA183" i="5"/>
  <c r="G38" i="42"/>
  <c r="BA184" i="5"/>
  <c r="G39" i="42"/>
  <c r="G40" i="42"/>
  <c r="G41" i="42"/>
  <c r="G42" i="42"/>
  <c r="BA188" i="5"/>
  <c r="G43" i="42"/>
  <c r="BA189" i="5"/>
  <c r="G44" i="42"/>
  <c r="BA190" i="5"/>
  <c r="G45" i="42"/>
  <c r="G46" i="42"/>
  <c r="BA192" i="5"/>
  <c r="G47" i="42"/>
  <c r="G48" i="42"/>
  <c r="G49" i="42"/>
  <c r="BA30" i="5"/>
  <c r="G50" i="42"/>
  <c r="BA43" i="5"/>
  <c r="H40" i="44"/>
  <c r="G51" i="42"/>
  <c r="BA36" i="5"/>
  <c r="G53" i="42"/>
  <c r="G54" i="42"/>
  <c r="BA209" i="5"/>
  <c r="G55" i="42"/>
  <c r="G56" i="42"/>
  <c r="G57" i="42"/>
  <c r="G58" i="42"/>
  <c r="BA18" i="5"/>
  <c r="G59" i="42"/>
  <c r="BA27" i="5"/>
  <c r="G60" i="42"/>
  <c r="BA29" i="5"/>
  <c r="G61" i="42"/>
  <c r="G62" i="42"/>
  <c r="BA34" i="5"/>
  <c r="G63" i="42"/>
  <c r="G64" i="42"/>
  <c r="G65" i="42"/>
  <c r="G66" i="42"/>
  <c r="BA45" i="5"/>
  <c r="G67" i="42"/>
  <c r="BA48" i="5"/>
  <c r="G68" i="42"/>
  <c r="BA50" i="5"/>
  <c r="G69" i="42"/>
  <c r="G70" i="42"/>
  <c r="BA53" i="5"/>
  <c r="G71" i="42"/>
  <c r="G72" i="42"/>
  <c r="G73" i="42"/>
  <c r="G74" i="42"/>
  <c r="G75" i="42"/>
  <c r="BA60" i="5"/>
  <c r="G76" i="42"/>
  <c r="BA61" i="5"/>
  <c r="G77" i="42"/>
  <c r="G78" i="42"/>
  <c r="BA63" i="5"/>
  <c r="G79" i="42"/>
  <c r="G80" i="42"/>
  <c r="G81" i="42"/>
  <c r="G82" i="42"/>
  <c r="G83" i="42"/>
  <c r="G84" i="42"/>
  <c r="G85" i="42"/>
  <c r="G86" i="42"/>
  <c r="BA46" i="5"/>
  <c r="G87" i="42"/>
  <c r="G88" i="42"/>
  <c r="G89" i="42"/>
  <c r="G90" i="42"/>
  <c r="G91" i="42"/>
  <c r="BA28" i="5"/>
  <c r="G92" i="42"/>
  <c r="BA47" i="5"/>
  <c r="G93" i="42"/>
  <c r="G94" i="42"/>
  <c r="BA98" i="5"/>
  <c r="G95" i="42"/>
  <c r="G96" i="42"/>
  <c r="G97" i="42"/>
  <c r="G98" i="42"/>
  <c r="G99" i="42"/>
  <c r="G100" i="42"/>
  <c r="G101" i="42"/>
  <c r="G102" i="42"/>
  <c r="G103" i="42"/>
  <c r="G104" i="42"/>
  <c r="G105" i="42"/>
  <c r="G106" i="42"/>
  <c r="G107" i="42"/>
  <c r="G108" i="42"/>
  <c r="G109" i="42"/>
  <c r="G110" i="42"/>
  <c r="G111" i="42"/>
  <c r="G112" i="42"/>
  <c r="G113" i="42"/>
  <c r="G114" i="42"/>
  <c r="G115" i="42"/>
  <c r="G116" i="42"/>
  <c r="G117" i="42"/>
  <c r="G118" i="42"/>
  <c r="G119" i="42"/>
  <c r="G120" i="42"/>
  <c r="G121" i="42"/>
  <c r="G122" i="42"/>
  <c r="G123" i="42"/>
  <c r="G124" i="42"/>
  <c r="G125" i="42"/>
  <c r="G126" i="42"/>
  <c r="G127" i="42"/>
  <c r="G128" i="42"/>
  <c r="G129" i="42"/>
  <c r="G130" i="42"/>
  <c r="G131" i="42"/>
  <c r="G132" i="42"/>
  <c r="G133" i="42"/>
  <c r="G134" i="42"/>
  <c r="G135" i="42"/>
  <c r="G136" i="42"/>
  <c r="G137" i="42"/>
  <c r="G138" i="42"/>
  <c r="G139" i="42"/>
  <c r="G140" i="42"/>
  <c r="G142" i="42"/>
  <c r="G143" i="42"/>
  <c r="G144" i="42"/>
  <c r="G145" i="42"/>
  <c r="G146" i="42"/>
  <c r="G147" i="42"/>
  <c r="G148" i="42"/>
  <c r="G149" i="42"/>
  <c r="G150" i="42"/>
  <c r="G151" i="42"/>
  <c r="G152" i="42"/>
  <c r="G153" i="42"/>
  <c r="G154" i="42"/>
  <c r="G155" i="42"/>
  <c r="G156" i="42"/>
  <c r="G157" i="42"/>
  <c r="G158" i="42"/>
  <c r="G159" i="42"/>
  <c r="G160" i="42"/>
  <c r="G161" i="42"/>
  <c r="G162" i="42"/>
  <c r="G163" i="42"/>
  <c r="G164" i="42"/>
  <c r="G165" i="42"/>
  <c r="G166" i="42"/>
  <c r="G167" i="42"/>
  <c r="G168" i="42"/>
  <c r="G169" i="42"/>
  <c r="G170" i="42"/>
  <c r="G171" i="42"/>
  <c r="G172" i="42"/>
  <c r="G173" i="42"/>
  <c r="G174" i="42"/>
  <c r="G175" i="42"/>
  <c r="G176" i="42"/>
  <c r="G177" i="42"/>
  <c r="G178" i="42"/>
  <c r="G179" i="42"/>
  <c r="G180" i="42"/>
  <c r="G181" i="42"/>
  <c r="G182" i="42"/>
  <c r="G183" i="42"/>
  <c r="G184" i="42"/>
  <c r="G185" i="42"/>
  <c r="G186" i="42"/>
  <c r="G187" i="42"/>
  <c r="G188" i="42"/>
  <c r="G189" i="42"/>
  <c r="G190" i="42"/>
  <c r="G191" i="42"/>
  <c r="G192" i="42"/>
  <c r="G193" i="42"/>
  <c r="G194" i="42"/>
  <c r="G195" i="42"/>
  <c r="G196" i="42"/>
  <c r="G197" i="42"/>
  <c r="G198" i="42"/>
  <c r="G199" i="42"/>
  <c r="G200" i="42"/>
  <c r="G201" i="42"/>
  <c r="G202" i="42"/>
  <c r="G203" i="42"/>
  <c r="G204" i="42"/>
  <c r="G205" i="42"/>
  <c r="G206" i="42"/>
  <c r="G207" i="42"/>
  <c r="G208" i="42"/>
  <c r="G209" i="42"/>
  <c r="G210" i="42"/>
  <c r="G211" i="42"/>
  <c r="G212" i="42"/>
  <c r="G213" i="42"/>
  <c r="G214" i="42"/>
  <c r="G215" i="42"/>
  <c r="G216" i="42"/>
  <c r="G217" i="42"/>
  <c r="G218" i="42"/>
  <c r="G219" i="42"/>
  <c r="G220" i="42"/>
  <c r="G221" i="42"/>
  <c r="G222" i="42"/>
  <c r="G223" i="42"/>
  <c r="G224" i="42"/>
  <c r="G225" i="42"/>
  <c r="G226" i="42"/>
  <c r="G227" i="42"/>
  <c r="G228" i="42"/>
  <c r="G229" i="42"/>
  <c r="G230" i="42"/>
  <c r="G231" i="42"/>
  <c r="G232" i="42"/>
  <c r="G233" i="42"/>
  <c r="G234" i="42"/>
  <c r="G235" i="42"/>
  <c r="G236" i="42"/>
  <c r="G237" i="42"/>
  <c r="G238" i="42"/>
  <c r="G239" i="42"/>
  <c r="G240" i="42"/>
  <c r="G241" i="42"/>
  <c r="G242" i="42"/>
  <c r="G243" i="42"/>
  <c r="G244" i="42"/>
  <c r="G245" i="42"/>
  <c r="G246" i="42"/>
  <c r="G247" i="42"/>
  <c r="G248" i="42"/>
  <c r="G249" i="42"/>
  <c r="G250" i="42"/>
  <c r="G251" i="42"/>
  <c r="G252" i="42"/>
  <c r="G253" i="42"/>
  <c r="G254" i="42"/>
  <c r="G255" i="42"/>
  <c r="G256" i="42"/>
  <c r="G257" i="42"/>
  <c r="G258" i="42"/>
  <c r="G259" i="42"/>
  <c r="G260" i="42"/>
  <c r="G261" i="42"/>
  <c r="G262" i="42"/>
  <c r="G263" i="42"/>
  <c r="G264" i="42"/>
  <c r="G265" i="42"/>
  <c r="G266" i="42"/>
  <c r="G267" i="42"/>
  <c r="G268" i="42"/>
  <c r="G269" i="42"/>
  <c r="G270" i="42"/>
  <c r="G271" i="42"/>
  <c r="G272" i="42"/>
  <c r="G273" i="42"/>
  <c r="G274" i="42"/>
  <c r="G275" i="42"/>
  <c r="G276" i="42"/>
  <c r="G277" i="42"/>
  <c r="G278" i="42"/>
  <c r="G279" i="42"/>
  <c r="G280" i="42"/>
  <c r="G281" i="42"/>
  <c r="G282" i="42"/>
  <c r="G283" i="42"/>
  <c r="G284" i="42"/>
  <c r="G285" i="42"/>
  <c r="G286" i="42"/>
  <c r="G287" i="42"/>
  <c r="G288" i="42"/>
  <c r="G289" i="42"/>
  <c r="G290" i="42"/>
  <c r="G291" i="42"/>
  <c r="G292" i="42"/>
  <c r="G293" i="42"/>
  <c r="G294" i="42"/>
  <c r="G295" i="42"/>
  <c r="G296" i="42"/>
  <c r="G297" i="42"/>
  <c r="G298" i="42"/>
  <c r="G299" i="42"/>
  <c r="G300" i="42"/>
  <c r="G301" i="42"/>
  <c r="G302" i="42"/>
  <c r="G303" i="42"/>
  <c r="G304" i="42"/>
  <c r="G305" i="42"/>
  <c r="G306" i="42"/>
  <c r="G307" i="42"/>
  <c r="G308" i="42"/>
  <c r="G309" i="42"/>
  <c r="G310" i="42"/>
  <c r="G311" i="42"/>
  <c r="G312" i="42"/>
  <c r="G313" i="42"/>
  <c r="G314" i="42"/>
  <c r="G315" i="42"/>
  <c r="G316" i="42"/>
  <c r="G317" i="42"/>
  <c r="G318" i="42"/>
  <c r="G319" i="42"/>
  <c r="G320" i="42"/>
  <c r="G321" i="42"/>
  <c r="G322" i="42"/>
  <c r="G323" i="42"/>
  <c r="G324" i="42"/>
  <c r="G325" i="42"/>
  <c r="G326" i="42"/>
  <c r="G327" i="42"/>
  <c r="G328" i="42"/>
  <c r="G329" i="42"/>
  <c r="G330" i="42"/>
  <c r="G331" i="42"/>
  <c r="G332" i="42"/>
  <c r="G333" i="42"/>
  <c r="G334" i="42"/>
  <c r="G335" i="42"/>
  <c r="G336" i="42"/>
  <c r="G337" i="42"/>
  <c r="G338" i="42"/>
  <c r="G339" i="42"/>
  <c r="G340" i="42"/>
  <c r="G341" i="42"/>
  <c r="G342" i="42"/>
  <c r="G343" i="42"/>
  <c r="G344" i="42"/>
  <c r="G345" i="42"/>
  <c r="G346" i="42"/>
  <c r="G347" i="42"/>
  <c r="G348" i="42"/>
  <c r="G349" i="42"/>
  <c r="G350" i="42"/>
  <c r="G351" i="42"/>
  <c r="G352" i="42"/>
  <c r="G353" i="42"/>
  <c r="G354" i="42"/>
  <c r="G355" i="42"/>
  <c r="G356" i="42"/>
  <c r="G357" i="42"/>
  <c r="G358" i="42"/>
  <c r="G359" i="42"/>
  <c r="G360" i="42"/>
  <c r="G361" i="42"/>
  <c r="G362" i="42"/>
  <c r="G363" i="42"/>
  <c r="G364" i="42"/>
  <c r="G365" i="42"/>
  <c r="G366" i="42"/>
  <c r="G367" i="42"/>
  <c r="G368" i="42"/>
  <c r="G369" i="42"/>
  <c r="G370" i="42"/>
  <c r="G371" i="42"/>
  <c r="G372" i="42"/>
  <c r="G373" i="42"/>
  <c r="G374" i="42"/>
  <c r="G375" i="42"/>
  <c r="G376" i="42"/>
  <c r="G377" i="42"/>
  <c r="G378" i="42"/>
  <c r="G379" i="42"/>
  <c r="G380" i="42"/>
  <c r="G381" i="42"/>
  <c r="G382" i="42"/>
  <c r="G383" i="42"/>
  <c r="G384" i="42"/>
  <c r="G385" i="42"/>
  <c r="G386" i="42"/>
  <c r="G387" i="42"/>
  <c r="G388" i="42"/>
  <c r="G389" i="42"/>
  <c r="G390" i="42"/>
  <c r="G391" i="42"/>
  <c r="G392" i="42"/>
  <c r="G393" i="42"/>
  <c r="G394" i="42"/>
  <c r="G395" i="42"/>
  <c r="G396" i="42"/>
  <c r="G397" i="42"/>
  <c r="G398" i="42"/>
  <c r="G399" i="42"/>
  <c r="G400" i="42"/>
  <c r="G401" i="42"/>
  <c r="G402" i="42"/>
  <c r="G403" i="42"/>
  <c r="G404" i="42"/>
  <c r="G405" i="42"/>
  <c r="G406" i="42"/>
  <c r="G407" i="42"/>
  <c r="G408" i="42"/>
  <c r="G409" i="42"/>
  <c r="G410" i="42"/>
  <c r="G411" i="42"/>
  <c r="G412" i="42"/>
  <c r="G413" i="42"/>
  <c r="G414" i="42"/>
  <c r="G415" i="42"/>
  <c r="G416" i="42"/>
  <c r="G417" i="42"/>
  <c r="G418" i="42"/>
  <c r="G419" i="42"/>
  <c r="G420" i="42"/>
  <c r="G421" i="42"/>
  <c r="G422" i="42"/>
  <c r="G423" i="42"/>
  <c r="G424" i="42"/>
  <c r="G425" i="42"/>
  <c r="G426" i="42"/>
  <c r="G427" i="42"/>
  <c r="G428" i="42"/>
  <c r="G429" i="42"/>
  <c r="G430" i="42"/>
  <c r="G431" i="42"/>
  <c r="G432" i="42"/>
  <c r="G433" i="42"/>
  <c r="G434" i="42"/>
  <c r="G435" i="42"/>
  <c r="G436" i="42"/>
  <c r="G437" i="42"/>
  <c r="G438" i="42"/>
  <c r="G439" i="42"/>
  <c r="G440" i="42"/>
  <c r="G441" i="42"/>
  <c r="G442" i="42"/>
  <c r="G443" i="42"/>
  <c r="G444" i="42"/>
  <c r="G445" i="42"/>
  <c r="G446" i="42"/>
  <c r="G447" i="42"/>
  <c r="G448" i="42"/>
  <c r="G449" i="42"/>
  <c r="G450" i="42"/>
  <c r="G451" i="42"/>
  <c r="G452" i="42"/>
  <c r="G453" i="42"/>
  <c r="G454" i="42"/>
  <c r="G455" i="42"/>
  <c r="G456" i="42"/>
  <c r="G457" i="42"/>
  <c r="G458" i="42"/>
  <c r="G459" i="42"/>
  <c r="G460" i="42"/>
  <c r="G461" i="42"/>
  <c r="G462" i="42"/>
  <c r="G463" i="42"/>
  <c r="G464" i="42"/>
  <c r="G465" i="42"/>
  <c r="G466" i="42"/>
  <c r="G467" i="42"/>
  <c r="G468" i="42"/>
  <c r="G469" i="42"/>
  <c r="G470" i="42"/>
  <c r="G471" i="42"/>
  <c r="G472" i="42"/>
  <c r="G473" i="42"/>
  <c r="G474" i="42"/>
  <c r="G475" i="42"/>
  <c r="G476" i="42"/>
  <c r="G477" i="42"/>
  <c r="G478" i="42"/>
  <c r="G479" i="42"/>
  <c r="G480" i="42"/>
  <c r="G481" i="42"/>
  <c r="G482" i="42"/>
  <c r="G483" i="42"/>
  <c r="G484" i="42"/>
  <c r="G485" i="42"/>
  <c r="G486" i="42"/>
  <c r="G487" i="42"/>
  <c r="G488" i="42"/>
  <c r="G489" i="42"/>
  <c r="G490" i="42"/>
  <c r="G491" i="42"/>
  <c r="G492" i="42"/>
  <c r="G493" i="42"/>
  <c r="G494" i="42"/>
  <c r="G495" i="42"/>
  <c r="G496" i="42"/>
  <c r="G497" i="42"/>
  <c r="G498" i="42"/>
  <c r="G499" i="42"/>
  <c r="G500" i="42"/>
  <c r="G501" i="42"/>
  <c r="G502" i="42"/>
  <c r="G503" i="42"/>
  <c r="G504" i="42"/>
  <c r="G505" i="42"/>
  <c r="G506" i="42"/>
  <c r="G507" i="42"/>
  <c r="G508" i="42"/>
  <c r="G509" i="42"/>
  <c r="G510" i="42"/>
  <c r="G511" i="42"/>
  <c r="G512" i="42"/>
  <c r="G513" i="42"/>
  <c r="G514" i="42"/>
  <c r="G515" i="42"/>
  <c r="G516" i="42"/>
  <c r="G517" i="42"/>
  <c r="G518" i="42"/>
  <c r="G519" i="42"/>
  <c r="G520" i="42"/>
  <c r="G521" i="42"/>
  <c r="G522" i="42"/>
  <c r="G523" i="42"/>
  <c r="G524" i="42"/>
  <c r="G525" i="42"/>
  <c r="G526" i="42"/>
  <c r="G527" i="42"/>
  <c r="G528" i="42"/>
  <c r="G529" i="42"/>
  <c r="G530" i="42"/>
  <c r="G531" i="42"/>
  <c r="G532" i="42"/>
  <c r="G533" i="42"/>
  <c r="G534" i="42"/>
  <c r="G535" i="42"/>
  <c r="G536" i="42"/>
  <c r="G537" i="42"/>
  <c r="G538" i="42"/>
  <c r="G539" i="42"/>
  <c r="G540" i="42"/>
  <c r="G541" i="42"/>
  <c r="G542" i="42"/>
  <c r="G543" i="42"/>
  <c r="G544" i="42"/>
  <c r="G545" i="42"/>
  <c r="G546" i="42"/>
  <c r="G547" i="42"/>
  <c r="G548" i="42"/>
  <c r="G549" i="42"/>
  <c r="G550" i="42"/>
  <c r="G551" i="42"/>
  <c r="G552" i="42"/>
  <c r="G553" i="42"/>
  <c r="G554" i="42"/>
  <c r="G555" i="42"/>
  <c r="G556" i="42"/>
  <c r="G557" i="42"/>
  <c r="G558" i="42"/>
  <c r="G559" i="42"/>
  <c r="G560" i="42"/>
  <c r="G561" i="42"/>
  <c r="G562" i="42"/>
  <c r="G563" i="42"/>
  <c r="G564" i="42"/>
  <c r="G565" i="42"/>
  <c r="G566" i="42"/>
  <c r="G567" i="42"/>
  <c r="G568" i="42"/>
  <c r="G569" i="42"/>
  <c r="G570" i="42"/>
  <c r="G571" i="42"/>
  <c r="G572" i="42"/>
  <c r="G573" i="42"/>
  <c r="G574" i="42"/>
  <c r="G575" i="42"/>
  <c r="G576" i="42"/>
  <c r="G577" i="42"/>
  <c r="G578" i="42"/>
  <c r="G579" i="42"/>
  <c r="G580" i="42"/>
  <c r="G581" i="42"/>
  <c r="G582" i="42"/>
  <c r="G583" i="42"/>
  <c r="G584" i="42"/>
  <c r="G585" i="42"/>
  <c r="G586" i="42"/>
  <c r="G587" i="42"/>
  <c r="G588" i="42"/>
  <c r="G589" i="42"/>
  <c r="G590" i="42"/>
  <c r="G591" i="42"/>
  <c r="G592" i="42"/>
  <c r="G593" i="42"/>
  <c r="G594" i="42"/>
  <c r="G595" i="42"/>
  <c r="G596" i="42"/>
  <c r="G597" i="42"/>
  <c r="G598" i="42"/>
  <c r="G599" i="42"/>
  <c r="G600" i="42"/>
  <c r="G601" i="42"/>
  <c r="G602" i="42"/>
  <c r="G603" i="42"/>
  <c r="G604" i="42"/>
  <c r="G605" i="42"/>
  <c r="G606" i="42"/>
  <c r="G607" i="42"/>
  <c r="G608" i="42"/>
  <c r="G609" i="42"/>
  <c r="G610" i="42"/>
  <c r="G611" i="42"/>
  <c r="G612" i="42"/>
  <c r="G613" i="42"/>
  <c r="G614" i="42"/>
  <c r="G615" i="42"/>
  <c r="G616" i="42"/>
  <c r="G617" i="42"/>
  <c r="G618" i="42"/>
  <c r="G619" i="42"/>
  <c r="G620" i="42"/>
  <c r="G621" i="42"/>
  <c r="G622" i="42"/>
  <c r="G623" i="42"/>
  <c r="G624" i="42"/>
  <c r="G625" i="42"/>
  <c r="G626" i="42"/>
  <c r="G627" i="42"/>
  <c r="G628" i="42"/>
  <c r="G629" i="42"/>
  <c r="G630" i="42"/>
  <c r="G631" i="42"/>
  <c r="G632" i="42"/>
  <c r="G633" i="42"/>
  <c r="G634" i="42"/>
  <c r="G635" i="42"/>
  <c r="G636" i="42"/>
  <c r="G637" i="42"/>
  <c r="G638" i="42"/>
  <c r="G639" i="42"/>
  <c r="G640" i="42"/>
  <c r="G641" i="42"/>
  <c r="G642" i="42"/>
  <c r="G643" i="42"/>
  <c r="G644" i="42"/>
  <c r="G645" i="42"/>
  <c r="G646" i="42"/>
  <c r="G647" i="42"/>
  <c r="G648" i="42"/>
  <c r="G649" i="42"/>
  <c r="G650" i="42"/>
  <c r="G651" i="42"/>
  <c r="G652" i="42"/>
  <c r="G653" i="42"/>
  <c r="G654" i="42"/>
  <c r="G655" i="42"/>
  <c r="G656" i="42"/>
  <c r="G657" i="42"/>
  <c r="G658" i="42"/>
  <c r="G659" i="42"/>
  <c r="G660" i="42"/>
  <c r="G661" i="42"/>
  <c r="G662" i="42"/>
  <c r="G663" i="42"/>
  <c r="G664" i="42"/>
  <c r="G665" i="42"/>
  <c r="G666" i="42"/>
  <c r="G667" i="42"/>
  <c r="G668" i="42"/>
  <c r="G669" i="42"/>
  <c r="G670" i="42"/>
  <c r="G671" i="42"/>
  <c r="G672" i="42"/>
  <c r="G673" i="42"/>
  <c r="G674" i="42"/>
  <c r="G675" i="42"/>
  <c r="G676" i="42"/>
  <c r="G677" i="42"/>
  <c r="G678" i="42"/>
  <c r="G679" i="42"/>
  <c r="G680" i="42"/>
  <c r="G681" i="42"/>
  <c r="G682" i="42"/>
  <c r="G683" i="42"/>
  <c r="G684" i="42"/>
  <c r="G685" i="42"/>
  <c r="G686" i="42"/>
  <c r="G687" i="42"/>
  <c r="G688" i="42"/>
  <c r="G689" i="42"/>
  <c r="G690" i="42"/>
  <c r="G691" i="42"/>
  <c r="G692" i="42"/>
  <c r="G693" i="42"/>
  <c r="G694" i="42"/>
  <c r="G695" i="42"/>
  <c r="G696" i="42"/>
  <c r="G697" i="42"/>
  <c r="G698" i="42"/>
  <c r="G699" i="42"/>
  <c r="G700" i="42"/>
  <c r="G701" i="42"/>
  <c r="G702" i="42"/>
  <c r="G703" i="42"/>
  <c r="G704" i="42"/>
  <c r="G705" i="42"/>
  <c r="G706" i="42"/>
  <c r="G707" i="42"/>
  <c r="G708" i="42"/>
  <c r="G709" i="42"/>
  <c r="G710" i="42"/>
  <c r="G711" i="42"/>
  <c r="G712" i="42"/>
  <c r="G713" i="42"/>
  <c r="G714" i="42"/>
  <c r="G715" i="42"/>
  <c r="G716" i="42"/>
  <c r="G717" i="42"/>
  <c r="G718" i="42"/>
  <c r="G719" i="42"/>
  <c r="G720" i="42"/>
  <c r="G721" i="42"/>
  <c r="G722" i="42"/>
  <c r="G723" i="42"/>
  <c r="G724" i="42"/>
  <c r="G725" i="42"/>
  <c r="G726" i="42"/>
  <c r="G727" i="42"/>
  <c r="G728" i="42"/>
  <c r="G729" i="42"/>
  <c r="G730" i="42"/>
  <c r="G731" i="42"/>
  <c r="G732" i="42"/>
  <c r="G733" i="42"/>
  <c r="G734" i="42"/>
  <c r="G735" i="42"/>
  <c r="G736" i="42"/>
  <c r="G737" i="42"/>
  <c r="G738" i="42"/>
  <c r="G739" i="42"/>
  <c r="G740" i="42"/>
  <c r="G741" i="42"/>
  <c r="G742" i="42"/>
  <c r="G743" i="42"/>
  <c r="G744" i="42"/>
  <c r="G745" i="42"/>
  <c r="G746" i="42"/>
  <c r="G747" i="42"/>
  <c r="G748" i="42"/>
  <c r="G749" i="42"/>
  <c r="G750" i="42"/>
  <c r="G751" i="42"/>
  <c r="G752" i="42"/>
  <c r="G753" i="42"/>
  <c r="G754" i="42"/>
  <c r="G755" i="42"/>
  <c r="G756" i="42"/>
  <c r="G757" i="42"/>
  <c r="G758" i="42"/>
  <c r="G759" i="42"/>
  <c r="G760" i="42"/>
  <c r="G761" i="42"/>
  <c r="G762" i="42"/>
  <c r="G763" i="42"/>
  <c r="G764" i="42"/>
  <c r="G765" i="42"/>
  <c r="G766" i="42"/>
  <c r="G767" i="42"/>
  <c r="G768" i="42"/>
  <c r="G769" i="42"/>
  <c r="G770" i="42"/>
  <c r="G771" i="42"/>
  <c r="G772" i="42"/>
  <c r="G773" i="42"/>
  <c r="G774" i="42"/>
  <c r="G775" i="42"/>
  <c r="G776" i="42"/>
  <c r="G777" i="42"/>
  <c r="G778" i="42"/>
  <c r="G779" i="42"/>
  <c r="G780" i="42"/>
  <c r="G781" i="42"/>
  <c r="G782" i="42"/>
  <c r="G783" i="42"/>
  <c r="G784" i="42"/>
  <c r="G785" i="42"/>
  <c r="G786" i="42"/>
  <c r="G787" i="42"/>
  <c r="G788" i="42"/>
  <c r="G789" i="42"/>
  <c r="G790" i="42"/>
  <c r="G791" i="42"/>
  <c r="G792" i="42"/>
  <c r="G793" i="42"/>
  <c r="G794" i="42"/>
  <c r="G795" i="42"/>
  <c r="G796" i="42"/>
  <c r="G797" i="42"/>
  <c r="G798" i="42"/>
  <c r="G799" i="42"/>
  <c r="G800" i="42"/>
  <c r="G801" i="42"/>
  <c r="G802" i="42"/>
  <c r="G803" i="42"/>
  <c r="G804" i="42"/>
  <c r="G805" i="42"/>
  <c r="G806" i="42"/>
  <c r="G807" i="42"/>
  <c r="G808" i="42"/>
  <c r="G809" i="42"/>
  <c r="G810" i="42"/>
  <c r="G811" i="42"/>
  <c r="G812" i="42"/>
  <c r="G813" i="42"/>
  <c r="G814" i="42"/>
  <c r="G815" i="42"/>
  <c r="G816" i="42"/>
  <c r="G817" i="42"/>
  <c r="G818" i="42"/>
  <c r="G819" i="42"/>
  <c r="G820" i="42"/>
  <c r="G821" i="42"/>
  <c r="G822" i="42"/>
  <c r="G823" i="42"/>
  <c r="G824" i="42"/>
  <c r="G825" i="42"/>
  <c r="G826" i="42"/>
  <c r="G827" i="42"/>
  <c r="G828" i="42"/>
  <c r="G829" i="42"/>
  <c r="G830" i="42"/>
  <c r="G831" i="42"/>
  <c r="G832" i="42"/>
  <c r="G833" i="42"/>
  <c r="G834" i="42"/>
  <c r="G835" i="42"/>
  <c r="G836" i="42"/>
  <c r="G837" i="42"/>
  <c r="G838" i="42"/>
  <c r="G839" i="42"/>
  <c r="G840" i="42"/>
  <c r="G841" i="42"/>
  <c r="G842" i="42"/>
  <c r="G843" i="42"/>
  <c r="G844" i="42"/>
  <c r="G845" i="42"/>
  <c r="G846" i="42"/>
  <c r="G847" i="42"/>
  <c r="G848" i="42"/>
  <c r="G849" i="42"/>
  <c r="G850" i="42"/>
  <c r="G851" i="42"/>
  <c r="G852" i="42"/>
  <c r="G853" i="42"/>
  <c r="G854" i="42"/>
  <c r="G855" i="42"/>
  <c r="G856" i="42"/>
  <c r="G857" i="42"/>
  <c r="G858" i="42"/>
  <c r="G859" i="42"/>
  <c r="G860" i="42"/>
  <c r="G861" i="42"/>
  <c r="G862" i="42"/>
  <c r="G863" i="42"/>
  <c r="G864" i="42"/>
  <c r="G865" i="42"/>
  <c r="G866" i="42"/>
  <c r="G867" i="42"/>
  <c r="G868" i="42"/>
  <c r="G869" i="42"/>
  <c r="G870" i="42"/>
  <c r="G871" i="42"/>
  <c r="G872" i="42"/>
  <c r="G873" i="42"/>
  <c r="G874" i="42"/>
  <c r="G875" i="42"/>
  <c r="G876" i="42"/>
  <c r="G877" i="42"/>
  <c r="G878" i="42"/>
  <c r="G879" i="42"/>
  <c r="G880" i="42"/>
  <c r="G881" i="42"/>
  <c r="G882" i="42"/>
  <c r="G883" i="42"/>
  <c r="G884" i="42"/>
  <c r="G885" i="42"/>
  <c r="G886" i="42"/>
  <c r="G887" i="42"/>
  <c r="G888" i="42"/>
  <c r="G889" i="42"/>
  <c r="G890" i="42"/>
  <c r="G891" i="42"/>
  <c r="G892" i="42"/>
  <c r="G893" i="42"/>
  <c r="G894" i="42"/>
  <c r="G895" i="42"/>
  <c r="G896" i="42"/>
  <c r="G897" i="42"/>
  <c r="G898" i="42"/>
  <c r="G899" i="42"/>
  <c r="G900" i="42"/>
  <c r="G901" i="42"/>
  <c r="G902" i="42"/>
  <c r="G903" i="42"/>
  <c r="G904" i="42"/>
  <c r="G905" i="42"/>
  <c r="G906" i="42"/>
  <c r="G907" i="42"/>
  <c r="G908" i="42"/>
  <c r="G909" i="42"/>
  <c r="G910" i="42"/>
  <c r="G911" i="42"/>
  <c r="G912" i="42"/>
  <c r="G913" i="42"/>
  <c r="G914" i="42"/>
  <c r="G915" i="42"/>
  <c r="G916" i="42"/>
  <c r="G917" i="42"/>
  <c r="G918" i="42"/>
  <c r="G919" i="42"/>
  <c r="G920" i="42"/>
  <c r="G921" i="42"/>
  <c r="G922" i="42"/>
  <c r="G923" i="42"/>
  <c r="G924" i="42"/>
  <c r="G925" i="42"/>
  <c r="G926" i="42"/>
  <c r="G927" i="42"/>
  <c r="G928" i="42"/>
  <c r="G929" i="42"/>
  <c r="G930" i="42"/>
  <c r="G931" i="42"/>
  <c r="G932" i="42"/>
  <c r="G933" i="42"/>
  <c r="G934" i="42"/>
  <c r="G935" i="42"/>
  <c r="G936" i="42"/>
  <c r="G937" i="42"/>
  <c r="G938" i="42"/>
  <c r="G939" i="42"/>
  <c r="G940" i="42"/>
  <c r="G941" i="42"/>
  <c r="G942" i="42"/>
  <c r="G943" i="42"/>
  <c r="G944" i="42"/>
  <c r="G945" i="42"/>
  <c r="G946" i="42"/>
  <c r="G947" i="42"/>
  <c r="G948" i="42"/>
  <c r="G949" i="42"/>
  <c r="G950" i="42"/>
  <c r="G951" i="42"/>
  <c r="G952" i="42"/>
  <c r="G4" i="42"/>
  <c r="G3" i="42"/>
  <c r="BA153" i="5"/>
  <c r="O140" i="34"/>
  <c r="BA281" i="5"/>
  <c r="BA282" i="5"/>
  <c r="BA283" i="5"/>
  <c r="BA284" i="5"/>
  <c r="BA285" i="5"/>
  <c r="BA286" i="5"/>
  <c r="BA287" i="5"/>
  <c r="BA288" i="5"/>
  <c r="BA289" i="5"/>
  <c r="BA290" i="5"/>
  <c r="BA291" i="5"/>
  <c r="BA292" i="5"/>
  <c r="BA293" i="5"/>
  <c r="BA294" i="5"/>
  <c r="BA295" i="5"/>
  <c r="BA296" i="5"/>
  <c r="BA297" i="5"/>
  <c r="BA298" i="5"/>
  <c r="BA299" i="5"/>
  <c r="BA300" i="5"/>
  <c r="BA301" i="5"/>
  <c r="BA302" i="5"/>
  <c r="BA303" i="5"/>
  <c r="BA304" i="5"/>
  <c r="BA305" i="5"/>
  <c r="BA306" i="5"/>
  <c r="BA307" i="5"/>
  <c r="BA308" i="5"/>
  <c r="BA309" i="5"/>
  <c r="BA310" i="5"/>
  <c r="BA311" i="5"/>
  <c r="BA312" i="5"/>
  <c r="BA313" i="5"/>
  <c r="BA314" i="5"/>
  <c r="BA315" i="5"/>
  <c r="BA316" i="5"/>
  <c r="BA317" i="5"/>
  <c r="BA318" i="5"/>
  <c r="BA319" i="5"/>
  <c r="BA320" i="5"/>
  <c r="BA321" i="5"/>
  <c r="BA322" i="5"/>
  <c r="BA323" i="5"/>
  <c r="BA324" i="5"/>
  <c r="BA325" i="5"/>
  <c r="BA326" i="5"/>
  <c r="BA327" i="5"/>
  <c r="BA328" i="5"/>
  <c r="BA329" i="5"/>
  <c r="BA330" i="5"/>
  <c r="BA331" i="5"/>
  <c r="BA332" i="5"/>
  <c r="BA333" i="5"/>
  <c r="BA334" i="5"/>
  <c r="BA335" i="5"/>
  <c r="BA336" i="5"/>
  <c r="BA337" i="5"/>
  <c r="BA280" i="5"/>
  <c r="BA279" i="5"/>
  <c r="BA249" i="5"/>
  <c r="BA250" i="5"/>
  <c r="BA251" i="5"/>
  <c r="BA252" i="5"/>
  <c r="BA253" i="5"/>
  <c r="BA254" i="5"/>
  <c r="BA255" i="5"/>
  <c r="BA256" i="5"/>
  <c r="BA257" i="5"/>
  <c r="BA258" i="5"/>
  <c r="BA259" i="5"/>
  <c r="BA260" i="5"/>
  <c r="BA261" i="5"/>
  <c r="BA262" i="5"/>
  <c r="BA263" i="5"/>
  <c r="BA264" i="5"/>
  <c r="BA265" i="5"/>
  <c r="BA266" i="5"/>
  <c r="BA267" i="5"/>
  <c r="BA268" i="5"/>
  <c r="BA269" i="5"/>
  <c r="BA270" i="5"/>
  <c r="BA271" i="5"/>
  <c r="BA272" i="5"/>
  <c r="BA273" i="5"/>
  <c r="BA274" i="5"/>
  <c r="BA275" i="5"/>
  <c r="BA276" i="5"/>
  <c r="BA277" i="5"/>
  <c r="BA248" i="5"/>
  <c r="BA247" i="5"/>
  <c r="BA138" i="5"/>
  <c r="O125" i="34"/>
  <c r="BA139" i="5"/>
  <c r="O126" i="34"/>
  <c r="BA140" i="5"/>
  <c r="O127" i="34"/>
  <c r="BA141" i="5"/>
  <c r="O128" i="34"/>
  <c r="BA142" i="5"/>
  <c r="O129" i="34"/>
  <c r="BA143" i="5"/>
  <c r="O130" i="34"/>
  <c r="BA144" i="5"/>
  <c r="O131" i="34"/>
  <c r="BA148" i="5"/>
  <c r="O135" i="34"/>
  <c r="BA149" i="5"/>
  <c r="O136" i="34"/>
  <c r="BA154" i="5"/>
  <c r="O141" i="34"/>
  <c r="BA155" i="5"/>
  <c r="O142" i="34"/>
  <c r="BA158" i="5"/>
  <c r="O145" i="34"/>
  <c r="BA159" i="5"/>
  <c r="O146" i="34"/>
  <c r="BA160" i="5"/>
  <c r="O147" i="34"/>
  <c r="BA163" i="5"/>
  <c r="O150" i="34"/>
  <c r="BA164" i="5"/>
  <c r="O151" i="34"/>
  <c r="BA165" i="5"/>
  <c r="O152" i="34"/>
  <c r="BA166" i="5"/>
  <c r="O153" i="34"/>
  <c r="BA167" i="5"/>
  <c r="O154" i="34"/>
  <c r="BA168" i="5"/>
  <c r="O160" i="34"/>
  <c r="BA169" i="5"/>
  <c r="O161" i="34"/>
  <c r="BA170" i="5"/>
  <c r="O162" i="34"/>
  <c r="BA171" i="5"/>
  <c r="O163" i="34"/>
  <c r="BA172" i="5"/>
  <c r="O164" i="34"/>
  <c r="BA173" i="5"/>
  <c r="O165" i="34"/>
  <c r="BA174" i="5"/>
  <c r="O166" i="34"/>
  <c r="BA175" i="5"/>
  <c r="BA176" i="5"/>
  <c r="BA177" i="5"/>
  <c r="BA178" i="5"/>
  <c r="BA179" i="5"/>
  <c r="BA180" i="5"/>
  <c r="BA185" i="5"/>
  <c r="BA186" i="5"/>
  <c r="BA187" i="5"/>
  <c r="BA191" i="5"/>
  <c r="BA193" i="5"/>
  <c r="BA195" i="5"/>
  <c r="BA196" i="5"/>
  <c r="BA198" i="5"/>
  <c r="BA199" i="5"/>
  <c r="BA200" i="5"/>
  <c r="BA201" i="5"/>
  <c r="BA202" i="5"/>
  <c r="BA203" i="5"/>
  <c r="BA204" i="5"/>
  <c r="BA205" i="5"/>
  <c r="BA206" i="5"/>
  <c r="BA207" i="5"/>
  <c r="BA208" i="5"/>
  <c r="BA210" i="5"/>
  <c r="BA211" i="5"/>
  <c r="BA212" i="5"/>
  <c r="BA213" i="5"/>
  <c r="BA214" i="5"/>
  <c r="BA215" i="5"/>
  <c r="BA216" i="5"/>
  <c r="BA135" i="5"/>
  <c r="O122" i="34"/>
  <c r="BA124" i="5"/>
  <c r="BA127" i="5"/>
  <c r="BA128" i="5"/>
  <c r="BA131" i="5"/>
  <c r="BA132" i="5"/>
  <c r="BA133" i="5"/>
  <c r="BA123" i="5"/>
  <c r="BA106" i="5"/>
  <c r="BA107" i="5"/>
  <c r="BA108" i="5"/>
  <c r="BA109" i="5"/>
  <c r="BA110" i="5"/>
  <c r="BA111" i="5"/>
  <c r="BA112" i="5"/>
  <c r="BA113" i="5"/>
  <c r="BA114" i="5"/>
  <c r="BA115" i="5"/>
  <c r="BA116" i="5"/>
  <c r="BA117" i="5"/>
  <c r="BA118" i="5"/>
  <c r="BA119" i="5"/>
  <c r="BA120" i="5"/>
  <c r="BA105" i="5"/>
  <c r="BA77" i="5"/>
  <c r="BA78" i="5"/>
  <c r="BA79" i="5"/>
  <c r="BA80" i="5"/>
  <c r="BA81" i="5"/>
  <c r="BA82" i="5"/>
  <c r="BA83" i="5"/>
  <c r="BA84" i="5"/>
  <c r="BA85" i="5"/>
  <c r="BA86" i="5"/>
  <c r="BA87" i="5"/>
  <c r="BA88" i="5"/>
  <c r="BA89" i="5"/>
  <c r="BA90" i="5"/>
  <c r="BA91" i="5"/>
  <c r="BA92" i="5"/>
  <c r="BA93" i="5"/>
  <c r="BA94" i="5"/>
  <c r="BA95" i="5"/>
  <c r="BA96" i="5"/>
  <c r="BA97" i="5"/>
  <c r="BA99" i="5"/>
  <c r="BA100" i="5"/>
  <c r="BA101" i="5"/>
  <c r="BA102" i="5"/>
  <c r="BA76" i="5"/>
  <c r="BA75" i="5"/>
  <c r="BA31" i="5"/>
  <c r="BA32" i="5"/>
  <c r="BA33" i="5"/>
  <c r="BA35" i="5"/>
  <c r="BA37" i="5"/>
  <c r="BA38" i="5"/>
  <c r="BA39" i="5"/>
  <c r="BA40" i="5"/>
  <c r="BA41" i="5"/>
  <c r="BA42" i="5"/>
  <c r="BA44" i="5"/>
  <c r="BA51" i="5"/>
  <c r="BA52" i="5"/>
  <c r="BA54" i="5"/>
  <c r="BA56" i="5"/>
  <c r="BA57" i="5"/>
  <c r="BA58" i="5"/>
  <c r="BA62" i="5"/>
  <c r="BA64" i="5"/>
  <c r="BA65" i="5"/>
  <c r="BA66" i="5"/>
  <c r="BA67" i="5"/>
  <c r="BA68" i="5"/>
  <c r="BA69" i="5"/>
  <c r="BA70" i="5"/>
  <c r="BA71" i="5"/>
  <c r="BA72" i="5"/>
  <c r="BA73" i="5"/>
  <c r="BA7" i="5"/>
  <c r="BA9" i="5"/>
  <c r="BA10" i="5"/>
  <c r="BA11" i="5"/>
  <c r="BA12" i="5"/>
  <c r="BA13" i="5"/>
  <c r="BA14" i="5"/>
  <c r="BA15" i="5"/>
  <c r="BA16" i="5"/>
  <c r="BA17" i="5"/>
  <c r="BA19" i="5"/>
  <c r="BA20" i="5"/>
  <c r="BA21" i="5"/>
  <c r="BA22" i="5"/>
  <c r="BA23" i="5"/>
  <c r="BA24" i="5"/>
  <c r="BA25" i="5"/>
  <c r="BA6" i="5"/>
  <c r="BA5" i="5"/>
  <c r="BA8" i="5"/>
  <c r="G141" i="42"/>
  <c r="J175" i="42"/>
  <c r="J176" i="42"/>
  <c r="J100" i="42"/>
  <c r="J101" i="42"/>
  <c r="J102" i="42"/>
  <c r="J103" i="42"/>
  <c r="J104" i="42"/>
  <c r="J105" i="42"/>
  <c r="J106" i="42"/>
  <c r="J107" i="42"/>
  <c r="J108" i="42"/>
  <c r="J109" i="42"/>
  <c r="J110" i="42"/>
  <c r="J111" i="42"/>
  <c r="J112" i="42"/>
  <c r="J113" i="42"/>
  <c r="J114" i="42"/>
  <c r="J115" i="42"/>
  <c r="J116" i="42"/>
  <c r="J117" i="42"/>
  <c r="J118" i="42"/>
  <c r="J119" i="42"/>
  <c r="J120" i="42"/>
  <c r="J121" i="42"/>
  <c r="J122" i="42"/>
  <c r="J123" i="42"/>
  <c r="J124" i="42"/>
  <c r="J125" i="42"/>
  <c r="J126" i="42"/>
  <c r="J127" i="42"/>
  <c r="J128" i="42"/>
  <c r="J129" i="42"/>
  <c r="J130" i="42"/>
  <c r="J131" i="42"/>
  <c r="J132" i="42"/>
  <c r="J133" i="42"/>
  <c r="J134" i="42"/>
  <c r="J135" i="42"/>
  <c r="J136" i="42"/>
  <c r="J137" i="42"/>
  <c r="J138" i="42"/>
  <c r="J139" i="42"/>
  <c r="J140" i="42"/>
  <c r="J141" i="42"/>
  <c r="J142" i="42"/>
  <c r="J143" i="42"/>
  <c r="J144" i="42"/>
  <c r="J145" i="42"/>
  <c r="J146" i="42"/>
  <c r="J147" i="42"/>
  <c r="J148" i="42"/>
  <c r="J149" i="42"/>
  <c r="J150" i="42"/>
  <c r="J151" i="42"/>
  <c r="J152" i="42"/>
  <c r="J153" i="42"/>
  <c r="J154" i="42"/>
  <c r="J155" i="42"/>
  <c r="J156" i="42"/>
  <c r="J157" i="42"/>
  <c r="J158" i="42"/>
  <c r="J159" i="42"/>
  <c r="J160" i="42"/>
  <c r="J161" i="42"/>
  <c r="J162" i="42"/>
  <c r="J163" i="42"/>
  <c r="J164" i="42"/>
  <c r="J165" i="42"/>
  <c r="J166" i="42"/>
  <c r="J167" i="42"/>
  <c r="J168" i="42"/>
  <c r="J169" i="42"/>
  <c r="J170" i="42"/>
  <c r="J171" i="42"/>
  <c r="J172" i="42"/>
  <c r="J173" i="42"/>
  <c r="J174" i="42"/>
  <c r="J177" i="42"/>
  <c r="J178" i="42"/>
  <c r="J179" i="42"/>
  <c r="J180" i="42"/>
  <c r="J181" i="42"/>
  <c r="J182" i="42"/>
  <c r="J183" i="42"/>
  <c r="O102" i="34"/>
  <c r="O103" i="34"/>
  <c r="O104" i="34"/>
  <c r="O105" i="34"/>
  <c r="O106" i="34"/>
  <c r="O107" i="34"/>
  <c r="H153" i="27"/>
  <c r="F151" i="27"/>
  <c r="G151" i="27"/>
  <c r="H151" i="27"/>
  <c r="F128" i="27"/>
  <c r="G128" i="27"/>
  <c r="H128" i="27"/>
  <c r="F106" i="27"/>
  <c r="G106" i="27"/>
  <c r="H106" i="27"/>
  <c r="F59" i="27"/>
  <c r="G59" i="27"/>
  <c r="H59" i="27"/>
  <c r="F28" i="27"/>
  <c r="G28" i="27"/>
  <c r="H28" i="27"/>
  <c r="G35" i="21"/>
  <c r="G34" i="21"/>
  <c r="G31" i="21"/>
  <c r="G30" i="21"/>
  <c r="G29" i="21"/>
  <c r="G28" i="21"/>
  <c r="G12" i="21"/>
  <c r="G11" i="21"/>
  <c r="G10" i="21"/>
  <c r="G9" i="21"/>
  <c r="G8" i="21"/>
  <c r="G7" i="21"/>
  <c r="G6" i="21"/>
  <c r="G5" i="21"/>
  <c r="G27" i="21"/>
  <c r="T5" i="42"/>
  <c r="T6" i="42"/>
  <c r="T7" i="42"/>
  <c r="T8" i="42"/>
  <c r="T9" i="42"/>
  <c r="T10" i="42"/>
  <c r="T11" i="42"/>
  <c r="T12" i="42"/>
  <c r="T13" i="42"/>
  <c r="T14" i="42"/>
  <c r="T15" i="42"/>
  <c r="T16" i="42"/>
  <c r="T17" i="42"/>
  <c r="T18" i="42"/>
  <c r="T19" i="42"/>
  <c r="T20" i="42"/>
  <c r="T21" i="42"/>
  <c r="T22" i="42"/>
  <c r="T23" i="42"/>
  <c r="T24" i="42"/>
  <c r="T25" i="42"/>
  <c r="T26" i="42"/>
  <c r="T28" i="42"/>
  <c r="T29" i="42"/>
  <c r="T30"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6" i="42"/>
  <c r="T187" i="42"/>
  <c r="T188" i="42"/>
  <c r="T189" i="42"/>
  <c r="T190" i="42"/>
  <c r="T191" i="42"/>
  <c r="T192" i="42"/>
  <c r="T193" i="42"/>
  <c r="T194" i="42"/>
  <c r="T195" i="42"/>
  <c r="T196" i="42"/>
  <c r="T197" i="42"/>
  <c r="T198" i="42"/>
  <c r="T199" i="42"/>
  <c r="T200" i="42"/>
  <c r="T201" i="42"/>
  <c r="T202" i="42"/>
  <c r="T203" i="42"/>
  <c r="T204" i="42"/>
  <c r="T205" i="42"/>
  <c r="T206" i="42"/>
  <c r="T207" i="42"/>
  <c r="T208" i="42"/>
  <c r="T209" i="42"/>
  <c r="T210" i="42"/>
  <c r="T211" i="42"/>
  <c r="T212" i="42"/>
  <c r="T213" i="42"/>
  <c r="T214" i="42"/>
  <c r="T215" i="42"/>
  <c r="T216" i="42"/>
  <c r="T217" i="42"/>
  <c r="T218" i="42"/>
  <c r="T219" i="42"/>
  <c r="T220" i="42"/>
  <c r="T221" i="42"/>
  <c r="T222" i="42"/>
  <c r="T223" i="42"/>
  <c r="T224" i="42"/>
  <c r="T225" i="42"/>
  <c r="T226" i="42"/>
  <c r="T227" i="42"/>
  <c r="T228" i="42"/>
  <c r="T229" i="42"/>
  <c r="T230" i="42"/>
  <c r="T231" i="42"/>
  <c r="T232" i="42"/>
  <c r="T233" i="42"/>
  <c r="T234" i="42"/>
  <c r="T235" i="42"/>
  <c r="T236" i="42"/>
  <c r="T237" i="42"/>
  <c r="T238" i="42"/>
  <c r="T239" i="42"/>
  <c r="T240" i="42"/>
  <c r="T241" i="42"/>
  <c r="T242" i="42"/>
  <c r="T243" i="42"/>
  <c r="T244" i="42"/>
  <c r="T245" i="42"/>
  <c r="T246" i="42"/>
  <c r="T247" i="42"/>
  <c r="T248" i="42"/>
  <c r="T249" i="42"/>
  <c r="T250" i="42"/>
  <c r="T251" i="42"/>
  <c r="T252" i="42"/>
  <c r="T253" i="42"/>
  <c r="T254" i="42"/>
  <c r="T255" i="42"/>
  <c r="T256" i="42"/>
  <c r="T257" i="42"/>
  <c r="T258" i="42"/>
  <c r="T259" i="42"/>
  <c r="T260" i="42"/>
  <c r="T261" i="42"/>
  <c r="T262" i="42"/>
  <c r="T263" i="42"/>
  <c r="T264" i="42"/>
  <c r="T265" i="42"/>
  <c r="T266" i="42"/>
  <c r="T267" i="42"/>
  <c r="T268" i="42"/>
  <c r="T269" i="42"/>
  <c r="T270" i="42"/>
  <c r="T271" i="42"/>
  <c r="T272" i="42"/>
  <c r="T273" i="42"/>
  <c r="T274" i="42"/>
  <c r="T275" i="42"/>
  <c r="T276" i="42"/>
  <c r="T277" i="42"/>
  <c r="T278" i="42"/>
  <c r="T279" i="42"/>
  <c r="T280" i="42"/>
  <c r="T281" i="42"/>
  <c r="T282" i="42"/>
  <c r="T283" i="42"/>
  <c r="T284" i="42"/>
  <c r="T285" i="42"/>
  <c r="T286" i="42"/>
  <c r="T287" i="42"/>
  <c r="T288" i="42"/>
  <c r="T289" i="42"/>
  <c r="T290" i="42"/>
  <c r="T291" i="42"/>
  <c r="T292" i="42"/>
  <c r="T293" i="42"/>
  <c r="T294" i="42"/>
  <c r="T295" i="42"/>
  <c r="T296" i="42"/>
  <c r="T297" i="42"/>
  <c r="T298" i="42"/>
  <c r="T299" i="42"/>
  <c r="T300" i="42"/>
  <c r="T301" i="42"/>
  <c r="T302" i="42"/>
  <c r="T303" i="42"/>
  <c r="T304" i="42"/>
  <c r="T305" i="42"/>
  <c r="T306" i="42"/>
  <c r="T307" i="42"/>
  <c r="T308" i="42"/>
  <c r="T309" i="42"/>
  <c r="T310" i="42"/>
  <c r="T311" i="42"/>
  <c r="T312" i="42"/>
  <c r="T313" i="42"/>
  <c r="T314" i="42"/>
  <c r="T315" i="42"/>
  <c r="T316" i="42"/>
  <c r="T317" i="42"/>
  <c r="T318" i="42"/>
  <c r="T319" i="42"/>
  <c r="T320" i="42"/>
  <c r="T321" i="42"/>
  <c r="T322" i="42"/>
  <c r="T323" i="42"/>
  <c r="T324" i="42"/>
  <c r="T325" i="42"/>
  <c r="T326" i="42"/>
  <c r="T327" i="42"/>
  <c r="T328" i="42"/>
  <c r="T329" i="42"/>
  <c r="T330" i="42"/>
  <c r="T331" i="42"/>
  <c r="T332" i="42"/>
  <c r="T333" i="42"/>
  <c r="T334" i="42"/>
  <c r="T335" i="42"/>
  <c r="T336" i="42"/>
  <c r="T337" i="42"/>
  <c r="T338" i="42"/>
  <c r="T339" i="42"/>
  <c r="T340" i="42"/>
  <c r="T341" i="42"/>
  <c r="T342" i="42"/>
  <c r="T343" i="42"/>
  <c r="T344" i="42"/>
  <c r="T345" i="42"/>
  <c r="T346" i="42"/>
  <c r="T347" i="42"/>
  <c r="T348" i="42"/>
  <c r="T349" i="42"/>
  <c r="T350" i="42"/>
  <c r="T351" i="42"/>
  <c r="T352" i="42"/>
  <c r="T353" i="42"/>
  <c r="T354" i="42"/>
  <c r="T355" i="42"/>
  <c r="T356" i="42"/>
  <c r="T357" i="42"/>
  <c r="T358" i="42"/>
  <c r="T359" i="42"/>
  <c r="T360" i="42"/>
  <c r="T361" i="42"/>
  <c r="T362" i="42"/>
  <c r="T363" i="42"/>
  <c r="T364" i="42"/>
  <c r="T365" i="42"/>
  <c r="T366" i="42"/>
  <c r="T367" i="42"/>
  <c r="T368" i="42"/>
  <c r="T369" i="42"/>
  <c r="T370" i="42"/>
  <c r="T371" i="42"/>
  <c r="T372" i="42"/>
  <c r="T373" i="42"/>
  <c r="T374" i="42"/>
  <c r="T375" i="42"/>
  <c r="T376" i="42"/>
  <c r="T377" i="42"/>
  <c r="T378" i="42"/>
  <c r="T379" i="42"/>
  <c r="T380" i="42"/>
  <c r="T381" i="42"/>
  <c r="T382" i="42"/>
  <c r="T383" i="42"/>
  <c r="T384" i="42"/>
  <c r="T385" i="42"/>
  <c r="T386" i="42"/>
  <c r="T387" i="42"/>
  <c r="T388" i="42"/>
  <c r="T389" i="42"/>
  <c r="T390" i="42"/>
  <c r="T391" i="42"/>
  <c r="T392" i="42"/>
  <c r="T393" i="42"/>
  <c r="T394" i="42"/>
  <c r="T395" i="42"/>
  <c r="T396" i="42"/>
  <c r="T397" i="42"/>
  <c r="T398" i="42"/>
  <c r="T399" i="42"/>
  <c r="T400" i="42"/>
  <c r="T401" i="42"/>
  <c r="T402" i="42"/>
  <c r="T403" i="42"/>
  <c r="T404" i="42"/>
  <c r="T405" i="42"/>
  <c r="T406" i="42"/>
  <c r="T407" i="42"/>
  <c r="T408" i="42"/>
  <c r="T409" i="42"/>
  <c r="T410" i="42"/>
  <c r="T411" i="42"/>
  <c r="T412" i="42"/>
  <c r="T413" i="42"/>
  <c r="T414" i="42"/>
  <c r="T415" i="42"/>
  <c r="T416" i="42"/>
  <c r="T417" i="42"/>
  <c r="T418" i="42"/>
  <c r="T419" i="42"/>
  <c r="T420" i="42"/>
  <c r="T421" i="42"/>
  <c r="T422" i="42"/>
  <c r="T423" i="42"/>
  <c r="T424" i="42"/>
  <c r="T425" i="42"/>
  <c r="T426" i="42"/>
  <c r="T427" i="42"/>
  <c r="T428" i="42"/>
  <c r="T429" i="42"/>
  <c r="T430" i="42"/>
  <c r="T431" i="42"/>
  <c r="T432" i="42"/>
  <c r="T433" i="42"/>
  <c r="T434" i="42"/>
  <c r="T435" i="42"/>
  <c r="T436" i="42"/>
  <c r="T437" i="42"/>
  <c r="T438" i="42"/>
  <c r="T439" i="42"/>
  <c r="T440" i="42"/>
  <c r="T441" i="42"/>
  <c r="T442" i="42"/>
  <c r="T443" i="42"/>
  <c r="T444" i="42"/>
  <c r="T445" i="42"/>
  <c r="T446" i="42"/>
  <c r="T447" i="42"/>
  <c r="T448" i="42"/>
  <c r="T449" i="42"/>
  <c r="T450" i="42"/>
  <c r="T451" i="42"/>
  <c r="T452" i="42"/>
  <c r="T453" i="42"/>
  <c r="T454" i="42"/>
  <c r="T455" i="42"/>
  <c r="T456" i="42"/>
  <c r="T457" i="42"/>
  <c r="T458" i="42"/>
  <c r="T459" i="42"/>
  <c r="T460" i="42"/>
  <c r="T461" i="42"/>
  <c r="T462" i="42"/>
  <c r="T463" i="42"/>
  <c r="T464" i="42"/>
  <c r="T465" i="42"/>
  <c r="T466" i="42"/>
  <c r="T467" i="42"/>
  <c r="T468" i="42"/>
  <c r="T469" i="42"/>
  <c r="T470" i="42"/>
  <c r="T471" i="42"/>
  <c r="T472" i="42"/>
  <c r="T473" i="42"/>
  <c r="T474" i="42"/>
  <c r="T475" i="42"/>
  <c r="T476" i="42"/>
  <c r="T477" i="42"/>
  <c r="T478" i="42"/>
  <c r="T479" i="42"/>
  <c r="T480" i="42"/>
  <c r="T481" i="42"/>
  <c r="T482" i="42"/>
  <c r="T483" i="42"/>
  <c r="T484" i="42"/>
  <c r="T485" i="42"/>
  <c r="T486" i="42"/>
  <c r="T487" i="42"/>
  <c r="T488" i="42"/>
  <c r="T489" i="42"/>
  <c r="T490" i="42"/>
  <c r="T491" i="42"/>
  <c r="T492" i="42"/>
  <c r="T493" i="42"/>
  <c r="T494" i="42"/>
  <c r="T495" i="42"/>
  <c r="T496" i="42"/>
  <c r="T497" i="42"/>
  <c r="T498" i="42"/>
  <c r="T499" i="42"/>
  <c r="T500" i="42"/>
  <c r="T501" i="42"/>
  <c r="T502" i="42"/>
  <c r="T503" i="42"/>
  <c r="T504" i="42"/>
  <c r="T505" i="42"/>
  <c r="T506" i="42"/>
  <c r="T507" i="42"/>
  <c r="T508" i="42"/>
  <c r="T509" i="42"/>
  <c r="T510" i="42"/>
  <c r="T511" i="42"/>
  <c r="T512" i="42"/>
  <c r="T513" i="42"/>
  <c r="T514" i="42"/>
  <c r="T515" i="42"/>
  <c r="T516" i="42"/>
  <c r="T517" i="42"/>
  <c r="T518" i="42"/>
  <c r="T519" i="42"/>
  <c r="T520" i="42"/>
  <c r="T521" i="42"/>
  <c r="T522" i="42"/>
  <c r="T523" i="42"/>
  <c r="T524" i="42"/>
  <c r="T525" i="42"/>
  <c r="T526" i="42"/>
  <c r="T527" i="42"/>
  <c r="T528" i="42"/>
  <c r="T529" i="42"/>
  <c r="T530" i="42"/>
  <c r="T531" i="42"/>
  <c r="T532" i="42"/>
  <c r="T533" i="42"/>
  <c r="T534" i="42"/>
  <c r="T535" i="42"/>
  <c r="T536" i="42"/>
  <c r="T537" i="42"/>
  <c r="T538" i="42"/>
  <c r="T539" i="42"/>
  <c r="T540" i="42"/>
  <c r="T541" i="42"/>
  <c r="T542" i="42"/>
  <c r="T543" i="42"/>
  <c r="T544" i="42"/>
  <c r="T545" i="42"/>
  <c r="T546" i="42"/>
  <c r="T547" i="42"/>
  <c r="T548" i="42"/>
  <c r="T549" i="42"/>
  <c r="T550" i="42"/>
  <c r="T551" i="42"/>
  <c r="T552" i="42"/>
  <c r="T553" i="42"/>
  <c r="T554" i="42"/>
  <c r="T555" i="42"/>
  <c r="T556" i="42"/>
  <c r="T557" i="42"/>
  <c r="T558" i="42"/>
  <c r="T559" i="42"/>
  <c r="T560" i="42"/>
  <c r="T561" i="42"/>
  <c r="T562" i="42"/>
  <c r="T563" i="42"/>
  <c r="T564" i="42"/>
  <c r="T565" i="42"/>
  <c r="T566" i="42"/>
  <c r="T567" i="42"/>
  <c r="T568" i="42"/>
  <c r="T569" i="42"/>
  <c r="T570" i="42"/>
  <c r="T571" i="42"/>
  <c r="T572" i="42"/>
  <c r="T573" i="42"/>
  <c r="T574" i="42"/>
  <c r="T575" i="42"/>
  <c r="T576" i="42"/>
  <c r="T577" i="42"/>
  <c r="T578" i="42"/>
  <c r="T579" i="42"/>
  <c r="T580" i="42"/>
  <c r="T581" i="42"/>
  <c r="T582" i="42"/>
  <c r="T583" i="42"/>
  <c r="T584" i="42"/>
  <c r="T585" i="42"/>
  <c r="T586" i="42"/>
  <c r="T587" i="42"/>
  <c r="T588" i="42"/>
  <c r="T589" i="42"/>
  <c r="T590" i="42"/>
  <c r="T591" i="42"/>
  <c r="T592" i="42"/>
  <c r="T593" i="42"/>
  <c r="T594" i="42"/>
  <c r="T595" i="42"/>
  <c r="T596" i="42"/>
  <c r="T597" i="42"/>
  <c r="T598" i="42"/>
  <c r="T599" i="42"/>
  <c r="T600" i="42"/>
  <c r="T601" i="42"/>
  <c r="T602" i="42"/>
  <c r="T603" i="42"/>
  <c r="T604" i="42"/>
  <c r="T605" i="42"/>
  <c r="T606" i="42"/>
  <c r="T607" i="42"/>
  <c r="T608" i="42"/>
  <c r="T609" i="42"/>
  <c r="T610" i="42"/>
  <c r="T611" i="42"/>
  <c r="T612" i="42"/>
  <c r="T613" i="42"/>
  <c r="T614" i="42"/>
  <c r="T615" i="42"/>
  <c r="T616" i="42"/>
  <c r="T617" i="42"/>
  <c r="T618" i="42"/>
  <c r="T619" i="42"/>
  <c r="T620" i="42"/>
  <c r="T621" i="42"/>
  <c r="T622" i="42"/>
  <c r="T623" i="42"/>
  <c r="T624" i="42"/>
  <c r="T625" i="42"/>
  <c r="T626" i="42"/>
  <c r="T627" i="42"/>
  <c r="T628" i="42"/>
  <c r="T629" i="42"/>
  <c r="T630" i="42"/>
  <c r="T631" i="42"/>
  <c r="T632" i="42"/>
  <c r="T633" i="42"/>
  <c r="T634" i="42"/>
  <c r="T635" i="42"/>
  <c r="T636" i="42"/>
  <c r="T637" i="42"/>
  <c r="T638" i="42"/>
  <c r="T639" i="42"/>
  <c r="T640" i="42"/>
  <c r="T641" i="42"/>
  <c r="T642" i="42"/>
  <c r="T643" i="42"/>
  <c r="T644" i="42"/>
  <c r="T645" i="42"/>
  <c r="T646" i="42"/>
  <c r="T647" i="42"/>
  <c r="T648" i="42"/>
  <c r="T649" i="42"/>
  <c r="T650" i="42"/>
  <c r="T651" i="42"/>
  <c r="T652" i="42"/>
  <c r="T653" i="42"/>
  <c r="T654" i="42"/>
  <c r="T655" i="42"/>
  <c r="T656" i="42"/>
  <c r="T657" i="42"/>
  <c r="T658" i="42"/>
  <c r="T659" i="42"/>
  <c r="T660" i="42"/>
  <c r="T661" i="42"/>
  <c r="T662" i="42"/>
  <c r="T663" i="42"/>
  <c r="T664" i="42"/>
  <c r="T665" i="42"/>
  <c r="T666" i="42"/>
  <c r="T667" i="42"/>
  <c r="T668" i="42"/>
  <c r="T669" i="42"/>
  <c r="T670" i="42"/>
  <c r="T671" i="42"/>
  <c r="T672" i="42"/>
  <c r="T673" i="42"/>
  <c r="T674" i="42"/>
  <c r="T675" i="42"/>
  <c r="T676" i="42"/>
  <c r="T677" i="42"/>
  <c r="T678" i="42"/>
  <c r="T679" i="42"/>
  <c r="T680" i="42"/>
  <c r="T681" i="42"/>
  <c r="T682" i="42"/>
  <c r="T683" i="42"/>
  <c r="T684" i="42"/>
  <c r="T685" i="42"/>
  <c r="T686" i="42"/>
  <c r="T687" i="42"/>
  <c r="T688" i="42"/>
  <c r="T689" i="42"/>
  <c r="T690" i="42"/>
  <c r="T691" i="42"/>
  <c r="T692" i="42"/>
  <c r="T693" i="42"/>
  <c r="T694" i="42"/>
  <c r="T695" i="42"/>
  <c r="T696" i="42"/>
  <c r="T697" i="42"/>
  <c r="T698" i="42"/>
  <c r="T699" i="42"/>
  <c r="T700" i="42"/>
  <c r="T701" i="42"/>
  <c r="T702" i="42"/>
  <c r="T703" i="42"/>
  <c r="T704" i="42"/>
  <c r="T705" i="42"/>
  <c r="T706" i="42"/>
  <c r="T707" i="42"/>
  <c r="T708" i="42"/>
  <c r="T709" i="42"/>
  <c r="T710" i="42"/>
  <c r="T711" i="42"/>
  <c r="T712" i="42"/>
  <c r="T713" i="42"/>
  <c r="T714" i="42"/>
  <c r="T715" i="42"/>
  <c r="T716" i="42"/>
  <c r="T717" i="42"/>
  <c r="T718" i="42"/>
  <c r="T719" i="42"/>
  <c r="T720" i="42"/>
  <c r="T721" i="42"/>
  <c r="T722" i="42"/>
  <c r="T723" i="42"/>
  <c r="T724" i="42"/>
  <c r="T725" i="42"/>
  <c r="T726" i="42"/>
  <c r="T727" i="42"/>
  <c r="T728" i="42"/>
  <c r="T729" i="42"/>
  <c r="T730" i="42"/>
  <c r="T731" i="42"/>
  <c r="T732" i="42"/>
  <c r="T733" i="42"/>
  <c r="T734" i="42"/>
  <c r="T735" i="42"/>
  <c r="T736" i="42"/>
  <c r="T737" i="42"/>
  <c r="T738" i="42"/>
  <c r="T739" i="42"/>
  <c r="T740" i="42"/>
  <c r="T741" i="42"/>
  <c r="T742" i="42"/>
  <c r="T743" i="42"/>
  <c r="T744" i="42"/>
  <c r="T745" i="42"/>
  <c r="T746" i="42"/>
  <c r="T747" i="42"/>
  <c r="T748" i="42"/>
  <c r="T749" i="42"/>
  <c r="T750" i="42"/>
  <c r="T751" i="42"/>
  <c r="T752" i="42"/>
  <c r="T753" i="42"/>
  <c r="T754" i="42"/>
  <c r="T755" i="42"/>
  <c r="T756" i="42"/>
  <c r="T757" i="42"/>
  <c r="T758" i="42"/>
  <c r="T759" i="42"/>
  <c r="T760" i="42"/>
  <c r="T761" i="42"/>
  <c r="T762" i="42"/>
  <c r="T763" i="42"/>
  <c r="T764" i="42"/>
  <c r="T765" i="42"/>
  <c r="T766" i="42"/>
  <c r="T767" i="42"/>
  <c r="T768" i="42"/>
  <c r="T769" i="42"/>
  <c r="T770" i="42"/>
  <c r="T771" i="42"/>
  <c r="T772" i="42"/>
  <c r="T773" i="42"/>
  <c r="T774" i="42"/>
  <c r="T775" i="42"/>
  <c r="T776" i="42"/>
  <c r="T777" i="42"/>
  <c r="T778" i="42"/>
  <c r="T779" i="42"/>
  <c r="T780" i="42"/>
  <c r="T781" i="42"/>
  <c r="T782" i="42"/>
  <c r="T783" i="42"/>
  <c r="T784" i="42"/>
  <c r="T785" i="42"/>
  <c r="T786" i="42"/>
  <c r="T787" i="42"/>
  <c r="T788" i="42"/>
  <c r="T789" i="42"/>
  <c r="T790" i="42"/>
  <c r="T791" i="42"/>
  <c r="T792" i="42"/>
  <c r="T793" i="42"/>
  <c r="T794" i="42"/>
  <c r="T795" i="42"/>
  <c r="T796" i="42"/>
  <c r="T797" i="42"/>
  <c r="T798" i="42"/>
  <c r="T799" i="42"/>
  <c r="T800" i="42"/>
  <c r="T801" i="42"/>
  <c r="T802" i="42"/>
  <c r="T803" i="42"/>
  <c r="T804" i="42"/>
  <c r="T805" i="42"/>
  <c r="T806" i="42"/>
  <c r="T807" i="42"/>
  <c r="T808" i="42"/>
  <c r="T809" i="42"/>
  <c r="T810" i="42"/>
  <c r="T811" i="42"/>
  <c r="T812" i="42"/>
  <c r="T813" i="42"/>
  <c r="T814" i="42"/>
  <c r="T815" i="42"/>
  <c r="T816" i="42"/>
  <c r="T817" i="42"/>
  <c r="T818" i="42"/>
  <c r="T819" i="42"/>
  <c r="T820" i="42"/>
  <c r="T821" i="42"/>
  <c r="T822" i="42"/>
  <c r="T823" i="42"/>
  <c r="T824" i="42"/>
  <c r="T825" i="42"/>
  <c r="T826" i="42"/>
  <c r="T827" i="42"/>
  <c r="T828" i="42"/>
  <c r="T829" i="42"/>
  <c r="T830" i="42"/>
  <c r="T831" i="42"/>
  <c r="T832" i="42"/>
  <c r="T833" i="42"/>
  <c r="T834" i="42"/>
  <c r="T835" i="42"/>
  <c r="T836" i="42"/>
  <c r="T837" i="42"/>
  <c r="T838" i="42"/>
  <c r="T839" i="42"/>
  <c r="T840" i="42"/>
  <c r="T841" i="42"/>
  <c r="T842" i="42"/>
  <c r="T843" i="42"/>
  <c r="T844" i="42"/>
  <c r="T845" i="42"/>
  <c r="T846" i="42"/>
  <c r="T847" i="42"/>
  <c r="T848" i="42"/>
  <c r="T849" i="42"/>
  <c r="T850" i="42"/>
  <c r="T851" i="42"/>
  <c r="T852" i="42"/>
  <c r="T853" i="42"/>
  <c r="T854" i="42"/>
  <c r="T855" i="42"/>
  <c r="T856" i="42"/>
  <c r="T857" i="42"/>
  <c r="T858" i="42"/>
  <c r="T859" i="42"/>
  <c r="T860" i="42"/>
  <c r="T861" i="42"/>
  <c r="T862" i="42"/>
  <c r="T863" i="42"/>
  <c r="T864" i="42"/>
  <c r="T865" i="42"/>
  <c r="T866" i="42"/>
  <c r="T867" i="42"/>
  <c r="T868" i="42"/>
  <c r="T869" i="42"/>
  <c r="T870" i="42"/>
  <c r="T871" i="42"/>
  <c r="T872" i="42"/>
  <c r="T873" i="42"/>
  <c r="T874" i="42"/>
  <c r="T875" i="42"/>
  <c r="T876" i="42"/>
  <c r="T877" i="42"/>
  <c r="T878" i="42"/>
  <c r="T879" i="42"/>
  <c r="T880" i="42"/>
  <c r="T881" i="42"/>
  <c r="T882" i="42"/>
  <c r="T883" i="42"/>
  <c r="T884" i="42"/>
  <c r="T885" i="42"/>
  <c r="T886" i="42"/>
  <c r="T887" i="42"/>
  <c r="T888" i="42"/>
  <c r="T889" i="42"/>
  <c r="T890" i="42"/>
  <c r="T891" i="42"/>
  <c r="T892" i="42"/>
  <c r="T893" i="42"/>
  <c r="T894" i="42"/>
  <c r="T895" i="42"/>
  <c r="T896" i="42"/>
  <c r="T897" i="42"/>
  <c r="T898" i="42"/>
  <c r="T899" i="42"/>
  <c r="T900" i="42"/>
  <c r="T901" i="42"/>
  <c r="T902" i="42"/>
  <c r="T903" i="42"/>
  <c r="T904" i="42"/>
  <c r="T905" i="42"/>
  <c r="T906" i="42"/>
  <c r="T907" i="42"/>
  <c r="T908" i="42"/>
  <c r="T909" i="42"/>
  <c r="T910" i="42"/>
  <c r="T911" i="42"/>
  <c r="T912" i="42"/>
  <c r="T913" i="42"/>
  <c r="T914" i="42"/>
  <c r="T915" i="42"/>
  <c r="T916" i="42"/>
  <c r="T917" i="42"/>
  <c r="T918" i="42"/>
  <c r="T919" i="42"/>
  <c r="T920" i="42"/>
  <c r="T921" i="42"/>
  <c r="T922" i="42"/>
  <c r="T923" i="42"/>
  <c r="T924" i="42"/>
  <c r="T925" i="42"/>
  <c r="T926" i="42"/>
  <c r="T927" i="42"/>
  <c r="T928" i="42"/>
  <c r="T929" i="42"/>
  <c r="T930" i="42"/>
  <c r="T931" i="42"/>
  <c r="T932" i="42"/>
  <c r="T933" i="42"/>
  <c r="T934" i="42"/>
  <c r="T935" i="42"/>
  <c r="T936" i="42"/>
  <c r="T937" i="42"/>
  <c r="T938" i="42"/>
  <c r="T939" i="42"/>
  <c r="T940" i="42"/>
  <c r="T941" i="42"/>
  <c r="T942" i="42"/>
  <c r="T943" i="42"/>
  <c r="T944" i="42"/>
  <c r="T945" i="42"/>
  <c r="T946" i="42"/>
  <c r="T947" i="42"/>
  <c r="T948" i="42"/>
  <c r="T949" i="42"/>
  <c r="T950" i="42"/>
  <c r="T951" i="42"/>
  <c r="T952" i="42"/>
  <c r="T4" i="42"/>
  <c r="J90" i="42"/>
  <c r="H69" i="45"/>
  <c r="H70" i="45"/>
  <c r="H71" i="45"/>
  <c r="H72" i="45"/>
  <c r="H73" i="45"/>
  <c r="H51" i="45"/>
  <c r="I38" i="44"/>
  <c r="I39" i="44"/>
  <c r="H5" i="45"/>
  <c r="T4" i="49"/>
  <c r="AG6" i="49"/>
  <c r="AG7" i="49"/>
  <c r="AG8" i="49"/>
  <c r="AG9" i="49"/>
  <c r="AG10" i="49"/>
  <c r="AG11" i="49"/>
  <c r="AG12" i="49"/>
  <c r="AG13" i="49"/>
  <c r="AG5" i="49"/>
  <c r="AF4" i="49"/>
  <c r="AE4" i="49"/>
  <c r="AD4" i="49"/>
  <c r="AC4" i="49"/>
  <c r="AB4" i="49"/>
  <c r="AA4" i="49"/>
  <c r="Z4" i="49"/>
  <c r="Y4" i="49"/>
  <c r="X4" i="49"/>
  <c r="W4" i="49"/>
  <c r="V4" i="49"/>
  <c r="U4" i="49"/>
  <c r="O4" i="49"/>
  <c r="P13" i="49"/>
  <c r="P5" i="49"/>
  <c r="P6" i="49"/>
  <c r="P8" i="49"/>
  <c r="P9" i="49"/>
  <c r="P12" i="49"/>
  <c r="P4" i="49"/>
  <c r="AG4" i="49"/>
  <c r="D198" i="5"/>
  <c r="K198" i="5"/>
  <c r="Y198" i="5"/>
  <c r="AM198" i="5"/>
  <c r="J87" i="42"/>
  <c r="J60" i="42"/>
  <c r="J61" i="42"/>
  <c r="J62" i="42"/>
  <c r="J63" i="42"/>
  <c r="J64" i="42"/>
  <c r="J65" i="42"/>
  <c r="J66" i="42"/>
  <c r="J67" i="42"/>
  <c r="J68" i="42"/>
  <c r="J69" i="42"/>
  <c r="J70" i="42"/>
  <c r="J71" i="42"/>
  <c r="J72" i="42"/>
  <c r="J73" i="42"/>
  <c r="J74" i="42"/>
  <c r="J75" i="42"/>
  <c r="J76" i="42"/>
  <c r="J77" i="42"/>
  <c r="J78" i="42"/>
  <c r="J79" i="42"/>
  <c r="J80" i="42"/>
  <c r="J81" i="42"/>
  <c r="J82" i="42"/>
  <c r="J83" i="42"/>
  <c r="J84" i="42"/>
  <c r="J85" i="42"/>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5" i="5"/>
  <c r="D244" i="5"/>
  <c r="D243" i="5"/>
  <c r="D242" i="5"/>
  <c r="D241" i="5"/>
  <c r="D240" i="5"/>
  <c r="D239" i="5"/>
  <c r="D238" i="5"/>
  <c r="D237" i="5"/>
  <c r="D236" i="5"/>
  <c r="D235" i="5"/>
  <c r="D234" i="5"/>
  <c r="D233" i="5"/>
  <c r="D232" i="5"/>
  <c r="D231" i="5"/>
  <c r="D230" i="5"/>
  <c r="D229" i="5"/>
  <c r="D228" i="5"/>
  <c r="D227" i="5"/>
  <c r="D226" i="5"/>
  <c r="D216" i="5"/>
  <c r="D215" i="5"/>
  <c r="D214" i="5"/>
  <c r="D213" i="5"/>
  <c r="D212" i="5"/>
  <c r="D211" i="5"/>
  <c r="D210" i="5"/>
  <c r="D209" i="5"/>
  <c r="D208" i="5"/>
  <c r="D207" i="5"/>
  <c r="D206" i="5"/>
  <c r="D205" i="5"/>
  <c r="D204" i="5"/>
  <c r="D203" i="5"/>
  <c r="D202" i="5"/>
  <c r="D201" i="5"/>
  <c r="D200" i="5"/>
  <c r="D199"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3" i="5"/>
  <c r="D132" i="5"/>
  <c r="D131" i="5"/>
  <c r="D130" i="5"/>
  <c r="D129" i="5"/>
  <c r="D128" i="5"/>
  <c r="D127" i="5"/>
  <c r="D126" i="5"/>
  <c r="D125" i="5"/>
  <c r="D124" i="5"/>
  <c r="D123" i="5"/>
  <c r="D122" i="5"/>
  <c r="D120" i="5"/>
  <c r="D119" i="5"/>
  <c r="D118" i="5"/>
  <c r="D117" i="5"/>
  <c r="D116" i="5"/>
  <c r="D115" i="5"/>
  <c r="D114" i="5"/>
  <c r="D113" i="5"/>
  <c r="D112" i="5"/>
  <c r="D111" i="5"/>
  <c r="D110" i="5"/>
  <c r="D109" i="5"/>
  <c r="D108" i="5"/>
  <c r="D107" i="5"/>
  <c r="D106" i="5"/>
  <c r="D105" i="5"/>
  <c r="D102" i="5"/>
  <c r="D101" i="5"/>
  <c r="D100" i="5"/>
  <c r="D99" i="5"/>
  <c r="D98" i="5"/>
  <c r="D97" i="5"/>
  <c r="D96" i="5"/>
  <c r="D95" i="5"/>
  <c r="D94" i="5"/>
  <c r="D93" i="5"/>
  <c r="D92" i="5"/>
  <c r="D91" i="5"/>
  <c r="D90" i="5"/>
  <c r="D89" i="5"/>
  <c r="D88" i="5"/>
  <c r="D87" i="5"/>
  <c r="D86" i="5"/>
  <c r="D85" i="5"/>
  <c r="D84" i="5"/>
  <c r="D83" i="5"/>
  <c r="D82" i="5"/>
  <c r="D81" i="5"/>
  <c r="D80" i="5"/>
  <c r="D79" i="5"/>
  <c r="D78" i="5"/>
  <c r="D77" i="5"/>
  <c r="D75" i="5"/>
  <c r="D73" i="5"/>
  <c r="D72" i="5"/>
  <c r="D71" i="5"/>
  <c r="D70" i="5"/>
  <c r="D69" i="5"/>
  <c r="G27" i="30"/>
  <c r="D68" i="5"/>
  <c r="D67" i="5"/>
  <c r="D66" i="5"/>
  <c r="D65" i="5"/>
  <c r="D64" i="5"/>
  <c r="D63" i="5"/>
  <c r="D62" i="5"/>
  <c r="D61" i="5"/>
  <c r="D60" i="5"/>
  <c r="D59" i="5"/>
  <c r="D58" i="5"/>
  <c r="D57" i="5"/>
  <c r="D56" i="5"/>
  <c r="D55" i="5"/>
  <c r="D54" i="5"/>
  <c r="D53" i="5"/>
  <c r="D52" i="5"/>
  <c r="D51" i="5"/>
  <c r="D50" i="5"/>
  <c r="D49" i="5"/>
  <c r="D48" i="5"/>
  <c r="D47" i="5"/>
  <c r="D46" i="5"/>
  <c r="D45" i="5"/>
  <c r="D43" i="5"/>
  <c r="D42" i="5"/>
  <c r="D41" i="5"/>
  <c r="D40" i="5"/>
  <c r="D39" i="5"/>
  <c r="D38" i="5"/>
  <c r="D37" i="5"/>
  <c r="D36" i="5"/>
  <c r="D35" i="5"/>
  <c r="D34" i="5"/>
  <c r="D33" i="5"/>
  <c r="D32" i="5"/>
  <c r="D31" i="5"/>
  <c r="D30" i="5"/>
  <c r="D29" i="5"/>
  <c r="D28" i="5"/>
  <c r="D27" i="5"/>
  <c r="D25" i="5"/>
  <c r="D24" i="5"/>
  <c r="D23" i="5"/>
  <c r="D22" i="5"/>
  <c r="D21" i="5"/>
  <c r="D20" i="5"/>
  <c r="D19" i="5"/>
  <c r="D18" i="5"/>
  <c r="D17" i="5"/>
  <c r="D16" i="5"/>
  <c r="D15" i="5"/>
  <c r="D14" i="5"/>
  <c r="D13" i="5"/>
  <c r="D12" i="5"/>
  <c r="D11" i="5"/>
  <c r="D10" i="5"/>
  <c r="D9" i="5"/>
  <c r="D8" i="5"/>
  <c r="D7" i="5"/>
  <c r="D6" i="5"/>
  <c r="D5" i="5"/>
  <c r="N10" i="43"/>
  <c r="M10" i="43"/>
  <c r="L10" i="43"/>
  <c r="K10" i="43"/>
  <c r="J10" i="43"/>
  <c r="I10" i="43"/>
  <c r="H10" i="43"/>
  <c r="G10" i="43"/>
  <c r="F10" i="43"/>
  <c r="E10" i="43"/>
  <c r="D10" i="43"/>
  <c r="C10" i="43"/>
  <c r="N6" i="43"/>
  <c r="M6" i="43"/>
  <c r="L6" i="43"/>
  <c r="K6" i="43"/>
  <c r="J6" i="43"/>
  <c r="I6" i="43"/>
  <c r="H6" i="43"/>
  <c r="G6" i="43"/>
  <c r="F6" i="43"/>
  <c r="E6" i="43"/>
  <c r="D6" i="43"/>
  <c r="C6" i="43"/>
  <c r="O6" i="43"/>
  <c r="T5" i="43"/>
  <c r="O10" i="43"/>
  <c r="J25" i="42"/>
  <c r="J33" i="42"/>
  <c r="J34" i="42"/>
  <c r="J35" i="42"/>
  <c r="J36" i="42"/>
  <c r="J37" i="42"/>
  <c r="J38" i="42"/>
  <c r="J39" i="42"/>
  <c r="J40" i="42"/>
  <c r="J41" i="42"/>
  <c r="J42" i="42"/>
  <c r="J43" i="42"/>
  <c r="J44" i="42"/>
  <c r="J45" i="42"/>
  <c r="J46" i="42"/>
  <c r="J47" i="42"/>
  <c r="J48" i="42"/>
  <c r="J13" i="42"/>
  <c r="J14" i="42"/>
  <c r="J15" i="42"/>
  <c r="J16" i="42"/>
  <c r="J17" i="42"/>
  <c r="J18" i="42"/>
  <c r="J19" i="42"/>
  <c r="J20" i="42"/>
  <c r="J21" i="42"/>
  <c r="J22" i="42"/>
  <c r="J23" i="42"/>
  <c r="J24" i="42"/>
  <c r="J26" i="42"/>
  <c r="J55" i="42"/>
  <c r="J56" i="42"/>
  <c r="J57" i="42"/>
  <c r="J50" i="42"/>
  <c r="J51" i="42"/>
  <c r="J8" i="42"/>
  <c r="J9" i="42"/>
  <c r="J4" i="42"/>
  <c r="J5" i="42"/>
  <c r="J6" i="42"/>
  <c r="J1103" i="11"/>
  <c r="G1103" i="11"/>
  <c r="J1102" i="11"/>
  <c r="G1102" i="11"/>
  <c r="G1092" i="11"/>
  <c r="G1093" i="11"/>
  <c r="G1094" i="11"/>
  <c r="G1095" i="11"/>
  <c r="G1096" i="11"/>
  <c r="G1097" i="11"/>
  <c r="G1098" i="11"/>
  <c r="J1092" i="11"/>
  <c r="J1093" i="11"/>
  <c r="J1094" i="11"/>
  <c r="J1095" i="11"/>
  <c r="J1096" i="11"/>
  <c r="J1097" i="11"/>
  <c r="J1098" i="11"/>
  <c r="G1088" i="11"/>
  <c r="G1089" i="11"/>
  <c r="G1090" i="11"/>
  <c r="J1088" i="11"/>
  <c r="J1089" i="11"/>
  <c r="J1090" i="11"/>
  <c r="G1085" i="11"/>
  <c r="J1085" i="11"/>
  <c r="G1086" i="11"/>
  <c r="J1086" i="11"/>
  <c r="G1083" i="11"/>
  <c r="J1083" i="11"/>
  <c r="G1080" i="11"/>
  <c r="J1080" i="11"/>
  <c r="G1081" i="11"/>
  <c r="J1081" i="11"/>
  <c r="G1069" i="11"/>
  <c r="G1070" i="11"/>
  <c r="G1071" i="11"/>
  <c r="J1069" i="11"/>
  <c r="J1070" i="11"/>
  <c r="J1071" i="11"/>
  <c r="G1067" i="11"/>
  <c r="J1067" i="11"/>
  <c r="G1065" i="11"/>
  <c r="J1065" i="11"/>
  <c r="G1063" i="11"/>
  <c r="J1063" i="11"/>
  <c r="G1054" i="11"/>
  <c r="G1055" i="11"/>
  <c r="G1056" i="11"/>
  <c r="G1057" i="11"/>
  <c r="G1058" i="11"/>
  <c r="G1059" i="11"/>
  <c r="G1060" i="11"/>
  <c r="G1061" i="11"/>
  <c r="J1054" i="11"/>
  <c r="J1055" i="11"/>
  <c r="J1056" i="11"/>
  <c r="J1057" i="11"/>
  <c r="J1058" i="11"/>
  <c r="J1059" i="11"/>
  <c r="J1060" i="11"/>
  <c r="J1061" i="11"/>
  <c r="G1035" i="11"/>
  <c r="G1036" i="11"/>
  <c r="G1037" i="11"/>
  <c r="G1038" i="11"/>
  <c r="G1039" i="11"/>
  <c r="G1040" i="11"/>
  <c r="G1041" i="11"/>
  <c r="G1042" i="11"/>
  <c r="G1043" i="11"/>
  <c r="G1044" i="11"/>
  <c r="G1045" i="11"/>
  <c r="G1046" i="11"/>
  <c r="G1047" i="11"/>
  <c r="G1048" i="11"/>
  <c r="G1049" i="11"/>
  <c r="G1050" i="11"/>
  <c r="G1051" i="11"/>
  <c r="G1052" i="11"/>
  <c r="J1035" i="11"/>
  <c r="J1036" i="11"/>
  <c r="J1037" i="11"/>
  <c r="J1038" i="11"/>
  <c r="J1039" i="11"/>
  <c r="J1040" i="11"/>
  <c r="J1041" i="11"/>
  <c r="J1042" i="11"/>
  <c r="J1043" i="11"/>
  <c r="J1044" i="11"/>
  <c r="J1045" i="11"/>
  <c r="J1046" i="11"/>
  <c r="J1047" i="11"/>
  <c r="J1048" i="11"/>
  <c r="J1049" i="11"/>
  <c r="J1050" i="11"/>
  <c r="J1051" i="11"/>
  <c r="J1052" i="11"/>
  <c r="C3" i="10"/>
  <c r="D3" i="10"/>
  <c r="E3" i="10"/>
  <c r="F3" i="10"/>
  <c r="G3" i="10"/>
  <c r="H3" i="10"/>
  <c r="I3" i="10"/>
  <c r="J3" i="10"/>
  <c r="K3" i="10"/>
  <c r="L3" i="10"/>
  <c r="M3" i="10"/>
  <c r="N3" i="10"/>
  <c r="O3" i="10"/>
  <c r="C4" i="10"/>
  <c r="D4" i="10"/>
  <c r="E4" i="10"/>
  <c r="F4" i="10"/>
  <c r="G4" i="10"/>
  <c r="H4" i="10"/>
  <c r="I4" i="10"/>
  <c r="J4" i="10"/>
  <c r="K4" i="10"/>
  <c r="L4" i="10"/>
  <c r="M4" i="10"/>
  <c r="N4" i="10"/>
  <c r="O4" i="10"/>
  <c r="C5" i="10"/>
  <c r="D5" i="10"/>
  <c r="E5" i="10"/>
  <c r="F5" i="10"/>
  <c r="G5" i="10"/>
  <c r="H5" i="10"/>
  <c r="I5" i="10"/>
  <c r="J5" i="10"/>
  <c r="K5" i="10"/>
  <c r="L5" i="10"/>
  <c r="M5" i="10"/>
  <c r="N5" i="10"/>
  <c r="O5" i="10"/>
  <c r="C6" i="10"/>
  <c r="D6" i="10"/>
  <c r="E6" i="10"/>
  <c r="F6" i="10"/>
  <c r="G6" i="10"/>
  <c r="H6" i="10"/>
  <c r="I6" i="10"/>
  <c r="J6" i="10"/>
  <c r="K6" i="10"/>
  <c r="L6" i="10"/>
  <c r="M6" i="10"/>
  <c r="N6" i="10"/>
  <c r="O6" i="10"/>
  <c r="C7" i="10"/>
  <c r="D7" i="10"/>
  <c r="E7" i="10"/>
  <c r="F7" i="10"/>
  <c r="G7" i="10"/>
  <c r="H7" i="10"/>
  <c r="I7" i="10"/>
  <c r="J7" i="10"/>
  <c r="K7" i="10"/>
  <c r="L7" i="10"/>
  <c r="M7" i="10"/>
  <c r="N7" i="10"/>
  <c r="O7" i="10"/>
  <c r="C8" i="10"/>
  <c r="D8" i="10"/>
  <c r="E8" i="10"/>
  <c r="F8" i="10"/>
  <c r="G8" i="10"/>
  <c r="H8" i="10"/>
  <c r="I8" i="10"/>
  <c r="J8" i="10"/>
  <c r="K8" i="10"/>
  <c r="L8" i="10"/>
  <c r="M8" i="10"/>
  <c r="N8" i="10"/>
  <c r="O8" i="10"/>
  <c r="O9" i="10"/>
  <c r="O10" i="10"/>
  <c r="N9" i="10"/>
  <c r="M9" i="10"/>
  <c r="L9" i="10"/>
  <c r="K9" i="10"/>
  <c r="J9" i="10"/>
  <c r="I9" i="10"/>
  <c r="H9" i="10"/>
  <c r="G9" i="10"/>
  <c r="F9" i="10"/>
  <c r="E9" i="10"/>
  <c r="D9" i="10"/>
  <c r="C9" i="10"/>
  <c r="P8" i="10"/>
  <c r="P7" i="10"/>
  <c r="P6" i="10"/>
  <c r="P5" i="10"/>
  <c r="P4" i="10"/>
  <c r="P3" i="10"/>
  <c r="W4" i="9"/>
  <c r="W5" i="9"/>
  <c r="W7" i="9"/>
  <c r="W11" i="9"/>
  <c r="B4" i="9"/>
  <c r="B3" i="9"/>
  <c r="I8" i="13"/>
  <c r="I7" i="13"/>
  <c r="I6" i="13"/>
  <c r="I5" i="13"/>
  <c r="I4" i="13"/>
  <c r="I3" i="13"/>
  <c r="N11" i="4"/>
  <c r="M11" i="4"/>
  <c r="L11" i="4"/>
  <c r="K11" i="4"/>
  <c r="J11" i="4"/>
  <c r="I11" i="4"/>
  <c r="H11" i="4"/>
  <c r="G11" i="4"/>
  <c r="F11" i="4"/>
  <c r="E11" i="4"/>
  <c r="D11" i="4"/>
  <c r="C11" i="4"/>
  <c r="N3" i="31"/>
  <c r="N4" i="31"/>
  <c r="N5" i="31"/>
  <c r="N6" i="31"/>
  <c r="N7" i="31"/>
  <c r="N8" i="31"/>
  <c r="N9" i="31"/>
  <c r="N11" i="31"/>
  <c r="M3" i="31"/>
  <c r="M4" i="31"/>
  <c r="M5" i="31"/>
  <c r="M6" i="31"/>
  <c r="M7" i="31"/>
  <c r="M8" i="31"/>
  <c r="M9" i="31"/>
  <c r="M11" i="31"/>
  <c r="L3" i="31"/>
  <c r="L4" i="31"/>
  <c r="L5" i="31"/>
  <c r="L6" i="31"/>
  <c r="L7" i="31"/>
  <c r="L8" i="31"/>
  <c r="L9" i="31"/>
  <c r="L11" i="31"/>
  <c r="K3" i="31"/>
  <c r="K4" i="31"/>
  <c r="K5" i="31"/>
  <c r="K6" i="31"/>
  <c r="K7" i="31"/>
  <c r="K8" i="31"/>
  <c r="K9" i="31"/>
  <c r="K11" i="31"/>
  <c r="J3" i="31"/>
  <c r="J4" i="31"/>
  <c r="J5" i="31"/>
  <c r="J6" i="31"/>
  <c r="J7" i="31"/>
  <c r="J8" i="31"/>
  <c r="J9" i="31"/>
  <c r="J11" i="31"/>
  <c r="I3" i="31"/>
  <c r="I4" i="31"/>
  <c r="I5" i="31"/>
  <c r="I6" i="31"/>
  <c r="I7" i="31"/>
  <c r="I8" i="31"/>
  <c r="I9" i="31"/>
  <c r="I11" i="31"/>
  <c r="H3" i="31"/>
  <c r="H4" i="31"/>
  <c r="H5" i="31"/>
  <c r="H6" i="31"/>
  <c r="H7" i="31"/>
  <c r="H8" i="31"/>
  <c r="H11" i="31"/>
  <c r="G3" i="31"/>
  <c r="G4" i="31"/>
  <c r="G5" i="31"/>
  <c r="G6" i="31"/>
  <c r="G7" i="31"/>
  <c r="G8" i="31"/>
  <c r="G11" i="31"/>
  <c r="F3" i="31"/>
  <c r="F4" i="31"/>
  <c r="F5" i="31"/>
  <c r="F6" i="31"/>
  <c r="F7" i="31"/>
  <c r="F8" i="31"/>
  <c r="F11" i="31"/>
  <c r="E3" i="31"/>
  <c r="E4" i="31"/>
  <c r="E5" i="31"/>
  <c r="E6" i="31"/>
  <c r="E7" i="31"/>
  <c r="E8" i="31"/>
  <c r="E11" i="31"/>
  <c r="D3" i="31"/>
  <c r="D4" i="31"/>
  <c r="D5" i="31"/>
  <c r="D6" i="31"/>
  <c r="D7" i="31"/>
  <c r="D8" i="31"/>
  <c r="D11" i="31"/>
  <c r="C11" i="31"/>
  <c r="D9" i="31"/>
  <c r="E9" i="31"/>
  <c r="F9" i="31"/>
  <c r="G9" i="31"/>
  <c r="H9" i="31"/>
  <c r="O9" i="31"/>
  <c r="O8" i="31"/>
  <c r="O7" i="31"/>
  <c r="O6" i="31"/>
  <c r="O5" i="31"/>
  <c r="O4" i="31"/>
  <c r="O3" i="31"/>
  <c r="O11" i="31"/>
  <c r="M162" i="34"/>
  <c r="N154" i="34"/>
  <c r="M154" i="34"/>
  <c r="N153" i="34"/>
  <c r="M153" i="34"/>
  <c r="N152" i="34"/>
  <c r="M152" i="34"/>
  <c r="N151" i="34"/>
  <c r="M151" i="34"/>
  <c r="N150" i="34"/>
  <c r="M150" i="34"/>
  <c r="N149" i="34"/>
  <c r="M149" i="34"/>
  <c r="N148" i="34"/>
  <c r="M148" i="34"/>
  <c r="N147" i="34"/>
  <c r="M147" i="34"/>
  <c r="N146" i="34"/>
  <c r="M146" i="34"/>
  <c r="N145" i="34"/>
  <c r="M145" i="34"/>
  <c r="N144" i="34"/>
  <c r="M144" i="34"/>
  <c r="N143" i="34"/>
  <c r="M143" i="34"/>
  <c r="N142" i="34"/>
  <c r="M142" i="34"/>
  <c r="N141" i="34"/>
  <c r="M141" i="34"/>
  <c r="N140" i="34"/>
  <c r="M140" i="34"/>
  <c r="N139" i="34"/>
  <c r="M139" i="34"/>
  <c r="N138" i="34"/>
  <c r="M138" i="34"/>
  <c r="N137" i="34"/>
  <c r="M137" i="34"/>
  <c r="N136" i="34"/>
  <c r="M136" i="34"/>
  <c r="N135" i="34"/>
  <c r="M135" i="34"/>
  <c r="N134" i="34"/>
  <c r="M134" i="34"/>
  <c r="N133" i="34"/>
  <c r="M133" i="34"/>
  <c r="N132" i="34"/>
  <c r="M132" i="34"/>
  <c r="N131" i="34"/>
  <c r="M131" i="34"/>
  <c r="N130" i="34"/>
  <c r="M130" i="34"/>
  <c r="N129" i="34"/>
  <c r="M129" i="34"/>
  <c r="N128" i="34"/>
  <c r="M128" i="34"/>
  <c r="N127" i="34"/>
  <c r="M127" i="34"/>
  <c r="N126" i="34"/>
  <c r="M126" i="34"/>
  <c r="N125" i="34"/>
  <c r="M125" i="34"/>
  <c r="N124" i="34"/>
  <c r="M124" i="34"/>
  <c r="N123" i="34"/>
  <c r="M123" i="34"/>
  <c r="N122" i="34"/>
  <c r="M122" i="34"/>
  <c r="K107" i="34"/>
  <c r="E107" i="34"/>
  <c r="K106" i="34"/>
  <c r="E106" i="34"/>
  <c r="J92" i="34"/>
  <c r="I90" i="34"/>
  <c r="G90" i="34"/>
  <c r="J20" i="34"/>
  <c r="C4" i="12"/>
  <c r="C5" i="12"/>
  <c r="C6" i="12"/>
  <c r="C7" i="12"/>
  <c r="C8" i="12"/>
  <c r="C9" i="12"/>
  <c r="C10" i="12"/>
  <c r="D174" i="27"/>
  <c r="E104" i="34"/>
  <c r="D173" i="27"/>
  <c r="E103" i="34"/>
  <c r="D172" i="27"/>
  <c r="E102" i="34"/>
  <c r="D171" i="27"/>
  <c r="E101" i="34"/>
  <c r="D170" i="27"/>
  <c r="E100" i="34"/>
  <c r="D169" i="27"/>
  <c r="E99" i="34"/>
  <c r="D168" i="27"/>
  <c r="E98" i="34"/>
  <c r="D167" i="27"/>
  <c r="E97" i="34"/>
  <c r="D166" i="27"/>
  <c r="D165" i="27"/>
  <c r="E96" i="34"/>
  <c r="D164" i="27"/>
  <c r="E95" i="34"/>
  <c r="D163" i="27"/>
  <c r="E94" i="34"/>
  <c r="D162" i="27"/>
  <c r="E93" i="34"/>
  <c r="D161" i="27"/>
  <c r="E92" i="34"/>
  <c r="D160" i="27"/>
  <c r="E91" i="34"/>
  <c r="D159" i="27"/>
  <c r="D158" i="27"/>
  <c r="E90" i="34"/>
  <c r="D157" i="27"/>
  <c r="D156" i="27"/>
  <c r="D155" i="27"/>
  <c r="F154" i="27"/>
  <c r="E154" i="27"/>
  <c r="D154" i="27"/>
  <c r="E89" i="34"/>
  <c r="G153" i="27"/>
  <c r="H52" i="45"/>
  <c r="D153" i="27"/>
  <c r="D137" i="27"/>
  <c r="E85" i="34"/>
  <c r="D136" i="27"/>
  <c r="E84" i="34"/>
  <c r="D135" i="27"/>
  <c r="E83" i="34"/>
  <c r="D134" i="27"/>
  <c r="E82" i="34"/>
  <c r="D133" i="27"/>
  <c r="E81" i="34"/>
  <c r="D132" i="27"/>
  <c r="E80" i="34"/>
  <c r="D131" i="27"/>
  <c r="E79" i="34"/>
  <c r="D130" i="27"/>
  <c r="E78" i="34"/>
  <c r="D129" i="27"/>
  <c r="E77" i="34"/>
  <c r="D35" i="27"/>
  <c r="E12" i="34"/>
  <c r="D34" i="27"/>
  <c r="E11" i="34"/>
  <c r="D33" i="27"/>
  <c r="E10" i="34"/>
  <c r="D32" i="27"/>
  <c r="E9" i="34"/>
  <c r="D31" i="27"/>
  <c r="E8" i="34"/>
  <c r="F4" i="27"/>
  <c r="G4" i="27"/>
  <c r="H4" i="27"/>
  <c r="I4" i="27"/>
  <c r="J4" i="27"/>
  <c r="D28" i="21"/>
  <c r="D29" i="21"/>
  <c r="D30" i="21"/>
  <c r="D31" i="21"/>
  <c r="D32" i="21"/>
  <c r="D33" i="21"/>
  <c r="D34" i="21"/>
  <c r="D35" i="21"/>
  <c r="D40" i="21"/>
  <c r="D42" i="21"/>
  <c r="I3" i="30"/>
  <c r="I7" i="30"/>
  <c r="I9" i="30"/>
  <c r="I14" i="30"/>
  <c r="I4" i="30"/>
  <c r="I5" i="30"/>
  <c r="I6" i="30"/>
  <c r="I8" i="30"/>
  <c r="I10" i="30"/>
  <c r="I11" i="30"/>
  <c r="I12" i="30"/>
  <c r="I13" i="30"/>
  <c r="I15" i="30"/>
  <c r="I16" i="30"/>
  <c r="I17" i="30"/>
  <c r="I18" i="30"/>
  <c r="I19" i="30"/>
  <c r="I20" i="30"/>
  <c r="I21" i="30"/>
  <c r="I22" i="30"/>
  <c r="I23" i="30"/>
  <c r="I24" i="30"/>
  <c r="I25" i="30"/>
  <c r="I26" i="30"/>
  <c r="I27" i="30"/>
  <c r="I28" i="30"/>
  <c r="I29" i="30"/>
  <c r="I30" i="30"/>
  <c r="I31" i="30"/>
  <c r="I32" i="30"/>
  <c r="I33" i="30"/>
  <c r="I53" i="30"/>
  <c r="I54" i="30"/>
  <c r="C28" i="21"/>
  <c r="C29" i="21"/>
  <c r="C30" i="21"/>
  <c r="C31" i="21"/>
  <c r="C32" i="21"/>
  <c r="C33" i="21"/>
  <c r="C34" i="21"/>
  <c r="C35" i="21"/>
  <c r="C40" i="21"/>
  <c r="C42" i="21"/>
  <c r="D5" i="21"/>
  <c r="D6" i="21"/>
  <c r="D7" i="21"/>
  <c r="D8" i="21"/>
  <c r="D9" i="21"/>
  <c r="D10" i="21"/>
  <c r="D11" i="21"/>
  <c r="D12" i="21"/>
  <c r="D17" i="21"/>
  <c r="D19" i="21"/>
  <c r="C5" i="21"/>
  <c r="C6" i="21"/>
  <c r="C7" i="21"/>
  <c r="C8" i="21"/>
  <c r="C9" i="21"/>
  <c r="C10" i="21"/>
  <c r="C11" i="21"/>
  <c r="C12" i="21"/>
  <c r="C17" i="21"/>
  <c r="C19" i="21"/>
  <c r="F12" i="21"/>
  <c r="F11" i="21"/>
  <c r="F8" i="21"/>
  <c r="F7" i="21"/>
  <c r="F5" i="21"/>
  <c r="E4" i="21"/>
  <c r="F4" i="21"/>
  <c r="G4" i="21"/>
  <c r="H4" i="21"/>
  <c r="I4" i="21"/>
  <c r="N3" i="6"/>
  <c r="N4" i="6"/>
  <c r="N5" i="6"/>
  <c r="N6" i="6"/>
  <c r="N7" i="6"/>
  <c r="N8" i="6"/>
  <c r="N9" i="6"/>
  <c r="N10" i="6"/>
  <c r="N11"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2" i="6"/>
  <c r="N243" i="6"/>
  <c r="N244" i="6"/>
  <c r="N245" i="6"/>
  <c r="N246" i="6"/>
  <c r="N247" i="6"/>
  <c r="N248" i="6"/>
  <c r="N249"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8" i="6"/>
  <c r="N479" i="6"/>
  <c r="N480" i="6"/>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4" i="6"/>
  <c r="I85" i="6"/>
  <c r="H86" i="6"/>
  <c r="I86" i="6"/>
  <c r="H87" i="6"/>
  <c r="I87" i="6"/>
  <c r="H88" i="6"/>
  <c r="I88" i="6"/>
  <c r="H89" i="6"/>
  <c r="I89" i="6"/>
  <c r="H90" i="6"/>
  <c r="I90" i="6"/>
  <c r="H91" i="6"/>
  <c r="I91" i="6"/>
  <c r="H92" i="6"/>
  <c r="I92" i="6"/>
  <c r="H93" i="6"/>
  <c r="I93" i="6"/>
  <c r="H94" i="6"/>
  <c r="I94" i="6"/>
  <c r="H95" i="6"/>
  <c r="I95" i="6"/>
  <c r="H96" i="6"/>
  <c r="I96" i="6"/>
  <c r="H97" i="6"/>
  <c r="I97" i="6"/>
  <c r="H98" i="6"/>
  <c r="I98" i="6"/>
  <c r="H99" i="6"/>
  <c r="I99" i="6"/>
  <c r="H100" i="6"/>
  <c r="I100" i="6"/>
  <c r="H101" i="6"/>
  <c r="I101" i="6"/>
  <c r="H102" i="6"/>
  <c r="I102" i="6"/>
  <c r="H103" i="6"/>
  <c r="I103" i="6"/>
  <c r="H104" i="6"/>
  <c r="I104" i="6"/>
  <c r="H105" i="6"/>
  <c r="I105" i="6"/>
  <c r="H106" i="6"/>
  <c r="I106" i="6"/>
  <c r="H107" i="6"/>
  <c r="I107" i="6"/>
  <c r="H108" i="6"/>
  <c r="I108" i="6"/>
  <c r="I109" i="6"/>
  <c r="I111" i="6"/>
  <c r="I112" i="6"/>
  <c r="I113" i="6"/>
  <c r="H114" i="6"/>
  <c r="I114" i="6"/>
  <c r="H115" i="6"/>
  <c r="I115" i="6"/>
  <c r="H116"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5" i="6"/>
  <c r="I197" i="6"/>
  <c r="I198" i="6"/>
  <c r="I204" i="6"/>
  <c r="I205" i="6"/>
  <c r="I206" i="6"/>
  <c r="I207" i="6"/>
  <c r="I208" i="6"/>
  <c r="I209" i="6"/>
  <c r="I210" i="6"/>
  <c r="I211" i="6"/>
  <c r="I212" i="6"/>
  <c r="I213" i="6"/>
  <c r="I214" i="6"/>
  <c r="I215" i="6"/>
  <c r="I216" i="6"/>
  <c r="I217" i="6"/>
  <c r="I218" i="6"/>
  <c r="I219" i="6"/>
  <c r="I220" i="6"/>
  <c r="I222" i="6"/>
  <c r="I223" i="6"/>
  <c r="I224" i="6"/>
  <c r="I225" i="6"/>
  <c r="I242" i="6"/>
  <c r="I244" i="6"/>
  <c r="I245" i="6"/>
  <c r="I246"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81" i="6"/>
  <c r="I483" i="6"/>
  <c r="E49" i="3"/>
  <c r="D49" i="3"/>
  <c r="C49" i="3"/>
  <c r="E48" i="3"/>
  <c r="D48" i="3"/>
  <c r="C48" i="3"/>
  <c r="E47" i="3"/>
  <c r="D47" i="3"/>
  <c r="C47" i="3"/>
  <c r="E46" i="3"/>
  <c r="D46" i="3"/>
  <c r="C46" i="3"/>
  <c r="D45" i="3"/>
  <c r="C45" i="3"/>
  <c r="E44" i="3"/>
  <c r="D44" i="3"/>
  <c r="C44" i="3"/>
  <c r="E43" i="3"/>
  <c r="D43" i="3"/>
  <c r="C43" i="3"/>
  <c r="D42" i="3"/>
  <c r="C42" i="3"/>
  <c r="E41" i="3"/>
  <c r="D41" i="3"/>
  <c r="C41" i="3"/>
  <c r="E40" i="3"/>
  <c r="D40" i="3"/>
  <c r="C40" i="3"/>
  <c r="E39" i="3"/>
  <c r="D39" i="3"/>
  <c r="C39" i="3"/>
  <c r="E38" i="3"/>
  <c r="D38" i="3"/>
  <c r="D50" i="3"/>
  <c r="C38" i="3"/>
  <c r="C50" i="3"/>
  <c r="C52" i="3"/>
  <c r="E14" i="3"/>
  <c r="D14" i="3"/>
  <c r="C14" i="3"/>
  <c r="E13" i="3"/>
  <c r="D13" i="3"/>
  <c r="C13" i="3"/>
  <c r="E12" i="3"/>
  <c r="D12" i="3"/>
  <c r="C12" i="3"/>
  <c r="E11" i="3"/>
  <c r="D11" i="3"/>
  <c r="C11" i="3"/>
  <c r="E10" i="3"/>
  <c r="D10" i="3"/>
  <c r="C10" i="3"/>
  <c r="H148" i="6"/>
  <c r="H149" i="6"/>
  <c r="H150" i="6"/>
  <c r="E9" i="3"/>
  <c r="D9" i="3"/>
  <c r="C9" i="3"/>
  <c r="E8" i="3"/>
  <c r="D8" i="3"/>
  <c r="C8" i="3"/>
  <c r="D7" i="3"/>
  <c r="C7" i="3"/>
  <c r="E6" i="3"/>
  <c r="D6" i="3"/>
  <c r="C6" i="3"/>
  <c r="E5" i="3"/>
  <c r="D5" i="3"/>
  <c r="C5" i="3"/>
  <c r="E4" i="3"/>
  <c r="D4" i="3"/>
  <c r="C4" i="3"/>
  <c r="E3" i="3"/>
  <c r="D3" i="3"/>
  <c r="D15" i="3"/>
  <c r="D17" i="3"/>
  <c r="C3" i="3"/>
  <c r="C15" i="3"/>
  <c r="C17" i="3"/>
  <c r="E2" i="3"/>
  <c r="F2" i="3"/>
  <c r="G2" i="3"/>
  <c r="H2" i="3"/>
  <c r="I2" i="3"/>
  <c r="BM337" i="5"/>
  <c r="BL337" i="5"/>
  <c r="BK337" i="5"/>
  <c r="BJ337" i="5"/>
  <c r="BI337" i="5"/>
  <c r="BH337" i="5"/>
  <c r="BG337" i="5"/>
  <c r="BF337" i="5"/>
  <c r="BE337" i="5"/>
  <c r="BD337" i="5"/>
  <c r="BC337" i="5"/>
  <c r="BB337" i="5"/>
  <c r="AM337" i="5"/>
  <c r="Y337" i="5"/>
  <c r="W337" i="5"/>
  <c r="V337" i="5"/>
  <c r="U337" i="5"/>
  <c r="T337" i="5"/>
  <c r="S337" i="5"/>
  <c r="R337" i="5"/>
  <c r="Q337" i="5"/>
  <c r="P337" i="5"/>
  <c r="O337" i="5"/>
  <c r="N337" i="5"/>
  <c r="M337" i="5"/>
  <c r="L337" i="5"/>
  <c r="K337" i="5"/>
  <c r="I337" i="5"/>
  <c r="H337" i="5"/>
  <c r="G337" i="5"/>
  <c r="F337" i="5"/>
  <c r="E337" i="5"/>
  <c r="BM336" i="5"/>
  <c r="BL336" i="5"/>
  <c r="BK336" i="5"/>
  <c r="BJ336" i="5"/>
  <c r="BI336" i="5"/>
  <c r="BH336" i="5"/>
  <c r="BG336" i="5"/>
  <c r="BF336" i="5"/>
  <c r="BE336" i="5"/>
  <c r="BD336" i="5"/>
  <c r="BC336" i="5"/>
  <c r="BB336" i="5"/>
  <c r="AM336" i="5"/>
  <c r="Y336" i="5"/>
  <c r="W336" i="5"/>
  <c r="V336" i="5"/>
  <c r="U336" i="5"/>
  <c r="T336" i="5"/>
  <c r="S336" i="5"/>
  <c r="R336" i="5"/>
  <c r="Q336" i="5"/>
  <c r="P336" i="5"/>
  <c r="O336" i="5"/>
  <c r="N336" i="5"/>
  <c r="M336" i="5"/>
  <c r="L336" i="5"/>
  <c r="K336" i="5"/>
  <c r="I336" i="5"/>
  <c r="H336" i="5"/>
  <c r="G336" i="5"/>
  <c r="F336" i="5"/>
  <c r="E336" i="5"/>
  <c r="BM335" i="5"/>
  <c r="BL335" i="5"/>
  <c r="BK335" i="5"/>
  <c r="BJ335" i="5"/>
  <c r="BI335" i="5"/>
  <c r="BH335" i="5"/>
  <c r="BG335" i="5"/>
  <c r="BF335" i="5"/>
  <c r="BE335" i="5"/>
  <c r="BD335" i="5"/>
  <c r="BC335" i="5"/>
  <c r="BB335" i="5"/>
  <c r="AM335" i="5"/>
  <c r="Y335" i="5"/>
  <c r="W335" i="5"/>
  <c r="V335" i="5"/>
  <c r="U335" i="5"/>
  <c r="T335" i="5"/>
  <c r="S335" i="5"/>
  <c r="R335" i="5"/>
  <c r="Q335" i="5"/>
  <c r="P335" i="5"/>
  <c r="O335" i="5"/>
  <c r="N335" i="5"/>
  <c r="M335" i="5"/>
  <c r="L335" i="5"/>
  <c r="K335" i="5"/>
  <c r="I335" i="5"/>
  <c r="H335" i="5"/>
  <c r="G335" i="5"/>
  <c r="F335" i="5"/>
  <c r="E335" i="5"/>
  <c r="BM334" i="5"/>
  <c r="BL334" i="5"/>
  <c r="BK334" i="5"/>
  <c r="BJ334" i="5"/>
  <c r="BI334" i="5"/>
  <c r="BH334" i="5"/>
  <c r="BG334" i="5"/>
  <c r="BF334" i="5"/>
  <c r="BE334" i="5"/>
  <c r="BD334" i="5"/>
  <c r="BC334" i="5"/>
  <c r="BB334" i="5"/>
  <c r="AM334" i="5"/>
  <c r="Y334" i="5"/>
  <c r="W334" i="5"/>
  <c r="V334" i="5"/>
  <c r="U334" i="5"/>
  <c r="T334" i="5"/>
  <c r="S334" i="5"/>
  <c r="R334" i="5"/>
  <c r="Q334" i="5"/>
  <c r="P334" i="5"/>
  <c r="O334" i="5"/>
  <c r="N334" i="5"/>
  <c r="M334" i="5"/>
  <c r="L334" i="5"/>
  <c r="K334" i="5"/>
  <c r="I334" i="5"/>
  <c r="H334" i="5"/>
  <c r="G334" i="5"/>
  <c r="F334" i="5"/>
  <c r="E334" i="5"/>
  <c r="BM333" i="5"/>
  <c r="BL333" i="5"/>
  <c r="BK333" i="5"/>
  <c r="BJ333" i="5"/>
  <c r="BI333" i="5"/>
  <c r="BH333" i="5"/>
  <c r="BG333" i="5"/>
  <c r="BF333" i="5"/>
  <c r="BE333" i="5"/>
  <c r="BD333" i="5"/>
  <c r="BC333" i="5"/>
  <c r="BB333" i="5"/>
  <c r="Y333" i="5"/>
  <c r="W333" i="5"/>
  <c r="V333" i="5"/>
  <c r="U333" i="5"/>
  <c r="T333" i="5"/>
  <c r="S333" i="5"/>
  <c r="R333" i="5"/>
  <c r="Q333" i="5"/>
  <c r="P333" i="5"/>
  <c r="O333" i="5"/>
  <c r="N333" i="5"/>
  <c r="M333" i="5"/>
  <c r="L333" i="5"/>
  <c r="K333" i="5"/>
  <c r="I333" i="5"/>
  <c r="H333" i="5"/>
  <c r="G333" i="5"/>
  <c r="F333" i="5"/>
  <c r="E333" i="5"/>
  <c r="BM332" i="5"/>
  <c r="BL332" i="5"/>
  <c r="BK332" i="5"/>
  <c r="BJ332" i="5"/>
  <c r="BI332" i="5"/>
  <c r="BH332" i="5"/>
  <c r="BG332" i="5"/>
  <c r="BF332" i="5"/>
  <c r="BE332" i="5"/>
  <c r="BD332" i="5"/>
  <c r="BC332" i="5"/>
  <c r="BB332" i="5"/>
  <c r="Y332" i="5"/>
  <c r="W332" i="5"/>
  <c r="V332" i="5"/>
  <c r="U332" i="5"/>
  <c r="T332" i="5"/>
  <c r="S332" i="5"/>
  <c r="R332" i="5"/>
  <c r="Q332" i="5"/>
  <c r="P332" i="5"/>
  <c r="O332" i="5"/>
  <c r="N332" i="5"/>
  <c r="M332" i="5"/>
  <c r="L332" i="5"/>
  <c r="K332" i="5"/>
  <c r="I332" i="5"/>
  <c r="H332" i="5"/>
  <c r="G332" i="5"/>
  <c r="F332" i="5"/>
  <c r="E332" i="5"/>
  <c r="BM331" i="5"/>
  <c r="BL331" i="5"/>
  <c r="BK331" i="5"/>
  <c r="BJ331" i="5"/>
  <c r="BI331" i="5"/>
  <c r="BH331" i="5"/>
  <c r="BG331" i="5"/>
  <c r="BF331" i="5"/>
  <c r="BE331" i="5"/>
  <c r="BD331" i="5"/>
  <c r="BC331" i="5"/>
  <c r="BB331" i="5"/>
  <c r="AM331" i="5"/>
  <c r="Y331" i="5"/>
  <c r="W331" i="5"/>
  <c r="V331" i="5"/>
  <c r="U331" i="5"/>
  <c r="T331" i="5"/>
  <c r="S331" i="5"/>
  <c r="R331" i="5"/>
  <c r="Q331" i="5"/>
  <c r="P331" i="5"/>
  <c r="O331" i="5"/>
  <c r="N331" i="5"/>
  <c r="M331" i="5"/>
  <c r="L331" i="5"/>
  <c r="K331" i="5"/>
  <c r="I331" i="5"/>
  <c r="H331" i="5"/>
  <c r="G331" i="5"/>
  <c r="F331" i="5"/>
  <c r="E331" i="5"/>
  <c r="BM330" i="5"/>
  <c r="BL330" i="5"/>
  <c r="BK330" i="5"/>
  <c r="BJ330" i="5"/>
  <c r="BI330" i="5"/>
  <c r="BH330" i="5"/>
  <c r="BG330" i="5"/>
  <c r="BF330" i="5"/>
  <c r="BE330" i="5"/>
  <c r="BD330" i="5"/>
  <c r="BC330" i="5"/>
  <c r="BB330" i="5"/>
  <c r="AM330" i="5"/>
  <c r="Y330" i="5"/>
  <c r="W330" i="5"/>
  <c r="V330" i="5"/>
  <c r="U330" i="5"/>
  <c r="T330" i="5"/>
  <c r="S330" i="5"/>
  <c r="R330" i="5"/>
  <c r="Q330" i="5"/>
  <c r="P330" i="5"/>
  <c r="O330" i="5"/>
  <c r="N330" i="5"/>
  <c r="M330" i="5"/>
  <c r="L330" i="5"/>
  <c r="K330" i="5"/>
  <c r="I330" i="5"/>
  <c r="H330" i="5"/>
  <c r="G330" i="5"/>
  <c r="F330" i="5"/>
  <c r="E330" i="5"/>
  <c r="BM329" i="5"/>
  <c r="BL329" i="5"/>
  <c r="BK329" i="5"/>
  <c r="BJ329" i="5"/>
  <c r="BI329" i="5"/>
  <c r="BH329" i="5"/>
  <c r="BG329" i="5"/>
  <c r="BF329" i="5"/>
  <c r="BE329" i="5"/>
  <c r="BD329" i="5"/>
  <c r="BC329" i="5"/>
  <c r="BB329" i="5"/>
  <c r="AM329" i="5"/>
  <c r="Y329" i="5"/>
  <c r="W329" i="5"/>
  <c r="V329" i="5"/>
  <c r="U329" i="5"/>
  <c r="T329" i="5"/>
  <c r="S329" i="5"/>
  <c r="R329" i="5"/>
  <c r="Q329" i="5"/>
  <c r="P329" i="5"/>
  <c r="O329" i="5"/>
  <c r="N329" i="5"/>
  <c r="M329" i="5"/>
  <c r="L329" i="5"/>
  <c r="K329" i="5"/>
  <c r="I329" i="5"/>
  <c r="H329" i="5"/>
  <c r="G329" i="5"/>
  <c r="F329" i="5"/>
  <c r="E329" i="5"/>
  <c r="BM328" i="5"/>
  <c r="BL328" i="5"/>
  <c r="BK328" i="5"/>
  <c r="BJ328" i="5"/>
  <c r="BI328" i="5"/>
  <c r="BH328" i="5"/>
  <c r="BG328" i="5"/>
  <c r="BF328" i="5"/>
  <c r="BE328" i="5"/>
  <c r="BD328" i="5"/>
  <c r="BC328" i="5"/>
  <c r="BB328" i="5"/>
  <c r="AM328" i="5"/>
  <c r="Y328" i="5"/>
  <c r="W328" i="5"/>
  <c r="V328" i="5"/>
  <c r="U328" i="5"/>
  <c r="T328" i="5"/>
  <c r="S328" i="5"/>
  <c r="R328" i="5"/>
  <c r="Q328" i="5"/>
  <c r="P328" i="5"/>
  <c r="O328" i="5"/>
  <c r="N328" i="5"/>
  <c r="M328" i="5"/>
  <c r="L328" i="5"/>
  <c r="K328" i="5"/>
  <c r="I328" i="5"/>
  <c r="H328" i="5"/>
  <c r="G328" i="5"/>
  <c r="F328" i="5"/>
  <c r="E328" i="5"/>
  <c r="BM327" i="5"/>
  <c r="BL327" i="5"/>
  <c r="BK327" i="5"/>
  <c r="BJ327" i="5"/>
  <c r="BI327" i="5"/>
  <c r="BH327" i="5"/>
  <c r="BG327" i="5"/>
  <c r="BF327" i="5"/>
  <c r="BE327" i="5"/>
  <c r="BD327" i="5"/>
  <c r="BC327" i="5"/>
  <c r="BB327" i="5"/>
  <c r="AM327" i="5"/>
  <c r="Y327" i="5"/>
  <c r="W327" i="5"/>
  <c r="V327" i="5"/>
  <c r="U327" i="5"/>
  <c r="T327" i="5"/>
  <c r="S327" i="5"/>
  <c r="R327" i="5"/>
  <c r="Q327" i="5"/>
  <c r="P327" i="5"/>
  <c r="O327" i="5"/>
  <c r="N327" i="5"/>
  <c r="M327" i="5"/>
  <c r="L327" i="5"/>
  <c r="K327" i="5"/>
  <c r="I327" i="5"/>
  <c r="H327" i="5"/>
  <c r="G327" i="5"/>
  <c r="F327" i="5"/>
  <c r="E327" i="5"/>
  <c r="BM326" i="5"/>
  <c r="BL326" i="5"/>
  <c r="BK326" i="5"/>
  <c r="BJ326" i="5"/>
  <c r="BI326" i="5"/>
  <c r="BH326" i="5"/>
  <c r="BG326" i="5"/>
  <c r="BF326" i="5"/>
  <c r="BE326" i="5"/>
  <c r="BD326" i="5"/>
  <c r="BC326" i="5"/>
  <c r="BB326" i="5"/>
  <c r="AM326" i="5"/>
  <c r="Y326" i="5"/>
  <c r="W326" i="5"/>
  <c r="V326" i="5"/>
  <c r="U326" i="5"/>
  <c r="T326" i="5"/>
  <c r="S326" i="5"/>
  <c r="R326" i="5"/>
  <c r="Q326" i="5"/>
  <c r="P326" i="5"/>
  <c r="O326" i="5"/>
  <c r="N326" i="5"/>
  <c r="M326" i="5"/>
  <c r="L326" i="5"/>
  <c r="K326" i="5"/>
  <c r="I326" i="5"/>
  <c r="H326" i="5"/>
  <c r="G326" i="5"/>
  <c r="F326" i="5"/>
  <c r="E326" i="5"/>
  <c r="BM325" i="5"/>
  <c r="BL325" i="5"/>
  <c r="BK325" i="5"/>
  <c r="BJ325" i="5"/>
  <c r="BI325" i="5"/>
  <c r="BH325" i="5"/>
  <c r="BG325" i="5"/>
  <c r="BF325" i="5"/>
  <c r="BE325" i="5"/>
  <c r="BD325" i="5"/>
  <c r="BC325" i="5"/>
  <c r="BB325" i="5"/>
  <c r="AM325" i="5"/>
  <c r="Y325" i="5"/>
  <c r="W325" i="5"/>
  <c r="V325" i="5"/>
  <c r="U325" i="5"/>
  <c r="T325" i="5"/>
  <c r="S325" i="5"/>
  <c r="R325" i="5"/>
  <c r="Q325" i="5"/>
  <c r="P325" i="5"/>
  <c r="O325" i="5"/>
  <c r="N325" i="5"/>
  <c r="M325" i="5"/>
  <c r="L325" i="5"/>
  <c r="K325" i="5"/>
  <c r="I325" i="5"/>
  <c r="H325" i="5"/>
  <c r="G325" i="5"/>
  <c r="F325" i="5"/>
  <c r="E325" i="5"/>
  <c r="BM324" i="5"/>
  <c r="BL324" i="5"/>
  <c r="BK324" i="5"/>
  <c r="BJ324" i="5"/>
  <c r="BI324" i="5"/>
  <c r="BH324" i="5"/>
  <c r="BG324" i="5"/>
  <c r="BF324" i="5"/>
  <c r="BE324" i="5"/>
  <c r="BD324" i="5"/>
  <c r="BC324" i="5"/>
  <c r="BB324" i="5"/>
  <c r="AM324" i="5"/>
  <c r="Y324" i="5"/>
  <c r="W324" i="5"/>
  <c r="V324" i="5"/>
  <c r="U324" i="5"/>
  <c r="T324" i="5"/>
  <c r="S324" i="5"/>
  <c r="R324" i="5"/>
  <c r="Q324" i="5"/>
  <c r="P324" i="5"/>
  <c r="O324" i="5"/>
  <c r="N324" i="5"/>
  <c r="M324" i="5"/>
  <c r="L324" i="5"/>
  <c r="K324" i="5"/>
  <c r="I324" i="5"/>
  <c r="H324" i="5"/>
  <c r="G324" i="5"/>
  <c r="F324" i="5"/>
  <c r="E324" i="5"/>
  <c r="BM323" i="5"/>
  <c r="BL323" i="5"/>
  <c r="BK323" i="5"/>
  <c r="BJ323" i="5"/>
  <c r="BI323" i="5"/>
  <c r="BH323" i="5"/>
  <c r="BG323" i="5"/>
  <c r="BF323" i="5"/>
  <c r="BE323" i="5"/>
  <c r="BD323" i="5"/>
  <c r="BC323" i="5"/>
  <c r="BB323" i="5"/>
  <c r="AM323" i="5"/>
  <c r="Y323" i="5"/>
  <c r="W323" i="5"/>
  <c r="V323" i="5"/>
  <c r="U323" i="5"/>
  <c r="T323" i="5"/>
  <c r="S323" i="5"/>
  <c r="R323" i="5"/>
  <c r="Q323" i="5"/>
  <c r="P323" i="5"/>
  <c r="O323" i="5"/>
  <c r="N323" i="5"/>
  <c r="M323" i="5"/>
  <c r="L323" i="5"/>
  <c r="K323" i="5"/>
  <c r="I323" i="5"/>
  <c r="H323" i="5"/>
  <c r="G323" i="5"/>
  <c r="F323" i="5"/>
  <c r="E323" i="5"/>
  <c r="BM322" i="5"/>
  <c r="BL322" i="5"/>
  <c r="BK322" i="5"/>
  <c r="BJ322" i="5"/>
  <c r="BI322" i="5"/>
  <c r="BH322" i="5"/>
  <c r="BG322" i="5"/>
  <c r="BF322" i="5"/>
  <c r="BE322" i="5"/>
  <c r="BD322" i="5"/>
  <c r="BC322" i="5"/>
  <c r="BB322" i="5"/>
  <c r="AM322" i="5"/>
  <c r="Y322" i="5"/>
  <c r="W322" i="5"/>
  <c r="V322" i="5"/>
  <c r="U322" i="5"/>
  <c r="T322" i="5"/>
  <c r="S322" i="5"/>
  <c r="R322" i="5"/>
  <c r="Q322" i="5"/>
  <c r="P322" i="5"/>
  <c r="O322" i="5"/>
  <c r="N322" i="5"/>
  <c r="M322" i="5"/>
  <c r="L322" i="5"/>
  <c r="K322" i="5"/>
  <c r="I322" i="5"/>
  <c r="H322" i="5"/>
  <c r="G322" i="5"/>
  <c r="F322" i="5"/>
  <c r="E322" i="5"/>
  <c r="BM321" i="5"/>
  <c r="BL321" i="5"/>
  <c r="BK321" i="5"/>
  <c r="BJ321" i="5"/>
  <c r="BI321" i="5"/>
  <c r="BH321" i="5"/>
  <c r="BG321" i="5"/>
  <c r="BF321" i="5"/>
  <c r="BE321" i="5"/>
  <c r="BD321" i="5"/>
  <c r="BC321" i="5"/>
  <c r="BB321" i="5"/>
  <c r="AM321" i="5"/>
  <c r="Y321" i="5"/>
  <c r="W321" i="5"/>
  <c r="V321" i="5"/>
  <c r="U321" i="5"/>
  <c r="T321" i="5"/>
  <c r="S321" i="5"/>
  <c r="R321" i="5"/>
  <c r="Q321" i="5"/>
  <c r="P321" i="5"/>
  <c r="O321" i="5"/>
  <c r="N321" i="5"/>
  <c r="M321" i="5"/>
  <c r="L321" i="5"/>
  <c r="K321" i="5"/>
  <c r="I321" i="5"/>
  <c r="H321" i="5"/>
  <c r="G321" i="5"/>
  <c r="F321" i="5"/>
  <c r="E321" i="5"/>
  <c r="BM320" i="5"/>
  <c r="BL320" i="5"/>
  <c r="BK320" i="5"/>
  <c r="BJ320" i="5"/>
  <c r="BI320" i="5"/>
  <c r="BH320" i="5"/>
  <c r="BG320" i="5"/>
  <c r="BF320" i="5"/>
  <c r="BE320" i="5"/>
  <c r="BD320" i="5"/>
  <c r="BC320" i="5"/>
  <c r="BB320" i="5"/>
  <c r="AM320" i="5"/>
  <c r="Y320" i="5"/>
  <c r="W320" i="5"/>
  <c r="V320" i="5"/>
  <c r="U320" i="5"/>
  <c r="T320" i="5"/>
  <c r="S320" i="5"/>
  <c r="R320" i="5"/>
  <c r="Q320" i="5"/>
  <c r="P320" i="5"/>
  <c r="O320" i="5"/>
  <c r="N320" i="5"/>
  <c r="M320" i="5"/>
  <c r="L320" i="5"/>
  <c r="K320" i="5"/>
  <c r="I320" i="5"/>
  <c r="H320" i="5"/>
  <c r="G320" i="5"/>
  <c r="F320" i="5"/>
  <c r="E320" i="5"/>
  <c r="BM319" i="5"/>
  <c r="BL319" i="5"/>
  <c r="BK319" i="5"/>
  <c r="BJ319" i="5"/>
  <c r="BI319" i="5"/>
  <c r="BH319" i="5"/>
  <c r="BG319" i="5"/>
  <c r="BF319" i="5"/>
  <c r="BE319" i="5"/>
  <c r="BD319" i="5"/>
  <c r="BC319" i="5"/>
  <c r="BB319" i="5"/>
  <c r="AM319" i="5"/>
  <c r="Y319" i="5"/>
  <c r="W319" i="5"/>
  <c r="V319" i="5"/>
  <c r="U319" i="5"/>
  <c r="T319" i="5"/>
  <c r="S319" i="5"/>
  <c r="R319" i="5"/>
  <c r="Q319" i="5"/>
  <c r="P319" i="5"/>
  <c r="O319" i="5"/>
  <c r="N319" i="5"/>
  <c r="M319" i="5"/>
  <c r="L319" i="5"/>
  <c r="K319" i="5"/>
  <c r="I319" i="5"/>
  <c r="H319" i="5"/>
  <c r="G319" i="5"/>
  <c r="F319" i="5"/>
  <c r="E319" i="5"/>
  <c r="BM318" i="5"/>
  <c r="BL318" i="5"/>
  <c r="BK318" i="5"/>
  <c r="BJ318" i="5"/>
  <c r="BI318" i="5"/>
  <c r="BH318" i="5"/>
  <c r="BG318" i="5"/>
  <c r="BF318" i="5"/>
  <c r="BE318" i="5"/>
  <c r="BD318" i="5"/>
  <c r="BC318" i="5"/>
  <c r="BB318" i="5"/>
  <c r="AM318" i="5"/>
  <c r="Y318" i="5"/>
  <c r="W318" i="5"/>
  <c r="V318" i="5"/>
  <c r="U318" i="5"/>
  <c r="T318" i="5"/>
  <c r="S318" i="5"/>
  <c r="R318" i="5"/>
  <c r="Q318" i="5"/>
  <c r="P318" i="5"/>
  <c r="O318" i="5"/>
  <c r="N318" i="5"/>
  <c r="M318" i="5"/>
  <c r="L318" i="5"/>
  <c r="K318" i="5"/>
  <c r="I318" i="5"/>
  <c r="H318" i="5"/>
  <c r="G318" i="5"/>
  <c r="F318" i="5"/>
  <c r="E318" i="5"/>
  <c r="BM317" i="5"/>
  <c r="BL317" i="5"/>
  <c r="BK317" i="5"/>
  <c r="BJ317" i="5"/>
  <c r="BI317" i="5"/>
  <c r="BH317" i="5"/>
  <c r="BG317" i="5"/>
  <c r="BF317" i="5"/>
  <c r="BE317" i="5"/>
  <c r="BD317" i="5"/>
  <c r="BC317" i="5"/>
  <c r="BB317" i="5"/>
  <c r="AM317" i="5"/>
  <c r="Y317" i="5"/>
  <c r="W317" i="5"/>
  <c r="V317" i="5"/>
  <c r="U317" i="5"/>
  <c r="T317" i="5"/>
  <c r="S317" i="5"/>
  <c r="R317" i="5"/>
  <c r="Q317" i="5"/>
  <c r="P317" i="5"/>
  <c r="O317" i="5"/>
  <c r="N317" i="5"/>
  <c r="M317" i="5"/>
  <c r="L317" i="5"/>
  <c r="K317" i="5"/>
  <c r="I317" i="5"/>
  <c r="H317" i="5"/>
  <c r="G317" i="5"/>
  <c r="F317" i="5"/>
  <c r="E317" i="5"/>
  <c r="BM316" i="5"/>
  <c r="BL316" i="5"/>
  <c r="BK316" i="5"/>
  <c r="BJ316" i="5"/>
  <c r="BI316" i="5"/>
  <c r="BH316" i="5"/>
  <c r="BG316" i="5"/>
  <c r="BF316" i="5"/>
  <c r="BE316" i="5"/>
  <c r="BD316" i="5"/>
  <c r="BC316" i="5"/>
  <c r="BB316" i="5"/>
  <c r="AM316" i="5"/>
  <c r="Y316" i="5"/>
  <c r="W316" i="5"/>
  <c r="V316" i="5"/>
  <c r="U316" i="5"/>
  <c r="T316" i="5"/>
  <c r="S316" i="5"/>
  <c r="R316" i="5"/>
  <c r="Q316" i="5"/>
  <c r="P316" i="5"/>
  <c r="O316" i="5"/>
  <c r="N316" i="5"/>
  <c r="M316" i="5"/>
  <c r="L316" i="5"/>
  <c r="K316" i="5"/>
  <c r="I316" i="5"/>
  <c r="H316" i="5"/>
  <c r="G316" i="5"/>
  <c r="F316" i="5"/>
  <c r="E316" i="5"/>
  <c r="BM315" i="5"/>
  <c r="BL315" i="5"/>
  <c r="BK315" i="5"/>
  <c r="BJ315" i="5"/>
  <c r="BI315" i="5"/>
  <c r="BH315" i="5"/>
  <c r="BG315" i="5"/>
  <c r="BF315" i="5"/>
  <c r="BE315" i="5"/>
  <c r="BD315" i="5"/>
  <c r="BC315" i="5"/>
  <c r="BB315" i="5"/>
  <c r="AM315" i="5"/>
  <c r="Y315" i="5"/>
  <c r="W315" i="5"/>
  <c r="V315" i="5"/>
  <c r="U315" i="5"/>
  <c r="T315" i="5"/>
  <c r="S315" i="5"/>
  <c r="R315" i="5"/>
  <c r="Q315" i="5"/>
  <c r="P315" i="5"/>
  <c r="O315" i="5"/>
  <c r="N315" i="5"/>
  <c r="M315" i="5"/>
  <c r="L315" i="5"/>
  <c r="K315" i="5"/>
  <c r="I315" i="5"/>
  <c r="H315" i="5"/>
  <c r="G315" i="5"/>
  <c r="F315" i="5"/>
  <c r="E315" i="5"/>
  <c r="BM314" i="5"/>
  <c r="BL314" i="5"/>
  <c r="BK314" i="5"/>
  <c r="BJ314" i="5"/>
  <c r="BI314" i="5"/>
  <c r="BH314" i="5"/>
  <c r="BG314" i="5"/>
  <c r="BF314" i="5"/>
  <c r="BE314" i="5"/>
  <c r="BD314" i="5"/>
  <c r="BC314" i="5"/>
  <c r="BB314" i="5"/>
  <c r="AM314" i="5"/>
  <c r="Y314" i="5"/>
  <c r="W314" i="5"/>
  <c r="V314" i="5"/>
  <c r="U314" i="5"/>
  <c r="T314" i="5"/>
  <c r="S314" i="5"/>
  <c r="R314" i="5"/>
  <c r="Q314" i="5"/>
  <c r="P314" i="5"/>
  <c r="O314" i="5"/>
  <c r="N314" i="5"/>
  <c r="M314" i="5"/>
  <c r="L314" i="5"/>
  <c r="K314" i="5"/>
  <c r="I314" i="5"/>
  <c r="H314" i="5"/>
  <c r="G314" i="5"/>
  <c r="F314" i="5"/>
  <c r="E314" i="5"/>
  <c r="BM313" i="5"/>
  <c r="BL313" i="5"/>
  <c r="BK313" i="5"/>
  <c r="BJ313" i="5"/>
  <c r="BI313" i="5"/>
  <c r="BH313" i="5"/>
  <c r="BG313" i="5"/>
  <c r="BF313" i="5"/>
  <c r="BE313" i="5"/>
  <c r="BD313" i="5"/>
  <c r="BC313" i="5"/>
  <c r="BB313" i="5"/>
  <c r="AM313" i="5"/>
  <c r="Y313" i="5"/>
  <c r="W313" i="5"/>
  <c r="V313" i="5"/>
  <c r="U313" i="5"/>
  <c r="T313" i="5"/>
  <c r="S313" i="5"/>
  <c r="R313" i="5"/>
  <c r="Q313" i="5"/>
  <c r="P313" i="5"/>
  <c r="O313" i="5"/>
  <c r="N313" i="5"/>
  <c r="M313" i="5"/>
  <c r="L313" i="5"/>
  <c r="K313" i="5"/>
  <c r="I313" i="5"/>
  <c r="H313" i="5"/>
  <c r="G313" i="5"/>
  <c r="F313" i="5"/>
  <c r="E313" i="5"/>
  <c r="BM312" i="5"/>
  <c r="BL312" i="5"/>
  <c r="BK312" i="5"/>
  <c r="BJ312" i="5"/>
  <c r="BI312" i="5"/>
  <c r="BH312" i="5"/>
  <c r="BG312" i="5"/>
  <c r="BF312" i="5"/>
  <c r="BE312" i="5"/>
  <c r="BD312" i="5"/>
  <c r="BC312" i="5"/>
  <c r="BB312" i="5"/>
  <c r="AM312" i="5"/>
  <c r="Y312" i="5"/>
  <c r="W312" i="5"/>
  <c r="V312" i="5"/>
  <c r="U312" i="5"/>
  <c r="T312" i="5"/>
  <c r="S312" i="5"/>
  <c r="R312" i="5"/>
  <c r="Q312" i="5"/>
  <c r="P312" i="5"/>
  <c r="O312" i="5"/>
  <c r="N312" i="5"/>
  <c r="M312" i="5"/>
  <c r="L312" i="5"/>
  <c r="K312" i="5"/>
  <c r="I312" i="5"/>
  <c r="H312" i="5"/>
  <c r="G312" i="5"/>
  <c r="F312" i="5"/>
  <c r="E312" i="5"/>
  <c r="BM311" i="5"/>
  <c r="BL311" i="5"/>
  <c r="BK311" i="5"/>
  <c r="BJ311" i="5"/>
  <c r="BI311" i="5"/>
  <c r="BH311" i="5"/>
  <c r="BG311" i="5"/>
  <c r="BF311" i="5"/>
  <c r="BE311" i="5"/>
  <c r="BD311" i="5"/>
  <c r="BC311" i="5"/>
  <c r="BB311" i="5"/>
  <c r="AM311" i="5"/>
  <c r="Y311" i="5"/>
  <c r="W311" i="5"/>
  <c r="V311" i="5"/>
  <c r="U311" i="5"/>
  <c r="T311" i="5"/>
  <c r="S311" i="5"/>
  <c r="R311" i="5"/>
  <c r="Q311" i="5"/>
  <c r="P311" i="5"/>
  <c r="O311" i="5"/>
  <c r="N311" i="5"/>
  <c r="M311" i="5"/>
  <c r="L311" i="5"/>
  <c r="K311" i="5"/>
  <c r="I311" i="5"/>
  <c r="H311" i="5"/>
  <c r="G311" i="5"/>
  <c r="F311" i="5"/>
  <c r="E311" i="5"/>
  <c r="BM310" i="5"/>
  <c r="BL310" i="5"/>
  <c r="BK310" i="5"/>
  <c r="BJ310" i="5"/>
  <c r="BI310" i="5"/>
  <c r="BH310" i="5"/>
  <c r="BG310" i="5"/>
  <c r="BF310" i="5"/>
  <c r="BE310" i="5"/>
  <c r="BD310" i="5"/>
  <c r="BC310" i="5"/>
  <c r="BB310" i="5"/>
  <c r="AM310" i="5"/>
  <c r="Y310" i="5"/>
  <c r="W310" i="5"/>
  <c r="V310" i="5"/>
  <c r="U310" i="5"/>
  <c r="T310" i="5"/>
  <c r="S310" i="5"/>
  <c r="R310" i="5"/>
  <c r="Q310" i="5"/>
  <c r="P310" i="5"/>
  <c r="O310" i="5"/>
  <c r="N310" i="5"/>
  <c r="M310" i="5"/>
  <c r="L310" i="5"/>
  <c r="K310" i="5"/>
  <c r="I310" i="5"/>
  <c r="H310" i="5"/>
  <c r="G310" i="5"/>
  <c r="F310" i="5"/>
  <c r="E310" i="5"/>
  <c r="BM309" i="5"/>
  <c r="BL309" i="5"/>
  <c r="BK309" i="5"/>
  <c r="BJ309" i="5"/>
  <c r="BI309" i="5"/>
  <c r="BH309" i="5"/>
  <c r="BG309" i="5"/>
  <c r="BF309" i="5"/>
  <c r="BE309" i="5"/>
  <c r="BD309" i="5"/>
  <c r="BC309" i="5"/>
  <c r="BB309" i="5"/>
  <c r="AM309" i="5"/>
  <c r="Y309" i="5"/>
  <c r="W309" i="5"/>
  <c r="V309" i="5"/>
  <c r="U309" i="5"/>
  <c r="T309" i="5"/>
  <c r="S309" i="5"/>
  <c r="R309" i="5"/>
  <c r="Q309" i="5"/>
  <c r="P309" i="5"/>
  <c r="O309" i="5"/>
  <c r="N309" i="5"/>
  <c r="M309" i="5"/>
  <c r="L309" i="5"/>
  <c r="K309" i="5"/>
  <c r="I309" i="5"/>
  <c r="H309" i="5"/>
  <c r="G309" i="5"/>
  <c r="F309" i="5"/>
  <c r="E309" i="5"/>
  <c r="BM308" i="5"/>
  <c r="BL308" i="5"/>
  <c r="BK308" i="5"/>
  <c r="BJ308" i="5"/>
  <c r="BI308" i="5"/>
  <c r="BH308" i="5"/>
  <c r="BG308" i="5"/>
  <c r="BF308" i="5"/>
  <c r="BE308" i="5"/>
  <c r="BD308" i="5"/>
  <c r="BC308" i="5"/>
  <c r="BB308" i="5"/>
  <c r="AM308" i="5"/>
  <c r="Y308" i="5"/>
  <c r="W308" i="5"/>
  <c r="V308" i="5"/>
  <c r="U308" i="5"/>
  <c r="T308" i="5"/>
  <c r="S308" i="5"/>
  <c r="R308" i="5"/>
  <c r="Q308" i="5"/>
  <c r="P308" i="5"/>
  <c r="O308" i="5"/>
  <c r="N308" i="5"/>
  <c r="M308" i="5"/>
  <c r="L308" i="5"/>
  <c r="K308" i="5"/>
  <c r="I308" i="5"/>
  <c r="H308" i="5"/>
  <c r="G308" i="5"/>
  <c r="F308" i="5"/>
  <c r="E308" i="5"/>
  <c r="BM307" i="5"/>
  <c r="BL307" i="5"/>
  <c r="BK307" i="5"/>
  <c r="BJ307" i="5"/>
  <c r="BI307" i="5"/>
  <c r="BH307" i="5"/>
  <c r="BG307" i="5"/>
  <c r="BF307" i="5"/>
  <c r="BE307" i="5"/>
  <c r="BD307" i="5"/>
  <c r="BC307" i="5"/>
  <c r="BB307" i="5"/>
  <c r="AM307" i="5"/>
  <c r="Y307" i="5"/>
  <c r="W307" i="5"/>
  <c r="V307" i="5"/>
  <c r="U307" i="5"/>
  <c r="T307" i="5"/>
  <c r="S307" i="5"/>
  <c r="R307" i="5"/>
  <c r="Q307" i="5"/>
  <c r="P307" i="5"/>
  <c r="O307" i="5"/>
  <c r="N307" i="5"/>
  <c r="M307" i="5"/>
  <c r="L307" i="5"/>
  <c r="K307" i="5"/>
  <c r="I307" i="5"/>
  <c r="H307" i="5"/>
  <c r="G307" i="5"/>
  <c r="F307" i="5"/>
  <c r="E307" i="5"/>
  <c r="BM306" i="5"/>
  <c r="BL306" i="5"/>
  <c r="BK306" i="5"/>
  <c r="BJ306" i="5"/>
  <c r="BI306" i="5"/>
  <c r="BH306" i="5"/>
  <c r="BG306" i="5"/>
  <c r="BF306" i="5"/>
  <c r="BE306" i="5"/>
  <c r="BD306" i="5"/>
  <c r="BC306" i="5"/>
  <c r="BB306" i="5"/>
  <c r="AM306" i="5"/>
  <c r="Y306" i="5"/>
  <c r="W306" i="5"/>
  <c r="V306" i="5"/>
  <c r="U306" i="5"/>
  <c r="T306" i="5"/>
  <c r="S306" i="5"/>
  <c r="R306" i="5"/>
  <c r="Q306" i="5"/>
  <c r="P306" i="5"/>
  <c r="O306" i="5"/>
  <c r="N306" i="5"/>
  <c r="M306" i="5"/>
  <c r="L306" i="5"/>
  <c r="K306" i="5"/>
  <c r="I306" i="5"/>
  <c r="H306" i="5"/>
  <c r="G306" i="5"/>
  <c r="F306" i="5"/>
  <c r="E306" i="5"/>
  <c r="BM305" i="5"/>
  <c r="BL305" i="5"/>
  <c r="BK305" i="5"/>
  <c r="BJ305" i="5"/>
  <c r="BI305" i="5"/>
  <c r="BH305" i="5"/>
  <c r="BG305" i="5"/>
  <c r="BF305" i="5"/>
  <c r="BE305" i="5"/>
  <c r="BD305" i="5"/>
  <c r="BC305" i="5"/>
  <c r="BB305" i="5"/>
  <c r="AM305" i="5"/>
  <c r="Y305" i="5"/>
  <c r="W305" i="5"/>
  <c r="V305" i="5"/>
  <c r="U305" i="5"/>
  <c r="T305" i="5"/>
  <c r="S305" i="5"/>
  <c r="R305" i="5"/>
  <c r="Q305" i="5"/>
  <c r="P305" i="5"/>
  <c r="O305" i="5"/>
  <c r="N305" i="5"/>
  <c r="M305" i="5"/>
  <c r="L305" i="5"/>
  <c r="K305" i="5"/>
  <c r="I305" i="5"/>
  <c r="H305" i="5"/>
  <c r="G305" i="5"/>
  <c r="F305" i="5"/>
  <c r="E305" i="5"/>
  <c r="BM304" i="5"/>
  <c r="BL304" i="5"/>
  <c r="BK304" i="5"/>
  <c r="BJ304" i="5"/>
  <c r="BI304" i="5"/>
  <c r="BH304" i="5"/>
  <c r="BG304" i="5"/>
  <c r="BF304" i="5"/>
  <c r="BE304" i="5"/>
  <c r="BD304" i="5"/>
  <c r="BC304" i="5"/>
  <c r="BB304" i="5"/>
  <c r="AM304" i="5"/>
  <c r="Y304" i="5"/>
  <c r="W304" i="5"/>
  <c r="V304" i="5"/>
  <c r="U304" i="5"/>
  <c r="T304" i="5"/>
  <c r="S304" i="5"/>
  <c r="R304" i="5"/>
  <c r="Q304" i="5"/>
  <c r="P304" i="5"/>
  <c r="O304" i="5"/>
  <c r="N304" i="5"/>
  <c r="M304" i="5"/>
  <c r="L304" i="5"/>
  <c r="K304" i="5"/>
  <c r="I304" i="5"/>
  <c r="H304" i="5"/>
  <c r="G304" i="5"/>
  <c r="F304" i="5"/>
  <c r="E304" i="5"/>
  <c r="BM303" i="5"/>
  <c r="BL303" i="5"/>
  <c r="BK303" i="5"/>
  <c r="BJ303" i="5"/>
  <c r="BI303" i="5"/>
  <c r="BH303" i="5"/>
  <c r="BG303" i="5"/>
  <c r="BF303" i="5"/>
  <c r="BE303" i="5"/>
  <c r="BD303" i="5"/>
  <c r="BC303" i="5"/>
  <c r="BB303" i="5"/>
  <c r="AM303" i="5"/>
  <c r="Y303" i="5"/>
  <c r="W303" i="5"/>
  <c r="V303" i="5"/>
  <c r="U303" i="5"/>
  <c r="T303" i="5"/>
  <c r="S303" i="5"/>
  <c r="R303" i="5"/>
  <c r="Q303" i="5"/>
  <c r="P303" i="5"/>
  <c r="O303" i="5"/>
  <c r="N303" i="5"/>
  <c r="M303" i="5"/>
  <c r="L303" i="5"/>
  <c r="K303" i="5"/>
  <c r="I303" i="5"/>
  <c r="H303" i="5"/>
  <c r="G303" i="5"/>
  <c r="F303" i="5"/>
  <c r="E303" i="5"/>
  <c r="BM302" i="5"/>
  <c r="BL302" i="5"/>
  <c r="BK302" i="5"/>
  <c r="BJ302" i="5"/>
  <c r="BI302" i="5"/>
  <c r="BH302" i="5"/>
  <c r="BG302" i="5"/>
  <c r="BF302" i="5"/>
  <c r="BE302" i="5"/>
  <c r="BD302" i="5"/>
  <c r="BC302" i="5"/>
  <c r="BB302" i="5"/>
  <c r="AM302" i="5"/>
  <c r="Y302" i="5"/>
  <c r="W302" i="5"/>
  <c r="V302" i="5"/>
  <c r="U302" i="5"/>
  <c r="T302" i="5"/>
  <c r="S302" i="5"/>
  <c r="R302" i="5"/>
  <c r="Q302" i="5"/>
  <c r="P302" i="5"/>
  <c r="O302" i="5"/>
  <c r="N302" i="5"/>
  <c r="M302" i="5"/>
  <c r="L302" i="5"/>
  <c r="K302" i="5"/>
  <c r="I302" i="5"/>
  <c r="H302" i="5"/>
  <c r="G302" i="5"/>
  <c r="F302" i="5"/>
  <c r="E302" i="5"/>
  <c r="BM301" i="5"/>
  <c r="BL301" i="5"/>
  <c r="BK301" i="5"/>
  <c r="BJ301" i="5"/>
  <c r="BI301" i="5"/>
  <c r="BH301" i="5"/>
  <c r="BG301" i="5"/>
  <c r="BF301" i="5"/>
  <c r="BE301" i="5"/>
  <c r="BD301" i="5"/>
  <c r="BC301" i="5"/>
  <c r="BB301" i="5"/>
  <c r="AM301" i="5"/>
  <c r="Y301" i="5"/>
  <c r="W301" i="5"/>
  <c r="V301" i="5"/>
  <c r="U301" i="5"/>
  <c r="T301" i="5"/>
  <c r="S301" i="5"/>
  <c r="R301" i="5"/>
  <c r="Q301" i="5"/>
  <c r="P301" i="5"/>
  <c r="O301" i="5"/>
  <c r="N301" i="5"/>
  <c r="M301" i="5"/>
  <c r="L301" i="5"/>
  <c r="K301" i="5"/>
  <c r="I301" i="5"/>
  <c r="H301" i="5"/>
  <c r="G301" i="5"/>
  <c r="F301" i="5"/>
  <c r="E301" i="5"/>
  <c r="BM300" i="5"/>
  <c r="BL300" i="5"/>
  <c r="BK300" i="5"/>
  <c r="BJ300" i="5"/>
  <c r="BI300" i="5"/>
  <c r="BH300" i="5"/>
  <c r="BG300" i="5"/>
  <c r="BF300" i="5"/>
  <c r="BE300" i="5"/>
  <c r="BD300" i="5"/>
  <c r="BC300" i="5"/>
  <c r="BB300" i="5"/>
  <c r="AM300" i="5"/>
  <c r="Y300" i="5"/>
  <c r="W300" i="5"/>
  <c r="V300" i="5"/>
  <c r="U300" i="5"/>
  <c r="T300" i="5"/>
  <c r="S300" i="5"/>
  <c r="R300" i="5"/>
  <c r="Q300" i="5"/>
  <c r="P300" i="5"/>
  <c r="O300" i="5"/>
  <c r="N300" i="5"/>
  <c r="M300" i="5"/>
  <c r="L300" i="5"/>
  <c r="K300" i="5"/>
  <c r="I300" i="5"/>
  <c r="H300" i="5"/>
  <c r="G300" i="5"/>
  <c r="F300" i="5"/>
  <c r="E300" i="5"/>
  <c r="BM299" i="5"/>
  <c r="BL299" i="5"/>
  <c r="BK299" i="5"/>
  <c r="BJ299" i="5"/>
  <c r="BI299" i="5"/>
  <c r="BH299" i="5"/>
  <c r="BG299" i="5"/>
  <c r="BF299" i="5"/>
  <c r="BE299" i="5"/>
  <c r="BD299" i="5"/>
  <c r="BC299" i="5"/>
  <c r="BB299" i="5"/>
  <c r="AM299" i="5"/>
  <c r="Y299" i="5"/>
  <c r="W299" i="5"/>
  <c r="V299" i="5"/>
  <c r="U299" i="5"/>
  <c r="T299" i="5"/>
  <c r="S299" i="5"/>
  <c r="R299" i="5"/>
  <c r="Q299" i="5"/>
  <c r="P299" i="5"/>
  <c r="O299" i="5"/>
  <c r="N299" i="5"/>
  <c r="M299" i="5"/>
  <c r="L299" i="5"/>
  <c r="K299" i="5"/>
  <c r="I299" i="5"/>
  <c r="H299" i="5"/>
  <c r="G299" i="5"/>
  <c r="F299" i="5"/>
  <c r="E299" i="5"/>
  <c r="BM298" i="5"/>
  <c r="BL298" i="5"/>
  <c r="BK298" i="5"/>
  <c r="BJ298" i="5"/>
  <c r="BI298" i="5"/>
  <c r="BH298" i="5"/>
  <c r="BG298" i="5"/>
  <c r="BF298" i="5"/>
  <c r="BE298" i="5"/>
  <c r="BD298" i="5"/>
  <c r="BC298" i="5"/>
  <c r="BB298" i="5"/>
  <c r="AM298" i="5"/>
  <c r="Y298" i="5"/>
  <c r="W298" i="5"/>
  <c r="V298" i="5"/>
  <c r="U298" i="5"/>
  <c r="T298" i="5"/>
  <c r="S298" i="5"/>
  <c r="R298" i="5"/>
  <c r="Q298" i="5"/>
  <c r="P298" i="5"/>
  <c r="O298" i="5"/>
  <c r="N298" i="5"/>
  <c r="M298" i="5"/>
  <c r="L298" i="5"/>
  <c r="K298" i="5"/>
  <c r="I298" i="5"/>
  <c r="H298" i="5"/>
  <c r="G298" i="5"/>
  <c r="F298" i="5"/>
  <c r="E298" i="5"/>
  <c r="BM297" i="5"/>
  <c r="BL297" i="5"/>
  <c r="BK297" i="5"/>
  <c r="BJ297" i="5"/>
  <c r="BI297" i="5"/>
  <c r="BH297" i="5"/>
  <c r="BG297" i="5"/>
  <c r="BF297" i="5"/>
  <c r="BE297" i="5"/>
  <c r="BD297" i="5"/>
  <c r="BC297" i="5"/>
  <c r="BB297" i="5"/>
  <c r="AM297" i="5"/>
  <c r="Y297" i="5"/>
  <c r="W297" i="5"/>
  <c r="V297" i="5"/>
  <c r="U297" i="5"/>
  <c r="T297" i="5"/>
  <c r="S297" i="5"/>
  <c r="R297" i="5"/>
  <c r="Q297" i="5"/>
  <c r="P297" i="5"/>
  <c r="O297" i="5"/>
  <c r="N297" i="5"/>
  <c r="M297" i="5"/>
  <c r="L297" i="5"/>
  <c r="K297" i="5"/>
  <c r="I297" i="5"/>
  <c r="H297" i="5"/>
  <c r="G297" i="5"/>
  <c r="F297" i="5"/>
  <c r="E297" i="5"/>
  <c r="BM296" i="5"/>
  <c r="BL296" i="5"/>
  <c r="BK296" i="5"/>
  <c r="BJ296" i="5"/>
  <c r="BI296" i="5"/>
  <c r="BH296" i="5"/>
  <c r="BG296" i="5"/>
  <c r="BF296" i="5"/>
  <c r="BE296" i="5"/>
  <c r="BD296" i="5"/>
  <c r="BC296" i="5"/>
  <c r="BB296" i="5"/>
  <c r="AM296" i="5"/>
  <c r="Y296" i="5"/>
  <c r="W296" i="5"/>
  <c r="V296" i="5"/>
  <c r="U296" i="5"/>
  <c r="T296" i="5"/>
  <c r="S296" i="5"/>
  <c r="R296" i="5"/>
  <c r="Q296" i="5"/>
  <c r="P296" i="5"/>
  <c r="O296" i="5"/>
  <c r="N296" i="5"/>
  <c r="M296" i="5"/>
  <c r="L296" i="5"/>
  <c r="K296" i="5"/>
  <c r="I296" i="5"/>
  <c r="H296" i="5"/>
  <c r="G296" i="5"/>
  <c r="F296" i="5"/>
  <c r="E296" i="5"/>
  <c r="BM295" i="5"/>
  <c r="BL295" i="5"/>
  <c r="BK295" i="5"/>
  <c r="BJ295" i="5"/>
  <c r="BI295" i="5"/>
  <c r="BH295" i="5"/>
  <c r="BG295" i="5"/>
  <c r="BF295" i="5"/>
  <c r="BE295" i="5"/>
  <c r="BD295" i="5"/>
  <c r="BC295" i="5"/>
  <c r="BB295" i="5"/>
  <c r="AM295" i="5"/>
  <c r="Y295" i="5"/>
  <c r="W295" i="5"/>
  <c r="V295" i="5"/>
  <c r="U295" i="5"/>
  <c r="T295" i="5"/>
  <c r="S295" i="5"/>
  <c r="R295" i="5"/>
  <c r="Q295" i="5"/>
  <c r="P295" i="5"/>
  <c r="O295" i="5"/>
  <c r="N295" i="5"/>
  <c r="M295" i="5"/>
  <c r="L295" i="5"/>
  <c r="K295" i="5"/>
  <c r="I295" i="5"/>
  <c r="H295" i="5"/>
  <c r="G295" i="5"/>
  <c r="F295" i="5"/>
  <c r="E295" i="5"/>
  <c r="BM294" i="5"/>
  <c r="BL294" i="5"/>
  <c r="BK294" i="5"/>
  <c r="BJ294" i="5"/>
  <c r="BI294" i="5"/>
  <c r="BH294" i="5"/>
  <c r="BG294" i="5"/>
  <c r="BF294" i="5"/>
  <c r="BE294" i="5"/>
  <c r="BD294" i="5"/>
  <c r="BC294" i="5"/>
  <c r="BB294" i="5"/>
  <c r="AM294" i="5"/>
  <c r="Y294" i="5"/>
  <c r="W294" i="5"/>
  <c r="V294" i="5"/>
  <c r="U294" i="5"/>
  <c r="T294" i="5"/>
  <c r="S294" i="5"/>
  <c r="R294" i="5"/>
  <c r="Q294" i="5"/>
  <c r="P294" i="5"/>
  <c r="O294" i="5"/>
  <c r="N294" i="5"/>
  <c r="M294" i="5"/>
  <c r="L294" i="5"/>
  <c r="K294" i="5"/>
  <c r="I294" i="5"/>
  <c r="H294" i="5"/>
  <c r="G294" i="5"/>
  <c r="F294" i="5"/>
  <c r="E294" i="5"/>
  <c r="BM293" i="5"/>
  <c r="BL293" i="5"/>
  <c r="BK293" i="5"/>
  <c r="BJ293" i="5"/>
  <c r="BI293" i="5"/>
  <c r="BH293" i="5"/>
  <c r="BG293" i="5"/>
  <c r="BF293" i="5"/>
  <c r="BE293" i="5"/>
  <c r="BD293" i="5"/>
  <c r="BC293" i="5"/>
  <c r="BB293" i="5"/>
  <c r="AM293" i="5"/>
  <c r="Y293" i="5"/>
  <c r="W293" i="5"/>
  <c r="V293" i="5"/>
  <c r="U293" i="5"/>
  <c r="T293" i="5"/>
  <c r="S293" i="5"/>
  <c r="R293" i="5"/>
  <c r="Q293" i="5"/>
  <c r="P293" i="5"/>
  <c r="O293" i="5"/>
  <c r="N293" i="5"/>
  <c r="M293" i="5"/>
  <c r="L293" i="5"/>
  <c r="K293" i="5"/>
  <c r="I293" i="5"/>
  <c r="H293" i="5"/>
  <c r="G293" i="5"/>
  <c r="F293" i="5"/>
  <c r="E293" i="5"/>
  <c r="BM292" i="5"/>
  <c r="BL292" i="5"/>
  <c r="BK292" i="5"/>
  <c r="BJ292" i="5"/>
  <c r="BI292" i="5"/>
  <c r="BH292" i="5"/>
  <c r="BG292" i="5"/>
  <c r="BF292" i="5"/>
  <c r="BE292" i="5"/>
  <c r="BD292" i="5"/>
  <c r="BC292" i="5"/>
  <c r="BB292" i="5"/>
  <c r="AM292" i="5"/>
  <c r="Y292" i="5"/>
  <c r="W292" i="5"/>
  <c r="V292" i="5"/>
  <c r="U292" i="5"/>
  <c r="T292" i="5"/>
  <c r="S292" i="5"/>
  <c r="R292" i="5"/>
  <c r="Q292" i="5"/>
  <c r="P292" i="5"/>
  <c r="O292" i="5"/>
  <c r="N292" i="5"/>
  <c r="M292" i="5"/>
  <c r="L292" i="5"/>
  <c r="K292" i="5"/>
  <c r="I292" i="5"/>
  <c r="H292" i="5"/>
  <c r="G292" i="5"/>
  <c r="F292" i="5"/>
  <c r="E292" i="5"/>
  <c r="BM291" i="5"/>
  <c r="BL291" i="5"/>
  <c r="BK291" i="5"/>
  <c r="BJ291" i="5"/>
  <c r="BI291" i="5"/>
  <c r="BH291" i="5"/>
  <c r="BG291" i="5"/>
  <c r="BF291" i="5"/>
  <c r="BE291" i="5"/>
  <c r="BD291" i="5"/>
  <c r="BC291" i="5"/>
  <c r="BB291" i="5"/>
  <c r="AM291" i="5"/>
  <c r="Y291" i="5"/>
  <c r="W291" i="5"/>
  <c r="V291" i="5"/>
  <c r="U291" i="5"/>
  <c r="T291" i="5"/>
  <c r="S291" i="5"/>
  <c r="R291" i="5"/>
  <c r="Q291" i="5"/>
  <c r="P291" i="5"/>
  <c r="O291" i="5"/>
  <c r="N291" i="5"/>
  <c r="M291" i="5"/>
  <c r="L291" i="5"/>
  <c r="K291" i="5"/>
  <c r="I291" i="5"/>
  <c r="H291" i="5"/>
  <c r="G291" i="5"/>
  <c r="F291" i="5"/>
  <c r="E291" i="5"/>
  <c r="BM290" i="5"/>
  <c r="BL290" i="5"/>
  <c r="BK290" i="5"/>
  <c r="BJ290" i="5"/>
  <c r="BI290" i="5"/>
  <c r="BH290" i="5"/>
  <c r="BG290" i="5"/>
  <c r="BF290" i="5"/>
  <c r="BE290" i="5"/>
  <c r="BD290" i="5"/>
  <c r="BC290" i="5"/>
  <c r="BB290" i="5"/>
  <c r="AM290" i="5"/>
  <c r="Y290" i="5"/>
  <c r="W290" i="5"/>
  <c r="V290" i="5"/>
  <c r="U290" i="5"/>
  <c r="T290" i="5"/>
  <c r="S290" i="5"/>
  <c r="R290" i="5"/>
  <c r="Q290" i="5"/>
  <c r="P290" i="5"/>
  <c r="O290" i="5"/>
  <c r="N290" i="5"/>
  <c r="M290" i="5"/>
  <c r="L290" i="5"/>
  <c r="K290" i="5"/>
  <c r="I290" i="5"/>
  <c r="H290" i="5"/>
  <c r="G290" i="5"/>
  <c r="F290" i="5"/>
  <c r="E290" i="5"/>
  <c r="BM289" i="5"/>
  <c r="BL289" i="5"/>
  <c r="BK289" i="5"/>
  <c r="BJ289" i="5"/>
  <c r="BI289" i="5"/>
  <c r="BH289" i="5"/>
  <c r="BG289" i="5"/>
  <c r="BF289" i="5"/>
  <c r="BE289" i="5"/>
  <c r="BD289" i="5"/>
  <c r="BC289" i="5"/>
  <c r="BB289" i="5"/>
  <c r="AM289" i="5"/>
  <c r="Y289" i="5"/>
  <c r="W289" i="5"/>
  <c r="V289" i="5"/>
  <c r="U289" i="5"/>
  <c r="T289" i="5"/>
  <c r="S289" i="5"/>
  <c r="R289" i="5"/>
  <c r="Q289" i="5"/>
  <c r="P289" i="5"/>
  <c r="O289" i="5"/>
  <c r="N289" i="5"/>
  <c r="M289" i="5"/>
  <c r="L289" i="5"/>
  <c r="K289" i="5"/>
  <c r="I289" i="5"/>
  <c r="H289" i="5"/>
  <c r="G289" i="5"/>
  <c r="F289" i="5"/>
  <c r="E289" i="5"/>
  <c r="BM288" i="5"/>
  <c r="BL288" i="5"/>
  <c r="BK288" i="5"/>
  <c r="BJ288" i="5"/>
  <c r="BI288" i="5"/>
  <c r="BH288" i="5"/>
  <c r="BG288" i="5"/>
  <c r="BF288" i="5"/>
  <c r="BE288" i="5"/>
  <c r="BD288" i="5"/>
  <c r="BC288" i="5"/>
  <c r="BB288" i="5"/>
  <c r="AM288" i="5"/>
  <c r="Y288" i="5"/>
  <c r="W288" i="5"/>
  <c r="V288" i="5"/>
  <c r="U288" i="5"/>
  <c r="T288" i="5"/>
  <c r="S288" i="5"/>
  <c r="R288" i="5"/>
  <c r="Q288" i="5"/>
  <c r="P288" i="5"/>
  <c r="O288" i="5"/>
  <c r="N288" i="5"/>
  <c r="M288" i="5"/>
  <c r="L288" i="5"/>
  <c r="K288" i="5"/>
  <c r="I288" i="5"/>
  <c r="H288" i="5"/>
  <c r="G288" i="5"/>
  <c r="F288" i="5"/>
  <c r="E288" i="5"/>
  <c r="BM287" i="5"/>
  <c r="BL287" i="5"/>
  <c r="BK287" i="5"/>
  <c r="BJ287" i="5"/>
  <c r="BI287" i="5"/>
  <c r="BH287" i="5"/>
  <c r="BG287" i="5"/>
  <c r="BF287" i="5"/>
  <c r="BE287" i="5"/>
  <c r="BD287" i="5"/>
  <c r="BC287" i="5"/>
  <c r="BB287" i="5"/>
  <c r="AM287" i="5"/>
  <c r="Y287" i="5"/>
  <c r="W287" i="5"/>
  <c r="V287" i="5"/>
  <c r="U287" i="5"/>
  <c r="T287" i="5"/>
  <c r="S287" i="5"/>
  <c r="R287" i="5"/>
  <c r="Q287" i="5"/>
  <c r="P287" i="5"/>
  <c r="O287" i="5"/>
  <c r="N287" i="5"/>
  <c r="M287" i="5"/>
  <c r="L287" i="5"/>
  <c r="K287" i="5"/>
  <c r="I287" i="5"/>
  <c r="H287" i="5"/>
  <c r="G287" i="5"/>
  <c r="F287" i="5"/>
  <c r="E287" i="5"/>
  <c r="BM286" i="5"/>
  <c r="BL286" i="5"/>
  <c r="BK286" i="5"/>
  <c r="BJ286" i="5"/>
  <c r="BI286" i="5"/>
  <c r="BH286" i="5"/>
  <c r="BG286" i="5"/>
  <c r="BF286" i="5"/>
  <c r="BE286" i="5"/>
  <c r="BD286" i="5"/>
  <c r="BC286" i="5"/>
  <c r="BB286" i="5"/>
  <c r="AM286" i="5"/>
  <c r="Y286" i="5"/>
  <c r="W286" i="5"/>
  <c r="V286" i="5"/>
  <c r="U286" i="5"/>
  <c r="T286" i="5"/>
  <c r="S286" i="5"/>
  <c r="R286" i="5"/>
  <c r="Q286" i="5"/>
  <c r="P286" i="5"/>
  <c r="O286" i="5"/>
  <c r="N286" i="5"/>
  <c r="M286" i="5"/>
  <c r="L286" i="5"/>
  <c r="K286" i="5"/>
  <c r="I286" i="5"/>
  <c r="H286" i="5"/>
  <c r="G286" i="5"/>
  <c r="F286" i="5"/>
  <c r="E286" i="5"/>
  <c r="BM285" i="5"/>
  <c r="BL285" i="5"/>
  <c r="BK285" i="5"/>
  <c r="BJ285" i="5"/>
  <c r="BI285" i="5"/>
  <c r="BH285" i="5"/>
  <c r="BG285" i="5"/>
  <c r="BF285" i="5"/>
  <c r="BE285" i="5"/>
  <c r="BD285" i="5"/>
  <c r="BC285" i="5"/>
  <c r="BB285" i="5"/>
  <c r="AM285" i="5"/>
  <c r="Y285" i="5"/>
  <c r="W285" i="5"/>
  <c r="V285" i="5"/>
  <c r="U285" i="5"/>
  <c r="T285" i="5"/>
  <c r="S285" i="5"/>
  <c r="R285" i="5"/>
  <c r="Q285" i="5"/>
  <c r="P285" i="5"/>
  <c r="O285" i="5"/>
  <c r="N285" i="5"/>
  <c r="M285" i="5"/>
  <c r="L285" i="5"/>
  <c r="K285" i="5"/>
  <c r="I285" i="5"/>
  <c r="H285" i="5"/>
  <c r="G285" i="5"/>
  <c r="F285" i="5"/>
  <c r="E285" i="5"/>
  <c r="BM284" i="5"/>
  <c r="BL284" i="5"/>
  <c r="BK284" i="5"/>
  <c r="BJ284" i="5"/>
  <c r="BI284" i="5"/>
  <c r="BH284" i="5"/>
  <c r="BG284" i="5"/>
  <c r="BF284" i="5"/>
  <c r="BE284" i="5"/>
  <c r="BD284" i="5"/>
  <c r="BC284" i="5"/>
  <c r="BB284" i="5"/>
  <c r="AM284" i="5"/>
  <c r="Y284" i="5"/>
  <c r="W284" i="5"/>
  <c r="V284" i="5"/>
  <c r="U284" i="5"/>
  <c r="T284" i="5"/>
  <c r="S284" i="5"/>
  <c r="R284" i="5"/>
  <c r="Q284" i="5"/>
  <c r="P284" i="5"/>
  <c r="O284" i="5"/>
  <c r="N284" i="5"/>
  <c r="M284" i="5"/>
  <c r="L284" i="5"/>
  <c r="K284" i="5"/>
  <c r="I284" i="5"/>
  <c r="H284" i="5"/>
  <c r="G284" i="5"/>
  <c r="F284" i="5"/>
  <c r="E284" i="5"/>
  <c r="BM283" i="5"/>
  <c r="BL283" i="5"/>
  <c r="BK283" i="5"/>
  <c r="BJ283" i="5"/>
  <c r="BI283" i="5"/>
  <c r="BH283" i="5"/>
  <c r="BG283" i="5"/>
  <c r="BF283" i="5"/>
  <c r="BE283" i="5"/>
  <c r="BD283" i="5"/>
  <c r="BC283" i="5"/>
  <c r="BB283" i="5"/>
  <c r="AM283" i="5"/>
  <c r="Y283" i="5"/>
  <c r="W283" i="5"/>
  <c r="V283" i="5"/>
  <c r="U283" i="5"/>
  <c r="T283" i="5"/>
  <c r="S283" i="5"/>
  <c r="R283" i="5"/>
  <c r="Q283" i="5"/>
  <c r="P283" i="5"/>
  <c r="O283" i="5"/>
  <c r="N283" i="5"/>
  <c r="M283" i="5"/>
  <c r="L283" i="5"/>
  <c r="K283" i="5"/>
  <c r="I283" i="5"/>
  <c r="H283" i="5"/>
  <c r="G283" i="5"/>
  <c r="F283" i="5"/>
  <c r="E283" i="5"/>
  <c r="BM282" i="5"/>
  <c r="BL282" i="5"/>
  <c r="BK282" i="5"/>
  <c r="BJ282" i="5"/>
  <c r="BI282" i="5"/>
  <c r="BH282" i="5"/>
  <c r="BG282" i="5"/>
  <c r="BF282" i="5"/>
  <c r="BE282" i="5"/>
  <c r="BD282" i="5"/>
  <c r="BC282" i="5"/>
  <c r="BB282" i="5"/>
  <c r="AM282" i="5"/>
  <c r="Y282" i="5"/>
  <c r="W282" i="5"/>
  <c r="V282" i="5"/>
  <c r="U282" i="5"/>
  <c r="T282" i="5"/>
  <c r="S282" i="5"/>
  <c r="R282" i="5"/>
  <c r="Q282" i="5"/>
  <c r="P282" i="5"/>
  <c r="O282" i="5"/>
  <c r="N282" i="5"/>
  <c r="M282" i="5"/>
  <c r="L282" i="5"/>
  <c r="K282" i="5"/>
  <c r="I282" i="5"/>
  <c r="H282" i="5"/>
  <c r="G282" i="5"/>
  <c r="F282" i="5"/>
  <c r="E282" i="5"/>
  <c r="BM281" i="5"/>
  <c r="BL281" i="5"/>
  <c r="BK281" i="5"/>
  <c r="BJ281" i="5"/>
  <c r="BI281" i="5"/>
  <c r="BH281" i="5"/>
  <c r="BG281" i="5"/>
  <c r="BF281" i="5"/>
  <c r="BE281" i="5"/>
  <c r="BD281" i="5"/>
  <c r="BC281" i="5"/>
  <c r="BB281" i="5"/>
  <c r="AM281" i="5"/>
  <c r="Y281" i="5"/>
  <c r="W281" i="5"/>
  <c r="V281" i="5"/>
  <c r="U281" i="5"/>
  <c r="T281" i="5"/>
  <c r="S281" i="5"/>
  <c r="R281" i="5"/>
  <c r="Q281" i="5"/>
  <c r="P281" i="5"/>
  <c r="O281" i="5"/>
  <c r="N281" i="5"/>
  <c r="M281" i="5"/>
  <c r="L281" i="5"/>
  <c r="K281" i="5"/>
  <c r="I281" i="5"/>
  <c r="H281" i="5"/>
  <c r="G281" i="5"/>
  <c r="F281" i="5"/>
  <c r="E281" i="5"/>
  <c r="BM280" i="5"/>
  <c r="BL280" i="5"/>
  <c r="BK280" i="5"/>
  <c r="BJ280" i="5"/>
  <c r="BI280" i="5"/>
  <c r="BH280" i="5"/>
  <c r="BG280" i="5"/>
  <c r="BF280" i="5"/>
  <c r="BE280" i="5"/>
  <c r="BD280" i="5"/>
  <c r="BC280" i="5"/>
  <c r="BB280" i="5"/>
  <c r="AM280" i="5"/>
  <c r="Y280" i="5"/>
  <c r="W280" i="5"/>
  <c r="V280" i="5"/>
  <c r="U280" i="5"/>
  <c r="T280" i="5"/>
  <c r="S280" i="5"/>
  <c r="R280" i="5"/>
  <c r="Q280" i="5"/>
  <c r="P280" i="5"/>
  <c r="O280" i="5"/>
  <c r="N280" i="5"/>
  <c r="M280" i="5"/>
  <c r="L280" i="5"/>
  <c r="K280" i="5"/>
  <c r="I280" i="5"/>
  <c r="H280" i="5"/>
  <c r="G280" i="5"/>
  <c r="F280" i="5"/>
  <c r="E280" i="5"/>
  <c r="BM279" i="5"/>
  <c r="BL279" i="5"/>
  <c r="BK279" i="5"/>
  <c r="BJ279" i="5"/>
  <c r="BI279" i="5"/>
  <c r="BH279" i="5"/>
  <c r="BG279" i="5"/>
  <c r="BF279" i="5"/>
  <c r="BE279" i="5"/>
  <c r="BD279" i="5"/>
  <c r="BC279" i="5"/>
  <c r="BB279" i="5"/>
  <c r="AM279" i="5"/>
  <c r="Y279" i="5"/>
  <c r="W279" i="5"/>
  <c r="V279" i="5"/>
  <c r="V278" i="5"/>
  <c r="U279" i="5"/>
  <c r="U278" i="5"/>
  <c r="T279" i="5"/>
  <c r="S279" i="5"/>
  <c r="R279" i="5"/>
  <c r="Q279" i="5"/>
  <c r="P279" i="5"/>
  <c r="O279" i="5"/>
  <c r="N279" i="5"/>
  <c r="M279" i="5"/>
  <c r="M278" i="5"/>
  <c r="L279" i="5"/>
  <c r="K279" i="5"/>
  <c r="I279" i="5"/>
  <c r="I278" i="5"/>
  <c r="H279" i="5"/>
  <c r="G279" i="5"/>
  <c r="F279" i="5"/>
  <c r="E279" i="5"/>
  <c r="D278" i="5"/>
  <c r="D12" i="27"/>
  <c r="BM277" i="5"/>
  <c r="AM277" i="5"/>
  <c r="Y277" i="5"/>
  <c r="W277" i="5"/>
  <c r="V277" i="5"/>
  <c r="U277" i="5"/>
  <c r="T277" i="5"/>
  <c r="S277" i="5"/>
  <c r="R277" i="5"/>
  <c r="Q277" i="5"/>
  <c r="P277" i="5"/>
  <c r="O277" i="5"/>
  <c r="N277" i="5"/>
  <c r="M277" i="5"/>
  <c r="L277" i="5"/>
  <c r="K277" i="5"/>
  <c r="I277" i="5"/>
  <c r="H277" i="5"/>
  <c r="G277" i="5"/>
  <c r="F277" i="5"/>
  <c r="E277" i="5"/>
  <c r="BG276" i="5"/>
  <c r="BF276" i="5"/>
  <c r="BE276" i="5"/>
  <c r="AM276" i="5"/>
  <c r="Y276" i="5"/>
  <c r="W276" i="5"/>
  <c r="V276" i="5"/>
  <c r="U276" i="5"/>
  <c r="T276" i="5"/>
  <c r="S276" i="5"/>
  <c r="R276" i="5"/>
  <c r="Q276" i="5"/>
  <c r="P276" i="5"/>
  <c r="O276" i="5"/>
  <c r="N276" i="5"/>
  <c r="M276" i="5"/>
  <c r="L276" i="5"/>
  <c r="K276" i="5"/>
  <c r="I276" i="5"/>
  <c r="H276" i="5"/>
  <c r="G276" i="5"/>
  <c r="F276" i="5"/>
  <c r="E276" i="5"/>
  <c r="AM275" i="5"/>
  <c r="Y275" i="5"/>
  <c r="W275" i="5"/>
  <c r="V275" i="5"/>
  <c r="U275" i="5"/>
  <c r="T275" i="5"/>
  <c r="S275" i="5"/>
  <c r="R275" i="5"/>
  <c r="Q275" i="5"/>
  <c r="P275" i="5"/>
  <c r="O275" i="5"/>
  <c r="N275" i="5"/>
  <c r="M275" i="5"/>
  <c r="L275" i="5"/>
  <c r="K275" i="5"/>
  <c r="I275" i="5"/>
  <c r="H275" i="5"/>
  <c r="G275" i="5"/>
  <c r="F275" i="5"/>
  <c r="E275" i="5"/>
  <c r="AM274" i="5"/>
  <c r="Y274" i="5"/>
  <c r="W274" i="5"/>
  <c r="V274" i="5"/>
  <c r="U274" i="5"/>
  <c r="T274" i="5"/>
  <c r="S274" i="5"/>
  <c r="R274" i="5"/>
  <c r="Q274" i="5"/>
  <c r="P274" i="5"/>
  <c r="O274" i="5"/>
  <c r="N274" i="5"/>
  <c r="M274" i="5"/>
  <c r="L274" i="5"/>
  <c r="K274" i="5"/>
  <c r="I274" i="5"/>
  <c r="H274" i="5"/>
  <c r="G274" i="5"/>
  <c r="F274" i="5"/>
  <c r="E274" i="5"/>
  <c r="BH273" i="5"/>
  <c r="AM273" i="5"/>
  <c r="Y273" i="5"/>
  <c r="W273" i="5"/>
  <c r="V273" i="5"/>
  <c r="U273" i="5"/>
  <c r="T273" i="5"/>
  <c r="S273" i="5"/>
  <c r="R273" i="5"/>
  <c r="Q273" i="5"/>
  <c r="P273" i="5"/>
  <c r="O273" i="5"/>
  <c r="N273" i="5"/>
  <c r="M273" i="5"/>
  <c r="L273" i="5"/>
  <c r="K273" i="5"/>
  <c r="I273" i="5"/>
  <c r="H273" i="5"/>
  <c r="G273" i="5"/>
  <c r="F273" i="5"/>
  <c r="E273" i="5"/>
  <c r="AM272" i="5"/>
  <c r="Y272" i="5"/>
  <c r="W272" i="5"/>
  <c r="V272" i="5"/>
  <c r="U272" i="5"/>
  <c r="T272" i="5"/>
  <c r="S272" i="5"/>
  <c r="R272" i="5"/>
  <c r="Q272" i="5"/>
  <c r="P272" i="5"/>
  <c r="O272" i="5"/>
  <c r="N272" i="5"/>
  <c r="M272" i="5"/>
  <c r="L272" i="5"/>
  <c r="K272" i="5"/>
  <c r="I272" i="5"/>
  <c r="H272" i="5"/>
  <c r="G272" i="5"/>
  <c r="F272" i="5"/>
  <c r="E272" i="5"/>
  <c r="Y271" i="5"/>
  <c r="W271" i="5"/>
  <c r="V271" i="5"/>
  <c r="U271" i="5"/>
  <c r="T271" i="5"/>
  <c r="S271" i="5"/>
  <c r="R271" i="5"/>
  <c r="Q271" i="5"/>
  <c r="P271" i="5"/>
  <c r="O271" i="5"/>
  <c r="N271" i="5"/>
  <c r="M271" i="5"/>
  <c r="L271" i="5"/>
  <c r="K271" i="5"/>
  <c r="I271" i="5"/>
  <c r="H271" i="5"/>
  <c r="G271" i="5"/>
  <c r="F271" i="5"/>
  <c r="E271" i="5"/>
  <c r="AM270" i="5"/>
  <c r="Y270" i="5"/>
  <c r="W270" i="5"/>
  <c r="V270" i="5"/>
  <c r="U270" i="5"/>
  <c r="T270" i="5"/>
  <c r="S270" i="5"/>
  <c r="R270" i="5"/>
  <c r="Q270" i="5"/>
  <c r="P270" i="5"/>
  <c r="O270" i="5"/>
  <c r="N270" i="5"/>
  <c r="M270" i="5"/>
  <c r="L270" i="5"/>
  <c r="K270" i="5"/>
  <c r="I270" i="5"/>
  <c r="H270" i="5"/>
  <c r="G270" i="5"/>
  <c r="F270" i="5"/>
  <c r="E270" i="5"/>
  <c r="AM269" i="5"/>
  <c r="Y269" i="5"/>
  <c r="W269" i="5"/>
  <c r="V269" i="5"/>
  <c r="U269" i="5"/>
  <c r="T269" i="5"/>
  <c r="S269" i="5"/>
  <c r="R269" i="5"/>
  <c r="Q269" i="5"/>
  <c r="P269" i="5"/>
  <c r="O269" i="5"/>
  <c r="N269" i="5"/>
  <c r="M269" i="5"/>
  <c r="L269" i="5"/>
  <c r="K269" i="5"/>
  <c r="I269" i="5"/>
  <c r="H269" i="5"/>
  <c r="G269" i="5"/>
  <c r="F269" i="5"/>
  <c r="E269" i="5"/>
  <c r="AM268" i="5"/>
  <c r="Y268" i="5"/>
  <c r="W268" i="5"/>
  <c r="V268" i="5"/>
  <c r="U268" i="5"/>
  <c r="T268" i="5"/>
  <c r="S268" i="5"/>
  <c r="R268" i="5"/>
  <c r="Q268" i="5"/>
  <c r="P268" i="5"/>
  <c r="O268" i="5"/>
  <c r="N268" i="5"/>
  <c r="M268" i="5"/>
  <c r="L268" i="5"/>
  <c r="K268" i="5"/>
  <c r="I268" i="5"/>
  <c r="H268" i="5"/>
  <c r="G268" i="5"/>
  <c r="F268" i="5"/>
  <c r="E268" i="5"/>
  <c r="BD267" i="5"/>
  <c r="AM267" i="5"/>
  <c r="Y267" i="5"/>
  <c r="W267" i="5"/>
  <c r="V267" i="5"/>
  <c r="U267" i="5"/>
  <c r="T267" i="5"/>
  <c r="S267" i="5"/>
  <c r="R267" i="5"/>
  <c r="Q267" i="5"/>
  <c r="P267" i="5"/>
  <c r="O267" i="5"/>
  <c r="N267" i="5"/>
  <c r="M267" i="5"/>
  <c r="L267" i="5"/>
  <c r="K267" i="5"/>
  <c r="I267" i="5"/>
  <c r="H267" i="5"/>
  <c r="G267" i="5"/>
  <c r="F267" i="5"/>
  <c r="E267" i="5"/>
  <c r="AM266" i="5"/>
  <c r="Y266" i="5"/>
  <c r="W266" i="5"/>
  <c r="V266" i="5"/>
  <c r="U266" i="5"/>
  <c r="T266" i="5"/>
  <c r="S266" i="5"/>
  <c r="R266" i="5"/>
  <c r="Q266" i="5"/>
  <c r="P266" i="5"/>
  <c r="O266" i="5"/>
  <c r="N266" i="5"/>
  <c r="M266" i="5"/>
  <c r="L266" i="5"/>
  <c r="K266" i="5"/>
  <c r="I266" i="5"/>
  <c r="H266" i="5"/>
  <c r="G266" i="5"/>
  <c r="F266" i="5"/>
  <c r="E266" i="5"/>
  <c r="AM265" i="5"/>
  <c r="Y265" i="5"/>
  <c r="W265" i="5"/>
  <c r="V265" i="5"/>
  <c r="U265" i="5"/>
  <c r="T265" i="5"/>
  <c r="S265" i="5"/>
  <c r="R265" i="5"/>
  <c r="Q265" i="5"/>
  <c r="P265" i="5"/>
  <c r="O265" i="5"/>
  <c r="N265" i="5"/>
  <c r="M265" i="5"/>
  <c r="L265" i="5"/>
  <c r="K265" i="5"/>
  <c r="I265" i="5"/>
  <c r="H265" i="5"/>
  <c r="G265" i="5"/>
  <c r="F265" i="5"/>
  <c r="E265" i="5"/>
  <c r="BG264" i="5"/>
  <c r="AM264" i="5"/>
  <c r="Y264" i="5"/>
  <c r="W264" i="5"/>
  <c r="V264" i="5"/>
  <c r="U264" i="5"/>
  <c r="T264" i="5"/>
  <c r="S264" i="5"/>
  <c r="R264" i="5"/>
  <c r="Q264" i="5"/>
  <c r="P264" i="5"/>
  <c r="O264" i="5"/>
  <c r="N264" i="5"/>
  <c r="M264" i="5"/>
  <c r="L264" i="5"/>
  <c r="K264" i="5"/>
  <c r="I264" i="5"/>
  <c r="H264" i="5"/>
  <c r="G264" i="5"/>
  <c r="F264" i="5"/>
  <c r="E264" i="5"/>
  <c r="AM263" i="5"/>
  <c r="Y263" i="5"/>
  <c r="W263" i="5"/>
  <c r="V263" i="5"/>
  <c r="U263" i="5"/>
  <c r="T263" i="5"/>
  <c r="S263" i="5"/>
  <c r="R263" i="5"/>
  <c r="Q263" i="5"/>
  <c r="P263" i="5"/>
  <c r="O263" i="5"/>
  <c r="N263" i="5"/>
  <c r="M263" i="5"/>
  <c r="L263" i="5"/>
  <c r="K263" i="5"/>
  <c r="I263" i="5"/>
  <c r="H263" i="5"/>
  <c r="G263" i="5"/>
  <c r="F263" i="5"/>
  <c r="E263" i="5"/>
  <c r="AM262" i="5"/>
  <c r="Y262" i="5"/>
  <c r="W262" i="5"/>
  <c r="V262" i="5"/>
  <c r="U262" i="5"/>
  <c r="T262" i="5"/>
  <c r="S262" i="5"/>
  <c r="R262" i="5"/>
  <c r="Q262" i="5"/>
  <c r="P262" i="5"/>
  <c r="O262" i="5"/>
  <c r="N262" i="5"/>
  <c r="M262" i="5"/>
  <c r="L262" i="5"/>
  <c r="K262" i="5"/>
  <c r="I262" i="5"/>
  <c r="H262" i="5"/>
  <c r="G262" i="5"/>
  <c r="F262" i="5"/>
  <c r="E262" i="5"/>
  <c r="AM261" i="5"/>
  <c r="Y261" i="5"/>
  <c r="W261" i="5"/>
  <c r="V261" i="5"/>
  <c r="U261" i="5"/>
  <c r="T261" i="5"/>
  <c r="S261" i="5"/>
  <c r="R261" i="5"/>
  <c r="Q261" i="5"/>
  <c r="P261" i="5"/>
  <c r="O261" i="5"/>
  <c r="N261" i="5"/>
  <c r="M261" i="5"/>
  <c r="L261" i="5"/>
  <c r="K261" i="5"/>
  <c r="I261" i="5"/>
  <c r="H261" i="5"/>
  <c r="G261" i="5"/>
  <c r="F261" i="5"/>
  <c r="E261" i="5"/>
  <c r="AM260" i="5"/>
  <c r="Y260" i="5"/>
  <c r="W260" i="5"/>
  <c r="V260" i="5"/>
  <c r="U260" i="5"/>
  <c r="T260" i="5"/>
  <c r="S260" i="5"/>
  <c r="R260" i="5"/>
  <c r="Q260" i="5"/>
  <c r="P260" i="5"/>
  <c r="O260" i="5"/>
  <c r="N260" i="5"/>
  <c r="M260" i="5"/>
  <c r="L260" i="5"/>
  <c r="K260" i="5"/>
  <c r="I260" i="5"/>
  <c r="H260" i="5"/>
  <c r="G260" i="5"/>
  <c r="F260" i="5"/>
  <c r="E260" i="5"/>
  <c r="BI259" i="5"/>
  <c r="AM259" i="5"/>
  <c r="Y259" i="5"/>
  <c r="W259" i="5"/>
  <c r="V259" i="5"/>
  <c r="U259" i="5"/>
  <c r="T259" i="5"/>
  <c r="S259" i="5"/>
  <c r="R259" i="5"/>
  <c r="Q259" i="5"/>
  <c r="P259" i="5"/>
  <c r="O259" i="5"/>
  <c r="N259" i="5"/>
  <c r="M259" i="5"/>
  <c r="L259" i="5"/>
  <c r="K259" i="5"/>
  <c r="I259" i="5"/>
  <c r="H259" i="5"/>
  <c r="G259" i="5"/>
  <c r="F259" i="5"/>
  <c r="E259" i="5"/>
  <c r="Y258" i="5"/>
  <c r="W258" i="5"/>
  <c r="V258" i="5"/>
  <c r="U258" i="5"/>
  <c r="T258" i="5"/>
  <c r="S258" i="5"/>
  <c r="R258" i="5"/>
  <c r="Q258" i="5"/>
  <c r="P258" i="5"/>
  <c r="O258" i="5"/>
  <c r="N258" i="5"/>
  <c r="M258" i="5"/>
  <c r="L258" i="5"/>
  <c r="K258" i="5"/>
  <c r="I258" i="5"/>
  <c r="H258" i="5"/>
  <c r="G258" i="5"/>
  <c r="F258" i="5"/>
  <c r="E258" i="5"/>
  <c r="AM257" i="5"/>
  <c r="Y257" i="5"/>
  <c r="W257" i="5"/>
  <c r="V257" i="5"/>
  <c r="U257" i="5"/>
  <c r="T257" i="5"/>
  <c r="S257" i="5"/>
  <c r="R257" i="5"/>
  <c r="Q257" i="5"/>
  <c r="P257" i="5"/>
  <c r="O257" i="5"/>
  <c r="N257" i="5"/>
  <c r="M257" i="5"/>
  <c r="L257" i="5"/>
  <c r="K257" i="5"/>
  <c r="I257" i="5"/>
  <c r="H257" i="5"/>
  <c r="G257" i="5"/>
  <c r="F257" i="5"/>
  <c r="E257" i="5"/>
  <c r="AM256" i="5"/>
  <c r="Y256" i="5"/>
  <c r="W256" i="5"/>
  <c r="V256" i="5"/>
  <c r="U256" i="5"/>
  <c r="T256" i="5"/>
  <c r="S256" i="5"/>
  <c r="R256" i="5"/>
  <c r="Q256" i="5"/>
  <c r="P256" i="5"/>
  <c r="O256" i="5"/>
  <c r="N256" i="5"/>
  <c r="M256" i="5"/>
  <c r="L256" i="5"/>
  <c r="K256" i="5"/>
  <c r="I256" i="5"/>
  <c r="H256" i="5"/>
  <c r="G256" i="5"/>
  <c r="F256" i="5"/>
  <c r="E256" i="5"/>
  <c r="AM255" i="5"/>
  <c r="Y255" i="5"/>
  <c r="W255" i="5"/>
  <c r="V255" i="5"/>
  <c r="U255" i="5"/>
  <c r="T255" i="5"/>
  <c r="S255" i="5"/>
  <c r="R255" i="5"/>
  <c r="Q255" i="5"/>
  <c r="P255" i="5"/>
  <c r="O255" i="5"/>
  <c r="N255" i="5"/>
  <c r="M255" i="5"/>
  <c r="L255" i="5"/>
  <c r="K255" i="5"/>
  <c r="I255" i="5"/>
  <c r="H255" i="5"/>
  <c r="G255" i="5"/>
  <c r="F255" i="5"/>
  <c r="E255" i="5"/>
  <c r="BM254" i="5"/>
  <c r="BI254" i="5"/>
  <c r="AM254" i="5"/>
  <c r="Y254" i="5"/>
  <c r="W254" i="5"/>
  <c r="V254" i="5"/>
  <c r="U254" i="5"/>
  <c r="T254" i="5"/>
  <c r="S254" i="5"/>
  <c r="R254" i="5"/>
  <c r="Q254" i="5"/>
  <c r="P254" i="5"/>
  <c r="O254" i="5"/>
  <c r="N254" i="5"/>
  <c r="M254" i="5"/>
  <c r="L254" i="5"/>
  <c r="K254" i="5"/>
  <c r="I254" i="5"/>
  <c r="H254" i="5"/>
  <c r="G254" i="5"/>
  <c r="F254" i="5"/>
  <c r="E254" i="5"/>
  <c r="BE253" i="5"/>
  <c r="AM253" i="5"/>
  <c r="Y253" i="5"/>
  <c r="W253" i="5"/>
  <c r="V253" i="5"/>
  <c r="U253" i="5"/>
  <c r="T253" i="5"/>
  <c r="S253" i="5"/>
  <c r="R253" i="5"/>
  <c r="Q253" i="5"/>
  <c r="P253" i="5"/>
  <c r="O253" i="5"/>
  <c r="N253" i="5"/>
  <c r="M253" i="5"/>
  <c r="L253" i="5"/>
  <c r="K253" i="5"/>
  <c r="I253" i="5"/>
  <c r="H253" i="5"/>
  <c r="G253" i="5"/>
  <c r="F253" i="5"/>
  <c r="E253" i="5"/>
  <c r="AM252" i="5"/>
  <c r="Y252" i="5"/>
  <c r="W252" i="5"/>
  <c r="V252" i="5"/>
  <c r="U252" i="5"/>
  <c r="T252" i="5"/>
  <c r="S252" i="5"/>
  <c r="R252" i="5"/>
  <c r="Q252" i="5"/>
  <c r="P252" i="5"/>
  <c r="O252" i="5"/>
  <c r="N252" i="5"/>
  <c r="M252" i="5"/>
  <c r="L252" i="5"/>
  <c r="K252" i="5"/>
  <c r="I252" i="5"/>
  <c r="H252" i="5"/>
  <c r="G252" i="5"/>
  <c r="F252" i="5"/>
  <c r="E252" i="5"/>
  <c r="AM251" i="5"/>
  <c r="Y251" i="5"/>
  <c r="W251" i="5"/>
  <c r="V251" i="5"/>
  <c r="U251" i="5"/>
  <c r="T251" i="5"/>
  <c r="S251" i="5"/>
  <c r="R251" i="5"/>
  <c r="Q251" i="5"/>
  <c r="P251" i="5"/>
  <c r="O251" i="5"/>
  <c r="N251" i="5"/>
  <c r="M251" i="5"/>
  <c r="L251" i="5"/>
  <c r="K251" i="5"/>
  <c r="I251" i="5"/>
  <c r="H251" i="5"/>
  <c r="G251" i="5"/>
  <c r="F251" i="5"/>
  <c r="E251" i="5"/>
  <c r="AM250" i="5"/>
  <c r="Y250" i="5"/>
  <c r="W250" i="5"/>
  <c r="V250" i="5"/>
  <c r="U250" i="5"/>
  <c r="T250" i="5"/>
  <c r="S250" i="5"/>
  <c r="R250" i="5"/>
  <c r="Q250" i="5"/>
  <c r="P250" i="5"/>
  <c r="O250" i="5"/>
  <c r="N250" i="5"/>
  <c r="M250" i="5"/>
  <c r="L250" i="5"/>
  <c r="K250" i="5"/>
  <c r="I250" i="5"/>
  <c r="H250" i="5"/>
  <c r="G250" i="5"/>
  <c r="F250" i="5"/>
  <c r="E250" i="5"/>
  <c r="AM249" i="5"/>
  <c r="Y249" i="5"/>
  <c r="W249" i="5"/>
  <c r="V249" i="5"/>
  <c r="U249" i="5"/>
  <c r="T249" i="5"/>
  <c r="S249" i="5"/>
  <c r="R249" i="5"/>
  <c r="Q249" i="5"/>
  <c r="P249" i="5"/>
  <c r="O249" i="5"/>
  <c r="N249" i="5"/>
  <c r="M249" i="5"/>
  <c r="L249" i="5"/>
  <c r="K249" i="5"/>
  <c r="I249" i="5"/>
  <c r="H249" i="5"/>
  <c r="G249" i="5"/>
  <c r="F249" i="5"/>
  <c r="E249" i="5"/>
  <c r="AM248" i="5"/>
  <c r="Y248" i="5"/>
  <c r="W248" i="5"/>
  <c r="V248" i="5"/>
  <c r="U248" i="5"/>
  <c r="T248" i="5"/>
  <c r="S248" i="5"/>
  <c r="R248" i="5"/>
  <c r="Q248" i="5"/>
  <c r="P248" i="5"/>
  <c r="O248" i="5"/>
  <c r="N248" i="5"/>
  <c r="M248" i="5"/>
  <c r="L248" i="5"/>
  <c r="K248" i="5"/>
  <c r="I248" i="5"/>
  <c r="H248" i="5"/>
  <c r="G248" i="5"/>
  <c r="F248" i="5"/>
  <c r="E248" i="5"/>
  <c r="BI247" i="5"/>
  <c r="AM247" i="5"/>
  <c r="Y247" i="5"/>
  <c r="W247" i="5"/>
  <c r="V247" i="5"/>
  <c r="U247" i="5"/>
  <c r="T247" i="5"/>
  <c r="S247" i="5"/>
  <c r="R247" i="5"/>
  <c r="Q247" i="5"/>
  <c r="P247" i="5"/>
  <c r="O247" i="5"/>
  <c r="N247" i="5"/>
  <c r="M247" i="5"/>
  <c r="L247" i="5"/>
  <c r="K247" i="5"/>
  <c r="I247" i="5"/>
  <c r="H247" i="5"/>
  <c r="G247" i="5"/>
  <c r="F247" i="5"/>
  <c r="E247" i="5"/>
  <c r="D246" i="5"/>
  <c r="D11" i="27"/>
  <c r="AM245" i="5"/>
  <c r="Y245" i="5"/>
  <c r="K245" i="5"/>
  <c r="J245" i="5"/>
  <c r="AM244" i="5"/>
  <c r="Y244" i="5"/>
  <c r="K244" i="5"/>
  <c r="J244" i="5"/>
  <c r="AM243" i="5"/>
  <c r="Y243" i="5"/>
  <c r="K243" i="5"/>
  <c r="J243" i="5"/>
  <c r="AM242" i="5"/>
  <c r="Y242" i="5"/>
  <c r="K242" i="5"/>
  <c r="J242" i="5"/>
  <c r="AM241" i="5"/>
  <c r="Y241" i="5"/>
  <c r="K241" i="5"/>
  <c r="J241" i="5"/>
  <c r="AM240" i="5"/>
  <c r="Y240" i="5"/>
  <c r="K240" i="5"/>
  <c r="J240" i="5"/>
  <c r="AM239" i="5"/>
  <c r="Y239" i="5"/>
  <c r="K239" i="5"/>
  <c r="J239" i="5"/>
  <c r="AM238" i="5"/>
  <c r="Y238" i="5"/>
  <c r="K238" i="5"/>
  <c r="J238" i="5"/>
  <c r="AM237" i="5"/>
  <c r="Y237" i="5"/>
  <c r="K237" i="5"/>
  <c r="J237" i="5"/>
  <c r="AM236" i="5"/>
  <c r="Y236" i="5"/>
  <c r="K236" i="5"/>
  <c r="J236" i="5"/>
  <c r="AM235" i="5"/>
  <c r="Y235" i="5"/>
  <c r="K235" i="5"/>
  <c r="J235" i="5"/>
  <c r="AM234" i="5"/>
  <c r="Y234" i="5"/>
  <c r="K234" i="5"/>
  <c r="J234" i="5"/>
  <c r="AM233" i="5"/>
  <c r="Y233" i="5"/>
  <c r="K233" i="5"/>
  <c r="J233" i="5"/>
  <c r="AM232" i="5"/>
  <c r="Y232" i="5"/>
  <c r="K232" i="5"/>
  <c r="J232" i="5"/>
  <c r="AM231" i="5"/>
  <c r="Y231" i="5"/>
  <c r="K231" i="5"/>
  <c r="J231" i="5"/>
  <c r="AM230" i="5"/>
  <c r="Y230" i="5"/>
  <c r="K230" i="5"/>
  <c r="J230" i="5"/>
  <c r="AM229" i="5"/>
  <c r="Y229" i="5"/>
  <c r="K229" i="5"/>
  <c r="J229" i="5"/>
  <c r="AM228" i="5"/>
  <c r="Y228" i="5"/>
  <c r="K228" i="5"/>
  <c r="J228" i="5"/>
  <c r="AM227" i="5"/>
  <c r="Y227" i="5"/>
  <c r="K227" i="5"/>
  <c r="J227" i="5"/>
  <c r="AM226" i="5"/>
  <c r="Y226" i="5"/>
  <c r="K226" i="5"/>
  <c r="J226" i="5"/>
  <c r="AM216" i="5"/>
  <c r="Y216" i="5"/>
  <c r="K216" i="5"/>
  <c r="AM215" i="5"/>
  <c r="Y215" i="5"/>
  <c r="K215" i="5"/>
  <c r="AM214" i="5"/>
  <c r="Y214" i="5"/>
  <c r="K214" i="5"/>
  <c r="AM213" i="5"/>
  <c r="Y213" i="5"/>
  <c r="K213" i="5"/>
  <c r="Y212" i="5"/>
  <c r="K212" i="5"/>
  <c r="Y211" i="5"/>
  <c r="K211" i="5"/>
  <c r="Y210" i="5"/>
  <c r="K210" i="5"/>
  <c r="AM209" i="5"/>
  <c r="Y209" i="5"/>
  <c r="K209" i="5"/>
  <c r="AM208" i="5"/>
  <c r="K208" i="5"/>
  <c r="AM207" i="5"/>
  <c r="Y207" i="5"/>
  <c r="K207" i="5"/>
  <c r="AM206" i="5"/>
  <c r="Y206" i="5"/>
  <c r="K206" i="5"/>
  <c r="AM205" i="5"/>
  <c r="Y205" i="5"/>
  <c r="K205" i="5"/>
  <c r="AM204" i="5"/>
  <c r="Y204" i="5"/>
  <c r="K204" i="5"/>
  <c r="AM203" i="5"/>
  <c r="Y203" i="5"/>
  <c r="K203" i="5"/>
  <c r="AM202" i="5"/>
  <c r="Y202" i="5"/>
  <c r="K202" i="5"/>
  <c r="AM201" i="5"/>
  <c r="Y201" i="5"/>
  <c r="K201" i="5"/>
  <c r="AM200" i="5"/>
  <c r="Y200" i="5"/>
  <c r="K200" i="5"/>
  <c r="AM199" i="5"/>
  <c r="Y199" i="5"/>
  <c r="K199" i="5"/>
  <c r="AM197" i="5"/>
  <c r="Y197" i="5"/>
  <c r="K197" i="5"/>
  <c r="AM196" i="5"/>
  <c r="Y196" i="5"/>
  <c r="K196" i="5"/>
  <c r="AM195" i="5"/>
  <c r="Y195" i="5"/>
  <c r="K195" i="5"/>
  <c r="AM194" i="5"/>
  <c r="Y194" i="5"/>
  <c r="K194" i="5"/>
  <c r="AM193" i="5"/>
  <c r="Y193" i="5"/>
  <c r="K193" i="5"/>
  <c r="AM192" i="5"/>
  <c r="Y192" i="5"/>
  <c r="K192" i="5"/>
  <c r="AM191" i="5"/>
  <c r="Y191" i="5"/>
  <c r="K191" i="5"/>
  <c r="AM190" i="5"/>
  <c r="Y190" i="5"/>
  <c r="K190" i="5"/>
  <c r="AM189" i="5"/>
  <c r="Y189" i="5"/>
  <c r="K189" i="5"/>
  <c r="AM188" i="5"/>
  <c r="Y188" i="5"/>
  <c r="K188" i="5"/>
  <c r="AM187" i="5"/>
  <c r="Y187" i="5"/>
  <c r="K187" i="5"/>
  <c r="AM186" i="5"/>
  <c r="Y186" i="5"/>
  <c r="K186" i="5"/>
  <c r="AM185" i="5"/>
  <c r="Y185" i="5"/>
  <c r="K185" i="5"/>
  <c r="AM184" i="5"/>
  <c r="Y184" i="5"/>
  <c r="K184" i="5"/>
  <c r="AM183" i="5"/>
  <c r="Y183" i="5"/>
  <c r="K183" i="5"/>
  <c r="AM182" i="5"/>
  <c r="Y182" i="5"/>
  <c r="K182" i="5"/>
  <c r="AM181" i="5"/>
  <c r="Y181" i="5"/>
  <c r="K181" i="5"/>
  <c r="AM180" i="5"/>
  <c r="Y180" i="5"/>
  <c r="K180" i="5"/>
  <c r="AM179" i="5"/>
  <c r="Y179" i="5"/>
  <c r="K179" i="5"/>
  <c r="AM178" i="5"/>
  <c r="Y178" i="5"/>
  <c r="K178" i="5"/>
  <c r="AM177" i="5"/>
  <c r="Y177" i="5"/>
  <c r="K177" i="5"/>
  <c r="AM176" i="5"/>
  <c r="Y176" i="5"/>
  <c r="K176" i="5"/>
  <c r="AM175" i="5"/>
  <c r="Y175" i="5"/>
  <c r="K175" i="5"/>
  <c r="AM174" i="5"/>
  <c r="Y174" i="5"/>
  <c r="K174" i="5"/>
  <c r="AM173" i="5"/>
  <c r="Y173" i="5"/>
  <c r="K173" i="5"/>
  <c r="AM172" i="5"/>
  <c r="Y172" i="5"/>
  <c r="K172" i="5"/>
  <c r="AM171" i="5"/>
  <c r="Y171" i="5"/>
  <c r="K171" i="5"/>
  <c r="AM170" i="5"/>
  <c r="Y170" i="5"/>
  <c r="K170" i="5"/>
  <c r="AM169" i="5"/>
  <c r="Y169" i="5"/>
  <c r="K169" i="5"/>
  <c r="AM168" i="5"/>
  <c r="Y168" i="5"/>
  <c r="K168" i="5"/>
  <c r="AM167" i="5"/>
  <c r="Y167" i="5"/>
  <c r="K167" i="5"/>
  <c r="AM166" i="5"/>
  <c r="Y166" i="5"/>
  <c r="K166" i="5"/>
  <c r="AM165" i="5"/>
  <c r="Y165" i="5"/>
  <c r="K165" i="5"/>
  <c r="AM164" i="5"/>
  <c r="Y164" i="5"/>
  <c r="K164" i="5"/>
  <c r="AM163" i="5"/>
  <c r="Y163" i="5"/>
  <c r="K163" i="5"/>
  <c r="AM162" i="5"/>
  <c r="Y162" i="5"/>
  <c r="K162" i="5"/>
  <c r="AM161" i="5"/>
  <c r="Y161" i="5"/>
  <c r="K161" i="5"/>
  <c r="AM160" i="5"/>
  <c r="Y160" i="5"/>
  <c r="K160" i="5"/>
  <c r="AM159" i="5"/>
  <c r="Y159" i="5"/>
  <c r="K159" i="5"/>
  <c r="AM158" i="5"/>
  <c r="Y158" i="5"/>
  <c r="K158" i="5"/>
  <c r="AM157" i="5"/>
  <c r="Y157" i="5"/>
  <c r="K157" i="5"/>
  <c r="AM156" i="5"/>
  <c r="Y156" i="5"/>
  <c r="K156" i="5"/>
  <c r="AM155" i="5"/>
  <c r="Y155" i="5"/>
  <c r="K155" i="5"/>
  <c r="AM154" i="5"/>
  <c r="Y154" i="5"/>
  <c r="K154" i="5"/>
  <c r="AM153" i="5"/>
  <c r="Y153" i="5"/>
  <c r="K153" i="5"/>
  <c r="AM152" i="5"/>
  <c r="Y152" i="5"/>
  <c r="K152" i="5"/>
  <c r="AM151" i="5"/>
  <c r="Y151" i="5"/>
  <c r="K151" i="5"/>
  <c r="AM150" i="5"/>
  <c r="Y150" i="5"/>
  <c r="K150" i="5"/>
  <c r="AM149" i="5"/>
  <c r="Y149" i="5"/>
  <c r="K149" i="5"/>
  <c r="AM148" i="5"/>
  <c r="Y148" i="5"/>
  <c r="K148" i="5"/>
  <c r="AM147" i="5"/>
  <c r="Y147" i="5"/>
  <c r="K147" i="5"/>
  <c r="AM146" i="5"/>
  <c r="Y146" i="5"/>
  <c r="K146" i="5"/>
  <c r="AM145" i="5"/>
  <c r="Y145" i="5"/>
  <c r="K145" i="5"/>
  <c r="AM144" i="5"/>
  <c r="Y144" i="5"/>
  <c r="K144" i="5"/>
  <c r="AM143" i="5"/>
  <c r="Y143" i="5"/>
  <c r="K143" i="5"/>
  <c r="AM142" i="5"/>
  <c r="Y142" i="5"/>
  <c r="K142" i="5"/>
  <c r="AM141" i="5"/>
  <c r="Y141" i="5"/>
  <c r="K141" i="5"/>
  <c r="AM140" i="5"/>
  <c r="Y140" i="5"/>
  <c r="K140" i="5"/>
  <c r="AM139" i="5"/>
  <c r="Y139" i="5"/>
  <c r="K139" i="5"/>
  <c r="AM138" i="5"/>
  <c r="Y138" i="5"/>
  <c r="K138" i="5"/>
  <c r="AM137" i="5"/>
  <c r="Y137" i="5"/>
  <c r="K137" i="5"/>
  <c r="O161" i="5"/>
  <c r="AM133" i="5"/>
  <c r="Y133" i="5"/>
  <c r="K133" i="5"/>
  <c r="AM132" i="5"/>
  <c r="Y132" i="5"/>
  <c r="K132" i="5"/>
  <c r="AM131" i="5"/>
  <c r="Y131" i="5"/>
  <c r="K131" i="5"/>
  <c r="AM130" i="5"/>
  <c r="G137" i="27"/>
  <c r="Y130" i="5"/>
  <c r="F137" i="27"/>
  <c r="I85" i="34"/>
  <c r="K130" i="5"/>
  <c r="E137" i="27"/>
  <c r="G85" i="34"/>
  <c r="AM129" i="5"/>
  <c r="G136" i="27"/>
  <c r="Y129" i="5"/>
  <c r="F136" i="27"/>
  <c r="I84" i="34"/>
  <c r="K129" i="5"/>
  <c r="E136" i="27"/>
  <c r="G84" i="34"/>
  <c r="AM128" i="5"/>
  <c r="G135" i="27"/>
  <c r="Y128" i="5"/>
  <c r="F135" i="27"/>
  <c r="I83" i="34"/>
  <c r="K128" i="5"/>
  <c r="E135" i="27"/>
  <c r="G83" i="34"/>
  <c r="AM127" i="5"/>
  <c r="G134" i="27"/>
  <c r="Y127" i="5"/>
  <c r="F134" i="27"/>
  <c r="I82" i="34"/>
  <c r="K127" i="5"/>
  <c r="E134" i="27"/>
  <c r="G82" i="34"/>
  <c r="AM126" i="5"/>
  <c r="G133" i="27"/>
  <c r="Y126" i="5"/>
  <c r="F133" i="27"/>
  <c r="I81" i="34"/>
  <c r="K126" i="5"/>
  <c r="AM125" i="5"/>
  <c r="G132" i="27"/>
  <c r="K80" i="34"/>
  <c r="Y125" i="5"/>
  <c r="F132" i="27"/>
  <c r="I80" i="34"/>
  <c r="K125" i="5"/>
  <c r="E132" i="27"/>
  <c r="G80" i="34"/>
  <c r="AM124" i="5"/>
  <c r="G131" i="27"/>
  <c r="Y124" i="5"/>
  <c r="F131" i="27"/>
  <c r="I79" i="34"/>
  <c r="K124" i="5"/>
  <c r="E131" i="27"/>
  <c r="G79" i="34"/>
  <c r="AM123" i="5"/>
  <c r="G130" i="27"/>
  <c r="Y123" i="5"/>
  <c r="F130" i="27"/>
  <c r="I78" i="34"/>
  <c r="K123" i="5"/>
  <c r="E130" i="27"/>
  <c r="G78" i="34"/>
  <c r="AM122" i="5"/>
  <c r="G129" i="27"/>
  <c r="Y122" i="5"/>
  <c r="F129" i="27"/>
  <c r="K122" i="5"/>
  <c r="E129" i="27"/>
  <c r="D121" i="5"/>
  <c r="D9" i="27"/>
  <c r="B121" i="5"/>
  <c r="U133" i="5"/>
  <c r="AM120" i="5"/>
  <c r="Y120" i="5"/>
  <c r="K120" i="5"/>
  <c r="AM119" i="5"/>
  <c r="Y119" i="5"/>
  <c r="K119" i="5"/>
  <c r="AM118" i="5"/>
  <c r="Y118" i="5"/>
  <c r="K118" i="5"/>
  <c r="Y117" i="5"/>
  <c r="K117" i="5"/>
  <c r="Y116" i="5"/>
  <c r="K116" i="5"/>
  <c r="AM115" i="5"/>
  <c r="Y115" i="5"/>
  <c r="K115" i="5"/>
  <c r="AM114" i="5"/>
  <c r="Y114" i="5"/>
  <c r="K114" i="5"/>
  <c r="AM113" i="5"/>
  <c r="Y113" i="5"/>
  <c r="K113" i="5"/>
  <c r="AM112" i="5"/>
  <c r="Y112" i="5"/>
  <c r="K112" i="5"/>
  <c r="AM111" i="5"/>
  <c r="Y111" i="5"/>
  <c r="K111" i="5"/>
  <c r="AM110" i="5"/>
  <c r="Y110" i="5"/>
  <c r="K110" i="5"/>
  <c r="AM109" i="5"/>
  <c r="Y109" i="5"/>
  <c r="K109" i="5"/>
  <c r="AM108" i="5"/>
  <c r="Y108" i="5"/>
  <c r="B103" i="5"/>
  <c r="S108" i="5"/>
  <c r="K108" i="5"/>
  <c r="AM107" i="5"/>
  <c r="Y107" i="5"/>
  <c r="K107" i="5"/>
  <c r="AM106" i="5"/>
  <c r="Y106" i="5"/>
  <c r="K106" i="5"/>
  <c r="AM105" i="5"/>
  <c r="Y105" i="5"/>
  <c r="K105" i="5"/>
  <c r="K104" i="5"/>
  <c r="M116" i="5"/>
  <c r="AM102" i="5"/>
  <c r="Y102" i="5"/>
  <c r="K102" i="5"/>
  <c r="AM101" i="5"/>
  <c r="Y101" i="5"/>
  <c r="K101" i="5"/>
  <c r="AM100" i="5"/>
  <c r="Y100" i="5"/>
  <c r="K100" i="5"/>
  <c r="AM99" i="5"/>
  <c r="Y99" i="5"/>
  <c r="K99" i="5"/>
  <c r="AM98" i="5"/>
  <c r="Y98" i="5"/>
  <c r="I112" i="34"/>
  <c r="K98" i="5"/>
  <c r="G112" i="34"/>
  <c r="AM97" i="5"/>
  <c r="Y97" i="5"/>
  <c r="I111" i="34"/>
  <c r="K97" i="5"/>
  <c r="G111" i="34"/>
  <c r="AM96" i="5"/>
  <c r="K104" i="34"/>
  <c r="Y96" i="5"/>
  <c r="K96" i="5"/>
  <c r="AM95" i="5"/>
  <c r="K103" i="34"/>
  <c r="Y95" i="5"/>
  <c r="K95" i="5"/>
  <c r="AM94" i="5"/>
  <c r="K102" i="34"/>
  <c r="Y94" i="5"/>
  <c r="K94" i="5"/>
  <c r="AM93" i="5"/>
  <c r="K101" i="34"/>
  <c r="Y93" i="5"/>
  <c r="K93" i="5"/>
  <c r="AM92" i="5"/>
  <c r="K100" i="34"/>
  <c r="Y92" i="5"/>
  <c r="K92" i="5"/>
  <c r="AM91" i="5"/>
  <c r="G169" i="27"/>
  <c r="Y91" i="5"/>
  <c r="K91" i="5"/>
  <c r="AM90" i="5"/>
  <c r="G168" i="27"/>
  <c r="Y90" i="5"/>
  <c r="K90" i="5"/>
  <c r="AM89" i="5"/>
  <c r="G167" i="27"/>
  <c r="Y89" i="5"/>
  <c r="K89" i="5"/>
  <c r="AM88" i="5"/>
  <c r="G166" i="27"/>
  <c r="H65" i="45"/>
  <c r="Y88" i="5"/>
  <c r="K88" i="5"/>
  <c r="AM87" i="5"/>
  <c r="G165" i="27"/>
  <c r="Y87" i="5"/>
  <c r="K87" i="5"/>
  <c r="AM86" i="5"/>
  <c r="G164" i="27"/>
  <c r="Y86" i="5"/>
  <c r="K86" i="5"/>
  <c r="AM85" i="5"/>
  <c r="G163" i="27"/>
  <c r="Y85" i="5"/>
  <c r="K85" i="5"/>
  <c r="AM84" i="5"/>
  <c r="G162" i="27"/>
  <c r="Y84" i="5"/>
  <c r="K84" i="5"/>
  <c r="AM83" i="5"/>
  <c r="G161" i="27"/>
  <c r="Y83" i="5"/>
  <c r="K83" i="5"/>
  <c r="AM82" i="5"/>
  <c r="G160" i="27"/>
  <c r="Y82" i="5"/>
  <c r="K82" i="5"/>
  <c r="AM81" i="5"/>
  <c r="G159" i="27"/>
  <c r="H58" i="45"/>
  <c r="Y81" i="5"/>
  <c r="K81" i="5"/>
  <c r="AM80" i="5"/>
  <c r="G158" i="27"/>
  <c r="Y80" i="5"/>
  <c r="K80" i="5"/>
  <c r="AM79" i="5"/>
  <c r="G157" i="27"/>
  <c r="H56" i="45"/>
  <c r="Y79" i="5"/>
  <c r="K79" i="5"/>
  <c r="H156" i="27"/>
  <c r="AM78" i="5"/>
  <c r="G156" i="27"/>
  <c r="H55" i="45"/>
  <c r="Y78" i="5"/>
  <c r="K78" i="5"/>
  <c r="AM77" i="5"/>
  <c r="G155" i="27"/>
  <c r="H54" i="45"/>
  <c r="Y77" i="5"/>
  <c r="K77" i="5"/>
  <c r="AM76" i="5"/>
  <c r="G154" i="27"/>
  <c r="Y75" i="5"/>
  <c r="K75" i="5"/>
  <c r="G89" i="34"/>
  <c r="D74" i="5"/>
  <c r="D152" i="27"/>
  <c r="B74" i="5"/>
  <c r="P86" i="5"/>
  <c r="O61" i="34"/>
  <c r="AM73" i="5"/>
  <c r="K61" i="34"/>
  <c r="Y73" i="5"/>
  <c r="W73" i="5"/>
  <c r="V73" i="5"/>
  <c r="U73" i="5"/>
  <c r="T73" i="5"/>
  <c r="S73" i="5"/>
  <c r="R73" i="5"/>
  <c r="Q73" i="5"/>
  <c r="P73" i="5"/>
  <c r="O73" i="5"/>
  <c r="N73" i="5"/>
  <c r="M73" i="5"/>
  <c r="L73" i="5"/>
  <c r="K73" i="5"/>
  <c r="I73" i="5"/>
  <c r="H73" i="5"/>
  <c r="G73" i="5"/>
  <c r="F73" i="5"/>
  <c r="E73" i="5"/>
  <c r="AM72" i="5"/>
  <c r="Y72" i="5"/>
  <c r="W72" i="5"/>
  <c r="V72" i="5"/>
  <c r="U72" i="5"/>
  <c r="T72" i="5"/>
  <c r="S72" i="5"/>
  <c r="R72" i="5"/>
  <c r="Q72" i="5"/>
  <c r="P72" i="5"/>
  <c r="O72" i="5"/>
  <c r="N72" i="5"/>
  <c r="M72" i="5"/>
  <c r="L72" i="5"/>
  <c r="K72" i="5"/>
  <c r="I72" i="5"/>
  <c r="H72" i="5"/>
  <c r="G72" i="5"/>
  <c r="F72" i="5"/>
  <c r="E72" i="5"/>
  <c r="AM71" i="5"/>
  <c r="Y71" i="5"/>
  <c r="W71" i="5"/>
  <c r="V71" i="5"/>
  <c r="U71" i="5"/>
  <c r="T71" i="5"/>
  <c r="S71" i="5"/>
  <c r="R71" i="5"/>
  <c r="Q71" i="5"/>
  <c r="P71" i="5"/>
  <c r="O71" i="5"/>
  <c r="N71" i="5"/>
  <c r="M71" i="5"/>
  <c r="L71" i="5"/>
  <c r="K71" i="5"/>
  <c r="I71" i="5"/>
  <c r="H71" i="5"/>
  <c r="G71" i="5"/>
  <c r="F71" i="5"/>
  <c r="E71" i="5"/>
  <c r="AM70" i="5"/>
  <c r="Y70" i="5"/>
  <c r="W70" i="5"/>
  <c r="V70" i="5"/>
  <c r="U70" i="5"/>
  <c r="T70" i="5"/>
  <c r="S70" i="5"/>
  <c r="R70" i="5"/>
  <c r="Q70" i="5"/>
  <c r="P70" i="5"/>
  <c r="O70" i="5"/>
  <c r="N70" i="5"/>
  <c r="M70" i="5"/>
  <c r="L70" i="5"/>
  <c r="K70" i="5"/>
  <c r="I70" i="5"/>
  <c r="H70" i="5"/>
  <c r="G70" i="5"/>
  <c r="F70" i="5"/>
  <c r="E70" i="5"/>
  <c r="AM69" i="5"/>
  <c r="Y69" i="5"/>
  <c r="W69" i="5"/>
  <c r="V69" i="5"/>
  <c r="U69" i="5"/>
  <c r="T69" i="5"/>
  <c r="S69" i="5"/>
  <c r="R69" i="5"/>
  <c r="Q69" i="5"/>
  <c r="P69" i="5"/>
  <c r="O69" i="5"/>
  <c r="N69" i="5"/>
  <c r="M69" i="5"/>
  <c r="L69" i="5"/>
  <c r="K69" i="5"/>
  <c r="I69" i="5"/>
  <c r="H69" i="5"/>
  <c r="G69" i="5"/>
  <c r="F69" i="5"/>
  <c r="E69" i="5"/>
  <c r="AM68" i="5"/>
  <c r="Y68" i="5"/>
  <c r="W68" i="5"/>
  <c r="V68" i="5"/>
  <c r="U68" i="5"/>
  <c r="T68" i="5"/>
  <c r="S68" i="5"/>
  <c r="R68" i="5"/>
  <c r="Q68" i="5"/>
  <c r="P68" i="5"/>
  <c r="O68" i="5"/>
  <c r="N68" i="5"/>
  <c r="M68" i="5"/>
  <c r="L68" i="5"/>
  <c r="K68" i="5"/>
  <c r="I68" i="5"/>
  <c r="H68" i="5"/>
  <c r="G68" i="5"/>
  <c r="F68" i="5"/>
  <c r="E68" i="5"/>
  <c r="O60" i="34"/>
  <c r="AM67" i="5"/>
  <c r="Y67" i="5"/>
  <c r="W67" i="5"/>
  <c r="V67" i="5"/>
  <c r="U67" i="5"/>
  <c r="T67" i="5"/>
  <c r="S67" i="5"/>
  <c r="R67" i="5"/>
  <c r="Q67" i="5"/>
  <c r="P67" i="5"/>
  <c r="O67" i="5"/>
  <c r="N67" i="5"/>
  <c r="M67" i="5"/>
  <c r="L67" i="5"/>
  <c r="K67" i="5"/>
  <c r="I67" i="5"/>
  <c r="H67" i="5"/>
  <c r="G67" i="5"/>
  <c r="F67" i="5"/>
  <c r="E67" i="5"/>
  <c r="O59" i="34"/>
  <c r="AM66" i="5"/>
  <c r="Y66" i="5"/>
  <c r="W66" i="5"/>
  <c r="V66" i="5"/>
  <c r="U66" i="5"/>
  <c r="T66" i="5"/>
  <c r="S66" i="5"/>
  <c r="R66" i="5"/>
  <c r="Q66" i="5"/>
  <c r="P66" i="5"/>
  <c r="O66" i="5"/>
  <c r="N66" i="5"/>
  <c r="M66" i="5"/>
  <c r="L66" i="5"/>
  <c r="K66" i="5"/>
  <c r="I66" i="5"/>
  <c r="H66" i="5"/>
  <c r="G66" i="5"/>
  <c r="F66" i="5"/>
  <c r="E66" i="5"/>
  <c r="O58" i="34"/>
  <c r="AM65" i="5"/>
  <c r="Y65" i="5"/>
  <c r="W65" i="5"/>
  <c r="V65" i="5"/>
  <c r="U65" i="5"/>
  <c r="T65" i="5"/>
  <c r="S65" i="5"/>
  <c r="R65" i="5"/>
  <c r="Q65" i="5"/>
  <c r="P65" i="5"/>
  <c r="O65" i="5"/>
  <c r="N65" i="5"/>
  <c r="M65" i="5"/>
  <c r="L65" i="5"/>
  <c r="K65" i="5"/>
  <c r="I65" i="5"/>
  <c r="H65" i="5"/>
  <c r="G65" i="5"/>
  <c r="F65" i="5"/>
  <c r="E65" i="5"/>
  <c r="AM64" i="5"/>
  <c r="Y64" i="5"/>
  <c r="W64" i="5"/>
  <c r="V64" i="5"/>
  <c r="U64" i="5"/>
  <c r="T64" i="5"/>
  <c r="S64" i="5"/>
  <c r="R64" i="5"/>
  <c r="Q64" i="5"/>
  <c r="P64" i="5"/>
  <c r="O64" i="5"/>
  <c r="N64" i="5"/>
  <c r="M64" i="5"/>
  <c r="L64" i="5"/>
  <c r="K64" i="5"/>
  <c r="I64" i="5"/>
  <c r="H64" i="5"/>
  <c r="G64" i="5"/>
  <c r="F64" i="5"/>
  <c r="E64" i="5"/>
  <c r="AM63" i="5"/>
  <c r="Y63" i="5"/>
  <c r="W63" i="5"/>
  <c r="V63" i="5"/>
  <c r="U63" i="5"/>
  <c r="T63" i="5"/>
  <c r="S63" i="5"/>
  <c r="R63" i="5"/>
  <c r="Q63" i="5"/>
  <c r="P63" i="5"/>
  <c r="O63" i="5"/>
  <c r="N63" i="5"/>
  <c r="M63" i="5"/>
  <c r="L63" i="5"/>
  <c r="K63" i="5"/>
  <c r="I63" i="5"/>
  <c r="H63" i="5"/>
  <c r="G63" i="5"/>
  <c r="F63" i="5"/>
  <c r="E63" i="5"/>
  <c r="AM62" i="5"/>
  <c r="Y62" i="5"/>
  <c r="W62" i="5"/>
  <c r="V62" i="5"/>
  <c r="U62" i="5"/>
  <c r="T62" i="5"/>
  <c r="S62" i="5"/>
  <c r="R62" i="5"/>
  <c r="Q62" i="5"/>
  <c r="P62" i="5"/>
  <c r="O62" i="5"/>
  <c r="N62" i="5"/>
  <c r="M62" i="5"/>
  <c r="L62" i="5"/>
  <c r="K62" i="5"/>
  <c r="I62" i="5"/>
  <c r="H62" i="5"/>
  <c r="G62" i="5"/>
  <c r="F62" i="5"/>
  <c r="E62" i="5"/>
  <c r="AM61" i="5"/>
  <c r="Y61" i="5"/>
  <c r="W61" i="5"/>
  <c r="V61" i="5"/>
  <c r="U61" i="5"/>
  <c r="T61" i="5"/>
  <c r="S61" i="5"/>
  <c r="R61" i="5"/>
  <c r="Q61" i="5"/>
  <c r="P61" i="5"/>
  <c r="O61" i="5"/>
  <c r="N61" i="5"/>
  <c r="M61" i="5"/>
  <c r="L61" i="5"/>
  <c r="K61" i="5"/>
  <c r="I61" i="5"/>
  <c r="H61" i="5"/>
  <c r="G61" i="5"/>
  <c r="F61" i="5"/>
  <c r="E61" i="5"/>
  <c r="AM60" i="5"/>
  <c r="Y60" i="5"/>
  <c r="W60" i="5"/>
  <c r="V60" i="5"/>
  <c r="U60" i="5"/>
  <c r="T60" i="5"/>
  <c r="S60" i="5"/>
  <c r="R60" i="5"/>
  <c r="Q60" i="5"/>
  <c r="P60" i="5"/>
  <c r="O60" i="5"/>
  <c r="N60" i="5"/>
  <c r="M60" i="5"/>
  <c r="L60" i="5"/>
  <c r="K60" i="5"/>
  <c r="I60" i="5"/>
  <c r="H60" i="5"/>
  <c r="G60" i="5"/>
  <c r="F60" i="5"/>
  <c r="E60" i="5"/>
  <c r="AM59" i="5"/>
  <c r="Y59" i="5"/>
  <c r="W59" i="5"/>
  <c r="V59" i="5"/>
  <c r="U59" i="5"/>
  <c r="T59" i="5"/>
  <c r="S59" i="5"/>
  <c r="R59" i="5"/>
  <c r="Q59" i="5"/>
  <c r="P59" i="5"/>
  <c r="O59" i="5"/>
  <c r="N59" i="5"/>
  <c r="M59" i="5"/>
  <c r="L59" i="5"/>
  <c r="K59" i="5"/>
  <c r="I59" i="5"/>
  <c r="H59" i="5"/>
  <c r="G59" i="5"/>
  <c r="F59" i="5"/>
  <c r="E59" i="5"/>
  <c r="AM58" i="5"/>
  <c r="Y58" i="5"/>
  <c r="W58" i="5"/>
  <c r="V58" i="5"/>
  <c r="U58" i="5"/>
  <c r="T58" i="5"/>
  <c r="S58" i="5"/>
  <c r="R58" i="5"/>
  <c r="Q58" i="5"/>
  <c r="P58" i="5"/>
  <c r="O58" i="5"/>
  <c r="N58" i="5"/>
  <c r="M58" i="5"/>
  <c r="L58" i="5"/>
  <c r="K58" i="5"/>
  <c r="I58" i="5"/>
  <c r="H58" i="5"/>
  <c r="G58" i="5"/>
  <c r="F58" i="5"/>
  <c r="E58" i="5"/>
  <c r="AM57" i="5"/>
  <c r="Y57" i="5"/>
  <c r="W57" i="5"/>
  <c r="V57" i="5"/>
  <c r="U57" i="5"/>
  <c r="T57" i="5"/>
  <c r="S57" i="5"/>
  <c r="R57" i="5"/>
  <c r="Q57" i="5"/>
  <c r="P57" i="5"/>
  <c r="O57" i="5"/>
  <c r="N57" i="5"/>
  <c r="M57" i="5"/>
  <c r="L57" i="5"/>
  <c r="K57" i="5"/>
  <c r="I57" i="5"/>
  <c r="H57" i="5"/>
  <c r="G57" i="5"/>
  <c r="F57" i="5"/>
  <c r="E57" i="5"/>
  <c r="AM56" i="5"/>
  <c r="Y56" i="5"/>
  <c r="W56" i="5"/>
  <c r="V56" i="5"/>
  <c r="U56" i="5"/>
  <c r="T56" i="5"/>
  <c r="S56" i="5"/>
  <c r="R56" i="5"/>
  <c r="Q56" i="5"/>
  <c r="P56" i="5"/>
  <c r="O56" i="5"/>
  <c r="N56" i="5"/>
  <c r="M56" i="5"/>
  <c r="L56" i="5"/>
  <c r="K56" i="5"/>
  <c r="I56" i="5"/>
  <c r="H56" i="5"/>
  <c r="G56" i="5"/>
  <c r="F56" i="5"/>
  <c r="E56" i="5"/>
  <c r="AM55" i="5"/>
  <c r="AK55" i="5"/>
  <c r="AI55" i="5"/>
  <c r="AH55" i="5"/>
  <c r="Y55" i="5"/>
  <c r="W55" i="5"/>
  <c r="V55" i="5"/>
  <c r="U55" i="5"/>
  <c r="T55" i="5"/>
  <c r="S55" i="5"/>
  <c r="R55" i="5"/>
  <c r="Q55" i="5"/>
  <c r="P55" i="5"/>
  <c r="O55" i="5"/>
  <c r="N55" i="5"/>
  <c r="M55" i="5"/>
  <c r="L55" i="5"/>
  <c r="K55" i="5"/>
  <c r="I55" i="5"/>
  <c r="H55" i="5"/>
  <c r="G55" i="5"/>
  <c r="F55" i="5"/>
  <c r="E55" i="5"/>
  <c r="AM54" i="5"/>
  <c r="Y54" i="5"/>
  <c r="W54" i="5"/>
  <c r="V54" i="5"/>
  <c r="U54" i="5"/>
  <c r="T54" i="5"/>
  <c r="S54" i="5"/>
  <c r="R54" i="5"/>
  <c r="Q54" i="5"/>
  <c r="P54" i="5"/>
  <c r="O54" i="5"/>
  <c r="N54" i="5"/>
  <c r="M54" i="5"/>
  <c r="L54" i="5"/>
  <c r="K54" i="5"/>
  <c r="I54" i="5"/>
  <c r="H54" i="5"/>
  <c r="G54" i="5"/>
  <c r="F54" i="5"/>
  <c r="E54" i="5"/>
  <c r="AM53" i="5"/>
  <c r="Y53" i="5"/>
  <c r="W53" i="5"/>
  <c r="V53" i="5"/>
  <c r="U53" i="5"/>
  <c r="T53" i="5"/>
  <c r="S53" i="5"/>
  <c r="R53" i="5"/>
  <c r="Q53" i="5"/>
  <c r="P53" i="5"/>
  <c r="O53" i="5"/>
  <c r="N53" i="5"/>
  <c r="M53" i="5"/>
  <c r="L53" i="5"/>
  <c r="K53" i="5"/>
  <c r="I53" i="5"/>
  <c r="H53" i="5"/>
  <c r="G53" i="5"/>
  <c r="F53" i="5"/>
  <c r="E53" i="5"/>
  <c r="AM52" i="5"/>
  <c r="Y52" i="5"/>
  <c r="W52" i="5"/>
  <c r="V52" i="5"/>
  <c r="U52" i="5"/>
  <c r="T52" i="5"/>
  <c r="S52" i="5"/>
  <c r="R52" i="5"/>
  <c r="Q52" i="5"/>
  <c r="P52" i="5"/>
  <c r="O52" i="5"/>
  <c r="N52" i="5"/>
  <c r="M52" i="5"/>
  <c r="L52" i="5"/>
  <c r="K52" i="5"/>
  <c r="I52" i="5"/>
  <c r="H52" i="5"/>
  <c r="G52" i="5"/>
  <c r="F52" i="5"/>
  <c r="E52" i="5"/>
  <c r="AM51" i="5"/>
  <c r="Y51" i="5"/>
  <c r="W51" i="5"/>
  <c r="V51" i="5"/>
  <c r="U51" i="5"/>
  <c r="T51" i="5"/>
  <c r="S51" i="5"/>
  <c r="R51" i="5"/>
  <c r="Q51" i="5"/>
  <c r="P51" i="5"/>
  <c r="O51" i="5"/>
  <c r="N51" i="5"/>
  <c r="M51" i="5"/>
  <c r="L51" i="5"/>
  <c r="K51" i="5"/>
  <c r="I51" i="5"/>
  <c r="H51" i="5"/>
  <c r="G51" i="5"/>
  <c r="F51" i="5"/>
  <c r="E51" i="5"/>
  <c r="AM50" i="5"/>
  <c r="Y50" i="5"/>
  <c r="W50" i="5"/>
  <c r="V50" i="5"/>
  <c r="U50" i="5"/>
  <c r="T50" i="5"/>
  <c r="S50" i="5"/>
  <c r="R50" i="5"/>
  <c r="Q50" i="5"/>
  <c r="P50" i="5"/>
  <c r="O50" i="5"/>
  <c r="N50" i="5"/>
  <c r="M50" i="5"/>
  <c r="L50" i="5"/>
  <c r="K50" i="5"/>
  <c r="I50" i="5"/>
  <c r="H50" i="5"/>
  <c r="G50" i="5"/>
  <c r="F50" i="5"/>
  <c r="E50" i="5"/>
  <c r="AM49" i="5"/>
  <c r="Y49" i="5"/>
  <c r="W49" i="5"/>
  <c r="V49" i="5"/>
  <c r="U49" i="5"/>
  <c r="T49" i="5"/>
  <c r="S49" i="5"/>
  <c r="R49" i="5"/>
  <c r="Q49" i="5"/>
  <c r="P49" i="5"/>
  <c r="O49" i="5"/>
  <c r="N49" i="5"/>
  <c r="M49" i="5"/>
  <c r="L49" i="5"/>
  <c r="K49" i="5"/>
  <c r="I49" i="5"/>
  <c r="H49" i="5"/>
  <c r="G49" i="5"/>
  <c r="F49" i="5"/>
  <c r="E49" i="5"/>
  <c r="AM48" i="5"/>
  <c r="Y48" i="5"/>
  <c r="W48" i="5"/>
  <c r="V48" i="5"/>
  <c r="U48" i="5"/>
  <c r="T48" i="5"/>
  <c r="S48" i="5"/>
  <c r="R48" i="5"/>
  <c r="Q48" i="5"/>
  <c r="P48" i="5"/>
  <c r="O48" i="5"/>
  <c r="N48" i="5"/>
  <c r="M48" i="5"/>
  <c r="L48" i="5"/>
  <c r="K48" i="5"/>
  <c r="I48" i="5"/>
  <c r="H48" i="5"/>
  <c r="G48" i="5"/>
  <c r="F48" i="5"/>
  <c r="E48" i="5"/>
  <c r="AM47" i="5"/>
  <c r="Y47" i="5"/>
  <c r="W47" i="5"/>
  <c r="V47" i="5"/>
  <c r="U47" i="5"/>
  <c r="T47" i="5"/>
  <c r="S47" i="5"/>
  <c r="R47" i="5"/>
  <c r="Q47" i="5"/>
  <c r="P47" i="5"/>
  <c r="O47" i="5"/>
  <c r="N47" i="5"/>
  <c r="M47" i="5"/>
  <c r="L47" i="5"/>
  <c r="K47" i="5"/>
  <c r="I47" i="5"/>
  <c r="H47" i="5"/>
  <c r="G47" i="5"/>
  <c r="F47" i="5"/>
  <c r="E47" i="5"/>
  <c r="AM46" i="5"/>
  <c r="Y46" i="5"/>
  <c r="W46" i="5"/>
  <c r="V46" i="5"/>
  <c r="U46" i="5"/>
  <c r="T46" i="5"/>
  <c r="S46" i="5"/>
  <c r="R46" i="5"/>
  <c r="Q46" i="5"/>
  <c r="P46" i="5"/>
  <c r="O46" i="5"/>
  <c r="N46" i="5"/>
  <c r="M46" i="5"/>
  <c r="L46" i="5"/>
  <c r="K46" i="5"/>
  <c r="I46" i="5"/>
  <c r="H46" i="5"/>
  <c r="G46" i="5"/>
  <c r="F46" i="5"/>
  <c r="E46" i="5"/>
  <c r="AM45" i="5"/>
  <c r="Y45" i="5"/>
  <c r="W45" i="5"/>
  <c r="V45" i="5"/>
  <c r="U45" i="5"/>
  <c r="T45" i="5"/>
  <c r="S45" i="5"/>
  <c r="R45" i="5"/>
  <c r="Q45" i="5"/>
  <c r="P45" i="5"/>
  <c r="O45" i="5"/>
  <c r="N45" i="5"/>
  <c r="M45" i="5"/>
  <c r="L45" i="5"/>
  <c r="K45" i="5"/>
  <c r="I45" i="5"/>
  <c r="H45" i="5"/>
  <c r="G45" i="5"/>
  <c r="F45" i="5"/>
  <c r="E45" i="5"/>
  <c r="BN44" i="5"/>
  <c r="AZ44" i="5"/>
  <c r="V44" i="5"/>
  <c r="U44" i="5"/>
  <c r="S44" i="5"/>
  <c r="R44" i="5"/>
  <c r="Q44" i="5"/>
  <c r="P44" i="5"/>
  <c r="O44" i="5"/>
  <c r="N44" i="5"/>
  <c r="M44" i="5"/>
  <c r="L44" i="5"/>
  <c r="J44" i="5"/>
  <c r="AM43" i="5"/>
  <c r="Y43" i="5"/>
  <c r="W43" i="5"/>
  <c r="V43" i="5"/>
  <c r="U43" i="5"/>
  <c r="T43" i="5"/>
  <c r="S43" i="5"/>
  <c r="R43" i="5"/>
  <c r="Q43" i="5"/>
  <c r="P43" i="5"/>
  <c r="O43" i="5"/>
  <c r="N43" i="5"/>
  <c r="M43" i="5"/>
  <c r="L43" i="5"/>
  <c r="K43" i="5"/>
  <c r="I43" i="5"/>
  <c r="H43" i="5"/>
  <c r="G43" i="5"/>
  <c r="F43" i="5"/>
  <c r="E43" i="5"/>
  <c r="AM42" i="5"/>
  <c r="Y42" i="5"/>
  <c r="W42" i="5"/>
  <c r="V42" i="5"/>
  <c r="U42" i="5"/>
  <c r="T42" i="5"/>
  <c r="S42" i="5"/>
  <c r="R42" i="5"/>
  <c r="Q42" i="5"/>
  <c r="P42" i="5"/>
  <c r="O42" i="5"/>
  <c r="N42" i="5"/>
  <c r="M42" i="5"/>
  <c r="L42" i="5"/>
  <c r="K42" i="5"/>
  <c r="I42" i="5"/>
  <c r="H42" i="5"/>
  <c r="G42" i="5"/>
  <c r="F42" i="5"/>
  <c r="E42" i="5"/>
  <c r="AM41" i="5"/>
  <c r="Y41" i="5"/>
  <c r="W41" i="5"/>
  <c r="V41" i="5"/>
  <c r="U41" i="5"/>
  <c r="T41" i="5"/>
  <c r="S41" i="5"/>
  <c r="R41" i="5"/>
  <c r="Q41" i="5"/>
  <c r="P41" i="5"/>
  <c r="O41" i="5"/>
  <c r="N41" i="5"/>
  <c r="M41" i="5"/>
  <c r="L41" i="5"/>
  <c r="K41" i="5"/>
  <c r="I41" i="5"/>
  <c r="H41" i="5"/>
  <c r="G41" i="5"/>
  <c r="F41" i="5"/>
  <c r="E41" i="5"/>
  <c r="AM40" i="5"/>
  <c r="Y40" i="5"/>
  <c r="W40" i="5"/>
  <c r="V40" i="5"/>
  <c r="U40" i="5"/>
  <c r="T40" i="5"/>
  <c r="S40" i="5"/>
  <c r="R40" i="5"/>
  <c r="Q40" i="5"/>
  <c r="P40" i="5"/>
  <c r="O40" i="5"/>
  <c r="N40" i="5"/>
  <c r="M40" i="5"/>
  <c r="L40" i="5"/>
  <c r="K40" i="5"/>
  <c r="I40" i="5"/>
  <c r="H40" i="5"/>
  <c r="G40" i="5"/>
  <c r="F40" i="5"/>
  <c r="E40" i="5"/>
  <c r="AM39" i="5"/>
  <c r="Y39" i="5"/>
  <c r="W39" i="5"/>
  <c r="V39" i="5"/>
  <c r="U39" i="5"/>
  <c r="T39" i="5"/>
  <c r="S39" i="5"/>
  <c r="R39" i="5"/>
  <c r="Q39" i="5"/>
  <c r="P39" i="5"/>
  <c r="O39" i="5"/>
  <c r="N39" i="5"/>
  <c r="M39" i="5"/>
  <c r="L39" i="5"/>
  <c r="K39" i="5"/>
  <c r="I39" i="5"/>
  <c r="H39" i="5"/>
  <c r="G39" i="5"/>
  <c r="F39" i="5"/>
  <c r="E39" i="5"/>
  <c r="AM38" i="5"/>
  <c r="Y38" i="5"/>
  <c r="W38" i="5"/>
  <c r="V38" i="5"/>
  <c r="U38" i="5"/>
  <c r="T38" i="5"/>
  <c r="S38" i="5"/>
  <c r="R38" i="5"/>
  <c r="Q38" i="5"/>
  <c r="P38" i="5"/>
  <c r="O38" i="5"/>
  <c r="N38" i="5"/>
  <c r="M38" i="5"/>
  <c r="L38" i="5"/>
  <c r="K38" i="5"/>
  <c r="I38" i="5"/>
  <c r="H38" i="5"/>
  <c r="G38" i="5"/>
  <c r="F38" i="5"/>
  <c r="E38" i="5"/>
  <c r="AM37" i="5"/>
  <c r="Y37" i="5"/>
  <c r="W37" i="5"/>
  <c r="V37" i="5"/>
  <c r="U37" i="5"/>
  <c r="T37" i="5"/>
  <c r="S37" i="5"/>
  <c r="R37" i="5"/>
  <c r="Q37" i="5"/>
  <c r="P37" i="5"/>
  <c r="O37" i="5"/>
  <c r="N37" i="5"/>
  <c r="M37" i="5"/>
  <c r="L37" i="5"/>
  <c r="K37" i="5"/>
  <c r="I37" i="5"/>
  <c r="H37" i="5"/>
  <c r="G37" i="5"/>
  <c r="F37" i="5"/>
  <c r="E37" i="5"/>
  <c r="AM36" i="5"/>
  <c r="Y36" i="5"/>
  <c r="W36" i="5"/>
  <c r="V36" i="5"/>
  <c r="U36" i="5"/>
  <c r="T36" i="5"/>
  <c r="S36" i="5"/>
  <c r="R36" i="5"/>
  <c r="Q36" i="5"/>
  <c r="P36" i="5"/>
  <c r="O36" i="5"/>
  <c r="N36" i="5"/>
  <c r="M36" i="5"/>
  <c r="L36" i="5"/>
  <c r="K36" i="5"/>
  <c r="E110" i="27"/>
  <c r="G70" i="34"/>
  <c r="I36" i="5"/>
  <c r="H36" i="5"/>
  <c r="G36" i="5"/>
  <c r="F36" i="5"/>
  <c r="E36" i="5"/>
  <c r="AM35" i="5"/>
  <c r="Y35" i="5"/>
  <c r="W35" i="5"/>
  <c r="V35" i="5"/>
  <c r="U35" i="5"/>
  <c r="T35" i="5"/>
  <c r="S35" i="5"/>
  <c r="R35" i="5"/>
  <c r="Q35" i="5"/>
  <c r="P35" i="5"/>
  <c r="O35" i="5"/>
  <c r="N35" i="5"/>
  <c r="M35" i="5"/>
  <c r="L35" i="5"/>
  <c r="K35" i="5"/>
  <c r="I35" i="5"/>
  <c r="H35" i="5"/>
  <c r="G35" i="5"/>
  <c r="F35" i="5"/>
  <c r="E35" i="5"/>
  <c r="AM34" i="5"/>
  <c r="Y34" i="5"/>
  <c r="W34" i="5"/>
  <c r="V34" i="5"/>
  <c r="U34" i="5"/>
  <c r="T34" i="5"/>
  <c r="S34" i="5"/>
  <c r="R34" i="5"/>
  <c r="Q34" i="5"/>
  <c r="P34" i="5"/>
  <c r="O34" i="5"/>
  <c r="N34" i="5"/>
  <c r="M34" i="5"/>
  <c r="L34" i="5"/>
  <c r="K34" i="5"/>
  <c r="I34" i="5"/>
  <c r="H34" i="5"/>
  <c r="G34" i="5"/>
  <c r="F34" i="5"/>
  <c r="E34" i="5"/>
  <c r="AM33" i="5"/>
  <c r="Y33" i="5"/>
  <c r="W33" i="5"/>
  <c r="V33" i="5"/>
  <c r="U33" i="5"/>
  <c r="T33" i="5"/>
  <c r="S33" i="5"/>
  <c r="R33" i="5"/>
  <c r="Q33" i="5"/>
  <c r="P33" i="5"/>
  <c r="O33" i="5"/>
  <c r="N33" i="5"/>
  <c r="M33" i="5"/>
  <c r="L33" i="5"/>
  <c r="K33" i="5"/>
  <c r="I33" i="5"/>
  <c r="H33" i="5"/>
  <c r="G33" i="5"/>
  <c r="F33" i="5"/>
  <c r="E33" i="5"/>
  <c r="AM32" i="5"/>
  <c r="G109" i="27"/>
  <c r="K69" i="34"/>
  <c r="Y32" i="5"/>
  <c r="F109" i="27"/>
  <c r="I69" i="34"/>
  <c r="W32" i="5"/>
  <c r="V32" i="5"/>
  <c r="U32" i="5"/>
  <c r="T32" i="5"/>
  <c r="S32" i="5"/>
  <c r="R32" i="5"/>
  <c r="Q32" i="5"/>
  <c r="P32" i="5"/>
  <c r="O32" i="5"/>
  <c r="N32" i="5"/>
  <c r="M32" i="5"/>
  <c r="L32" i="5"/>
  <c r="K32" i="5"/>
  <c r="E109" i="27"/>
  <c r="G69" i="34"/>
  <c r="I32" i="5"/>
  <c r="H32" i="5"/>
  <c r="G32" i="5"/>
  <c r="F32" i="5"/>
  <c r="E32" i="5"/>
  <c r="AM31" i="5"/>
  <c r="Y31" i="5"/>
  <c r="W31" i="5"/>
  <c r="V31" i="5"/>
  <c r="U31" i="5"/>
  <c r="T31" i="5"/>
  <c r="S31" i="5"/>
  <c r="R31" i="5"/>
  <c r="Q31" i="5"/>
  <c r="P31" i="5"/>
  <c r="O31" i="5"/>
  <c r="N31" i="5"/>
  <c r="M31" i="5"/>
  <c r="L31" i="5"/>
  <c r="K31" i="5"/>
  <c r="I31" i="5"/>
  <c r="H31" i="5"/>
  <c r="G31" i="5"/>
  <c r="F31" i="5"/>
  <c r="E31" i="5"/>
  <c r="AM30" i="5"/>
  <c r="Y30" i="5"/>
  <c r="W30" i="5"/>
  <c r="V30" i="5"/>
  <c r="U30" i="5"/>
  <c r="T30" i="5"/>
  <c r="S30" i="5"/>
  <c r="R30" i="5"/>
  <c r="Q30" i="5"/>
  <c r="P30" i="5"/>
  <c r="O30" i="5"/>
  <c r="N30" i="5"/>
  <c r="M30" i="5"/>
  <c r="L30" i="5"/>
  <c r="K30" i="5"/>
  <c r="I30" i="5"/>
  <c r="H30" i="5"/>
  <c r="G30" i="5"/>
  <c r="F30" i="5"/>
  <c r="E30" i="5"/>
  <c r="AM29" i="5"/>
  <c r="Y29" i="5"/>
  <c r="F108" i="27"/>
  <c r="I68" i="34"/>
  <c r="W29" i="5"/>
  <c r="V29" i="5"/>
  <c r="U29" i="5"/>
  <c r="T29" i="5"/>
  <c r="S29" i="5"/>
  <c r="R29" i="5"/>
  <c r="Q29" i="5"/>
  <c r="P29" i="5"/>
  <c r="O29" i="5"/>
  <c r="N29" i="5"/>
  <c r="M29" i="5"/>
  <c r="L29" i="5"/>
  <c r="K29" i="5"/>
  <c r="I29" i="5"/>
  <c r="H29" i="5"/>
  <c r="G29" i="5"/>
  <c r="F29" i="5"/>
  <c r="E29" i="5"/>
  <c r="AM28" i="5"/>
  <c r="Y28" i="5"/>
  <c r="W28" i="5"/>
  <c r="V28" i="5"/>
  <c r="U28" i="5"/>
  <c r="T28" i="5"/>
  <c r="S28" i="5"/>
  <c r="R28" i="5"/>
  <c r="Q28" i="5"/>
  <c r="P28" i="5"/>
  <c r="O28" i="5"/>
  <c r="N28" i="5"/>
  <c r="M28" i="5"/>
  <c r="L28" i="5"/>
  <c r="K28" i="5"/>
  <c r="E107" i="27"/>
  <c r="I28" i="5"/>
  <c r="H28" i="5"/>
  <c r="G28" i="5"/>
  <c r="F28" i="5"/>
  <c r="E28" i="5"/>
  <c r="AM27" i="5"/>
  <c r="Y27" i="5"/>
  <c r="W27" i="5"/>
  <c r="V27" i="5"/>
  <c r="U27" i="5"/>
  <c r="T27" i="5"/>
  <c r="S27" i="5"/>
  <c r="R27" i="5"/>
  <c r="Q27" i="5"/>
  <c r="P27" i="5"/>
  <c r="O27" i="5"/>
  <c r="N27" i="5"/>
  <c r="M27" i="5"/>
  <c r="L27" i="5"/>
  <c r="K27" i="5"/>
  <c r="I27" i="5"/>
  <c r="H27" i="5"/>
  <c r="G27" i="5"/>
  <c r="F27" i="5"/>
  <c r="E27" i="5"/>
  <c r="D26" i="5"/>
  <c r="D6" i="27"/>
  <c r="AM25" i="5"/>
  <c r="Y25" i="5"/>
  <c r="W25" i="5"/>
  <c r="V25" i="5"/>
  <c r="U25" i="5"/>
  <c r="T25" i="5"/>
  <c r="S25" i="5"/>
  <c r="R25" i="5"/>
  <c r="Q25" i="5"/>
  <c r="P25" i="5"/>
  <c r="O25" i="5"/>
  <c r="N25" i="5"/>
  <c r="M25" i="5"/>
  <c r="L25" i="5"/>
  <c r="K25" i="5"/>
  <c r="I25" i="5"/>
  <c r="H25" i="5"/>
  <c r="G25" i="5"/>
  <c r="F25" i="5"/>
  <c r="E25" i="5"/>
  <c r="AM24" i="5"/>
  <c r="G48" i="27"/>
  <c r="Y24" i="5"/>
  <c r="F48" i="27"/>
  <c r="I24" i="34"/>
  <c r="W24" i="5"/>
  <c r="V24" i="5"/>
  <c r="U24" i="5"/>
  <c r="T24" i="5"/>
  <c r="S24" i="5"/>
  <c r="R24" i="5"/>
  <c r="Q24" i="5"/>
  <c r="P24" i="5"/>
  <c r="O24" i="5"/>
  <c r="N24" i="5"/>
  <c r="M24" i="5"/>
  <c r="L24" i="5"/>
  <c r="K24" i="5"/>
  <c r="E48" i="27"/>
  <c r="G24" i="34"/>
  <c r="I24" i="5"/>
  <c r="H24" i="5"/>
  <c r="G24" i="5"/>
  <c r="F24" i="5"/>
  <c r="E24" i="5"/>
  <c r="AM23" i="5"/>
  <c r="Y23" i="5"/>
  <c r="W23" i="5"/>
  <c r="V23" i="5"/>
  <c r="U23" i="5"/>
  <c r="T23" i="5"/>
  <c r="S23" i="5"/>
  <c r="R23" i="5"/>
  <c r="Q23" i="5"/>
  <c r="P23" i="5"/>
  <c r="O23" i="5"/>
  <c r="N23" i="5"/>
  <c r="M23" i="5"/>
  <c r="L23" i="5"/>
  <c r="K23" i="5"/>
  <c r="I23" i="5"/>
  <c r="H23" i="5"/>
  <c r="G23" i="5"/>
  <c r="F23" i="5"/>
  <c r="E23" i="5"/>
  <c r="AM22" i="5"/>
  <c r="G46" i="27"/>
  <c r="Y22" i="5"/>
  <c r="F46" i="27"/>
  <c r="I22" i="34"/>
  <c r="W22" i="5"/>
  <c r="V22" i="5"/>
  <c r="U22" i="5"/>
  <c r="T22" i="5"/>
  <c r="S22" i="5"/>
  <c r="R22" i="5"/>
  <c r="Q22" i="5"/>
  <c r="P22" i="5"/>
  <c r="O22" i="5"/>
  <c r="N22" i="5"/>
  <c r="M22" i="5"/>
  <c r="L22" i="5"/>
  <c r="K22" i="5"/>
  <c r="E46" i="27"/>
  <c r="G22" i="34"/>
  <c r="I22" i="5"/>
  <c r="H22" i="5"/>
  <c r="G22" i="5"/>
  <c r="F22" i="5"/>
  <c r="E22" i="5"/>
  <c r="AM21" i="5"/>
  <c r="Y21" i="5"/>
  <c r="W21" i="5"/>
  <c r="V21" i="5"/>
  <c r="U21" i="5"/>
  <c r="T21" i="5"/>
  <c r="S21" i="5"/>
  <c r="R21" i="5"/>
  <c r="Q21" i="5"/>
  <c r="P21" i="5"/>
  <c r="O21" i="5"/>
  <c r="N21" i="5"/>
  <c r="M21" i="5"/>
  <c r="L21" i="5"/>
  <c r="K21" i="5"/>
  <c r="I21" i="5"/>
  <c r="H21" i="5"/>
  <c r="G21" i="5"/>
  <c r="F21" i="5"/>
  <c r="E21" i="5"/>
  <c r="AM20" i="5"/>
  <c r="G49" i="27"/>
  <c r="Y20" i="5"/>
  <c r="F49" i="27"/>
  <c r="I25" i="34"/>
  <c r="W20" i="5"/>
  <c r="V20" i="5"/>
  <c r="U20" i="5"/>
  <c r="T20" i="5"/>
  <c r="S20" i="5"/>
  <c r="R20" i="5"/>
  <c r="Q20" i="5"/>
  <c r="P20" i="5"/>
  <c r="O20" i="5"/>
  <c r="N20" i="5"/>
  <c r="M20" i="5"/>
  <c r="L20" i="5"/>
  <c r="K20" i="5"/>
  <c r="E49" i="27"/>
  <c r="G25" i="34"/>
  <c r="I20" i="5"/>
  <c r="H20" i="5"/>
  <c r="G20" i="5"/>
  <c r="F20" i="5"/>
  <c r="E20" i="5"/>
  <c r="AM19" i="5"/>
  <c r="G43" i="27"/>
  <c r="Y19" i="5"/>
  <c r="W19" i="5"/>
  <c r="V19" i="5"/>
  <c r="U19" i="5"/>
  <c r="T19" i="5"/>
  <c r="S19" i="5"/>
  <c r="R19" i="5"/>
  <c r="Q19" i="5"/>
  <c r="P19" i="5"/>
  <c r="O19" i="5"/>
  <c r="N19" i="5"/>
  <c r="M19" i="5"/>
  <c r="L19" i="5"/>
  <c r="K19" i="5"/>
  <c r="I19" i="5"/>
  <c r="H19" i="5"/>
  <c r="G19" i="5"/>
  <c r="F19" i="5"/>
  <c r="E19" i="5"/>
  <c r="AM18" i="5"/>
  <c r="G42" i="27"/>
  <c r="K19" i="34"/>
  <c r="Y18" i="5"/>
  <c r="F42" i="27"/>
  <c r="I19" i="34"/>
  <c r="W18" i="5"/>
  <c r="V18" i="5"/>
  <c r="U18" i="5"/>
  <c r="T18" i="5"/>
  <c r="S18" i="5"/>
  <c r="R18" i="5"/>
  <c r="Q18" i="5"/>
  <c r="P18" i="5"/>
  <c r="O18" i="5"/>
  <c r="N18" i="5"/>
  <c r="M18" i="5"/>
  <c r="L18" i="5"/>
  <c r="K18" i="5"/>
  <c r="E42" i="27"/>
  <c r="G19" i="34"/>
  <c r="I18" i="5"/>
  <c r="H18" i="5"/>
  <c r="G18" i="5"/>
  <c r="F18" i="5"/>
  <c r="E18" i="5"/>
  <c r="AM17" i="5"/>
  <c r="Y17" i="5"/>
  <c r="W17" i="5"/>
  <c r="V17" i="5"/>
  <c r="U17" i="5"/>
  <c r="T17" i="5"/>
  <c r="S17" i="5"/>
  <c r="R17" i="5"/>
  <c r="Q17" i="5"/>
  <c r="P17" i="5"/>
  <c r="O17" i="5"/>
  <c r="N17" i="5"/>
  <c r="M17" i="5"/>
  <c r="L17" i="5"/>
  <c r="K17" i="5"/>
  <c r="I17" i="5"/>
  <c r="H17" i="5"/>
  <c r="G17" i="5"/>
  <c r="F17" i="5"/>
  <c r="E17" i="5"/>
  <c r="AM16" i="5"/>
  <c r="G40" i="27"/>
  <c r="Y16" i="5"/>
  <c r="F40" i="27"/>
  <c r="I17" i="34"/>
  <c r="W16" i="5"/>
  <c r="V16" i="5"/>
  <c r="U16" i="5"/>
  <c r="T16" i="5"/>
  <c r="S16" i="5"/>
  <c r="R16" i="5"/>
  <c r="Q16" i="5"/>
  <c r="P16" i="5"/>
  <c r="O16" i="5"/>
  <c r="N16" i="5"/>
  <c r="M16" i="5"/>
  <c r="L16" i="5"/>
  <c r="K16" i="5"/>
  <c r="E40" i="27"/>
  <c r="G17" i="34"/>
  <c r="I16" i="5"/>
  <c r="H16" i="5"/>
  <c r="G16" i="5"/>
  <c r="F16" i="5"/>
  <c r="E16" i="5"/>
  <c r="AM15" i="5"/>
  <c r="G39" i="27"/>
  <c r="Y15" i="5"/>
  <c r="F39" i="27"/>
  <c r="I16" i="34"/>
  <c r="W15" i="5"/>
  <c r="V15" i="5"/>
  <c r="U15" i="5"/>
  <c r="T15" i="5"/>
  <c r="S15" i="5"/>
  <c r="R15" i="5"/>
  <c r="Q15" i="5"/>
  <c r="P15" i="5"/>
  <c r="O15" i="5"/>
  <c r="N15" i="5"/>
  <c r="M15" i="5"/>
  <c r="L15" i="5"/>
  <c r="K15" i="5"/>
  <c r="E39" i="27"/>
  <c r="G16" i="34"/>
  <c r="I15" i="5"/>
  <c r="H15" i="5"/>
  <c r="G15" i="5"/>
  <c r="F15" i="5"/>
  <c r="E15" i="5"/>
  <c r="AM14" i="5"/>
  <c r="G38" i="27"/>
  <c r="Y14" i="5"/>
  <c r="F38" i="27"/>
  <c r="I15" i="34"/>
  <c r="W14" i="5"/>
  <c r="V14" i="5"/>
  <c r="U14" i="5"/>
  <c r="T14" i="5"/>
  <c r="S14" i="5"/>
  <c r="R14" i="5"/>
  <c r="Q14" i="5"/>
  <c r="P14" i="5"/>
  <c r="O14" i="5"/>
  <c r="N14" i="5"/>
  <c r="M14" i="5"/>
  <c r="L14" i="5"/>
  <c r="K14" i="5"/>
  <c r="E38" i="27"/>
  <c r="G15" i="34"/>
  <c r="I14" i="5"/>
  <c r="H14" i="5"/>
  <c r="G14" i="5"/>
  <c r="F14" i="5"/>
  <c r="E14" i="5"/>
  <c r="AM13" i="5"/>
  <c r="Y13" i="5"/>
  <c r="W13" i="5"/>
  <c r="V13" i="5"/>
  <c r="U13" i="5"/>
  <c r="T13" i="5"/>
  <c r="S13" i="5"/>
  <c r="R13" i="5"/>
  <c r="Q13" i="5"/>
  <c r="P13" i="5"/>
  <c r="O13" i="5"/>
  <c r="N13" i="5"/>
  <c r="M13" i="5"/>
  <c r="L13" i="5"/>
  <c r="K13" i="5"/>
  <c r="I13" i="5"/>
  <c r="H13" i="5"/>
  <c r="G13" i="5"/>
  <c r="F13" i="5"/>
  <c r="E13" i="5"/>
  <c r="AM12" i="5"/>
  <c r="G36" i="27"/>
  <c r="Y12" i="5"/>
  <c r="F36" i="27"/>
  <c r="I13" i="34"/>
  <c r="W12" i="5"/>
  <c r="V12" i="5"/>
  <c r="U12" i="5"/>
  <c r="T12" i="5"/>
  <c r="S12" i="5"/>
  <c r="R12" i="5"/>
  <c r="Q12" i="5"/>
  <c r="P12" i="5"/>
  <c r="O12" i="5"/>
  <c r="N12" i="5"/>
  <c r="M12" i="5"/>
  <c r="L12" i="5"/>
  <c r="K12" i="5"/>
  <c r="E36" i="27"/>
  <c r="G13" i="34"/>
  <c r="I12" i="5"/>
  <c r="H12" i="5"/>
  <c r="G12" i="5"/>
  <c r="F12" i="5"/>
  <c r="E12" i="5"/>
  <c r="AM11" i="5"/>
  <c r="G35" i="27"/>
  <c r="Y11" i="5"/>
  <c r="F35" i="27"/>
  <c r="I12" i="34"/>
  <c r="W11" i="5"/>
  <c r="V11" i="5"/>
  <c r="U11" i="5"/>
  <c r="T11" i="5"/>
  <c r="S11" i="5"/>
  <c r="R11" i="5"/>
  <c r="Q11" i="5"/>
  <c r="P11" i="5"/>
  <c r="O11" i="5"/>
  <c r="N11" i="5"/>
  <c r="M11" i="5"/>
  <c r="L11" i="5"/>
  <c r="K11" i="5"/>
  <c r="E35" i="27"/>
  <c r="G12" i="34"/>
  <c r="I11" i="5"/>
  <c r="H11" i="5"/>
  <c r="G11" i="5"/>
  <c r="F11" i="5"/>
  <c r="E11" i="5"/>
  <c r="AM10" i="5"/>
  <c r="G34" i="27"/>
  <c r="Y10" i="5"/>
  <c r="F34" i="27"/>
  <c r="I11" i="34"/>
  <c r="W10" i="5"/>
  <c r="V10" i="5"/>
  <c r="U10" i="5"/>
  <c r="T10" i="5"/>
  <c r="S10" i="5"/>
  <c r="R10" i="5"/>
  <c r="Q10" i="5"/>
  <c r="P10" i="5"/>
  <c r="O10" i="5"/>
  <c r="N10" i="5"/>
  <c r="M10" i="5"/>
  <c r="L10" i="5"/>
  <c r="K10" i="5"/>
  <c r="E34" i="27"/>
  <c r="G11" i="34"/>
  <c r="I10" i="5"/>
  <c r="H10" i="5"/>
  <c r="G10" i="5"/>
  <c r="F10" i="5"/>
  <c r="E10" i="5"/>
  <c r="AM9" i="5"/>
  <c r="G33" i="27"/>
  <c r="Y9" i="5"/>
  <c r="F33" i="27"/>
  <c r="I10" i="34"/>
  <c r="W9" i="5"/>
  <c r="V9" i="5"/>
  <c r="U9" i="5"/>
  <c r="T9" i="5"/>
  <c r="S9" i="5"/>
  <c r="R9" i="5"/>
  <c r="Q9" i="5"/>
  <c r="P9" i="5"/>
  <c r="O9" i="5"/>
  <c r="N9" i="5"/>
  <c r="M9" i="5"/>
  <c r="L9" i="5"/>
  <c r="K9" i="5"/>
  <c r="E33" i="27"/>
  <c r="G10" i="34"/>
  <c r="I9" i="5"/>
  <c r="H9" i="5"/>
  <c r="G9" i="5"/>
  <c r="F9" i="5"/>
  <c r="E9" i="5"/>
  <c r="AM8" i="5"/>
  <c r="G32" i="27"/>
  <c r="K9" i="34"/>
  <c r="Y8" i="5"/>
  <c r="F32" i="27"/>
  <c r="I9" i="34"/>
  <c r="W8" i="5"/>
  <c r="V8" i="5"/>
  <c r="U8" i="5"/>
  <c r="T8" i="5"/>
  <c r="S8" i="5"/>
  <c r="R8" i="5"/>
  <c r="Q8" i="5"/>
  <c r="P8" i="5"/>
  <c r="O8" i="5"/>
  <c r="N8" i="5"/>
  <c r="M8" i="5"/>
  <c r="L8" i="5"/>
  <c r="K8" i="5"/>
  <c r="E32" i="27"/>
  <c r="G9" i="34"/>
  <c r="I8" i="5"/>
  <c r="H8" i="5"/>
  <c r="G8" i="5"/>
  <c r="F8" i="5"/>
  <c r="E8" i="5"/>
  <c r="AM7" i="5"/>
  <c r="G31" i="27"/>
  <c r="K8" i="34"/>
  <c r="Y7" i="5"/>
  <c r="F31" i="27"/>
  <c r="I8" i="34"/>
  <c r="W7" i="5"/>
  <c r="V7" i="5"/>
  <c r="U7" i="5"/>
  <c r="T7" i="5"/>
  <c r="S7" i="5"/>
  <c r="R7" i="5"/>
  <c r="Q7" i="5"/>
  <c r="P7" i="5"/>
  <c r="O7" i="5"/>
  <c r="N7" i="5"/>
  <c r="M7" i="5"/>
  <c r="L7" i="5"/>
  <c r="K7" i="5"/>
  <c r="E31" i="27"/>
  <c r="G8" i="34"/>
  <c r="I7" i="5"/>
  <c r="H7" i="5"/>
  <c r="G7" i="5"/>
  <c r="F7" i="5"/>
  <c r="E7" i="5"/>
  <c r="AM6" i="5"/>
  <c r="G30" i="27"/>
  <c r="K7" i="34"/>
  <c r="Y6" i="5"/>
  <c r="F30" i="27"/>
  <c r="I7" i="34"/>
  <c r="W6" i="5"/>
  <c r="V6" i="5"/>
  <c r="U6" i="5"/>
  <c r="T6" i="5"/>
  <c r="S6" i="5"/>
  <c r="R6" i="5"/>
  <c r="Q6" i="5"/>
  <c r="P6" i="5"/>
  <c r="O6" i="5"/>
  <c r="N6" i="5"/>
  <c r="M6" i="5"/>
  <c r="L6" i="5"/>
  <c r="K6" i="5"/>
  <c r="E30" i="27"/>
  <c r="G7" i="34"/>
  <c r="I6" i="5"/>
  <c r="H6" i="5"/>
  <c r="G6" i="5"/>
  <c r="F6" i="5"/>
  <c r="E6" i="5"/>
  <c r="AM5" i="5"/>
  <c r="Y5" i="5"/>
  <c r="W5" i="5"/>
  <c r="V5" i="5"/>
  <c r="U5" i="5"/>
  <c r="T5" i="5"/>
  <c r="S5" i="5"/>
  <c r="R5" i="5"/>
  <c r="Q5" i="5"/>
  <c r="P5" i="5"/>
  <c r="O5" i="5"/>
  <c r="N5" i="5"/>
  <c r="M5" i="5"/>
  <c r="L5" i="5"/>
  <c r="K5" i="5"/>
  <c r="I5" i="5"/>
  <c r="H5" i="5"/>
  <c r="G5" i="5"/>
  <c r="F5" i="5"/>
  <c r="E5" i="5"/>
  <c r="D4" i="5"/>
  <c r="D5" i="27"/>
  <c r="G953" i="42"/>
  <c r="J952" i="42"/>
  <c r="J951" i="42"/>
  <c r="J950" i="42"/>
  <c r="J949" i="42"/>
  <c r="J948" i="42"/>
  <c r="J947" i="42"/>
  <c r="J946" i="42"/>
  <c r="J945" i="42"/>
  <c r="J944" i="42"/>
  <c r="J943" i="42"/>
  <c r="J942" i="42"/>
  <c r="J941" i="42"/>
  <c r="J940" i="42"/>
  <c r="J939" i="42"/>
  <c r="J938" i="42"/>
  <c r="J937" i="42"/>
  <c r="J936" i="42"/>
  <c r="J935" i="42"/>
  <c r="J934" i="42"/>
  <c r="J933" i="42"/>
  <c r="J932" i="42"/>
  <c r="J931" i="42"/>
  <c r="J930" i="42"/>
  <c r="J929" i="42"/>
  <c r="J928" i="42"/>
  <c r="J927" i="42"/>
  <c r="J926" i="42"/>
  <c r="J925" i="42"/>
  <c r="J924" i="42"/>
  <c r="J923" i="42"/>
  <c r="J922" i="42"/>
  <c r="J921" i="42"/>
  <c r="J920" i="42"/>
  <c r="J919" i="42"/>
  <c r="J918" i="42"/>
  <c r="J917" i="42"/>
  <c r="J916" i="42"/>
  <c r="J915" i="42"/>
  <c r="J914" i="42"/>
  <c r="J913" i="42"/>
  <c r="J912" i="42"/>
  <c r="J911" i="42"/>
  <c r="J910" i="42"/>
  <c r="J909" i="42"/>
  <c r="J908" i="42"/>
  <c r="J907" i="42"/>
  <c r="J906" i="42"/>
  <c r="J905" i="42"/>
  <c r="J904" i="42"/>
  <c r="J903" i="42"/>
  <c r="J902" i="42"/>
  <c r="J901" i="42"/>
  <c r="J900" i="42"/>
  <c r="J899" i="42"/>
  <c r="J898" i="42"/>
  <c r="J897" i="42"/>
  <c r="J896" i="42"/>
  <c r="J895" i="42"/>
  <c r="J894" i="42"/>
  <c r="J893" i="42"/>
  <c r="J892" i="42"/>
  <c r="J891" i="42"/>
  <c r="J890" i="42"/>
  <c r="J889" i="42"/>
  <c r="J888" i="42"/>
  <c r="J887" i="42"/>
  <c r="J886" i="42"/>
  <c r="J885" i="42"/>
  <c r="J884" i="42"/>
  <c r="J883" i="42"/>
  <c r="J882" i="42"/>
  <c r="J881" i="42"/>
  <c r="J880" i="42"/>
  <c r="J879" i="42"/>
  <c r="J878" i="42"/>
  <c r="J877" i="42"/>
  <c r="J876" i="42"/>
  <c r="J875" i="42"/>
  <c r="J874" i="42"/>
  <c r="J873" i="42"/>
  <c r="J872" i="42"/>
  <c r="J871" i="42"/>
  <c r="J870" i="42"/>
  <c r="J869" i="42"/>
  <c r="J868" i="42"/>
  <c r="J867" i="42"/>
  <c r="J866" i="42"/>
  <c r="J865" i="42"/>
  <c r="J864" i="42"/>
  <c r="J863" i="42"/>
  <c r="J862" i="42"/>
  <c r="J861" i="42"/>
  <c r="J860" i="42"/>
  <c r="J859" i="42"/>
  <c r="J858" i="42"/>
  <c r="J857" i="42"/>
  <c r="J856" i="42"/>
  <c r="J855" i="42"/>
  <c r="J854" i="42"/>
  <c r="J853" i="42"/>
  <c r="J852" i="42"/>
  <c r="J851" i="42"/>
  <c r="J850" i="42"/>
  <c r="J849" i="42"/>
  <c r="J848" i="42"/>
  <c r="J847" i="42"/>
  <c r="J846" i="42"/>
  <c r="J845" i="42"/>
  <c r="J844" i="42"/>
  <c r="J843" i="42"/>
  <c r="J842" i="42"/>
  <c r="J841" i="42"/>
  <c r="J840" i="42"/>
  <c r="J839" i="42"/>
  <c r="J838" i="42"/>
  <c r="J837" i="42"/>
  <c r="J836" i="42"/>
  <c r="J835" i="42"/>
  <c r="J834" i="42"/>
  <c r="J833" i="42"/>
  <c r="J832" i="42"/>
  <c r="J831" i="42"/>
  <c r="J830" i="42"/>
  <c r="J829" i="42"/>
  <c r="J828" i="42"/>
  <c r="J827" i="42"/>
  <c r="J826" i="42"/>
  <c r="J825" i="42"/>
  <c r="J824" i="42"/>
  <c r="J823" i="42"/>
  <c r="J822" i="42"/>
  <c r="J821" i="42"/>
  <c r="J820" i="42"/>
  <c r="J819" i="42"/>
  <c r="J818" i="42"/>
  <c r="J817" i="42"/>
  <c r="J816" i="42"/>
  <c r="J815" i="42"/>
  <c r="J814" i="42"/>
  <c r="J813" i="42"/>
  <c r="J812" i="42"/>
  <c r="J811" i="42"/>
  <c r="J810" i="42"/>
  <c r="J809" i="42"/>
  <c r="J808" i="42"/>
  <c r="J807" i="42"/>
  <c r="J806" i="42"/>
  <c r="J805" i="42"/>
  <c r="J804" i="42"/>
  <c r="J803" i="42"/>
  <c r="J802" i="42"/>
  <c r="J801" i="42"/>
  <c r="J800" i="42"/>
  <c r="J799" i="42"/>
  <c r="J798" i="42"/>
  <c r="J797" i="42"/>
  <c r="J796" i="42"/>
  <c r="J795" i="42"/>
  <c r="J794" i="42"/>
  <c r="J793" i="42"/>
  <c r="J792" i="42"/>
  <c r="J791" i="42"/>
  <c r="J790" i="42"/>
  <c r="J789" i="42"/>
  <c r="J788" i="42"/>
  <c r="J787" i="42"/>
  <c r="J786" i="42"/>
  <c r="J785" i="42"/>
  <c r="J784" i="42"/>
  <c r="J783" i="42"/>
  <c r="J782" i="42"/>
  <c r="J781" i="42"/>
  <c r="J780" i="42"/>
  <c r="J779" i="42"/>
  <c r="J778" i="42"/>
  <c r="J777" i="42"/>
  <c r="J776" i="42"/>
  <c r="J775" i="42"/>
  <c r="J774" i="42"/>
  <c r="J773" i="42"/>
  <c r="J772" i="42"/>
  <c r="J771" i="42"/>
  <c r="J770" i="42"/>
  <c r="J769" i="42"/>
  <c r="J768" i="42"/>
  <c r="J767" i="42"/>
  <c r="J766" i="42"/>
  <c r="J765" i="42"/>
  <c r="J764" i="42"/>
  <c r="J763" i="42"/>
  <c r="J762" i="42"/>
  <c r="J761" i="42"/>
  <c r="J760" i="42"/>
  <c r="J759" i="42"/>
  <c r="J758" i="42"/>
  <c r="J757" i="42"/>
  <c r="J756" i="42"/>
  <c r="J755" i="42"/>
  <c r="J754" i="42"/>
  <c r="J753" i="42"/>
  <c r="J752" i="42"/>
  <c r="J751" i="42"/>
  <c r="J750" i="42"/>
  <c r="J749" i="42"/>
  <c r="J748" i="42"/>
  <c r="J747" i="42"/>
  <c r="J746" i="42"/>
  <c r="J745" i="42"/>
  <c r="J744" i="42"/>
  <c r="J743" i="42"/>
  <c r="J742" i="42"/>
  <c r="J741" i="42"/>
  <c r="J740" i="42"/>
  <c r="J739" i="42"/>
  <c r="J738" i="42"/>
  <c r="J737" i="42"/>
  <c r="J736" i="42"/>
  <c r="J735" i="42"/>
  <c r="J734" i="42"/>
  <c r="J733" i="42"/>
  <c r="J732" i="42"/>
  <c r="J731" i="42"/>
  <c r="J730" i="42"/>
  <c r="J729" i="42"/>
  <c r="J728" i="42"/>
  <c r="J727" i="42"/>
  <c r="J726" i="42"/>
  <c r="J725" i="42"/>
  <c r="J724" i="42"/>
  <c r="J723" i="42"/>
  <c r="J722" i="42"/>
  <c r="J721" i="42"/>
  <c r="J720" i="42"/>
  <c r="J719" i="42"/>
  <c r="J718" i="42"/>
  <c r="J717" i="42"/>
  <c r="J716" i="42"/>
  <c r="J715" i="42"/>
  <c r="J714" i="42"/>
  <c r="J713" i="42"/>
  <c r="J712" i="42"/>
  <c r="J711" i="42"/>
  <c r="J710" i="42"/>
  <c r="J709" i="42"/>
  <c r="J708" i="42"/>
  <c r="J707" i="42"/>
  <c r="J706" i="42"/>
  <c r="J705" i="42"/>
  <c r="J704" i="42"/>
  <c r="J703" i="42"/>
  <c r="J702" i="42"/>
  <c r="J701" i="42"/>
  <c r="J700" i="42"/>
  <c r="J699" i="42"/>
  <c r="J698" i="42"/>
  <c r="J697" i="42"/>
  <c r="J696" i="42"/>
  <c r="J695" i="42"/>
  <c r="J694" i="42"/>
  <c r="J693" i="42"/>
  <c r="J692" i="42"/>
  <c r="J691" i="42"/>
  <c r="J690" i="42"/>
  <c r="J689" i="42"/>
  <c r="J688" i="42"/>
  <c r="J687" i="42"/>
  <c r="J686" i="42"/>
  <c r="J685" i="42"/>
  <c r="J684" i="42"/>
  <c r="J683" i="42"/>
  <c r="J682" i="42"/>
  <c r="J681" i="42"/>
  <c r="J680" i="42"/>
  <c r="J679" i="42"/>
  <c r="J678" i="42"/>
  <c r="J677" i="42"/>
  <c r="J676" i="42"/>
  <c r="J675" i="42"/>
  <c r="J674" i="42"/>
  <c r="J673" i="42"/>
  <c r="J672" i="42"/>
  <c r="J671" i="42"/>
  <c r="J670" i="42"/>
  <c r="J669" i="42"/>
  <c r="J668" i="42"/>
  <c r="J667" i="42"/>
  <c r="J666" i="42"/>
  <c r="J665" i="42"/>
  <c r="J664" i="42"/>
  <c r="J663" i="42"/>
  <c r="J662" i="42"/>
  <c r="J661" i="42"/>
  <c r="J660" i="42"/>
  <c r="J659" i="42"/>
  <c r="J658" i="42"/>
  <c r="J657" i="42"/>
  <c r="J656" i="42"/>
  <c r="J655" i="42"/>
  <c r="J654" i="42"/>
  <c r="J653" i="42"/>
  <c r="J652" i="42"/>
  <c r="J651" i="42"/>
  <c r="J650" i="42"/>
  <c r="J649" i="42"/>
  <c r="J648" i="42"/>
  <c r="J647" i="42"/>
  <c r="J646" i="42"/>
  <c r="J645" i="42"/>
  <c r="J644" i="42"/>
  <c r="J643" i="42"/>
  <c r="J642" i="42"/>
  <c r="J641" i="42"/>
  <c r="J640" i="42"/>
  <c r="J639" i="42"/>
  <c r="J638" i="42"/>
  <c r="J637" i="42"/>
  <c r="J636" i="42"/>
  <c r="J635" i="42"/>
  <c r="J634" i="42"/>
  <c r="J633" i="42"/>
  <c r="J632" i="42"/>
  <c r="J631" i="42"/>
  <c r="J630" i="42"/>
  <c r="J629" i="42"/>
  <c r="J628" i="42"/>
  <c r="J627" i="42"/>
  <c r="J626" i="42"/>
  <c r="J625" i="42"/>
  <c r="J624" i="42"/>
  <c r="J623" i="42"/>
  <c r="J622" i="42"/>
  <c r="J621" i="42"/>
  <c r="J620" i="42"/>
  <c r="J619" i="42"/>
  <c r="J618" i="42"/>
  <c r="J617" i="42"/>
  <c r="J616" i="42"/>
  <c r="J615" i="42"/>
  <c r="J614" i="42"/>
  <c r="J613" i="42"/>
  <c r="J612" i="42"/>
  <c r="J611" i="42"/>
  <c r="J610" i="42"/>
  <c r="J609" i="42"/>
  <c r="J608" i="42"/>
  <c r="J607" i="42"/>
  <c r="J606" i="42"/>
  <c r="J605" i="42"/>
  <c r="J604" i="42"/>
  <c r="J603" i="42"/>
  <c r="J602" i="42"/>
  <c r="J601" i="42"/>
  <c r="J600" i="42"/>
  <c r="J599" i="42"/>
  <c r="J598" i="42"/>
  <c r="J597" i="42"/>
  <c r="J596" i="42"/>
  <c r="J595" i="42"/>
  <c r="J594" i="42"/>
  <c r="J593" i="42"/>
  <c r="J592" i="42"/>
  <c r="J591" i="42"/>
  <c r="J590" i="42"/>
  <c r="J589" i="42"/>
  <c r="J588" i="42"/>
  <c r="J587" i="42"/>
  <c r="J586" i="42"/>
  <c r="J585" i="42"/>
  <c r="J584" i="42"/>
  <c r="J583" i="42"/>
  <c r="J582" i="42"/>
  <c r="J581" i="42"/>
  <c r="J580" i="42"/>
  <c r="J579" i="42"/>
  <c r="J578" i="42"/>
  <c r="J577" i="42"/>
  <c r="J576" i="42"/>
  <c r="J575" i="42"/>
  <c r="J574" i="42"/>
  <c r="J573" i="42"/>
  <c r="J572" i="42"/>
  <c r="J571" i="42"/>
  <c r="J570" i="42"/>
  <c r="J569" i="42"/>
  <c r="J568" i="42"/>
  <c r="J567" i="42"/>
  <c r="J566" i="42"/>
  <c r="J565" i="42"/>
  <c r="J564" i="42"/>
  <c r="J563" i="42"/>
  <c r="J562" i="42"/>
  <c r="J561" i="42"/>
  <c r="J560" i="42"/>
  <c r="J559" i="42"/>
  <c r="J558" i="42"/>
  <c r="J557" i="42"/>
  <c r="J556" i="42"/>
  <c r="J555" i="42"/>
  <c r="J554" i="42"/>
  <c r="J553" i="42"/>
  <c r="J552" i="42"/>
  <c r="J551" i="42"/>
  <c r="J550" i="42"/>
  <c r="J549" i="42"/>
  <c r="J548" i="42"/>
  <c r="J547" i="42"/>
  <c r="J546" i="42"/>
  <c r="J545" i="42"/>
  <c r="J544" i="42"/>
  <c r="J543" i="42"/>
  <c r="J542" i="42"/>
  <c r="J541" i="42"/>
  <c r="J540" i="42"/>
  <c r="J539" i="42"/>
  <c r="J538" i="42"/>
  <c r="J537" i="42"/>
  <c r="J536" i="42"/>
  <c r="J535" i="42"/>
  <c r="J534" i="42"/>
  <c r="J533" i="42"/>
  <c r="J532" i="42"/>
  <c r="J531" i="42"/>
  <c r="J530" i="42"/>
  <c r="J529" i="42"/>
  <c r="J528" i="42"/>
  <c r="J527" i="42"/>
  <c r="J526" i="42"/>
  <c r="J525" i="42"/>
  <c r="J524" i="42"/>
  <c r="J523" i="42"/>
  <c r="J522" i="42"/>
  <c r="J521" i="42"/>
  <c r="J520" i="42"/>
  <c r="J519" i="42"/>
  <c r="J518" i="42"/>
  <c r="J517" i="42"/>
  <c r="J516" i="42"/>
  <c r="J515" i="42"/>
  <c r="J514" i="42"/>
  <c r="J513" i="42"/>
  <c r="J512" i="42"/>
  <c r="J511" i="42"/>
  <c r="J510" i="42"/>
  <c r="J509" i="42"/>
  <c r="J508" i="42"/>
  <c r="J507" i="42"/>
  <c r="J506" i="42"/>
  <c r="J505" i="42"/>
  <c r="J504" i="42"/>
  <c r="J503" i="42"/>
  <c r="J502" i="42"/>
  <c r="J501" i="42"/>
  <c r="J500" i="42"/>
  <c r="J499" i="42"/>
  <c r="J498" i="42"/>
  <c r="J497" i="42"/>
  <c r="J496" i="42"/>
  <c r="J495" i="42"/>
  <c r="J494" i="42"/>
  <c r="J493" i="42"/>
  <c r="J492" i="42"/>
  <c r="J491" i="42"/>
  <c r="J490" i="42"/>
  <c r="J489" i="42"/>
  <c r="J488" i="42"/>
  <c r="J487" i="42"/>
  <c r="J486" i="42"/>
  <c r="J485" i="42"/>
  <c r="J484" i="42"/>
  <c r="J483" i="42"/>
  <c r="J482" i="42"/>
  <c r="J481" i="42"/>
  <c r="J480" i="42"/>
  <c r="J479" i="42"/>
  <c r="J478" i="42"/>
  <c r="J477" i="42"/>
  <c r="J476" i="42"/>
  <c r="J475" i="42"/>
  <c r="J474" i="42"/>
  <c r="J473" i="42"/>
  <c r="J472" i="42"/>
  <c r="J471" i="42"/>
  <c r="J470" i="42"/>
  <c r="J469" i="42"/>
  <c r="J468" i="42"/>
  <c r="J467" i="42"/>
  <c r="J466" i="42"/>
  <c r="J465" i="42"/>
  <c r="J464" i="42"/>
  <c r="J463" i="42"/>
  <c r="J462" i="42"/>
  <c r="J461" i="42"/>
  <c r="J460" i="42"/>
  <c r="J459" i="42"/>
  <c r="J458" i="42"/>
  <c r="J457" i="42"/>
  <c r="J456" i="42"/>
  <c r="J455" i="42"/>
  <c r="J454" i="42"/>
  <c r="J453" i="42"/>
  <c r="J452" i="42"/>
  <c r="J451" i="42"/>
  <c r="J450" i="42"/>
  <c r="J449" i="42"/>
  <c r="J448" i="42"/>
  <c r="J447" i="42"/>
  <c r="J446" i="42"/>
  <c r="J445" i="42"/>
  <c r="J444" i="42"/>
  <c r="J443" i="42"/>
  <c r="J442" i="42"/>
  <c r="J441" i="42"/>
  <c r="J440" i="42"/>
  <c r="J439" i="42"/>
  <c r="J438" i="42"/>
  <c r="J437" i="42"/>
  <c r="J436" i="42"/>
  <c r="J435" i="42"/>
  <c r="J434" i="42"/>
  <c r="J433" i="42"/>
  <c r="J432" i="42"/>
  <c r="J431" i="42"/>
  <c r="J430" i="42"/>
  <c r="J429" i="42"/>
  <c r="J428" i="42"/>
  <c r="J427" i="42"/>
  <c r="J426" i="42"/>
  <c r="J425" i="42"/>
  <c r="J424" i="42"/>
  <c r="J423" i="42"/>
  <c r="J422" i="42"/>
  <c r="J421" i="42"/>
  <c r="J420" i="42"/>
  <c r="J419" i="42"/>
  <c r="J418" i="42"/>
  <c r="J417" i="42"/>
  <c r="J416" i="42"/>
  <c r="J415" i="42"/>
  <c r="J414" i="42"/>
  <c r="J413" i="42"/>
  <c r="J412" i="42"/>
  <c r="J411" i="42"/>
  <c r="J410" i="42"/>
  <c r="J409" i="42"/>
  <c r="J408" i="42"/>
  <c r="J407" i="42"/>
  <c r="J406" i="42"/>
  <c r="J405" i="42"/>
  <c r="J404" i="42"/>
  <c r="J403" i="42"/>
  <c r="J402" i="42"/>
  <c r="J401" i="42"/>
  <c r="J400" i="42"/>
  <c r="J399" i="42"/>
  <c r="J398" i="42"/>
  <c r="J397" i="42"/>
  <c r="J396" i="42"/>
  <c r="J395" i="42"/>
  <c r="J394" i="42"/>
  <c r="J393" i="42"/>
  <c r="J392" i="42"/>
  <c r="J391" i="42"/>
  <c r="J390" i="42"/>
  <c r="J389" i="42"/>
  <c r="J388" i="42"/>
  <c r="J387" i="42"/>
  <c r="J386" i="42"/>
  <c r="J385" i="42"/>
  <c r="J384" i="42"/>
  <c r="J383" i="42"/>
  <c r="J382" i="42"/>
  <c r="J381" i="42"/>
  <c r="J380" i="42"/>
  <c r="J379" i="42"/>
  <c r="J378" i="42"/>
  <c r="J377" i="42"/>
  <c r="J376" i="42"/>
  <c r="J375" i="42"/>
  <c r="J374" i="42"/>
  <c r="J373" i="42"/>
  <c r="J372" i="42"/>
  <c r="J371" i="42"/>
  <c r="J370" i="42"/>
  <c r="J369" i="42"/>
  <c r="J368" i="42"/>
  <c r="J367" i="42"/>
  <c r="J366" i="42"/>
  <c r="J365" i="42"/>
  <c r="J364" i="42"/>
  <c r="J363" i="42"/>
  <c r="J362" i="42"/>
  <c r="J361" i="42"/>
  <c r="J360" i="42"/>
  <c r="J359" i="42"/>
  <c r="J358" i="42"/>
  <c r="J357" i="42"/>
  <c r="J356" i="42"/>
  <c r="J355" i="42"/>
  <c r="J354" i="42"/>
  <c r="J353" i="42"/>
  <c r="J352" i="42"/>
  <c r="J351" i="42"/>
  <c r="J350" i="42"/>
  <c r="J349" i="42"/>
  <c r="J348" i="42"/>
  <c r="J347" i="42"/>
  <c r="J346" i="42"/>
  <c r="J345" i="42"/>
  <c r="J344" i="42"/>
  <c r="J343" i="42"/>
  <c r="J342" i="42"/>
  <c r="J341" i="42"/>
  <c r="J340" i="42"/>
  <c r="J339" i="42"/>
  <c r="J338" i="42"/>
  <c r="J337" i="42"/>
  <c r="J336" i="42"/>
  <c r="J335" i="42"/>
  <c r="J334" i="42"/>
  <c r="J333" i="42"/>
  <c r="J332" i="42"/>
  <c r="J331" i="42"/>
  <c r="J330" i="42"/>
  <c r="J329" i="42"/>
  <c r="J328" i="42"/>
  <c r="J327" i="42"/>
  <c r="J326" i="42"/>
  <c r="J325" i="42"/>
  <c r="J324" i="42"/>
  <c r="J323" i="42"/>
  <c r="J322" i="42"/>
  <c r="J321" i="42"/>
  <c r="J320" i="42"/>
  <c r="J319" i="42"/>
  <c r="J318" i="42"/>
  <c r="J317" i="42"/>
  <c r="J316" i="42"/>
  <c r="J315" i="42"/>
  <c r="J314" i="42"/>
  <c r="J313" i="42"/>
  <c r="J312" i="42"/>
  <c r="J311" i="42"/>
  <c r="J310" i="42"/>
  <c r="J309" i="42"/>
  <c r="J308" i="42"/>
  <c r="J307" i="42"/>
  <c r="J306" i="42"/>
  <c r="J305" i="42"/>
  <c r="J304" i="42"/>
  <c r="J303" i="42"/>
  <c r="J302" i="42"/>
  <c r="J301" i="42"/>
  <c r="J300" i="42"/>
  <c r="J299" i="42"/>
  <c r="J298" i="42"/>
  <c r="J297" i="42"/>
  <c r="J296" i="42"/>
  <c r="J295" i="42"/>
  <c r="J294" i="42"/>
  <c r="J293" i="42"/>
  <c r="J292" i="42"/>
  <c r="J291" i="42"/>
  <c r="J290" i="42"/>
  <c r="J289" i="42"/>
  <c r="J288" i="42"/>
  <c r="J287" i="42"/>
  <c r="J286" i="42"/>
  <c r="J285" i="42"/>
  <c r="J284" i="42"/>
  <c r="J283" i="42"/>
  <c r="J282" i="42"/>
  <c r="J281" i="42"/>
  <c r="J280" i="42"/>
  <c r="J279" i="42"/>
  <c r="J278" i="42"/>
  <c r="J277" i="42"/>
  <c r="J276" i="42"/>
  <c r="J275" i="42"/>
  <c r="J274" i="42"/>
  <c r="J273" i="42"/>
  <c r="J272" i="42"/>
  <c r="J271" i="42"/>
  <c r="J270" i="42"/>
  <c r="J269" i="42"/>
  <c r="J268" i="42"/>
  <c r="J267" i="42"/>
  <c r="J266" i="42"/>
  <c r="J265" i="42"/>
  <c r="J264" i="42"/>
  <c r="J263" i="42"/>
  <c r="J262" i="42"/>
  <c r="J261" i="42"/>
  <c r="J260" i="42"/>
  <c r="S258" i="42"/>
  <c r="J259" i="42"/>
  <c r="J258" i="42"/>
  <c r="J257" i="42"/>
  <c r="J256" i="42"/>
  <c r="J255" i="42"/>
  <c r="J254" i="42"/>
  <c r="J253" i="42"/>
  <c r="J252" i="42"/>
  <c r="J251" i="42"/>
  <c r="J250" i="42"/>
  <c r="J249" i="42"/>
  <c r="J248" i="42"/>
  <c r="J247" i="42"/>
  <c r="J246" i="42"/>
  <c r="J245" i="42"/>
  <c r="J244" i="42"/>
  <c r="J243" i="42"/>
  <c r="J242" i="42"/>
  <c r="J241" i="42"/>
  <c r="J240" i="42"/>
  <c r="J239" i="42"/>
  <c r="J238" i="42"/>
  <c r="J237" i="42"/>
  <c r="J236" i="42"/>
  <c r="J235" i="42"/>
  <c r="J234" i="42"/>
  <c r="J233" i="42"/>
  <c r="J232" i="42"/>
  <c r="J231" i="42"/>
  <c r="J230" i="42"/>
  <c r="J229" i="42"/>
  <c r="J228" i="42"/>
  <c r="J227" i="42"/>
  <c r="J226" i="42"/>
  <c r="J225" i="42"/>
  <c r="J224" i="42"/>
  <c r="J223" i="42"/>
  <c r="J222" i="42"/>
  <c r="J221" i="42"/>
  <c r="J220" i="42"/>
  <c r="J219" i="42"/>
  <c r="J218" i="42"/>
  <c r="J217" i="42"/>
  <c r="J216" i="42"/>
  <c r="J215" i="42"/>
  <c r="J214" i="42"/>
  <c r="J213" i="42"/>
  <c r="J212" i="42"/>
  <c r="J211" i="42"/>
  <c r="J210" i="42"/>
  <c r="J209" i="42"/>
  <c r="J208" i="42"/>
  <c r="J207" i="42"/>
  <c r="J206" i="42"/>
  <c r="J205" i="42"/>
  <c r="J204" i="42"/>
  <c r="J203" i="42"/>
  <c r="J202" i="42"/>
  <c r="J201" i="42"/>
  <c r="J200" i="42"/>
  <c r="J199" i="42"/>
  <c r="J198" i="42"/>
  <c r="J197" i="42"/>
  <c r="J196" i="42"/>
  <c r="J195" i="42"/>
  <c r="J194" i="42"/>
  <c r="J193" i="42"/>
  <c r="J192" i="42"/>
  <c r="J191" i="42"/>
  <c r="J190" i="42"/>
  <c r="J189" i="42"/>
  <c r="J188" i="42"/>
  <c r="J187" i="42"/>
  <c r="J186" i="42"/>
  <c r="J185" i="42"/>
  <c r="T185" i="42"/>
  <c r="J184" i="42"/>
  <c r="J98" i="42"/>
  <c r="J97" i="42"/>
  <c r="J96" i="42"/>
  <c r="J95" i="42"/>
  <c r="J94" i="42"/>
  <c r="J93" i="42"/>
  <c r="J92" i="42"/>
  <c r="J91" i="42"/>
  <c r="J89" i="42"/>
  <c r="BG271" i="5"/>
  <c r="J88" i="42"/>
  <c r="J86" i="42"/>
  <c r="J59" i="42"/>
  <c r="J58" i="42"/>
  <c r="J54" i="42"/>
  <c r="J53" i="42"/>
  <c r="J52" i="42"/>
  <c r="J49" i="42"/>
  <c r="J32" i="42"/>
  <c r="J31" i="42"/>
  <c r="T31" i="42"/>
  <c r="J30" i="42"/>
  <c r="J29" i="42"/>
  <c r="J28" i="42"/>
  <c r="J27" i="42"/>
  <c r="J12" i="42"/>
  <c r="J11" i="42"/>
  <c r="J10" i="42"/>
  <c r="J7" i="42"/>
  <c r="J3" i="42"/>
  <c r="T3" i="42"/>
  <c r="T748" i="36"/>
  <c r="T749" i="36"/>
  <c r="T751" i="36"/>
  <c r="G751" i="36"/>
  <c r="I750" i="36"/>
  <c r="H750" i="36"/>
  <c r="M749" i="36"/>
  <c r="I749" i="36"/>
  <c r="H749" i="36"/>
  <c r="M748" i="36"/>
  <c r="I748" i="36"/>
  <c r="H748" i="36"/>
  <c r="T733" i="36"/>
  <c r="T741" i="36"/>
  <c r="T742" i="36"/>
  <c r="T744" i="36"/>
  <c r="G744" i="36"/>
  <c r="M742" i="36"/>
  <c r="I742" i="36"/>
  <c r="H742" i="36"/>
  <c r="M741" i="36"/>
  <c r="I741" i="36"/>
  <c r="H741" i="36"/>
  <c r="M740" i="36"/>
  <c r="I740" i="36"/>
  <c r="H740" i="36"/>
  <c r="M739" i="36"/>
  <c r="I739" i="36"/>
  <c r="H739" i="36"/>
  <c r="M738" i="36"/>
  <c r="I738" i="36"/>
  <c r="H738" i="36"/>
  <c r="M737" i="36"/>
  <c r="I737" i="36"/>
  <c r="H737" i="36"/>
  <c r="M736" i="36"/>
  <c r="I736" i="36"/>
  <c r="H736" i="36"/>
  <c r="M735" i="36"/>
  <c r="I735" i="36"/>
  <c r="H735" i="36"/>
  <c r="M734" i="36"/>
  <c r="I734" i="36"/>
  <c r="H734" i="36"/>
  <c r="M733" i="36"/>
  <c r="I733" i="36"/>
  <c r="H733" i="36"/>
  <c r="M732" i="36"/>
  <c r="I732" i="36"/>
  <c r="H732" i="36"/>
  <c r="T448" i="36"/>
  <c r="U448" i="36"/>
  <c r="T674" i="36"/>
  <c r="U674" i="36"/>
  <c r="T698" i="36"/>
  <c r="U698" i="36"/>
  <c r="U727" i="36"/>
  <c r="M725" i="36"/>
  <c r="I725" i="36"/>
  <c r="H725" i="36"/>
  <c r="M724" i="36"/>
  <c r="I724" i="36"/>
  <c r="H724" i="36"/>
  <c r="M723" i="36"/>
  <c r="I723" i="36"/>
  <c r="H723" i="36"/>
  <c r="M722" i="36"/>
  <c r="I722" i="36"/>
  <c r="H722" i="36"/>
  <c r="M721" i="36"/>
  <c r="I721" i="36"/>
  <c r="H721" i="36"/>
  <c r="M720" i="36"/>
  <c r="I720" i="36"/>
  <c r="H720" i="36"/>
  <c r="M719" i="36"/>
  <c r="I719" i="36"/>
  <c r="H719" i="36"/>
  <c r="M718" i="36"/>
  <c r="I718" i="36"/>
  <c r="H718" i="36"/>
  <c r="G718" i="36"/>
  <c r="T725" i="36"/>
  <c r="M717" i="36"/>
  <c r="I717" i="36"/>
  <c r="H717" i="36"/>
  <c r="M716" i="36"/>
  <c r="I716" i="36"/>
  <c r="H716" i="36"/>
  <c r="M715" i="36"/>
  <c r="I715" i="36"/>
  <c r="H715" i="36"/>
  <c r="M714" i="36"/>
  <c r="I714" i="36"/>
  <c r="H714" i="36"/>
  <c r="M713" i="36"/>
  <c r="I713" i="36"/>
  <c r="H713" i="36"/>
  <c r="M712" i="36"/>
  <c r="I712" i="36"/>
  <c r="H712" i="36"/>
  <c r="M711" i="36"/>
  <c r="I711" i="36"/>
  <c r="H711" i="36"/>
  <c r="M710" i="36"/>
  <c r="I710" i="36"/>
  <c r="H710" i="36"/>
  <c r="G710" i="36"/>
  <c r="T717" i="36"/>
  <c r="T709" i="36"/>
  <c r="M709" i="36"/>
  <c r="I709" i="36"/>
  <c r="H709" i="36"/>
  <c r="M708" i="36"/>
  <c r="I708" i="36"/>
  <c r="H708" i="36"/>
  <c r="M707" i="36"/>
  <c r="I707" i="36"/>
  <c r="H707" i="36"/>
  <c r="M706" i="36"/>
  <c r="I706" i="36"/>
  <c r="H706" i="36"/>
  <c r="M705" i="36"/>
  <c r="I705" i="36"/>
  <c r="H705" i="36"/>
  <c r="M704" i="36"/>
  <c r="I704" i="36"/>
  <c r="H704" i="36"/>
  <c r="M703" i="36"/>
  <c r="I703" i="36"/>
  <c r="H703" i="36"/>
  <c r="M702" i="36"/>
  <c r="I702" i="36"/>
  <c r="H702" i="36"/>
  <c r="M701" i="36"/>
  <c r="I701" i="36"/>
  <c r="H701" i="36"/>
  <c r="M700" i="36"/>
  <c r="I700" i="36"/>
  <c r="H700" i="36"/>
  <c r="M699" i="36"/>
  <c r="I699" i="36"/>
  <c r="H699" i="36"/>
  <c r="G699" i="36"/>
  <c r="T706" i="36"/>
  <c r="M698" i="36"/>
  <c r="I698" i="36"/>
  <c r="H698" i="36"/>
  <c r="M697" i="36"/>
  <c r="I697" i="36"/>
  <c r="H697" i="36"/>
  <c r="M696" i="36"/>
  <c r="I696" i="36"/>
  <c r="H696" i="36"/>
  <c r="M695" i="36"/>
  <c r="I695" i="36"/>
  <c r="H695" i="36"/>
  <c r="M694" i="36"/>
  <c r="I694" i="36"/>
  <c r="H694" i="36"/>
  <c r="M693" i="36"/>
  <c r="I693" i="36"/>
  <c r="H693" i="36"/>
  <c r="M692" i="36"/>
  <c r="I692" i="36"/>
  <c r="H692" i="36"/>
  <c r="M691" i="36"/>
  <c r="I691" i="36"/>
  <c r="H691" i="36"/>
  <c r="M690" i="36"/>
  <c r="I690" i="36"/>
  <c r="H690" i="36"/>
  <c r="M689" i="36"/>
  <c r="I689" i="36"/>
  <c r="H689" i="36"/>
  <c r="M688" i="36"/>
  <c r="I688" i="36"/>
  <c r="H688" i="36"/>
  <c r="M687" i="36"/>
  <c r="I687" i="36"/>
  <c r="H687" i="36"/>
  <c r="M686" i="36"/>
  <c r="I686" i="36"/>
  <c r="H686" i="36"/>
  <c r="M685" i="36"/>
  <c r="I685" i="36"/>
  <c r="H685" i="36"/>
  <c r="M684" i="36"/>
  <c r="I684" i="36"/>
  <c r="H684" i="36"/>
  <c r="M683" i="36"/>
  <c r="I683" i="36"/>
  <c r="H683" i="36"/>
  <c r="G683" i="36"/>
  <c r="T690" i="36"/>
  <c r="M682" i="36"/>
  <c r="I682" i="36"/>
  <c r="H682" i="36"/>
  <c r="M681" i="36"/>
  <c r="I681" i="36"/>
  <c r="H681" i="36"/>
  <c r="M680" i="36"/>
  <c r="I680" i="36"/>
  <c r="H680" i="36"/>
  <c r="M679" i="36"/>
  <c r="I679" i="36"/>
  <c r="H679" i="36"/>
  <c r="M678" i="36"/>
  <c r="I678" i="36"/>
  <c r="H678" i="36"/>
  <c r="M677" i="36"/>
  <c r="I677" i="36"/>
  <c r="H677" i="36"/>
  <c r="M676" i="36"/>
  <c r="I676" i="36"/>
  <c r="H676" i="36"/>
  <c r="M675" i="36"/>
  <c r="I675" i="36"/>
  <c r="H675" i="36"/>
  <c r="G675" i="36"/>
  <c r="T682" i="36"/>
  <c r="M674" i="36"/>
  <c r="I674" i="36"/>
  <c r="H674" i="36"/>
  <c r="M673" i="36"/>
  <c r="I673" i="36"/>
  <c r="H673" i="36"/>
  <c r="M672" i="36"/>
  <c r="I672" i="36"/>
  <c r="H672" i="36"/>
  <c r="M671" i="36"/>
  <c r="I671" i="36"/>
  <c r="H671" i="36"/>
  <c r="M670" i="36"/>
  <c r="I670" i="36"/>
  <c r="H670" i="36"/>
  <c r="M669" i="36"/>
  <c r="I669" i="36"/>
  <c r="H669" i="36"/>
  <c r="M668" i="36"/>
  <c r="I668" i="36"/>
  <c r="H668" i="36"/>
  <c r="M667" i="36"/>
  <c r="I667" i="36"/>
  <c r="H667" i="36"/>
  <c r="M666" i="36"/>
  <c r="I666" i="36"/>
  <c r="H666" i="36"/>
  <c r="M665" i="36"/>
  <c r="I665" i="36"/>
  <c r="H665" i="36"/>
  <c r="M664" i="36"/>
  <c r="I664" i="36"/>
  <c r="H664" i="36"/>
  <c r="M663" i="36"/>
  <c r="I663" i="36"/>
  <c r="H663" i="36"/>
  <c r="M662" i="36"/>
  <c r="I662" i="36"/>
  <c r="H662" i="36"/>
  <c r="M661" i="36"/>
  <c r="I661" i="36"/>
  <c r="H661" i="36"/>
  <c r="M660" i="36"/>
  <c r="I660" i="36"/>
  <c r="H660" i="36"/>
  <c r="M659" i="36"/>
  <c r="I659" i="36"/>
  <c r="H659" i="36"/>
  <c r="G659" i="36"/>
  <c r="T666" i="36"/>
  <c r="M658" i="36"/>
  <c r="I658" i="36"/>
  <c r="H658" i="36"/>
  <c r="M657" i="36"/>
  <c r="I657" i="36"/>
  <c r="H657" i="36"/>
  <c r="M656" i="36"/>
  <c r="I656" i="36"/>
  <c r="H656" i="36"/>
  <c r="M655" i="36"/>
  <c r="I655" i="36"/>
  <c r="H655" i="36"/>
  <c r="M654" i="36"/>
  <c r="I654" i="36"/>
  <c r="H654" i="36"/>
  <c r="M653" i="36"/>
  <c r="I653" i="36"/>
  <c r="H653" i="36"/>
  <c r="M652" i="36"/>
  <c r="I652" i="36"/>
  <c r="H652" i="36"/>
  <c r="M651" i="36"/>
  <c r="I651" i="36"/>
  <c r="H651" i="36"/>
  <c r="G651" i="36"/>
  <c r="T658" i="36"/>
  <c r="M650" i="36"/>
  <c r="I650" i="36"/>
  <c r="H650" i="36"/>
  <c r="M649" i="36"/>
  <c r="I649" i="36"/>
  <c r="H649" i="36"/>
  <c r="M648" i="36"/>
  <c r="I648" i="36"/>
  <c r="H648" i="36"/>
  <c r="M647" i="36"/>
  <c r="I647" i="36"/>
  <c r="H647" i="36"/>
  <c r="M646" i="36"/>
  <c r="I646" i="36"/>
  <c r="H646" i="36"/>
  <c r="M645" i="36"/>
  <c r="I645" i="36"/>
  <c r="H645" i="36"/>
  <c r="M644" i="36"/>
  <c r="I644" i="36"/>
  <c r="H644" i="36"/>
  <c r="M643" i="36"/>
  <c r="I643" i="36"/>
  <c r="H643" i="36"/>
  <c r="G643" i="36"/>
  <c r="T650" i="36"/>
  <c r="M642" i="36"/>
  <c r="I642" i="36"/>
  <c r="H642" i="36"/>
  <c r="M641" i="36"/>
  <c r="I641" i="36"/>
  <c r="H641" i="36"/>
  <c r="M640" i="36"/>
  <c r="I640" i="36"/>
  <c r="H640" i="36"/>
  <c r="M639" i="36"/>
  <c r="I639" i="36"/>
  <c r="H639" i="36"/>
  <c r="M638" i="36"/>
  <c r="I638" i="36"/>
  <c r="H638" i="36"/>
  <c r="M637" i="36"/>
  <c r="I637" i="36"/>
  <c r="H637" i="36"/>
  <c r="M636" i="36"/>
  <c r="I636" i="36"/>
  <c r="H636" i="36"/>
  <c r="M635" i="36"/>
  <c r="I635" i="36"/>
  <c r="H635" i="36"/>
  <c r="G635" i="36"/>
  <c r="T642" i="36"/>
  <c r="M634" i="36"/>
  <c r="I634" i="36"/>
  <c r="H634" i="36"/>
  <c r="M633" i="36"/>
  <c r="I633" i="36"/>
  <c r="H633" i="36"/>
  <c r="M632" i="36"/>
  <c r="I632" i="36"/>
  <c r="H632" i="36"/>
  <c r="M631" i="36"/>
  <c r="I631" i="36"/>
  <c r="H631" i="36"/>
  <c r="M630" i="36"/>
  <c r="I630" i="36"/>
  <c r="H630" i="36"/>
  <c r="M629" i="36"/>
  <c r="I629" i="36"/>
  <c r="H629" i="36"/>
  <c r="M628" i="36"/>
  <c r="I628" i="36"/>
  <c r="H628" i="36"/>
  <c r="M627" i="36"/>
  <c r="I627" i="36"/>
  <c r="H627" i="36"/>
  <c r="G627" i="36"/>
  <c r="T634" i="36"/>
  <c r="M626" i="36"/>
  <c r="I626" i="36"/>
  <c r="H626" i="36"/>
  <c r="M625" i="36"/>
  <c r="I625" i="36"/>
  <c r="H625" i="36"/>
  <c r="M624" i="36"/>
  <c r="I624" i="36"/>
  <c r="H624" i="36"/>
  <c r="M623" i="36"/>
  <c r="I623" i="36"/>
  <c r="H623" i="36"/>
  <c r="M622" i="36"/>
  <c r="I622" i="36"/>
  <c r="H622" i="36"/>
  <c r="M621" i="36"/>
  <c r="I621" i="36"/>
  <c r="H621" i="36"/>
  <c r="M620" i="36"/>
  <c r="I620" i="36"/>
  <c r="M619" i="36"/>
  <c r="I619" i="36"/>
  <c r="H619" i="36"/>
  <c r="G619" i="36"/>
  <c r="T626" i="36"/>
  <c r="M618" i="36"/>
  <c r="I618" i="36"/>
  <c r="H618" i="36"/>
  <c r="M617" i="36"/>
  <c r="I617" i="36"/>
  <c r="H617" i="36"/>
  <c r="M616" i="36"/>
  <c r="I616" i="36"/>
  <c r="H616" i="36"/>
  <c r="M615" i="36"/>
  <c r="I615" i="36"/>
  <c r="H615" i="36"/>
  <c r="M614" i="36"/>
  <c r="I614" i="36"/>
  <c r="H614" i="36"/>
  <c r="M613" i="36"/>
  <c r="I613" i="36"/>
  <c r="H613" i="36"/>
  <c r="M612" i="36"/>
  <c r="I612" i="36"/>
  <c r="M611" i="36"/>
  <c r="I611" i="36"/>
  <c r="H611" i="36"/>
  <c r="G611" i="36"/>
  <c r="T618" i="36"/>
  <c r="M610" i="36"/>
  <c r="I610" i="36"/>
  <c r="H610" i="36"/>
  <c r="M609" i="36"/>
  <c r="I609" i="36"/>
  <c r="H609" i="36"/>
  <c r="M608" i="36"/>
  <c r="I608" i="36"/>
  <c r="H608" i="36"/>
  <c r="M607" i="36"/>
  <c r="I607" i="36"/>
  <c r="H607" i="36"/>
  <c r="M606" i="36"/>
  <c r="I606" i="36"/>
  <c r="H606" i="36"/>
  <c r="M605" i="36"/>
  <c r="I605" i="36"/>
  <c r="H605" i="36"/>
  <c r="M604" i="36"/>
  <c r="I604" i="36"/>
  <c r="H604" i="36"/>
  <c r="M603" i="36"/>
  <c r="I603" i="36"/>
  <c r="H603" i="36"/>
  <c r="G603" i="36"/>
  <c r="T610" i="36"/>
  <c r="M602" i="36"/>
  <c r="I602" i="36"/>
  <c r="H602" i="36"/>
  <c r="M601" i="36"/>
  <c r="I601" i="36"/>
  <c r="H601" i="36"/>
  <c r="M600" i="36"/>
  <c r="I600" i="36"/>
  <c r="H600" i="36"/>
  <c r="M599" i="36"/>
  <c r="I599" i="36"/>
  <c r="H599" i="36"/>
  <c r="M598" i="36"/>
  <c r="I598" i="36"/>
  <c r="H598" i="36"/>
  <c r="M597" i="36"/>
  <c r="I597" i="36"/>
  <c r="H597" i="36"/>
  <c r="M596" i="36"/>
  <c r="I596" i="36"/>
  <c r="H596" i="36"/>
  <c r="M595" i="36"/>
  <c r="I595" i="36"/>
  <c r="H595" i="36"/>
  <c r="G595" i="36"/>
  <c r="T602" i="36"/>
  <c r="M594" i="36"/>
  <c r="I594" i="36"/>
  <c r="H594" i="36"/>
  <c r="M593" i="36"/>
  <c r="I593" i="36"/>
  <c r="H593" i="36"/>
  <c r="M592" i="36"/>
  <c r="I592" i="36"/>
  <c r="H592" i="36"/>
  <c r="M591" i="36"/>
  <c r="I591" i="36"/>
  <c r="H591" i="36"/>
  <c r="M590" i="36"/>
  <c r="I590" i="36"/>
  <c r="H590" i="36"/>
  <c r="M589" i="36"/>
  <c r="I589" i="36"/>
  <c r="H589" i="36"/>
  <c r="M588" i="36"/>
  <c r="I588" i="36"/>
  <c r="H588" i="36"/>
  <c r="M587" i="36"/>
  <c r="I587" i="36"/>
  <c r="H587" i="36"/>
  <c r="G587" i="36"/>
  <c r="T594" i="36"/>
  <c r="M586" i="36"/>
  <c r="I586" i="36"/>
  <c r="H586" i="36"/>
  <c r="M585" i="36"/>
  <c r="I585" i="36"/>
  <c r="H585" i="36"/>
  <c r="M584" i="36"/>
  <c r="I584" i="36"/>
  <c r="H584" i="36"/>
  <c r="M583" i="36"/>
  <c r="I583" i="36"/>
  <c r="H583" i="36"/>
  <c r="M582" i="36"/>
  <c r="I582" i="36"/>
  <c r="H582" i="36"/>
  <c r="M581" i="36"/>
  <c r="I581" i="36"/>
  <c r="H581" i="36"/>
  <c r="M580" i="36"/>
  <c r="I580" i="36"/>
  <c r="M579" i="36"/>
  <c r="I579" i="36"/>
  <c r="H579" i="36"/>
  <c r="G579" i="36"/>
  <c r="T586" i="36"/>
  <c r="M578" i="36"/>
  <c r="I578" i="36"/>
  <c r="H578" i="36"/>
  <c r="M577" i="36"/>
  <c r="I577" i="36"/>
  <c r="H577" i="36"/>
  <c r="M576" i="36"/>
  <c r="I576" i="36"/>
  <c r="H576" i="36"/>
  <c r="M575" i="36"/>
  <c r="I575" i="36"/>
  <c r="H575" i="36"/>
  <c r="M574" i="36"/>
  <c r="I574" i="36"/>
  <c r="H574" i="36"/>
  <c r="M573" i="36"/>
  <c r="I573" i="36"/>
  <c r="H573" i="36"/>
  <c r="M572" i="36"/>
  <c r="I572" i="36"/>
  <c r="H572" i="36"/>
  <c r="M571" i="36"/>
  <c r="I571" i="36"/>
  <c r="H571" i="36"/>
  <c r="G571" i="36"/>
  <c r="T578" i="36"/>
  <c r="M570" i="36"/>
  <c r="I570" i="36"/>
  <c r="H570" i="36"/>
  <c r="M569" i="36"/>
  <c r="I569" i="36"/>
  <c r="H569" i="36"/>
  <c r="M568" i="36"/>
  <c r="I568" i="36"/>
  <c r="H568" i="36"/>
  <c r="M567" i="36"/>
  <c r="I567" i="36"/>
  <c r="H567" i="36"/>
  <c r="M566" i="36"/>
  <c r="I566" i="36"/>
  <c r="H566" i="36"/>
  <c r="M565" i="36"/>
  <c r="I565" i="36"/>
  <c r="H565" i="36"/>
  <c r="M564" i="36"/>
  <c r="I564" i="36"/>
  <c r="H564" i="36"/>
  <c r="M563" i="36"/>
  <c r="I563" i="36"/>
  <c r="H563" i="36"/>
  <c r="G563" i="36"/>
  <c r="T570" i="36"/>
  <c r="M562" i="36"/>
  <c r="I562" i="36"/>
  <c r="H562" i="36"/>
  <c r="M561" i="36"/>
  <c r="I561" i="36"/>
  <c r="H561" i="36"/>
  <c r="M560" i="36"/>
  <c r="I560" i="36"/>
  <c r="H560" i="36"/>
  <c r="M559" i="36"/>
  <c r="I559" i="36"/>
  <c r="H559" i="36"/>
  <c r="M558" i="36"/>
  <c r="I558" i="36"/>
  <c r="H558" i="36"/>
  <c r="M557" i="36"/>
  <c r="I557" i="36"/>
  <c r="H557" i="36"/>
  <c r="M556" i="36"/>
  <c r="I556" i="36"/>
  <c r="H556" i="36"/>
  <c r="M555" i="36"/>
  <c r="I555" i="36"/>
  <c r="H555" i="36"/>
  <c r="G555" i="36"/>
  <c r="T562" i="36"/>
  <c r="M554" i="36"/>
  <c r="I554" i="36"/>
  <c r="H554" i="36"/>
  <c r="M553" i="36"/>
  <c r="I553" i="36"/>
  <c r="H553" i="36"/>
  <c r="M552" i="36"/>
  <c r="I552" i="36"/>
  <c r="H552" i="36"/>
  <c r="M551" i="36"/>
  <c r="I551" i="36"/>
  <c r="H551" i="36"/>
  <c r="M550" i="36"/>
  <c r="I550" i="36"/>
  <c r="H550" i="36"/>
  <c r="M549" i="36"/>
  <c r="I549" i="36"/>
  <c r="H549" i="36"/>
  <c r="M548" i="36"/>
  <c r="I548" i="36"/>
  <c r="H548" i="36"/>
  <c r="M547" i="36"/>
  <c r="I547" i="36"/>
  <c r="H547" i="36"/>
  <c r="G547" i="36"/>
  <c r="T554" i="36"/>
  <c r="M546" i="36"/>
  <c r="I546" i="36"/>
  <c r="H546" i="36"/>
  <c r="M545" i="36"/>
  <c r="I545" i="36"/>
  <c r="H545" i="36"/>
  <c r="M544" i="36"/>
  <c r="I544" i="36"/>
  <c r="H544" i="36"/>
  <c r="M543" i="36"/>
  <c r="I543" i="36"/>
  <c r="H543" i="36"/>
  <c r="M542" i="36"/>
  <c r="I542" i="36"/>
  <c r="H542" i="36"/>
  <c r="M541" i="36"/>
  <c r="I541" i="36"/>
  <c r="H541" i="36"/>
  <c r="M540" i="36"/>
  <c r="I540" i="36"/>
  <c r="M539" i="36"/>
  <c r="I539" i="36"/>
  <c r="H539" i="36"/>
  <c r="G539" i="36"/>
  <c r="T546" i="36"/>
  <c r="M538" i="36"/>
  <c r="I538" i="36"/>
  <c r="H538" i="36"/>
  <c r="M537" i="36"/>
  <c r="I537" i="36"/>
  <c r="H537" i="36"/>
  <c r="M536" i="36"/>
  <c r="I536" i="36"/>
  <c r="H536" i="36"/>
  <c r="M535" i="36"/>
  <c r="I535" i="36"/>
  <c r="H535" i="36"/>
  <c r="M534" i="36"/>
  <c r="I534" i="36"/>
  <c r="H534" i="36"/>
  <c r="M533" i="36"/>
  <c r="I533" i="36"/>
  <c r="M532" i="36"/>
  <c r="I532" i="36"/>
  <c r="M531" i="36"/>
  <c r="I531" i="36"/>
  <c r="H531" i="36"/>
  <c r="G531" i="36"/>
  <c r="T538" i="36"/>
  <c r="M530" i="36"/>
  <c r="I530" i="36"/>
  <c r="H530" i="36"/>
  <c r="M529" i="36"/>
  <c r="I529" i="36"/>
  <c r="H529" i="36"/>
  <c r="M528" i="36"/>
  <c r="I528" i="36"/>
  <c r="H528" i="36"/>
  <c r="M527" i="36"/>
  <c r="I527" i="36"/>
  <c r="H527" i="36"/>
  <c r="M526" i="36"/>
  <c r="I526" i="36"/>
  <c r="H526" i="36"/>
  <c r="M525" i="36"/>
  <c r="I525" i="36"/>
  <c r="H525" i="36"/>
  <c r="M524" i="36"/>
  <c r="I524" i="36"/>
  <c r="H524" i="36"/>
  <c r="M523" i="36"/>
  <c r="I523" i="36"/>
  <c r="H523" i="36"/>
  <c r="G523" i="36"/>
  <c r="T530" i="36"/>
  <c r="M522" i="36"/>
  <c r="I522" i="36"/>
  <c r="H522" i="36"/>
  <c r="M521" i="36"/>
  <c r="I521" i="36"/>
  <c r="H521" i="36"/>
  <c r="M520" i="36"/>
  <c r="I520" i="36"/>
  <c r="H520" i="36"/>
  <c r="M519" i="36"/>
  <c r="I519" i="36"/>
  <c r="H519" i="36"/>
  <c r="M518" i="36"/>
  <c r="I518" i="36"/>
  <c r="H518" i="36"/>
  <c r="M517" i="36"/>
  <c r="I517" i="36"/>
  <c r="H517" i="36"/>
  <c r="M516" i="36"/>
  <c r="I516" i="36"/>
  <c r="H516" i="36"/>
  <c r="M515" i="36"/>
  <c r="I515" i="36"/>
  <c r="H515" i="36"/>
  <c r="G515" i="36"/>
  <c r="T522" i="36"/>
  <c r="T514" i="36"/>
  <c r="M514" i="36"/>
  <c r="I514" i="36"/>
  <c r="H514" i="36"/>
  <c r="M513" i="36"/>
  <c r="I513" i="36"/>
  <c r="H513" i="36"/>
  <c r="M512" i="36"/>
  <c r="I512" i="36"/>
  <c r="H512" i="36"/>
  <c r="M511" i="36"/>
  <c r="I511" i="36"/>
  <c r="H511" i="36"/>
  <c r="M510" i="36"/>
  <c r="I510" i="36"/>
  <c r="H510" i="36"/>
  <c r="M509" i="36"/>
  <c r="I509" i="36"/>
  <c r="H509" i="36"/>
  <c r="M508" i="36"/>
  <c r="I508" i="36"/>
  <c r="H508" i="36"/>
  <c r="M507" i="36"/>
  <c r="I507" i="36"/>
  <c r="H507" i="36"/>
  <c r="M506" i="36"/>
  <c r="I506" i="36"/>
  <c r="H506" i="36"/>
  <c r="M505" i="36"/>
  <c r="I505" i="36"/>
  <c r="H505" i="36"/>
  <c r="G505" i="36"/>
  <c r="T512" i="36"/>
  <c r="M504" i="36"/>
  <c r="I504" i="36"/>
  <c r="H504" i="36"/>
  <c r="M503" i="36"/>
  <c r="I503" i="36"/>
  <c r="H503" i="36"/>
  <c r="M502" i="36"/>
  <c r="I502" i="36"/>
  <c r="H502" i="36"/>
  <c r="M501" i="36"/>
  <c r="I501" i="36"/>
  <c r="H501" i="36"/>
  <c r="M500" i="36"/>
  <c r="I500" i="36"/>
  <c r="H500" i="36"/>
  <c r="M499" i="36"/>
  <c r="I499" i="36"/>
  <c r="H499" i="36"/>
  <c r="M498" i="36"/>
  <c r="I498" i="36"/>
  <c r="H498" i="36"/>
  <c r="M497" i="36"/>
  <c r="I497" i="36"/>
  <c r="H497" i="36"/>
  <c r="G497" i="36"/>
  <c r="T504" i="36"/>
  <c r="M496" i="36"/>
  <c r="I496" i="36"/>
  <c r="H496" i="36"/>
  <c r="M495" i="36"/>
  <c r="I495" i="36"/>
  <c r="H495" i="36"/>
  <c r="M494" i="36"/>
  <c r="I494" i="36"/>
  <c r="H494" i="36"/>
  <c r="M493" i="36"/>
  <c r="I493" i="36"/>
  <c r="H493" i="36"/>
  <c r="M492" i="36"/>
  <c r="I492" i="36"/>
  <c r="H492" i="36"/>
  <c r="M491" i="36"/>
  <c r="I491" i="36"/>
  <c r="H491" i="36"/>
  <c r="M490" i="36"/>
  <c r="I490" i="36"/>
  <c r="H490" i="36"/>
  <c r="M489" i="36"/>
  <c r="I489" i="36"/>
  <c r="H489" i="36"/>
  <c r="G489" i="36"/>
  <c r="T496" i="36"/>
  <c r="M488" i="36"/>
  <c r="I488" i="36"/>
  <c r="H488" i="36"/>
  <c r="M487" i="36"/>
  <c r="I487" i="36"/>
  <c r="H487" i="36"/>
  <c r="M486" i="36"/>
  <c r="I486" i="36"/>
  <c r="H486" i="36"/>
  <c r="M485" i="36"/>
  <c r="I485" i="36"/>
  <c r="H485" i="36"/>
  <c r="M484" i="36"/>
  <c r="I484" i="36"/>
  <c r="H484" i="36"/>
  <c r="M483" i="36"/>
  <c r="I483" i="36"/>
  <c r="H483" i="36"/>
  <c r="M482" i="36"/>
  <c r="I482" i="36"/>
  <c r="H482" i="36"/>
  <c r="M481" i="36"/>
  <c r="I481" i="36"/>
  <c r="H481" i="36"/>
  <c r="G481" i="36"/>
  <c r="T488" i="36"/>
  <c r="M480" i="36"/>
  <c r="I480" i="36"/>
  <c r="H480" i="36"/>
  <c r="M479" i="36"/>
  <c r="I479" i="36"/>
  <c r="H479" i="36"/>
  <c r="M478" i="36"/>
  <c r="I478" i="36"/>
  <c r="H478" i="36"/>
  <c r="M477" i="36"/>
  <c r="I477" i="36"/>
  <c r="H477" i="36"/>
  <c r="M476" i="36"/>
  <c r="I476" i="36"/>
  <c r="H476" i="36"/>
  <c r="M475" i="36"/>
  <c r="I475" i="36"/>
  <c r="H475" i="36"/>
  <c r="M474" i="36"/>
  <c r="I474" i="36"/>
  <c r="H474" i="36"/>
  <c r="M473" i="36"/>
  <c r="I473" i="36"/>
  <c r="H473" i="36"/>
  <c r="G473" i="36"/>
  <c r="T480" i="36"/>
  <c r="T472" i="36"/>
  <c r="M472" i="36"/>
  <c r="I472" i="36"/>
  <c r="H472" i="36"/>
  <c r="M471" i="36"/>
  <c r="I471" i="36"/>
  <c r="H471" i="36"/>
  <c r="M470" i="36"/>
  <c r="I470" i="36"/>
  <c r="H470" i="36"/>
  <c r="M469" i="36"/>
  <c r="I469" i="36"/>
  <c r="H469" i="36"/>
  <c r="M468" i="36"/>
  <c r="I468" i="36"/>
  <c r="H468" i="36"/>
  <c r="M467" i="36"/>
  <c r="I467" i="36"/>
  <c r="M466" i="36"/>
  <c r="I466" i="36"/>
  <c r="H466" i="36"/>
  <c r="M465" i="36"/>
  <c r="I465" i="36"/>
  <c r="H465" i="36"/>
  <c r="M464" i="36"/>
  <c r="I464" i="36"/>
  <c r="H464" i="36"/>
  <c r="M463" i="36"/>
  <c r="I463" i="36"/>
  <c r="H463" i="36"/>
  <c r="M462" i="36"/>
  <c r="I462" i="36"/>
  <c r="H462" i="36"/>
  <c r="M461" i="36"/>
  <c r="I461" i="36"/>
  <c r="H461" i="36"/>
  <c r="M460" i="36"/>
  <c r="I460" i="36"/>
  <c r="H460" i="36"/>
  <c r="M459" i="36"/>
  <c r="I459" i="36"/>
  <c r="H459" i="36"/>
  <c r="M458" i="36"/>
  <c r="I458" i="36"/>
  <c r="H458" i="36"/>
  <c r="M457" i="36"/>
  <c r="I457" i="36"/>
  <c r="H457" i="36"/>
  <c r="G457" i="36"/>
  <c r="T464" i="36"/>
  <c r="M456" i="36"/>
  <c r="I456" i="36"/>
  <c r="H456" i="36"/>
  <c r="M455" i="36"/>
  <c r="I455" i="36"/>
  <c r="H455" i="36"/>
  <c r="M454" i="36"/>
  <c r="I454" i="36"/>
  <c r="H454" i="36"/>
  <c r="M453" i="36"/>
  <c r="I453" i="36"/>
  <c r="H453" i="36"/>
  <c r="M452" i="36"/>
  <c r="I452" i="36"/>
  <c r="H452" i="36"/>
  <c r="M451" i="36"/>
  <c r="I451" i="36"/>
  <c r="H451" i="36"/>
  <c r="M450" i="36"/>
  <c r="I450" i="36"/>
  <c r="H450" i="36"/>
  <c r="M449" i="36"/>
  <c r="I449" i="36"/>
  <c r="H449" i="36"/>
  <c r="G449" i="36"/>
  <c r="T456" i="36"/>
  <c r="M448" i="36"/>
  <c r="I448" i="36"/>
  <c r="H448" i="36"/>
  <c r="M447" i="36"/>
  <c r="I447" i="36"/>
  <c r="H447" i="36"/>
  <c r="M446" i="36"/>
  <c r="I446" i="36"/>
  <c r="H446" i="36"/>
  <c r="M445" i="36"/>
  <c r="I445" i="36"/>
  <c r="H445" i="36"/>
  <c r="M444" i="36"/>
  <c r="I444" i="36"/>
  <c r="H444" i="36"/>
  <c r="M443" i="36"/>
  <c r="I443" i="36"/>
  <c r="H443" i="36"/>
  <c r="M442" i="36"/>
  <c r="I442" i="36"/>
  <c r="H442" i="36"/>
  <c r="M441" i="36"/>
  <c r="I441" i="36"/>
  <c r="H441" i="36"/>
  <c r="M439" i="36"/>
  <c r="I439" i="36"/>
  <c r="H439" i="36"/>
  <c r="T412" i="36"/>
  <c r="T413" i="36"/>
  <c r="T428" i="36"/>
  <c r="T429" i="36"/>
  <c r="T430" i="36"/>
  <c r="T431" i="36"/>
  <c r="T432" i="36"/>
  <c r="T434" i="36"/>
  <c r="G434" i="36"/>
  <c r="M432" i="36"/>
  <c r="I432" i="36"/>
  <c r="H432" i="36"/>
  <c r="M431" i="36"/>
  <c r="I431" i="36"/>
  <c r="M430" i="36"/>
  <c r="I430" i="36"/>
  <c r="H430" i="36"/>
  <c r="M429" i="36"/>
  <c r="I429" i="36"/>
  <c r="H429" i="36"/>
  <c r="M428" i="36"/>
  <c r="I428" i="36"/>
  <c r="H428" i="36"/>
  <c r="M427" i="36"/>
  <c r="I427" i="36"/>
  <c r="H427" i="36"/>
  <c r="M426" i="36"/>
  <c r="I426" i="36"/>
  <c r="H426" i="36"/>
  <c r="M425" i="36"/>
  <c r="I425" i="36"/>
  <c r="H425" i="36"/>
  <c r="M424" i="36"/>
  <c r="I424" i="36"/>
  <c r="H424" i="36"/>
  <c r="M423" i="36"/>
  <c r="I423" i="36"/>
  <c r="H423" i="36"/>
  <c r="M422" i="36"/>
  <c r="I422" i="36"/>
  <c r="H422" i="36"/>
  <c r="M421" i="36"/>
  <c r="I421" i="36"/>
  <c r="H421" i="36"/>
  <c r="M420" i="36"/>
  <c r="I420" i="36"/>
  <c r="H420" i="36"/>
  <c r="M419" i="36"/>
  <c r="I419" i="36"/>
  <c r="H419" i="36"/>
  <c r="M418" i="36"/>
  <c r="I418" i="36"/>
  <c r="H418" i="36"/>
  <c r="M417" i="36"/>
  <c r="I417" i="36"/>
  <c r="M416" i="36"/>
  <c r="I416" i="36"/>
  <c r="M415" i="36"/>
  <c r="I415" i="36"/>
  <c r="H415" i="36"/>
  <c r="M414" i="36"/>
  <c r="I414" i="36"/>
  <c r="H414" i="36"/>
  <c r="M413" i="36"/>
  <c r="I413" i="36"/>
  <c r="H413" i="36"/>
  <c r="M412" i="36"/>
  <c r="I412" i="36"/>
  <c r="H412" i="36"/>
  <c r="T356" i="36"/>
  <c r="T362" i="36"/>
  <c r="T370" i="36"/>
  <c r="T378" i="36"/>
  <c r="T386" i="36"/>
  <c r="T388" i="36"/>
  <c r="T395" i="36"/>
  <c r="T398" i="36"/>
  <c r="T406" i="36"/>
  <c r="T408" i="36"/>
  <c r="G408" i="36"/>
  <c r="M406" i="36"/>
  <c r="I406" i="36"/>
  <c r="H406" i="36"/>
  <c r="M405" i="36"/>
  <c r="I405" i="36"/>
  <c r="H405" i="36"/>
  <c r="M404" i="36"/>
  <c r="I404" i="36"/>
  <c r="H404" i="36"/>
  <c r="M403" i="36"/>
  <c r="I403" i="36"/>
  <c r="H403" i="36"/>
  <c r="M402" i="36"/>
  <c r="I402" i="36"/>
  <c r="H402" i="36"/>
  <c r="M401" i="36"/>
  <c r="I401" i="36"/>
  <c r="M400" i="36"/>
  <c r="I400" i="36"/>
  <c r="H400" i="36"/>
  <c r="M399" i="36"/>
  <c r="I399" i="36"/>
  <c r="H399" i="36"/>
  <c r="M398" i="36"/>
  <c r="I398" i="36"/>
  <c r="M397" i="36"/>
  <c r="I397" i="36"/>
  <c r="H397" i="36"/>
  <c r="M396" i="36"/>
  <c r="I396" i="36"/>
  <c r="H396" i="36"/>
  <c r="M395" i="36"/>
  <c r="I395" i="36"/>
  <c r="H395" i="36"/>
  <c r="M394" i="36"/>
  <c r="I394" i="36"/>
  <c r="H394" i="36"/>
  <c r="M393" i="36"/>
  <c r="I393" i="36"/>
  <c r="H393" i="36"/>
  <c r="M392" i="36"/>
  <c r="I392" i="36"/>
  <c r="H392" i="36"/>
  <c r="M391" i="36"/>
  <c r="I391" i="36"/>
  <c r="H391" i="36"/>
  <c r="M390" i="36"/>
  <c r="I390" i="36"/>
  <c r="M389" i="36"/>
  <c r="I389" i="36"/>
  <c r="M388" i="36"/>
  <c r="I388" i="36"/>
  <c r="M387" i="36"/>
  <c r="I387" i="36"/>
  <c r="M386" i="36"/>
  <c r="I386" i="36"/>
  <c r="H386" i="36"/>
  <c r="M385" i="36"/>
  <c r="I385" i="36"/>
  <c r="H385" i="36"/>
  <c r="M384" i="36"/>
  <c r="I384" i="36"/>
  <c r="H384" i="36"/>
  <c r="M383" i="36"/>
  <c r="I383" i="36"/>
  <c r="H383" i="36"/>
  <c r="M382" i="36"/>
  <c r="I382" i="36"/>
  <c r="H382" i="36"/>
  <c r="M381" i="36"/>
  <c r="I381" i="36"/>
  <c r="M380" i="36"/>
  <c r="I380" i="36"/>
  <c r="H380" i="36"/>
  <c r="M379" i="36"/>
  <c r="I379" i="36"/>
  <c r="H379" i="36"/>
  <c r="M378" i="36"/>
  <c r="I378" i="36"/>
  <c r="H378" i="36"/>
  <c r="M377" i="36"/>
  <c r="I377" i="36"/>
  <c r="H377" i="36"/>
  <c r="M376" i="36"/>
  <c r="I376" i="36"/>
  <c r="H376" i="36"/>
  <c r="M375" i="36"/>
  <c r="I375" i="36"/>
  <c r="H375" i="36"/>
  <c r="M374" i="36"/>
  <c r="I374" i="36"/>
  <c r="H374" i="36"/>
  <c r="M373" i="36"/>
  <c r="I373" i="36"/>
  <c r="M372" i="36"/>
  <c r="I372" i="36"/>
  <c r="H372" i="36"/>
  <c r="M371" i="36"/>
  <c r="I371" i="36"/>
  <c r="H371" i="36"/>
  <c r="M370" i="36"/>
  <c r="I370" i="36"/>
  <c r="H370" i="36"/>
  <c r="M369" i="36"/>
  <c r="I369" i="36"/>
  <c r="H369" i="36"/>
  <c r="M368" i="36"/>
  <c r="I368" i="36"/>
  <c r="H368" i="36"/>
  <c r="M367" i="36"/>
  <c r="I367" i="36"/>
  <c r="H367" i="36"/>
  <c r="M366" i="36"/>
  <c r="I366" i="36"/>
  <c r="H366" i="36"/>
  <c r="M365" i="36"/>
  <c r="I365" i="36"/>
  <c r="M364" i="36"/>
  <c r="I364" i="36"/>
  <c r="H364" i="36"/>
  <c r="M363" i="36"/>
  <c r="I363" i="36"/>
  <c r="H363" i="36"/>
  <c r="M362" i="36"/>
  <c r="I362" i="36"/>
  <c r="H362" i="36"/>
  <c r="M361" i="36"/>
  <c r="I361" i="36"/>
  <c r="H361" i="36"/>
  <c r="M359" i="36"/>
  <c r="I359" i="36"/>
  <c r="H359" i="36"/>
  <c r="M358" i="36"/>
  <c r="I358" i="36"/>
  <c r="H358" i="36"/>
  <c r="M356" i="36"/>
  <c r="I356" i="36"/>
  <c r="H356" i="36"/>
  <c r="M355" i="36"/>
  <c r="I355" i="36"/>
  <c r="H355" i="36"/>
  <c r="M354" i="36"/>
  <c r="I354" i="36"/>
  <c r="H354" i="36"/>
  <c r="M353" i="36"/>
  <c r="I353" i="36"/>
  <c r="H353" i="36"/>
  <c r="M352" i="36"/>
  <c r="H352" i="36"/>
  <c r="M351" i="36"/>
  <c r="I351" i="36"/>
  <c r="M350" i="36"/>
  <c r="I350" i="36"/>
  <c r="H350" i="36"/>
  <c r="M349" i="36"/>
  <c r="I349" i="36"/>
  <c r="H349" i="36"/>
  <c r="T82" i="36"/>
  <c r="T83" i="36"/>
  <c r="T84" i="36"/>
  <c r="T85" i="36"/>
  <c r="T86" i="36"/>
  <c r="T87" i="36"/>
  <c r="T88" i="36"/>
  <c r="T89" i="36"/>
  <c r="T90" i="36"/>
  <c r="T91" i="36"/>
  <c r="T92" i="36"/>
  <c r="T93" i="36"/>
  <c r="T94" i="36"/>
  <c r="G95" i="36"/>
  <c r="T95" i="36"/>
  <c r="T206" i="36"/>
  <c r="T341" i="36"/>
  <c r="T342" i="36"/>
  <c r="T344" i="36"/>
  <c r="G344" i="36"/>
  <c r="M342" i="36"/>
  <c r="I342" i="36"/>
  <c r="H342" i="36"/>
  <c r="M341" i="36"/>
  <c r="I341" i="36"/>
  <c r="H341" i="36"/>
  <c r="M340" i="36"/>
  <c r="I340" i="36"/>
  <c r="H340" i="36"/>
  <c r="M339" i="36"/>
  <c r="I339" i="36"/>
  <c r="H339" i="36"/>
  <c r="M338" i="36"/>
  <c r="I338" i="36"/>
  <c r="H338" i="36"/>
  <c r="M337" i="36"/>
  <c r="I337" i="36"/>
  <c r="H337" i="36"/>
  <c r="M336" i="36"/>
  <c r="I336" i="36"/>
  <c r="H336" i="36"/>
  <c r="M335" i="36"/>
  <c r="I335" i="36"/>
  <c r="H335" i="36"/>
  <c r="M334" i="36"/>
  <c r="I334" i="36"/>
  <c r="H334" i="36"/>
  <c r="M333" i="36"/>
  <c r="I333" i="36"/>
  <c r="H333" i="36"/>
  <c r="M332" i="36"/>
  <c r="I332" i="36"/>
  <c r="H332" i="36"/>
  <c r="M331" i="36"/>
  <c r="I331" i="36"/>
  <c r="H331" i="36"/>
  <c r="M330" i="36"/>
  <c r="I330" i="36"/>
  <c r="H330" i="36"/>
  <c r="M329" i="36"/>
  <c r="I329" i="36"/>
  <c r="H329" i="36"/>
  <c r="M328" i="36"/>
  <c r="I328" i="36"/>
  <c r="H328" i="36"/>
  <c r="M327" i="36"/>
  <c r="I327" i="36"/>
  <c r="H327" i="36"/>
  <c r="M326" i="36"/>
  <c r="I326" i="36"/>
  <c r="H326" i="36"/>
  <c r="M325" i="36"/>
  <c r="I325" i="36"/>
  <c r="H325" i="36"/>
  <c r="M324" i="36"/>
  <c r="I324" i="36"/>
  <c r="H324" i="36"/>
  <c r="M323" i="36"/>
  <c r="I323" i="36"/>
  <c r="H323" i="36"/>
  <c r="M322" i="36"/>
  <c r="I322" i="36"/>
  <c r="H322" i="36"/>
  <c r="M321" i="36"/>
  <c r="I321" i="36"/>
  <c r="H321" i="36"/>
  <c r="M320" i="36"/>
  <c r="I320" i="36"/>
  <c r="H320" i="36"/>
  <c r="M319" i="36"/>
  <c r="I319" i="36"/>
  <c r="H319" i="36"/>
  <c r="M318" i="36"/>
  <c r="I318" i="36"/>
  <c r="H318" i="36"/>
  <c r="M317" i="36"/>
  <c r="I317" i="36"/>
  <c r="H317" i="36"/>
  <c r="M316" i="36"/>
  <c r="I316" i="36"/>
  <c r="H316" i="36"/>
  <c r="M315" i="36"/>
  <c r="I315" i="36"/>
  <c r="H315" i="36"/>
  <c r="M314" i="36"/>
  <c r="I314" i="36"/>
  <c r="H314" i="36"/>
  <c r="M313" i="36"/>
  <c r="I313" i="36"/>
  <c r="H313" i="36"/>
  <c r="M312" i="36"/>
  <c r="I312" i="36"/>
  <c r="H312" i="36"/>
  <c r="M311" i="36"/>
  <c r="I311" i="36"/>
  <c r="H311" i="36"/>
  <c r="M310" i="36"/>
  <c r="I310" i="36"/>
  <c r="H310" i="36"/>
  <c r="M309" i="36"/>
  <c r="I309" i="36"/>
  <c r="H309" i="36"/>
  <c r="M308" i="36"/>
  <c r="I308" i="36"/>
  <c r="H308" i="36"/>
  <c r="M307" i="36"/>
  <c r="I307" i="36"/>
  <c r="H307" i="36"/>
  <c r="M306" i="36"/>
  <c r="I306" i="36"/>
  <c r="H306" i="36"/>
  <c r="M305" i="36"/>
  <c r="I305" i="36"/>
  <c r="H305" i="36"/>
  <c r="M304" i="36"/>
  <c r="I304" i="36"/>
  <c r="H304" i="36"/>
  <c r="M303" i="36"/>
  <c r="I303" i="36"/>
  <c r="H303" i="36"/>
  <c r="M302" i="36"/>
  <c r="I302" i="36"/>
  <c r="H302" i="36"/>
  <c r="M301" i="36"/>
  <c r="I301" i="36"/>
  <c r="H301" i="36"/>
  <c r="M300" i="36"/>
  <c r="I300" i="36"/>
  <c r="H300" i="36"/>
  <c r="S299" i="36"/>
  <c r="M299" i="36"/>
  <c r="I299" i="36"/>
  <c r="H299" i="36"/>
  <c r="M298" i="36"/>
  <c r="I298" i="36"/>
  <c r="H298" i="36"/>
  <c r="M297" i="36"/>
  <c r="I297" i="36"/>
  <c r="H297" i="36"/>
  <c r="M296" i="36"/>
  <c r="I296" i="36"/>
  <c r="H296" i="36"/>
  <c r="M295" i="36"/>
  <c r="I295" i="36"/>
  <c r="H295" i="36"/>
  <c r="M294" i="36"/>
  <c r="I294" i="36"/>
  <c r="H294" i="36"/>
  <c r="M293" i="36"/>
  <c r="I293" i="36"/>
  <c r="H293" i="36"/>
  <c r="M292" i="36"/>
  <c r="I292" i="36"/>
  <c r="H292" i="36"/>
  <c r="M291" i="36"/>
  <c r="I291" i="36"/>
  <c r="H291" i="36"/>
  <c r="M290" i="36"/>
  <c r="I290" i="36"/>
  <c r="H290" i="36"/>
  <c r="M289" i="36"/>
  <c r="I289" i="36"/>
  <c r="H289" i="36"/>
  <c r="M288" i="36"/>
  <c r="I288" i="36"/>
  <c r="H288" i="36"/>
  <c r="M287" i="36"/>
  <c r="I287" i="36"/>
  <c r="H287" i="36"/>
  <c r="M286" i="36"/>
  <c r="I286" i="36"/>
  <c r="H286" i="36"/>
  <c r="M285" i="36"/>
  <c r="I285" i="36"/>
  <c r="H285" i="36"/>
  <c r="M284" i="36"/>
  <c r="I284" i="36"/>
  <c r="H284" i="36"/>
  <c r="M283" i="36"/>
  <c r="I283" i="36"/>
  <c r="H283" i="36"/>
  <c r="M282" i="36"/>
  <c r="I282" i="36"/>
  <c r="H282" i="36"/>
  <c r="M281" i="36"/>
  <c r="I281" i="36"/>
  <c r="H281" i="36"/>
  <c r="M280" i="36"/>
  <c r="I280" i="36"/>
  <c r="H280" i="36"/>
  <c r="M279" i="36"/>
  <c r="I279" i="36"/>
  <c r="H279" i="36"/>
  <c r="M278" i="36"/>
  <c r="I278" i="36"/>
  <c r="H278" i="36"/>
  <c r="M277" i="36"/>
  <c r="I277" i="36"/>
  <c r="H277" i="36"/>
  <c r="M276" i="36"/>
  <c r="I276" i="36"/>
  <c r="H276" i="36"/>
  <c r="M275" i="36"/>
  <c r="I275" i="36"/>
  <c r="H275" i="36"/>
  <c r="M274" i="36"/>
  <c r="I274" i="36"/>
  <c r="H274" i="36"/>
  <c r="M273" i="36"/>
  <c r="I273" i="36"/>
  <c r="H273" i="36"/>
  <c r="M272" i="36"/>
  <c r="I272" i="36"/>
  <c r="H272" i="36"/>
  <c r="M271" i="36"/>
  <c r="I271" i="36"/>
  <c r="H271" i="36"/>
  <c r="M270" i="36"/>
  <c r="I270" i="36"/>
  <c r="H270" i="36"/>
  <c r="M269" i="36"/>
  <c r="I269" i="36"/>
  <c r="H269" i="36"/>
  <c r="M268" i="36"/>
  <c r="I268" i="36"/>
  <c r="H268" i="36"/>
  <c r="M267" i="36"/>
  <c r="I267" i="36"/>
  <c r="H267" i="36"/>
  <c r="M266" i="36"/>
  <c r="I266" i="36"/>
  <c r="H266" i="36"/>
  <c r="M265" i="36"/>
  <c r="I265" i="36"/>
  <c r="H265" i="36"/>
  <c r="M264" i="36"/>
  <c r="I264" i="36"/>
  <c r="H264" i="36"/>
  <c r="M263" i="36"/>
  <c r="I263" i="36"/>
  <c r="H263" i="36"/>
  <c r="M262" i="36"/>
  <c r="I262" i="36"/>
  <c r="H262" i="36"/>
  <c r="M261" i="36"/>
  <c r="I261" i="36"/>
  <c r="H261" i="36"/>
  <c r="M260" i="36"/>
  <c r="I260" i="36"/>
  <c r="H260" i="36"/>
  <c r="M259" i="36"/>
  <c r="I259" i="36"/>
  <c r="H259" i="36"/>
  <c r="M258" i="36"/>
  <c r="I258" i="36"/>
  <c r="H258" i="36"/>
  <c r="M257" i="36"/>
  <c r="I257" i="36"/>
  <c r="H257" i="36"/>
  <c r="M256" i="36"/>
  <c r="I256" i="36"/>
  <c r="H256" i="36"/>
  <c r="M255" i="36"/>
  <c r="I255" i="36"/>
  <c r="H255" i="36"/>
  <c r="M254" i="36"/>
  <c r="I254" i="36"/>
  <c r="H254" i="36"/>
  <c r="M253" i="36"/>
  <c r="I253" i="36"/>
  <c r="H253" i="36"/>
  <c r="M252" i="36"/>
  <c r="I252" i="36"/>
  <c r="H252" i="36"/>
  <c r="M251" i="36"/>
  <c r="I251" i="36"/>
  <c r="H251" i="36"/>
  <c r="M250" i="36"/>
  <c r="I250" i="36"/>
  <c r="H250" i="36"/>
  <c r="M249" i="36"/>
  <c r="I249" i="36"/>
  <c r="H249" i="36"/>
  <c r="M248" i="36"/>
  <c r="I248" i="36"/>
  <c r="H248" i="36"/>
  <c r="M247" i="36"/>
  <c r="I247" i="36"/>
  <c r="H247" i="36"/>
  <c r="M246" i="36"/>
  <c r="I246" i="36"/>
  <c r="H246" i="36"/>
  <c r="M245" i="36"/>
  <c r="I245" i="36"/>
  <c r="H245" i="36"/>
  <c r="M244" i="36"/>
  <c r="I244" i="36"/>
  <c r="H244" i="36"/>
  <c r="M243" i="36"/>
  <c r="I243" i="36"/>
  <c r="H243" i="36"/>
  <c r="M242" i="36"/>
  <c r="I242" i="36"/>
  <c r="H242" i="36"/>
  <c r="M241" i="36"/>
  <c r="I241" i="36"/>
  <c r="H241" i="36"/>
  <c r="M240" i="36"/>
  <c r="I240" i="36"/>
  <c r="H240" i="36"/>
  <c r="M239" i="36"/>
  <c r="I239" i="36"/>
  <c r="H239" i="36"/>
  <c r="M238" i="36"/>
  <c r="I238" i="36"/>
  <c r="H238" i="36"/>
  <c r="M237" i="36"/>
  <c r="I237" i="36"/>
  <c r="H237" i="36"/>
  <c r="M236" i="36"/>
  <c r="I236" i="36"/>
  <c r="H236" i="36"/>
  <c r="M235" i="36"/>
  <c r="I235" i="36"/>
  <c r="H235" i="36"/>
  <c r="M234" i="36"/>
  <c r="I234" i="36"/>
  <c r="H234" i="36"/>
  <c r="M233" i="36"/>
  <c r="I233" i="36"/>
  <c r="H233" i="36"/>
  <c r="M232" i="36"/>
  <c r="I232" i="36"/>
  <c r="H232" i="36"/>
  <c r="M231" i="36"/>
  <c r="I231" i="36"/>
  <c r="H231" i="36"/>
  <c r="M230" i="36"/>
  <c r="I230" i="36"/>
  <c r="H230" i="36"/>
  <c r="S229" i="36"/>
  <c r="M229" i="36"/>
  <c r="I229" i="36"/>
  <c r="H229" i="36"/>
  <c r="M228" i="36"/>
  <c r="I228" i="36"/>
  <c r="H228" i="36"/>
  <c r="M227" i="36"/>
  <c r="I227" i="36"/>
  <c r="H227" i="36"/>
  <c r="M226" i="36"/>
  <c r="I226" i="36"/>
  <c r="H226" i="36"/>
  <c r="M225" i="36"/>
  <c r="I225" i="36"/>
  <c r="H225" i="36"/>
  <c r="S224" i="36"/>
  <c r="M224" i="36"/>
  <c r="I224" i="36"/>
  <c r="H224" i="36"/>
  <c r="S223" i="36"/>
  <c r="M223" i="36"/>
  <c r="I223" i="36"/>
  <c r="H223" i="36"/>
  <c r="S222" i="36"/>
  <c r="M222" i="36"/>
  <c r="I222" i="36"/>
  <c r="H222" i="36"/>
  <c r="M221" i="36"/>
  <c r="I221" i="36"/>
  <c r="H221" i="36"/>
  <c r="M220" i="36"/>
  <c r="I220" i="36"/>
  <c r="H220" i="36"/>
  <c r="M219" i="36"/>
  <c r="I219" i="36"/>
  <c r="H219" i="36"/>
  <c r="M218" i="36"/>
  <c r="I218" i="36"/>
  <c r="H218" i="36"/>
  <c r="M217" i="36"/>
  <c r="I217" i="36"/>
  <c r="H217" i="36"/>
  <c r="M216" i="36"/>
  <c r="I216" i="36"/>
  <c r="H216" i="36"/>
  <c r="M215" i="36"/>
  <c r="I215" i="36"/>
  <c r="H215" i="36"/>
  <c r="M214" i="36"/>
  <c r="I214" i="36"/>
  <c r="H214" i="36"/>
  <c r="M213" i="36"/>
  <c r="I213" i="36"/>
  <c r="H213" i="36"/>
  <c r="M212" i="36"/>
  <c r="I212" i="36"/>
  <c r="H212" i="36"/>
  <c r="M211" i="36"/>
  <c r="I211" i="36"/>
  <c r="H211" i="36"/>
  <c r="M210" i="36"/>
  <c r="I210" i="36"/>
  <c r="H210" i="36"/>
  <c r="M209" i="36"/>
  <c r="I209" i="36"/>
  <c r="H209" i="36"/>
  <c r="M208" i="36"/>
  <c r="I208" i="36"/>
  <c r="H208" i="36"/>
  <c r="M207" i="36"/>
  <c r="I207" i="36"/>
  <c r="H207" i="36"/>
  <c r="M206" i="36"/>
  <c r="I206" i="36"/>
  <c r="H206" i="36"/>
  <c r="M205" i="36"/>
  <c r="I205" i="36"/>
  <c r="H205" i="36"/>
  <c r="M204" i="36"/>
  <c r="I204" i="36"/>
  <c r="H204" i="36"/>
  <c r="M203" i="36"/>
  <c r="I203" i="36"/>
  <c r="H203" i="36"/>
  <c r="R202" i="36"/>
  <c r="M202" i="36"/>
  <c r="I202" i="36"/>
  <c r="H202" i="36"/>
  <c r="M201" i="36"/>
  <c r="I201" i="36"/>
  <c r="H201" i="36"/>
  <c r="M200" i="36"/>
  <c r="I200" i="36"/>
  <c r="H200" i="36"/>
  <c r="M199" i="36"/>
  <c r="I199" i="36"/>
  <c r="H199" i="36"/>
  <c r="M198" i="36"/>
  <c r="I198" i="36"/>
  <c r="H198" i="36"/>
  <c r="M197" i="36"/>
  <c r="I197" i="36"/>
  <c r="H197" i="36"/>
  <c r="M196" i="36"/>
  <c r="I196" i="36"/>
  <c r="H196" i="36"/>
  <c r="M195" i="36"/>
  <c r="I195" i="36"/>
  <c r="H195" i="36"/>
  <c r="S194" i="36"/>
  <c r="M194" i="36"/>
  <c r="I194" i="36"/>
  <c r="H194" i="36"/>
  <c r="S193" i="36"/>
  <c r="M193" i="36"/>
  <c r="I193" i="36"/>
  <c r="H193" i="36"/>
  <c r="M192" i="36"/>
  <c r="I192" i="36"/>
  <c r="H192" i="36"/>
  <c r="M191" i="36"/>
  <c r="I191" i="36"/>
  <c r="H191" i="36"/>
  <c r="S190" i="36"/>
  <c r="M190" i="36"/>
  <c r="I190" i="36"/>
  <c r="H190" i="36"/>
  <c r="S189" i="36"/>
  <c r="M189" i="36"/>
  <c r="I189" i="36"/>
  <c r="H189" i="36"/>
  <c r="S188" i="36"/>
  <c r="M188" i="36"/>
  <c r="I188" i="36"/>
  <c r="H188" i="36"/>
  <c r="M187" i="36"/>
  <c r="I187" i="36"/>
  <c r="M186" i="36"/>
  <c r="I186" i="36"/>
  <c r="H186" i="36"/>
  <c r="M185" i="36"/>
  <c r="I185" i="36"/>
  <c r="H185" i="36"/>
  <c r="M184" i="36"/>
  <c r="I184" i="36"/>
  <c r="H184" i="36"/>
  <c r="M183" i="36"/>
  <c r="I183" i="36"/>
  <c r="H183" i="36"/>
  <c r="S182" i="36"/>
  <c r="M182" i="36"/>
  <c r="I182" i="36"/>
  <c r="H182" i="36"/>
  <c r="M181" i="36"/>
  <c r="I181" i="36"/>
  <c r="H181" i="36"/>
  <c r="M180" i="36"/>
  <c r="I180" i="36"/>
  <c r="H180" i="36"/>
  <c r="M179" i="36"/>
  <c r="I179" i="36"/>
  <c r="H179" i="36"/>
  <c r="S178" i="36"/>
  <c r="M178" i="36"/>
  <c r="I178" i="36"/>
  <c r="H178" i="36"/>
  <c r="S177" i="36"/>
  <c r="M177" i="36"/>
  <c r="I177" i="36"/>
  <c r="H177" i="36"/>
  <c r="S176" i="36"/>
  <c r="M176" i="36"/>
  <c r="I176" i="36"/>
  <c r="H176" i="36"/>
  <c r="S175" i="36"/>
  <c r="M175" i="36"/>
  <c r="I175" i="36"/>
  <c r="H175" i="36"/>
  <c r="M174" i="36"/>
  <c r="I174" i="36"/>
  <c r="H174" i="36"/>
  <c r="M173" i="36"/>
  <c r="I173" i="36"/>
  <c r="H173" i="36"/>
  <c r="M172" i="36"/>
  <c r="I172" i="36"/>
  <c r="H172" i="36"/>
  <c r="M171" i="36"/>
  <c r="I171" i="36"/>
  <c r="H171" i="36"/>
  <c r="M170" i="36"/>
  <c r="I170" i="36"/>
  <c r="H170" i="36"/>
  <c r="M169" i="36"/>
  <c r="I169" i="36"/>
  <c r="H169" i="36"/>
  <c r="M168" i="36"/>
  <c r="I168" i="36"/>
  <c r="H168" i="36"/>
  <c r="M167" i="36"/>
  <c r="I167" i="36"/>
  <c r="H167" i="36"/>
  <c r="M166" i="36"/>
  <c r="I166" i="36"/>
  <c r="H166" i="36"/>
  <c r="M165" i="36"/>
  <c r="I165" i="36"/>
  <c r="H165" i="36"/>
  <c r="M164" i="36"/>
  <c r="I164" i="36"/>
  <c r="H164" i="36"/>
  <c r="M163" i="36"/>
  <c r="I163" i="36"/>
  <c r="H163" i="36"/>
  <c r="M162" i="36"/>
  <c r="I162" i="36"/>
  <c r="H162" i="36"/>
  <c r="M161" i="36"/>
  <c r="I161" i="36"/>
  <c r="H161" i="36"/>
  <c r="M160" i="36"/>
  <c r="I160" i="36"/>
  <c r="H160" i="36"/>
  <c r="S159" i="36"/>
  <c r="M159" i="36"/>
  <c r="I159" i="36"/>
  <c r="H159" i="36"/>
  <c r="S158" i="36"/>
  <c r="M158" i="36"/>
  <c r="I158" i="36"/>
  <c r="H158" i="36"/>
  <c r="S157" i="36"/>
  <c r="M157" i="36"/>
  <c r="I157" i="36"/>
  <c r="H157" i="36"/>
  <c r="S156" i="36"/>
  <c r="M156" i="36"/>
  <c r="I156" i="36"/>
  <c r="H156" i="36"/>
  <c r="S155" i="36"/>
  <c r="M155" i="36"/>
  <c r="I155" i="36"/>
  <c r="H155" i="36"/>
  <c r="S154" i="36"/>
  <c r="M154" i="36"/>
  <c r="I154" i="36"/>
  <c r="H154" i="36"/>
  <c r="S153" i="36"/>
  <c r="M153" i="36"/>
  <c r="I153" i="36"/>
  <c r="S152" i="36"/>
  <c r="M152" i="36"/>
  <c r="I152" i="36"/>
  <c r="H152" i="36"/>
  <c r="M151" i="36"/>
  <c r="I151" i="36"/>
  <c r="H151" i="36"/>
  <c r="M150" i="36"/>
  <c r="I150" i="36"/>
  <c r="H150" i="36"/>
  <c r="M149" i="36"/>
  <c r="I149" i="36"/>
  <c r="H149" i="36"/>
  <c r="M148" i="36"/>
  <c r="I148" i="36"/>
  <c r="H148" i="36"/>
  <c r="M147" i="36"/>
  <c r="I147" i="36"/>
  <c r="H147" i="36"/>
  <c r="M146" i="36"/>
  <c r="I146" i="36"/>
  <c r="H146" i="36"/>
  <c r="M145" i="36"/>
  <c r="I145" i="36"/>
  <c r="H145" i="36"/>
  <c r="M144" i="36"/>
  <c r="I144" i="36"/>
  <c r="H144" i="36"/>
  <c r="M143" i="36"/>
  <c r="I143" i="36"/>
  <c r="H143" i="36"/>
  <c r="M142" i="36"/>
  <c r="I142" i="36"/>
  <c r="H142" i="36"/>
  <c r="M141" i="36"/>
  <c r="I141" i="36"/>
  <c r="H141" i="36"/>
  <c r="M140" i="36"/>
  <c r="I140" i="36"/>
  <c r="H140" i="36"/>
  <c r="S139" i="36"/>
  <c r="M139" i="36"/>
  <c r="I139" i="36"/>
  <c r="H139" i="36"/>
  <c r="S138" i="36"/>
  <c r="M138" i="36"/>
  <c r="I138" i="36"/>
  <c r="H138" i="36"/>
  <c r="S137" i="36"/>
  <c r="M137" i="36"/>
  <c r="I137" i="36"/>
  <c r="H137" i="36"/>
  <c r="M136" i="36"/>
  <c r="I136" i="36"/>
  <c r="H136" i="36"/>
  <c r="M135" i="36"/>
  <c r="I135" i="36"/>
  <c r="H135" i="36"/>
  <c r="M134" i="36"/>
  <c r="I134" i="36"/>
  <c r="H134" i="36"/>
  <c r="M133" i="36"/>
  <c r="I133" i="36"/>
  <c r="H133" i="36"/>
  <c r="M132" i="36"/>
  <c r="I132" i="36"/>
  <c r="H132" i="36"/>
  <c r="M131" i="36"/>
  <c r="I131" i="36"/>
  <c r="H131" i="36"/>
  <c r="M130" i="36"/>
  <c r="I130" i="36"/>
  <c r="H130" i="36"/>
  <c r="M129" i="36"/>
  <c r="I129" i="36"/>
  <c r="H129" i="36"/>
  <c r="M128" i="36"/>
  <c r="I128" i="36"/>
  <c r="H128" i="36"/>
  <c r="M127" i="36"/>
  <c r="I127" i="36"/>
  <c r="H127" i="36"/>
  <c r="M126" i="36"/>
  <c r="I126" i="36"/>
  <c r="H126" i="36"/>
  <c r="M125" i="36"/>
  <c r="I125" i="36"/>
  <c r="H125" i="36"/>
  <c r="M124" i="36"/>
  <c r="I124" i="36"/>
  <c r="H124" i="36"/>
  <c r="M123" i="36"/>
  <c r="I123" i="36"/>
  <c r="H123" i="36"/>
  <c r="M122" i="36"/>
  <c r="I122" i="36"/>
  <c r="H122" i="36"/>
  <c r="M121" i="36"/>
  <c r="I121" i="36"/>
  <c r="H121" i="36"/>
  <c r="M120" i="36"/>
  <c r="I120" i="36"/>
  <c r="H120" i="36"/>
  <c r="M119" i="36"/>
  <c r="I119" i="36"/>
  <c r="H119" i="36"/>
  <c r="M118" i="36"/>
  <c r="I118" i="36"/>
  <c r="H118" i="36"/>
  <c r="M117" i="36"/>
  <c r="I117" i="36"/>
  <c r="H117" i="36"/>
  <c r="M116" i="36"/>
  <c r="I116" i="36"/>
  <c r="H116" i="36"/>
  <c r="M115" i="36"/>
  <c r="I115" i="36"/>
  <c r="H115" i="36"/>
  <c r="M114" i="36"/>
  <c r="I114" i="36"/>
  <c r="H114" i="36"/>
  <c r="M113" i="36"/>
  <c r="I113" i="36"/>
  <c r="H113" i="36"/>
  <c r="S112" i="36"/>
  <c r="M112" i="36"/>
  <c r="I112" i="36"/>
  <c r="H112" i="36"/>
  <c r="M111" i="36"/>
  <c r="I111" i="36"/>
  <c r="H111" i="36"/>
  <c r="M110" i="36"/>
  <c r="I110" i="36"/>
  <c r="H110" i="36"/>
  <c r="M109" i="36"/>
  <c r="I109" i="36"/>
  <c r="H109" i="36"/>
  <c r="M108" i="36"/>
  <c r="I108" i="36"/>
  <c r="H108" i="36"/>
  <c r="M107" i="36"/>
  <c r="I107" i="36"/>
  <c r="H107" i="36"/>
  <c r="M106" i="36"/>
  <c r="I106" i="36"/>
  <c r="M105" i="36"/>
  <c r="I105" i="36"/>
  <c r="H105" i="36"/>
  <c r="M104" i="36"/>
  <c r="I104" i="36"/>
  <c r="H104" i="36"/>
  <c r="M103" i="36"/>
  <c r="I103" i="36"/>
  <c r="H103" i="36"/>
  <c r="M102" i="36"/>
  <c r="I102" i="36"/>
  <c r="H102" i="36"/>
  <c r="M101" i="36"/>
  <c r="I101" i="36"/>
  <c r="H101" i="36"/>
  <c r="M100" i="36"/>
  <c r="I100" i="36"/>
  <c r="H100" i="36"/>
  <c r="M99" i="36"/>
  <c r="I99" i="36"/>
  <c r="H99" i="36"/>
  <c r="M98" i="36"/>
  <c r="I98" i="36"/>
  <c r="H98" i="36"/>
  <c r="M97" i="36"/>
  <c r="I97" i="36"/>
  <c r="H97" i="36"/>
  <c r="M96" i="36"/>
  <c r="I96" i="36"/>
  <c r="H96" i="36"/>
  <c r="M95" i="36"/>
  <c r="I95" i="36"/>
  <c r="H95" i="36"/>
  <c r="M94" i="36"/>
  <c r="I94" i="36"/>
  <c r="H94" i="36"/>
  <c r="M93" i="36"/>
  <c r="I93" i="36"/>
  <c r="H93" i="36"/>
  <c r="M92" i="36"/>
  <c r="I92" i="36"/>
  <c r="H92" i="36"/>
  <c r="M91" i="36"/>
  <c r="I91" i="36"/>
  <c r="H91" i="36"/>
  <c r="M90" i="36"/>
  <c r="I90" i="36"/>
  <c r="H90" i="36"/>
  <c r="M89" i="36"/>
  <c r="I89" i="36"/>
  <c r="H89" i="36"/>
  <c r="M88" i="36"/>
  <c r="I88" i="36"/>
  <c r="H88" i="36"/>
  <c r="M87" i="36"/>
  <c r="I87" i="36"/>
  <c r="H87" i="36"/>
  <c r="M86" i="36"/>
  <c r="I86" i="36"/>
  <c r="H86" i="36"/>
  <c r="M85" i="36"/>
  <c r="I85" i="36"/>
  <c r="S84" i="36"/>
  <c r="M84" i="36"/>
  <c r="I84" i="36"/>
  <c r="H84" i="36"/>
  <c r="M83" i="36"/>
  <c r="I83" i="36"/>
  <c r="H83" i="36"/>
  <c r="M82" i="36"/>
  <c r="I82" i="36"/>
  <c r="T66" i="36"/>
  <c r="T67" i="36"/>
  <c r="T68" i="36"/>
  <c r="T69" i="36"/>
  <c r="T70" i="36"/>
  <c r="T71" i="36"/>
  <c r="T72" i="36"/>
  <c r="T73" i="36"/>
  <c r="T74" i="36"/>
  <c r="T75" i="36"/>
  <c r="T76" i="36"/>
  <c r="T78" i="36"/>
  <c r="G78" i="36"/>
  <c r="M76" i="36"/>
  <c r="I76" i="36"/>
  <c r="M75" i="36"/>
  <c r="I75" i="36"/>
  <c r="M74" i="36"/>
  <c r="I74" i="36"/>
  <c r="M73" i="36"/>
  <c r="I73" i="36"/>
  <c r="M72" i="36"/>
  <c r="I72" i="36"/>
  <c r="M71" i="36"/>
  <c r="I71" i="36"/>
  <c r="M70" i="36"/>
  <c r="I70" i="36"/>
  <c r="M69" i="36"/>
  <c r="I69" i="36"/>
  <c r="M68" i="36"/>
  <c r="I68" i="36"/>
  <c r="M67" i="36"/>
  <c r="I67" i="36"/>
  <c r="M66" i="36"/>
  <c r="I66" i="36"/>
  <c r="T13" i="36"/>
  <c r="T14" i="36"/>
  <c r="T19" i="36"/>
  <c r="T27" i="36"/>
  <c r="T34" i="36"/>
  <c r="T41" i="36"/>
  <c r="T46" i="36"/>
  <c r="T53" i="36"/>
  <c r="T60" i="36"/>
  <c r="T62" i="36"/>
  <c r="G62" i="36"/>
  <c r="M60" i="36"/>
  <c r="I60" i="36"/>
  <c r="M59" i="36"/>
  <c r="I59" i="36"/>
  <c r="M58" i="36"/>
  <c r="I58" i="36"/>
  <c r="M57" i="36"/>
  <c r="I57" i="36"/>
  <c r="M56" i="36"/>
  <c r="I56" i="36"/>
  <c r="M55" i="36"/>
  <c r="I55" i="36"/>
  <c r="M54" i="36"/>
  <c r="I54" i="36"/>
  <c r="M53" i="36"/>
  <c r="I53" i="36"/>
  <c r="M52" i="36"/>
  <c r="I52" i="36"/>
  <c r="M51" i="36"/>
  <c r="I51" i="36"/>
  <c r="H51" i="36"/>
  <c r="M50" i="36"/>
  <c r="I50" i="36"/>
  <c r="H50" i="36"/>
  <c r="M49" i="36"/>
  <c r="I49" i="36"/>
  <c r="M48" i="36"/>
  <c r="I48" i="36"/>
  <c r="H48" i="36"/>
  <c r="M47" i="36"/>
  <c r="I47" i="36"/>
  <c r="H47" i="36"/>
  <c r="M46" i="36"/>
  <c r="I46" i="36"/>
  <c r="H46" i="36"/>
  <c r="M45" i="36"/>
  <c r="I45" i="36"/>
  <c r="H45" i="36"/>
  <c r="M44" i="36"/>
  <c r="I44" i="36"/>
  <c r="H44" i="36"/>
  <c r="M43" i="36"/>
  <c r="I43" i="36"/>
  <c r="M42" i="36"/>
  <c r="I42" i="36"/>
  <c r="H42" i="36"/>
  <c r="M41" i="36"/>
  <c r="I41" i="36"/>
  <c r="H41" i="36"/>
  <c r="M40" i="36"/>
  <c r="I40" i="36"/>
  <c r="H40" i="36"/>
  <c r="M39" i="36"/>
  <c r="I39" i="36"/>
  <c r="H39" i="36"/>
  <c r="M38" i="36"/>
  <c r="I38" i="36"/>
  <c r="H38" i="36"/>
  <c r="M37" i="36"/>
  <c r="I37" i="36"/>
  <c r="M36" i="36"/>
  <c r="I36" i="36"/>
  <c r="H36" i="36"/>
  <c r="M35" i="36"/>
  <c r="I35" i="36"/>
  <c r="M34" i="36"/>
  <c r="I34" i="36"/>
  <c r="H34" i="36"/>
  <c r="M33" i="36"/>
  <c r="I33" i="36"/>
  <c r="H33" i="36"/>
  <c r="M32" i="36"/>
  <c r="I32" i="36"/>
  <c r="H32" i="36"/>
  <c r="M31" i="36"/>
  <c r="I31" i="36"/>
  <c r="H31" i="36"/>
  <c r="M30" i="36"/>
  <c r="I30" i="36"/>
  <c r="M29" i="36"/>
  <c r="I29" i="36"/>
  <c r="H29" i="36"/>
  <c r="M28" i="36"/>
  <c r="I28" i="36"/>
  <c r="H28" i="36"/>
  <c r="M27" i="36"/>
  <c r="I27" i="36"/>
  <c r="H27" i="36"/>
  <c r="M26" i="36"/>
  <c r="I26" i="36"/>
  <c r="H26" i="36"/>
  <c r="M25" i="36"/>
  <c r="I25" i="36"/>
  <c r="H25" i="36"/>
  <c r="M24" i="36"/>
  <c r="I24" i="36"/>
  <c r="H24" i="36"/>
  <c r="S23" i="36"/>
  <c r="M23" i="36"/>
  <c r="I23" i="36"/>
  <c r="H23" i="36"/>
  <c r="M22" i="36"/>
  <c r="I22" i="36"/>
  <c r="M21" i="36"/>
  <c r="I21" i="36"/>
  <c r="H21" i="36"/>
  <c r="S20" i="36"/>
  <c r="M20" i="36"/>
  <c r="I20" i="36"/>
  <c r="H20" i="36"/>
  <c r="M19" i="36"/>
  <c r="I19" i="36"/>
  <c r="H19" i="36"/>
  <c r="M18" i="36"/>
  <c r="I18" i="36"/>
  <c r="H18" i="36"/>
  <c r="M17" i="36"/>
  <c r="I17" i="36"/>
  <c r="H17" i="36"/>
  <c r="M16" i="36"/>
  <c r="I16" i="36"/>
  <c r="M15" i="36"/>
  <c r="I15" i="36"/>
  <c r="H15" i="36"/>
  <c r="M14" i="36"/>
  <c r="I14" i="36"/>
  <c r="H14" i="36"/>
  <c r="M13" i="36"/>
  <c r="I13" i="36"/>
  <c r="H13" i="36"/>
  <c r="M12" i="36"/>
  <c r="I12" i="36"/>
  <c r="H12" i="36"/>
  <c r="M11" i="36"/>
  <c r="I11" i="36"/>
  <c r="M10" i="36"/>
  <c r="I10" i="36"/>
  <c r="H10" i="36"/>
  <c r="M9" i="36"/>
  <c r="I9" i="36"/>
  <c r="H9" i="36"/>
  <c r="M7" i="36"/>
  <c r="I7" i="36"/>
  <c r="H7" i="36"/>
  <c r="M6" i="36"/>
  <c r="I6" i="36"/>
  <c r="H6" i="36"/>
  <c r="M5" i="36"/>
  <c r="I5" i="36"/>
  <c r="H5" i="36"/>
  <c r="M3" i="36"/>
  <c r="I3" i="36"/>
  <c r="H3" i="36"/>
  <c r="S2" i="36"/>
  <c r="M2" i="36"/>
  <c r="I2" i="36"/>
  <c r="H2" i="36"/>
  <c r="J1106" i="11"/>
  <c r="J1105" i="11"/>
  <c r="J1104" i="11"/>
  <c r="G1104" i="11"/>
  <c r="J1101" i="11"/>
  <c r="G1101" i="11"/>
  <c r="J1100" i="11"/>
  <c r="G1100" i="11"/>
  <c r="J1099" i="11"/>
  <c r="G1099" i="11"/>
  <c r="J1091" i="11"/>
  <c r="G1091" i="11"/>
  <c r="J1087" i="11"/>
  <c r="G1087" i="11"/>
  <c r="J1084" i="11"/>
  <c r="G1084" i="11"/>
  <c r="J1082" i="11"/>
  <c r="G1082" i="11"/>
  <c r="J1079" i="11"/>
  <c r="G1079" i="11"/>
  <c r="J1078" i="11"/>
  <c r="G1078" i="11"/>
  <c r="J1077" i="11"/>
  <c r="G1077" i="11"/>
  <c r="J1076" i="11"/>
  <c r="G1076" i="11"/>
  <c r="J1075" i="11"/>
  <c r="G1075" i="11"/>
  <c r="J1074" i="11"/>
  <c r="G1074" i="11"/>
  <c r="J1073" i="11"/>
  <c r="G1073" i="11"/>
  <c r="J1072" i="11"/>
  <c r="G1072" i="11"/>
  <c r="J1068" i="11"/>
  <c r="G1068" i="11"/>
  <c r="J1066" i="11"/>
  <c r="G1066" i="11"/>
  <c r="J1064" i="11"/>
  <c r="G1064" i="11"/>
  <c r="J1062" i="11"/>
  <c r="G1062" i="11"/>
  <c r="J1053" i="11"/>
  <c r="G1053" i="11"/>
  <c r="J1034" i="11"/>
  <c r="G1034" i="11"/>
  <c r="J1033" i="11"/>
  <c r="G1033" i="11"/>
  <c r="AM271" i="5"/>
  <c r="J1032" i="11"/>
  <c r="G1032" i="11"/>
  <c r="AM116" i="5"/>
  <c r="J1031" i="11"/>
  <c r="G1031" i="11"/>
  <c r="J1030" i="11"/>
  <c r="G1030" i="11"/>
  <c r="J1029" i="11"/>
  <c r="G1029" i="11"/>
  <c r="AM117" i="5"/>
  <c r="J1028" i="11"/>
  <c r="G1028" i="11"/>
  <c r="AM332" i="5"/>
  <c r="J1027" i="11"/>
  <c r="J1026" i="11"/>
  <c r="J1025" i="11"/>
  <c r="J1024" i="11"/>
  <c r="J1023" i="11"/>
  <c r="J1022" i="11"/>
  <c r="J1021" i="11"/>
  <c r="J1020" i="11"/>
  <c r="G1020" i="11"/>
  <c r="J1019" i="11"/>
  <c r="J1018" i="11"/>
  <c r="J1017" i="11"/>
  <c r="J1016" i="11"/>
  <c r="J1015" i="11"/>
  <c r="J1014" i="11"/>
  <c r="J1013" i="11"/>
  <c r="J1012" i="11"/>
  <c r="J1011" i="11"/>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G972" i="11"/>
  <c r="AM212" i="5"/>
  <c r="J971" i="11"/>
  <c r="G971" i="11"/>
  <c r="AM211" i="5"/>
  <c r="J970" i="11"/>
  <c r="G970" i="11"/>
  <c r="AM210" i="5"/>
  <c r="J969" i="11"/>
  <c r="J968" i="11"/>
  <c r="J967" i="11"/>
  <c r="J966" i="11"/>
  <c r="J965" i="11"/>
  <c r="J964" i="11"/>
  <c r="J963" i="11"/>
  <c r="J962" i="11"/>
  <c r="J961" i="11"/>
  <c r="J960" i="11"/>
  <c r="J959" i="11"/>
  <c r="J958" i="11"/>
  <c r="J957" i="11"/>
  <c r="J956" i="11"/>
  <c r="J955" i="11"/>
  <c r="J954" i="11"/>
  <c r="F9" i="2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G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G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G790" i="11"/>
  <c r="J789" i="11"/>
  <c r="J788" i="11"/>
  <c r="J787" i="11"/>
  <c r="J786" i="11"/>
  <c r="J785" i="11"/>
  <c r="G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G739" i="11"/>
  <c r="J738" i="11"/>
  <c r="G738" i="11"/>
  <c r="J737" i="11"/>
  <c r="G737" i="11"/>
  <c r="J736" i="11"/>
  <c r="G736" i="11"/>
  <c r="J735" i="11"/>
  <c r="G735" i="11"/>
  <c r="J734" i="11"/>
  <c r="G734" i="11"/>
  <c r="J733" i="11"/>
  <c r="G733" i="11"/>
  <c r="J732" i="11"/>
  <c r="G732" i="11"/>
  <c r="J731" i="11"/>
  <c r="G731" i="11"/>
  <c r="J730" i="11"/>
  <c r="G730" i="11"/>
  <c r="J729" i="11"/>
  <c r="G729" i="11"/>
  <c r="J728" i="11"/>
  <c r="G728" i="11"/>
  <c r="J727" i="11"/>
  <c r="G727" i="11"/>
  <c r="J726" i="11"/>
  <c r="G726" i="11"/>
  <c r="J725" i="11"/>
  <c r="G725" i="11"/>
  <c r="J724" i="11"/>
  <c r="G724" i="11"/>
  <c r="J723" i="11"/>
  <c r="G723" i="11"/>
  <c r="J722" i="11"/>
  <c r="G722" i="11"/>
  <c r="J721" i="11"/>
  <c r="G721" i="11"/>
  <c r="J720" i="11"/>
  <c r="G720" i="11"/>
  <c r="J719" i="11"/>
  <c r="G719" i="11"/>
  <c r="J718" i="11"/>
  <c r="G718" i="11"/>
  <c r="J717" i="11"/>
  <c r="G717" i="11"/>
  <c r="J716" i="11"/>
  <c r="G716" i="11"/>
  <c r="J715" i="11"/>
  <c r="G715" i="11"/>
  <c r="J714" i="11"/>
  <c r="G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S469" i="36"/>
  <c r="J468" i="11"/>
  <c r="S468" i="36"/>
  <c r="J467" i="11"/>
  <c r="S467" i="36"/>
  <c r="J466" i="11"/>
  <c r="S466" i="36"/>
  <c r="J465" i="11"/>
  <c r="S465" i="36"/>
  <c r="J464" i="11"/>
  <c r="S464" i="36"/>
  <c r="J463" i="11"/>
  <c r="S463" i="36"/>
  <c r="J462" i="11"/>
  <c r="S462" i="36"/>
  <c r="J461" i="11"/>
  <c r="S461" i="36"/>
  <c r="J460" i="11"/>
  <c r="S460" i="36"/>
  <c r="J459" i="11"/>
  <c r="S459" i="36"/>
  <c r="J458" i="11"/>
  <c r="S458" i="36"/>
  <c r="J457" i="11"/>
  <c r="S457" i="36"/>
  <c r="J456" i="11"/>
  <c r="S456" i="36"/>
  <c r="J455" i="11"/>
  <c r="S455" i="36"/>
  <c r="J454" i="11"/>
  <c r="S454" i="36"/>
  <c r="J453" i="11"/>
  <c r="S453" i="36"/>
  <c r="J452" i="11"/>
  <c r="S452" i="36"/>
  <c r="J451" i="11"/>
  <c r="S451" i="36"/>
  <c r="J450" i="11"/>
  <c r="S450" i="36"/>
  <c r="J449" i="11"/>
  <c r="J448" i="11"/>
  <c r="J447" i="11"/>
  <c r="J446" i="11"/>
  <c r="J445" i="11"/>
  <c r="S445" i="36"/>
  <c r="J444" i="11"/>
  <c r="S444" i="36"/>
  <c r="J443" i="11"/>
  <c r="S443" i="36"/>
  <c r="J442" i="11"/>
  <c r="S442" i="36"/>
  <c r="J441" i="11"/>
  <c r="S441" i="36"/>
  <c r="J440" i="11"/>
  <c r="J439" i="11"/>
  <c r="S439" i="36"/>
  <c r="T438" i="11"/>
  <c r="J438" i="11"/>
  <c r="J437" i="11"/>
  <c r="T437" i="11"/>
  <c r="T436" i="11"/>
  <c r="J436" i="11"/>
  <c r="J435" i="11"/>
  <c r="T435" i="11"/>
  <c r="J434" i="11"/>
  <c r="T434" i="11"/>
  <c r="J433" i="11"/>
  <c r="T433" i="11"/>
  <c r="J432" i="11"/>
  <c r="S432" i="36"/>
  <c r="J431" i="11"/>
  <c r="J430" i="11"/>
  <c r="S430" i="36"/>
  <c r="J429" i="11"/>
  <c r="J428" i="11"/>
  <c r="S428" i="36"/>
  <c r="J427" i="11"/>
  <c r="J426" i="11"/>
  <c r="S426" i="36"/>
  <c r="J425" i="11"/>
  <c r="J424" i="11"/>
  <c r="S424" i="36"/>
  <c r="J423" i="11"/>
  <c r="J422" i="11"/>
  <c r="S422" i="36"/>
  <c r="J421" i="11"/>
  <c r="J420" i="11"/>
  <c r="S420" i="36"/>
  <c r="J419" i="11"/>
  <c r="J418" i="11"/>
  <c r="S418" i="36"/>
  <c r="J417" i="11"/>
  <c r="S417" i="36"/>
  <c r="J416" i="11"/>
  <c r="S416" i="36"/>
  <c r="J415" i="11"/>
  <c r="S415" i="36"/>
  <c r="J414" i="11"/>
  <c r="J413" i="11"/>
  <c r="S413" i="36"/>
  <c r="J412" i="11"/>
  <c r="T412" i="11"/>
  <c r="J411" i="11"/>
  <c r="T411" i="11"/>
  <c r="J410" i="11"/>
  <c r="T410" i="11"/>
  <c r="J409" i="11"/>
  <c r="T409" i="11"/>
  <c r="J408" i="11"/>
  <c r="T408" i="11"/>
  <c r="J407" i="11"/>
  <c r="T407" i="11"/>
  <c r="J406" i="11"/>
  <c r="T406" i="11"/>
  <c r="J405" i="11"/>
  <c r="S405" i="36"/>
  <c r="J404" i="11"/>
  <c r="J403" i="11"/>
  <c r="S403" i="36"/>
  <c r="J402" i="11"/>
  <c r="J401" i="11"/>
  <c r="S401" i="36"/>
  <c r="J400" i="11"/>
  <c r="J399" i="11"/>
  <c r="S399" i="36"/>
  <c r="J398" i="11"/>
  <c r="J397" i="11"/>
  <c r="S397" i="36"/>
  <c r="J396" i="11"/>
  <c r="J395" i="11"/>
  <c r="S395" i="36"/>
  <c r="J394" i="11"/>
  <c r="J393" i="11"/>
  <c r="S393" i="36"/>
  <c r="J392" i="11"/>
  <c r="J391" i="11"/>
  <c r="S391" i="36"/>
  <c r="J390" i="11"/>
  <c r="J389" i="11"/>
  <c r="S389" i="36"/>
  <c r="J388" i="11"/>
  <c r="S388" i="36"/>
  <c r="J387" i="11"/>
  <c r="S387" i="36"/>
  <c r="J386" i="11"/>
  <c r="T386" i="11"/>
  <c r="J385" i="11"/>
  <c r="S385" i="36"/>
  <c r="J384" i="11"/>
  <c r="T384" i="11"/>
  <c r="J383" i="11"/>
  <c r="S383" i="36"/>
  <c r="J382" i="11"/>
  <c r="T382" i="11"/>
  <c r="J381" i="11"/>
  <c r="S381" i="36"/>
  <c r="J380" i="11"/>
  <c r="T380" i="11"/>
  <c r="J379" i="11"/>
  <c r="S379" i="36"/>
  <c r="J378" i="11"/>
  <c r="T378" i="11"/>
  <c r="J377" i="11"/>
  <c r="S377" i="36"/>
  <c r="J376" i="11"/>
  <c r="T376" i="11"/>
  <c r="J375" i="11"/>
  <c r="S375" i="36"/>
  <c r="J374" i="11"/>
  <c r="T374" i="11"/>
  <c r="J373" i="11"/>
  <c r="S373" i="36"/>
  <c r="J372" i="11"/>
  <c r="T372" i="11"/>
  <c r="J371" i="11"/>
  <c r="S371" i="36"/>
  <c r="J370" i="11"/>
  <c r="T370" i="11"/>
  <c r="J369" i="11"/>
  <c r="S369" i="36"/>
  <c r="J368" i="11"/>
  <c r="T368" i="11"/>
  <c r="J367" i="11"/>
  <c r="S367" i="36"/>
  <c r="J366" i="11"/>
  <c r="T366" i="11"/>
  <c r="J365" i="11"/>
  <c r="S365" i="36"/>
  <c r="J364" i="11"/>
  <c r="T364" i="11"/>
  <c r="J363" i="11"/>
  <c r="S363" i="36"/>
  <c r="J362" i="11"/>
  <c r="T362" i="11"/>
  <c r="J361" i="11"/>
  <c r="S361" i="36"/>
  <c r="J360" i="11"/>
  <c r="T360" i="11"/>
  <c r="J359" i="11"/>
  <c r="S359" i="36"/>
  <c r="J358" i="11"/>
  <c r="S358" i="36"/>
  <c r="J357" i="11"/>
  <c r="T357" i="11"/>
  <c r="J356" i="11"/>
  <c r="T356" i="11"/>
  <c r="J355" i="11"/>
  <c r="S355" i="36"/>
  <c r="J354" i="11"/>
  <c r="T354" i="11"/>
  <c r="J353" i="11"/>
  <c r="S353" i="36"/>
  <c r="J352" i="11"/>
  <c r="T352" i="11"/>
  <c r="J351" i="11"/>
  <c r="S351" i="36"/>
  <c r="J350" i="11"/>
  <c r="T350" i="11"/>
  <c r="J349" i="11"/>
  <c r="S349" i="36"/>
  <c r="J348" i="11"/>
  <c r="T348" i="11"/>
  <c r="J347" i="11"/>
  <c r="T347" i="11"/>
  <c r="J346" i="11"/>
  <c r="T346" i="11"/>
  <c r="J345" i="11"/>
  <c r="T345" i="11"/>
  <c r="J344" i="11"/>
  <c r="T344" i="11"/>
  <c r="J343" i="11"/>
  <c r="T343" i="11"/>
  <c r="J342" i="11"/>
  <c r="S342" i="36"/>
  <c r="J341" i="11"/>
  <c r="S341" i="36"/>
  <c r="J340" i="11"/>
  <c r="S340" i="36"/>
  <c r="J339" i="11"/>
  <c r="S339" i="36"/>
  <c r="J338" i="11"/>
  <c r="S338" i="36"/>
  <c r="J337" i="11"/>
  <c r="S337" i="36"/>
  <c r="J336" i="11"/>
  <c r="S336" i="36"/>
  <c r="J335" i="11"/>
  <c r="S335" i="36"/>
  <c r="J334" i="11"/>
  <c r="S334" i="36"/>
  <c r="J333" i="11"/>
  <c r="S333" i="36"/>
  <c r="J332" i="11"/>
  <c r="S332" i="36"/>
  <c r="J331" i="11"/>
  <c r="S331" i="36"/>
  <c r="J330" i="11"/>
  <c r="S330" i="36"/>
  <c r="J329" i="11"/>
  <c r="S329" i="36"/>
  <c r="J328" i="11"/>
  <c r="S328" i="36"/>
  <c r="J327" i="11"/>
  <c r="S327" i="36"/>
  <c r="J326" i="11"/>
  <c r="S326" i="36"/>
  <c r="J325" i="11"/>
  <c r="S325" i="36"/>
  <c r="J324" i="11"/>
  <c r="S324" i="36"/>
  <c r="J323" i="11"/>
  <c r="S323" i="36"/>
  <c r="J322" i="11"/>
  <c r="S322" i="36"/>
  <c r="J321" i="11"/>
  <c r="T321" i="11"/>
  <c r="J320" i="11"/>
  <c r="S320" i="36"/>
  <c r="J319" i="11"/>
  <c r="S319" i="36"/>
  <c r="J318" i="11"/>
  <c r="S318" i="36"/>
  <c r="J317" i="11"/>
  <c r="S317" i="36"/>
  <c r="J316" i="11"/>
  <c r="S316" i="36"/>
  <c r="J315" i="11"/>
  <c r="S315" i="36"/>
  <c r="J314" i="11"/>
  <c r="S314" i="36"/>
  <c r="J313" i="11"/>
  <c r="S313" i="36"/>
  <c r="J312" i="11"/>
  <c r="S312" i="36"/>
  <c r="J311" i="11"/>
  <c r="S311" i="36"/>
  <c r="J310" i="11"/>
  <c r="S310" i="36"/>
  <c r="J309" i="11"/>
  <c r="J308" i="11"/>
  <c r="S308" i="36"/>
  <c r="J307" i="11"/>
  <c r="J306" i="11"/>
  <c r="S306" i="36"/>
  <c r="J305" i="11"/>
  <c r="J304" i="11"/>
  <c r="S304" i="36"/>
  <c r="J303" i="11"/>
  <c r="J302" i="11"/>
  <c r="S302" i="36"/>
  <c r="J301" i="11"/>
  <c r="J300" i="11"/>
  <c r="S300" i="36"/>
  <c r="T299" i="11"/>
  <c r="J299" i="11"/>
  <c r="J298" i="11"/>
  <c r="S298" i="36"/>
  <c r="J297" i="11"/>
  <c r="J296" i="11"/>
  <c r="S296" i="36"/>
  <c r="J295" i="11"/>
  <c r="S295" i="36"/>
  <c r="J294" i="11"/>
  <c r="S294" i="36"/>
  <c r="J293" i="11"/>
  <c r="S293" i="36"/>
  <c r="J292" i="11"/>
  <c r="S292" i="36"/>
  <c r="J291" i="11"/>
  <c r="S291" i="36"/>
  <c r="J290" i="11"/>
  <c r="S290" i="36"/>
  <c r="J289" i="11"/>
  <c r="S289" i="36"/>
  <c r="J288" i="11"/>
  <c r="S288" i="36"/>
  <c r="J287" i="11"/>
  <c r="S287" i="36"/>
  <c r="J286" i="11"/>
  <c r="S286" i="36"/>
  <c r="J285" i="11"/>
  <c r="S285" i="36"/>
  <c r="J284" i="11"/>
  <c r="S284" i="36"/>
  <c r="J283" i="11"/>
  <c r="S283" i="36"/>
  <c r="J282" i="11"/>
  <c r="S282" i="36"/>
  <c r="J281" i="11"/>
  <c r="S281" i="36"/>
  <c r="J280" i="11"/>
  <c r="S280" i="36"/>
  <c r="J279" i="11"/>
  <c r="S279" i="36"/>
  <c r="J278" i="11"/>
  <c r="S278" i="36"/>
  <c r="J277" i="11"/>
  <c r="S277" i="36"/>
  <c r="S276" i="36"/>
  <c r="J275" i="11"/>
  <c r="S275" i="36"/>
  <c r="J274" i="11"/>
  <c r="S274" i="36"/>
  <c r="J273" i="11"/>
  <c r="S273" i="36"/>
  <c r="J272" i="11"/>
  <c r="S272" i="36"/>
  <c r="J271" i="11"/>
  <c r="S271" i="36"/>
  <c r="J270" i="11"/>
  <c r="S270" i="36"/>
  <c r="J269" i="11"/>
  <c r="S269" i="36"/>
  <c r="J268" i="11"/>
  <c r="S268" i="36"/>
  <c r="J267" i="11"/>
  <c r="S267" i="36"/>
  <c r="J266" i="11"/>
  <c r="S266" i="36"/>
  <c r="J265" i="11"/>
  <c r="S265" i="36"/>
  <c r="J264" i="11"/>
  <c r="S264" i="36"/>
  <c r="J263" i="11"/>
  <c r="S263" i="36"/>
  <c r="J262" i="11"/>
  <c r="S262" i="36"/>
  <c r="J261" i="11"/>
  <c r="S261" i="36"/>
  <c r="J260" i="11"/>
  <c r="S260" i="36"/>
  <c r="J259" i="11"/>
  <c r="S259" i="36"/>
  <c r="J258" i="11"/>
  <c r="S258" i="36"/>
  <c r="J257" i="11"/>
  <c r="S257" i="36"/>
  <c r="J256" i="11"/>
  <c r="S256" i="36"/>
  <c r="J255" i="11"/>
  <c r="S255" i="36"/>
  <c r="J254" i="11"/>
  <c r="S254" i="36"/>
  <c r="J253" i="11"/>
  <c r="S253" i="36"/>
  <c r="J252" i="11"/>
  <c r="S252" i="36"/>
  <c r="J251" i="11"/>
  <c r="S251" i="36"/>
  <c r="J250" i="11"/>
  <c r="S250" i="36"/>
  <c r="J249" i="11"/>
  <c r="S249" i="36"/>
  <c r="J248" i="11"/>
  <c r="S248" i="36"/>
  <c r="J247" i="11"/>
  <c r="S247" i="36"/>
  <c r="J246" i="11"/>
  <c r="S246" i="36"/>
  <c r="J245" i="11"/>
  <c r="S245" i="36"/>
  <c r="J244" i="11"/>
  <c r="S244" i="36"/>
  <c r="J243" i="11"/>
  <c r="S243" i="36"/>
  <c r="J242" i="11"/>
  <c r="S242" i="36"/>
  <c r="J241" i="11"/>
  <c r="S241" i="36"/>
  <c r="J240" i="11"/>
  <c r="S240" i="36"/>
  <c r="J239" i="11"/>
  <c r="S239" i="36"/>
  <c r="J238" i="11"/>
  <c r="S238" i="36"/>
  <c r="J237" i="11"/>
  <c r="S237" i="36"/>
  <c r="J236" i="11"/>
  <c r="S236" i="36"/>
  <c r="J235" i="11"/>
  <c r="S235" i="36"/>
  <c r="J234" i="11"/>
  <c r="S234" i="36"/>
  <c r="J233" i="11"/>
  <c r="S233" i="36"/>
  <c r="J232" i="11"/>
  <c r="S232" i="36"/>
  <c r="J231" i="11"/>
  <c r="S231" i="36"/>
  <c r="J230" i="11"/>
  <c r="S230" i="36"/>
  <c r="T229" i="11"/>
  <c r="J229" i="11"/>
  <c r="J228" i="11"/>
  <c r="S228" i="36"/>
  <c r="J227" i="11"/>
  <c r="T227" i="11"/>
  <c r="J226" i="11"/>
  <c r="S226" i="36"/>
  <c r="J225" i="11"/>
  <c r="T225" i="11"/>
  <c r="T224" i="11"/>
  <c r="J224" i="11"/>
  <c r="T223" i="11"/>
  <c r="J223" i="11"/>
  <c r="T222" i="11"/>
  <c r="J222" i="11"/>
  <c r="J221" i="11"/>
  <c r="S221" i="36"/>
  <c r="J220" i="11"/>
  <c r="S220" i="36"/>
  <c r="J219" i="11"/>
  <c r="S219" i="36"/>
  <c r="J218" i="11"/>
  <c r="S218" i="36"/>
  <c r="J217" i="11"/>
  <c r="S217" i="36"/>
  <c r="J216" i="11"/>
  <c r="S216" i="36"/>
  <c r="J215" i="11"/>
  <c r="S215" i="36"/>
  <c r="J214" i="11"/>
  <c r="S214" i="36"/>
  <c r="J213" i="11"/>
  <c r="S213" i="36"/>
  <c r="J212" i="11"/>
  <c r="S212" i="36"/>
  <c r="J211" i="11"/>
  <c r="S211" i="36"/>
  <c r="J210" i="11"/>
  <c r="S210" i="36"/>
  <c r="J209" i="11"/>
  <c r="S209" i="36"/>
  <c r="J208" i="11"/>
  <c r="S208" i="36"/>
  <c r="J207" i="11"/>
  <c r="S207" i="36"/>
  <c r="J206" i="11"/>
  <c r="S206" i="36"/>
  <c r="J205" i="11"/>
  <c r="S205" i="36"/>
  <c r="J204" i="11"/>
  <c r="S204" i="36"/>
  <c r="J203" i="11"/>
  <c r="S203" i="36"/>
  <c r="J202" i="11"/>
  <c r="S202" i="36"/>
  <c r="J201" i="11"/>
  <c r="S201" i="36"/>
  <c r="J200" i="11"/>
  <c r="S200" i="36"/>
  <c r="J199" i="11"/>
  <c r="S199" i="36"/>
  <c r="J198" i="11"/>
  <c r="T198" i="11"/>
  <c r="J197" i="11"/>
  <c r="T197" i="11"/>
  <c r="J196" i="11"/>
  <c r="S196" i="36"/>
  <c r="T195" i="11"/>
  <c r="J195" i="11"/>
  <c r="T194" i="11"/>
  <c r="J194" i="11"/>
  <c r="T193" i="11"/>
  <c r="J193" i="11"/>
  <c r="T192" i="11"/>
  <c r="J192" i="11"/>
  <c r="T191" i="11"/>
  <c r="S191" i="11"/>
  <c r="J191" i="11"/>
  <c r="T190" i="11"/>
  <c r="J190" i="11"/>
  <c r="T189" i="11"/>
  <c r="J189" i="11"/>
  <c r="T188" i="11"/>
  <c r="J188" i="11"/>
  <c r="J187" i="11"/>
  <c r="S187" i="36"/>
  <c r="J186" i="11"/>
  <c r="S186" i="36"/>
  <c r="J185" i="11"/>
  <c r="S185" i="36"/>
  <c r="J184" i="11"/>
  <c r="S184" i="36"/>
  <c r="J183" i="11"/>
  <c r="S183" i="36"/>
  <c r="T182" i="11"/>
  <c r="J182" i="11"/>
  <c r="J181" i="11"/>
  <c r="S181" i="36"/>
  <c r="J180" i="11"/>
  <c r="S180" i="36"/>
  <c r="J179" i="11"/>
  <c r="S179" i="36"/>
  <c r="T178" i="11"/>
  <c r="J178" i="11"/>
  <c r="T177" i="11"/>
  <c r="J177" i="11"/>
  <c r="T176" i="11"/>
  <c r="J176" i="11"/>
  <c r="T175" i="11"/>
  <c r="J175" i="11"/>
  <c r="J174" i="11"/>
  <c r="S174" i="36"/>
  <c r="J173" i="11"/>
  <c r="S173" i="36"/>
  <c r="J172" i="11"/>
  <c r="S172" i="36"/>
  <c r="J171" i="11"/>
  <c r="S171" i="36"/>
  <c r="J170" i="11"/>
  <c r="S170" i="36"/>
  <c r="J169" i="11"/>
  <c r="S169" i="36"/>
  <c r="J168" i="11"/>
  <c r="S168" i="36"/>
  <c r="J167" i="11"/>
  <c r="S167" i="36"/>
  <c r="J166" i="11"/>
  <c r="S166" i="36"/>
  <c r="J165" i="11"/>
  <c r="S165" i="36"/>
  <c r="J164" i="11"/>
  <c r="S164" i="36"/>
  <c r="J163" i="11"/>
  <c r="S163" i="36"/>
  <c r="J162" i="11"/>
  <c r="S162" i="36"/>
  <c r="J161" i="11"/>
  <c r="S161" i="36"/>
  <c r="J160" i="11"/>
  <c r="S160" i="36"/>
  <c r="T159" i="11"/>
  <c r="J159" i="11"/>
  <c r="T158" i="11"/>
  <c r="J158" i="11"/>
  <c r="T157" i="11"/>
  <c r="J157" i="11"/>
  <c r="T156" i="11"/>
  <c r="J156" i="11"/>
  <c r="T155" i="11"/>
  <c r="J155" i="11"/>
  <c r="T154" i="11"/>
  <c r="J154" i="11"/>
  <c r="T153" i="11"/>
  <c r="J153" i="11"/>
  <c r="T152" i="11"/>
  <c r="J152" i="11"/>
  <c r="J151" i="11"/>
  <c r="S151" i="36"/>
  <c r="J150" i="11"/>
  <c r="S150" i="36"/>
  <c r="J149" i="11"/>
  <c r="S149" i="36"/>
  <c r="J148" i="11"/>
  <c r="S148" i="36"/>
  <c r="J147" i="11"/>
  <c r="S147" i="36"/>
  <c r="J146" i="11"/>
  <c r="S146" i="36"/>
  <c r="J145" i="11"/>
  <c r="S145" i="36"/>
  <c r="J144" i="11"/>
  <c r="S144" i="36"/>
  <c r="J143" i="11"/>
  <c r="S143" i="36"/>
  <c r="J142" i="11"/>
  <c r="S142" i="36"/>
  <c r="J141" i="11"/>
  <c r="S141" i="36"/>
  <c r="J140" i="11"/>
  <c r="S140" i="36"/>
  <c r="T139" i="11"/>
  <c r="J139" i="11"/>
  <c r="T138" i="11"/>
  <c r="J138" i="11"/>
  <c r="T137" i="11"/>
  <c r="J137" i="11"/>
  <c r="J136" i="11"/>
  <c r="S136" i="36"/>
  <c r="J135" i="11"/>
  <c r="S135" i="36"/>
  <c r="J134" i="11"/>
  <c r="S134" i="36"/>
  <c r="J133" i="11"/>
  <c r="S133" i="36"/>
  <c r="J132" i="11"/>
  <c r="S132" i="36"/>
  <c r="J131" i="11"/>
  <c r="S131" i="36"/>
  <c r="J130" i="11"/>
  <c r="S130" i="36"/>
  <c r="J129" i="11"/>
  <c r="S129" i="36"/>
  <c r="J128" i="11"/>
  <c r="S128" i="36"/>
  <c r="J127" i="11"/>
  <c r="S127" i="36"/>
  <c r="J126" i="11"/>
  <c r="S126" i="36"/>
  <c r="J125" i="11"/>
  <c r="S125" i="36"/>
  <c r="J124" i="11"/>
  <c r="S124" i="36"/>
  <c r="J123" i="11"/>
  <c r="S123" i="36"/>
  <c r="J122" i="11"/>
  <c r="S122" i="36"/>
  <c r="J121" i="11"/>
  <c r="S121" i="36"/>
  <c r="J120" i="11"/>
  <c r="S120" i="36"/>
  <c r="J119" i="11"/>
  <c r="S119" i="36"/>
  <c r="J118" i="11"/>
  <c r="S118" i="36"/>
  <c r="J117" i="11"/>
  <c r="S117" i="36"/>
  <c r="J116" i="11"/>
  <c r="S116" i="36"/>
  <c r="J115" i="11"/>
  <c r="S115" i="36"/>
  <c r="J114" i="11"/>
  <c r="S114" i="36"/>
  <c r="J113" i="11"/>
  <c r="S113" i="36"/>
  <c r="T112" i="11"/>
  <c r="J112" i="11"/>
  <c r="T111" i="11"/>
  <c r="J111" i="11"/>
  <c r="S111" i="36"/>
  <c r="J110" i="11"/>
  <c r="S110" i="36"/>
  <c r="J109" i="11"/>
  <c r="S109" i="36"/>
  <c r="J108" i="11"/>
  <c r="S108" i="36"/>
  <c r="T107" i="11"/>
  <c r="J107" i="11"/>
  <c r="S107" i="36"/>
  <c r="J106" i="11"/>
  <c r="S106" i="36"/>
  <c r="T105" i="11"/>
  <c r="J105" i="11"/>
  <c r="S105" i="36"/>
  <c r="J104" i="11"/>
  <c r="S104" i="36"/>
  <c r="J103" i="11"/>
  <c r="S103" i="36"/>
  <c r="J102" i="11"/>
  <c r="S102" i="36"/>
  <c r="J101" i="11"/>
  <c r="S101" i="36"/>
  <c r="J100" i="11"/>
  <c r="S100" i="36"/>
  <c r="J99" i="11"/>
  <c r="S99" i="36"/>
  <c r="J98" i="11"/>
  <c r="S98" i="36"/>
  <c r="J97" i="11"/>
  <c r="S97" i="36"/>
  <c r="J96" i="11"/>
  <c r="S96" i="36"/>
  <c r="J95" i="11"/>
  <c r="S95" i="36"/>
  <c r="J94" i="11"/>
  <c r="S94" i="36"/>
  <c r="J93" i="11"/>
  <c r="S93" i="36"/>
  <c r="J92" i="11"/>
  <c r="S92" i="36"/>
  <c r="J91" i="11"/>
  <c r="S91" i="36"/>
  <c r="J90" i="11"/>
  <c r="S90" i="36"/>
  <c r="J89" i="11"/>
  <c r="S89" i="36"/>
  <c r="J88" i="11"/>
  <c r="S88" i="36"/>
  <c r="J87" i="11"/>
  <c r="T87" i="11"/>
  <c r="J86" i="11"/>
  <c r="S86" i="36"/>
  <c r="J85" i="11"/>
  <c r="T85" i="11"/>
  <c r="T84" i="11"/>
  <c r="J84" i="11"/>
  <c r="J83" i="11"/>
  <c r="T83" i="11"/>
  <c r="J82" i="11"/>
  <c r="J81" i="11"/>
  <c r="J80" i="11"/>
  <c r="J79" i="11"/>
  <c r="T79" i="11"/>
  <c r="J78" i="11"/>
  <c r="J77" i="11"/>
  <c r="T77" i="11"/>
  <c r="J76" i="11"/>
  <c r="J75" i="11"/>
  <c r="J74" i="11"/>
  <c r="J73" i="11"/>
  <c r="J72" i="11"/>
  <c r="J71" i="11"/>
  <c r="T71" i="11"/>
  <c r="J70" i="11"/>
  <c r="H70" i="36"/>
  <c r="J69" i="11"/>
  <c r="J68" i="11"/>
  <c r="J67" i="11"/>
  <c r="J66" i="11"/>
  <c r="J65" i="11"/>
  <c r="J64" i="11"/>
  <c r="J63" i="11"/>
  <c r="T63" i="11"/>
  <c r="J62" i="11"/>
  <c r="J61" i="11"/>
  <c r="J60" i="11"/>
  <c r="J59" i="11"/>
  <c r="J58" i="11"/>
  <c r="J57" i="11"/>
  <c r="J56" i="11"/>
  <c r="J55" i="11"/>
  <c r="H55" i="36"/>
  <c r="J54" i="11"/>
  <c r="H54" i="36"/>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T23" i="11"/>
  <c r="J23" i="11"/>
  <c r="J22" i="11"/>
  <c r="S22" i="36"/>
  <c r="J21" i="11"/>
  <c r="S21" i="36"/>
  <c r="T20" i="11"/>
  <c r="J20" i="11"/>
  <c r="J19" i="11"/>
  <c r="S19" i="36"/>
  <c r="J18" i="11"/>
  <c r="S18" i="36"/>
  <c r="J17" i="11"/>
  <c r="S17" i="36"/>
  <c r="J16" i="11"/>
  <c r="S16" i="36"/>
  <c r="J15" i="11"/>
  <c r="S15" i="36"/>
  <c r="J14" i="11"/>
  <c r="S14" i="36"/>
  <c r="J13" i="11"/>
  <c r="J12" i="11"/>
  <c r="J11" i="11"/>
  <c r="J10" i="11"/>
  <c r="J9" i="11"/>
  <c r="J8" i="11"/>
  <c r="T8" i="11"/>
  <c r="J7" i="11"/>
  <c r="S7" i="36"/>
  <c r="J6" i="11"/>
  <c r="S6" i="36"/>
  <c r="J5" i="11"/>
  <c r="S5" i="36"/>
  <c r="J4" i="11"/>
  <c r="T4" i="11"/>
  <c r="J3" i="11"/>
  <c r="T3" i="11"/>
  <c r="M474" i="35"/>
  <c r="M473" i="35"/>
  <c r="M472" i="35"/>
  <c r="M471" i="35"/>
  <c r="R459" i="35"/>
  <c r="R460" i="35"/>
  <c r="R461" i="35"/>
  <c r="R462" i="35"/>
  <c r="R463" i="35"/>
  <c r="R465" i="35"/>
  <c r="R446" i="35"/>
  <c r="R453" i="35"/>
  <c r="R455" i="35"/>
  <c r="R189" i="35"/>
  <c r="R198" i="35"/>
  <c r="R199" i="35"/>
  <c r="R206" i="35"/>
  <c r="R207" i="35"/>
  <c r="R211" i="35"/>
  <c r="R220" i="35"/>
  <c r="R224" i="35"/>
  <c r="R228" i="35"/>
  <c r="R237" i="35"/>
  <c r="R241" i="35"/>
  <c r="R248" i="35"/>
  <c r="R255" i="35"/>
  <c r="R264" i="35"/>
  <c r="R273" i="35"/>
  <c r="R282" i="35"/>
  <c r="R286" i="35"/>
  <c r="R295" i="35"/>
  <c r="R302" i="35"/>
  <c r="R311" i="35"/>
  <c r="R315" i="35"/>
  <c r="R319" i="35"/>
  <c r="R328" i="35"/>
  <c r="R337" i="35"/>
  <c r="R346" i="35"/>
  <c r="R353" i="35"/>
  <c r="R361" i="35"/>
  <c r="R370" i="35"/>
  <c r="R379" i="35"/>
  <c r="R385" i="35"/>
  <c r="R394" i="35"/>
  <c r="R402" i="35"/>
  <c r="R411" i="35"/>
  <c r="R420" i="35"/>
  <c r="R425" i="35"/>
  <c r="R434" i="35"/>
  <c r="R440" i="35"/>
  <c r="R442" i="35"/>
  <c r="R173" i="35"/>
  <c r="R174" i="35"/>
  <c r="R175" i="35"/>
  <c r="R176" i="35"/>
  <c r="R177" i="35"/>
  <c r="R179" i="35"/>
  <c r="R52" i="35"/>
  <c r="R53" i="35"/>
  <c r="R59" i="35"/>
  <c r="R60" i="35"/>
  <c r="R61" i="35"/>
  <c r="R62" i="35"/>
  <c r="R63" i="35"/>
  <c r="R65" i="35"/>
  <c r="R66" i="35"/>
  <c r="R68" i="35"/>
  <c r="R70" i="35"/>
  <c r="R71" i="35"/>
  <c r="R124" i="35"/>
  <c r="R126" i="35"/>
  <c r="R39" i="35"/>
  <c r="R40" i="35"/>
  <c r="R41" i="35"/>
  <c r="R42" i="35"/>
  <c r="R43" i="35"/>
  <c r="R44" i="35"/>
  <c r="R45" i="35"/>
  <c r="R47" i="35"/>
  <c r="R3" i="35"/>
  <c r="R5" i="35"/>
  <c r="R9" i="35"/>
  <c r="R13" i="35"/>
  <c r="R15" i="35"/>
  <c r="R16" i="35"/>
  <c r="R20" i="35"/>
  <c r="R21" i="35"/>
  <c r="R25" i="35"/>
  <c r="R26" i="35"/>
  <c r="R28" i="35"/>
  <c r="R32" i="35"/>
  <c r="R34" i="35"/>
  <c r="R131" i="35"/>
  <c r="R136" i="35"/>
  <c r="R138" i="35"/>
  <c r="R143" i="35"/>
  <c r="R148" i="35"/>
  <c r="R151" i="35"/>
  <c r="R156" i="35"/>
  <c r="R160" i="35"/>
  <c r="R163" i="35"/>
  <c r="R167" i="35"/>
  <c r="R169" i="35"/>
  <c r="R467" i="35"/>
  <c r="G455" i="35"/>
  <c r="G442" i="35"/>
  <c r="G179" i="35"/>
  <c r="G126" i="35"/>
  <c r="G47" i="35"/>
  <c r="G34" i="35"/>
  <c r="G467" i="35"/>
  <c r="G465" i="35"/>
  <c r="M463" i="35"/>
  <c r="M462" i="35"/>
  <c r="J462" i="35"/>
  <c r="M461" i="35"/>
  <c r="J461" i="35"/>
  <c r="M460" i="35"/>
  <c r="J460" i="35"/>
  <c r="M459" i="35"/>
  <c r="J459" i="35"/>
  <c r="M453" i="35"/>
  <c r="M452" i="35"/>
  <c r="M451" i="35"/>
  <c r="M450" i="35"/>
  <c r="M449" i="35"/>
  <c r="M448" i="35"/>
  <c r="M447" i="35"/>
  <c r="M440" i="35"/>
  <c r="M439" i="35"/>
  <c r="M438" i="35"/>
  <c r="M437" i="35"/>
  <c r="M436" i="35"/>
  <c r="M435" i="35"/>
  <c r="M434" i="35"/>
  <c r="M433" i="35"/>
  <c r="M432" i="35"/>
  <c r="M431" i="35"/>
  <c r="M430" i="35"/>
  <c r="M429" i="35"/>
  <c r="M428" i="35"/>
  <c r="M427" i="35"/>
  <c r="M426" i="35"/>
  <c r="M425" i="35"/>
  <c r="M424" i="35"/>
  <c r="M423" i="35"/>
  <c r="M422" i="35"/>
  <c r="M421" i="35"/>
  <c r="S420" i="35"/>
  <c r="M420" i="35"/>
  <c r="M419" i="35"/>
  <c r="M418" i="35"/>
  <c r="M417" i="35"/>
  <c r="M415" i="35"/>
  <c r="M414" i="35"/>
  <c r="M413" i="35"/>
  <c r="M412" i="35"/>
  <c r="M411" i="35"/>
  <c r="M410" i="35"/>
  <c r="M409" i="35"/>
  <c r="M408" i="35"/>
  <c r="M407" i="35"/>
  <c r="M406" i="35"/>
  <c r="M405" i="35"/>
  <c r="M404" i="35"/>
  <c r="M403" i="35"/>
  <c r="M402" i="35"/>
  <c r="M401" i="35"/>
  <c r="M400" i="35"/>
  <c r="M399" i="35"/>
  <c r="M398" i="35"/>
  <c r="M397" i="35"/>
  <c r="M396" i="35"/>
  <c r="M395" i="35"/>
  <c r="S394" i="35"/>
  <c r="M394" i="35"/>
  <c r="M393" i="35"/>
  <c r="M392" i="35"/>
  <c r="M391" i="35"/>
  <c r="M389" i="35"/>
  <c r="M388" i="35"/>
  <c r="M387" i="35"/>
  <c r="M386" i="35"/>
  <c r="M385" i="35"/>
  <c r="M384" i="35"/>
  <c r="M383" i="35"/>
  <c r="M382" i="35"/>
  <c r="M381" i="35"/>
  <c r="M380" i="35"/>
  <c r="M379" i="35"/>
  <c r="M378" i="35"/>
  <c r="M377" i="35"/>
  <c r="M376" i="35"/>
  <c r="M375" i="35"/>
  <c r="M374" i="35"/>
  <c r="M373" i="35"/>
  <c r="M372" i="35"/>
  <c r="M371" i="35"/>
  <c r="M370" i="35"/>
  <c r="M369" i="35"/>
  <c r="M368" i="35"/>
  <c r="M367" i="35"/>
  <c r="M366" i="35"/>
  <c r="M365" i="35"/>
  <c r="M364" i="35"/>
  <c r="M363" i="35"/>
  <c r="M362" i="35"/>
  <c r="M361" i="35"/>
  <c r="M360" i="35"/>
  <c r="M359" i="35"/>
  <c r="M358" i="35"/>
  <c r="M357" i="35"/>
  <c r="M356" i="35"/>
  <c r="M355" i="35"/>
  <c r="M354" i="35"/>
  <c r="M353" i="35"/>
  <c r="M352" i="35"/>
  <c r="M351" i="35"/>
  <c r="M350" i="35"/>
  <c r="M349" i="35"/>
  <c r="M348" i="35"/>
  <c r="M347" i="35"/>
  <c r="M346" i="35"/>
  <c r="M345" i="35"/>
  <c r="M344" i="35"/>
  <c r="M343" i="35"/>
  <c r="M342" i="35"/>
  <c r="M341" i="35"/>
  <c r="M340" i="35"/>
  <c r="M339" i="35"/>
  <c r="M338" i="35"/>
  <c r="M337" i="35"/>
  <c r="M336" i="35"/>
  <c r="M334" i="35"/>
  <c r="M333" i="35"/>
  <c r="M332" i="35"/>
  <c r="M331" i="35"/>
  <c r="M329" i="35"/>
  <c r="M328" i="35"/>
  <c r="M327" i="35"/>
  <c r="M326" i="35"/>
  <c r="M325" i="35"/>
  <c r="M324" i="35"/>
  <c r="M323" i="35"/>
  <c r="M322" i="35"/>
  <c r="M321" i="35"/>
  <c r="M320" i="35"/>
  <c r="M319" i="35"/>
  <c r="M318" i="35"/>
  <c r="M317" i="35"/>
  <c r="M316" i="35"/>
  <c r="M315" i="35"/>
  <c r="M314" i="35"/>
  <c r="M313" i="35"/>
  <c r="M312" i="35"/>
  <c r="M311" i="35"/>
  <c r="M310" i="35"/>
  <c r="M309" i="35"/>
  <c r="M308" i="35"/>
  <c r="M307" i="35"/>
  <c r="M306" i="35"/>
  <c r="M305" i="35"/>
  <c r="M304" i="35"/>
  <c r="M303" i="35"/>
  <c r="M302" i="35"/>
  <c r="M301" i="35"/>
  <c r="M300" i="35"/>
  <c r="M299" i="35"/>
  <c r="J299" i="35"/>
  <c r="L298" i="35"/>
  <c r="J298" i="35"/>
  <c r="L297" i="35"/>
  <c r="J297" i="35"/>
  <c r="M296" i="35"/>
  <c r="J296" i="35"/>
  <c r="M295" i="35"/>
  <c r="J295" i="35"/>
  <c r="M294" i="35"/>
  <c r="J294" i="35"/>
  <c r="M293" i="35"/>
  <c r="J293" i="35"/>
  <c r="M292" i="35"/>
  <c r="J292" i="35"/>
  <c r="M291" i="35"/>
  <c r="J291" i="35"/>
  <c r="M290" i="35"/>
  <c r="J290" i="35"/>
  <c r="M289" i="35"/>
  <c r="J289" i="35"/>
  <c r="M288" i="35"/>
  <c r="J288" i="35"/>
  <c r="M287" i="35"/>
  <c r="J287" i="35"/>
  <c r="M286" i="35"/>
  <c r="J286" i="35"/>
  <c r="M285" i="35"/>
  <c r="J285" i="35"/>
  <c r="M284" i="35"/>
  <c r="J284" i="35"/>
  <c r="M283" i="35"/>
  <c r="J283" i="35"/>
  <c r="M282" i="35"/>
  <c r="J282" i="35"/>
  <c r="M281" i="35"/>
  <c r="J281" i="35"/>
  <c r="M280" i="35"/>
  <c r="J280" i="35"/>
  <c r="M279" i="35"/>
  <c r="J279" i="35"/>
  <c r="M278" i="35"/>
  <c r="J278" i="35"/>
  <c r="M277" i="35"/>
  <c r="J277" i="35"/>
  <c r="M276" i="35"/>
  <c r="J276" i="35"/>
  <c r="M275" i="35"/>
  <c r="J275" i="35"/>
  <c r="M274" i="35"/>
  <c r="J274" i="35"/>
  <c r="M273" i="35"/>
  <c r="J273" i="35"/>
  <c r="M272" i="35"/>
  <c r="J272" i="35"/>
  <c r="M271" i="35"/>
  <c r="J271" i="35"/>
  <c r="M270" i="35"/>
  <c r="J270" i="35"/>
  <c r="M269" i="35"/>
  <c r="J269" i="35"/>
  <c r="M268" i="35"/>
  <c r="J268" i="35"/>
  <c r="M267" i="35"/>
  <c r="J267" i="35"/>
  <c r="M266" i="35"/>
  <c r="J266" i="35"/>
  <c r="M265" i="35"/>
  <c r="J265" i="35"/>
  <c r="M264" i="35"/>
  <c r="J264" i="35"/>
  <c r="M263" i="35"/>
  <c r="J263" i="35"/>
  <c r="M262" i="35"/>
  <c r="J262" i="35"/>
  <c r="M261" i="35"/>
  <c r="J261" i="35"/>
  <c r="M260" i="35"/>
  <c r="J260" i="35"/>
  <c r="M259" i="35"/>
  <c r="J259" i="35"/>
  <c r="M258" i="35"/>
  <c r="J258" i="35"/>
  <c r="M257" i="35"/>
  <c r="J257" i="35"/>
  <c r="M256" i="35"/>
  <c r="J256" i="35"/>
  <c r="M255" i="35"/>
  <c r="J255" i="35"/>
  <c r="M254" i="35"/>
  <c r="J254" i="35"/>
  <c r="M253" i="35"/>
  <c r="J253" i="35"/>
  <c r="M252" i="35"/>
  <c r="J252" i="35"/>
  <c r="M251" i="35"/>
  <c r="J251" i="35"/>
  <c r="M250" i="35"/>
  <c r="J250" i="35"/>
  <c r="M249" i="35"/>
  <c r="J249" i="35"/>
  <c r="M248" i="35"/>
  <c r="J248" i="35"/>
  <c r="M247" i="35"/>
  <c r="J247" i="35"/>
  <c r="M246" i="35"/>
  <c r="J246" i="35"/>
  <c r="M245" i="35"/>
  <c r="J245" i="35"/>
  <c r="M244" i="35"/>
  <c r="J244" i="35"/>
  <c r="M243" i="35"/>
  <c r="J243" i="35"/>
  <c r="M242" i="35"/>
  <c r="M241" i="35"/>
  <c r="M240" i="35"/>
  <c r="M239" i="35"/>
  <c r="M238" i="35"/>
  <c r="M237" i="35"/>
  <c r="M236" i="35"/>
  <c r="M235" i="35"/>
  <c r="M234" i="35"/>
  <c r="M233" i="35"/>
  <c r="M232" i="35"/>
  <c r="M231" i="35"/>
  <c r="M230" i="35"/>
  <c r="M229" i="35"/>
  <c r="M228" i="35"/>
  <c r="M227" i="35"/>
  <c r="J227" i="35"/>
  <c r="M226" i="35"/>
  <c r="M225" i="35"/>
  <c r="J225" i="35"/>
  <c r="M224" i="35"/>
  <c r="M223" i="35"/>
  <c r="M222" i="35"/>
  <c r="J222" i="35"/>
  <c r="M221" i="35"/>
  <c r="J221" i="35"/>
  <c r="M220" i="35"/>
  <c r="J220" i="35"/>
  <c r="M219" i="35"/>
  <c r="M218" i="35"/>
  <c r="M217" i="35"/>
  <c r="M216" i="35"/>
  <c r="J216" i="35"/>
  <c r="M215" i="35"/>
  <c r="M214" i="35"/>
  <c r="M213" i="35"/>
  <c r="M212" i="35"/>
  <c r="M211" i="35"/>
  <c r="M210" i="35"/>
  <c r="J210" i="35"/>
  <c r="M209" i="35"/>
  <c r="J209" i="35"/>
  <c r="M208" i="35"/>
  <c r="J208" i="35"/>
  <c r="M207" i="35"/>
  <c r="J207" i="35"/>
  <c r="M206" i="35"/>
  <c r="J206" i="35"/>
  <c r="M205" i="35"/>
  <c r="J205" i="35"/>
  <c r="M204" i="35"/>
  <c r="J204" i="35"/>
  <c r="M203" i="35"/>
  <c r="M202" i="35"/>
  <c r="J202" i="35"/>
  <c r="M201" i="35"/>
  <c r="J201" i="35"/>
  <c r="M200" i="35"/>
  <c r="J200" i="35"/>
  <c r="M199" i="35"/>
  <c r="J199" i="35"/>
  <c r="S198" i="35"/>
  <c r="M198" i="35"/>
  <c r="J198" i="35"/>
  <c r="M197" i="35"/>
  <c r="J197" i="35"/>
  <c r="M196" i="35"/>
  <c r="J196" i="35"/>
  <c r="M195" i="35"/>
  <c r="J195" i="35"/>
  <c r="M193" i="35"/>
  <c r="J193" i="35"/>
  <c r="M192" i="35"/>
  <c r="J192" i="35"/>
  <c r="M191" i="35"/>
  <c r="J191" i="35"/>
  <c r="M190" i="35"/>
  <c r="J190" i="35"/>
  <c r="M189" i="35"/>
  <c r="J189" i="35"/>
  <c r="M188" i="35"/>
  <c r="M187" i="35"/>
  <c r="M186" i="35"/>
  <c r="M185" i="35"/>
  <c r="M184" i="35"/>
  <c r="M177" i="35"/>
  <c r="M176" i="35"/>
  <c r="M175" i="35"/>
  <c r="M174" i="35"/>
  <c r="M173" i="35"/>
  <c r="G169" i="35"/>
  <c r="M167" i="35"/>
  <c r="M166" i="35"/>
  <c r="M165" i="35"/>
  <c r="M164" i="35"/>
  <c r="M163" i="35"/>
  <c r="M162" i="35"/>
  <c r="M161" i="35"/>
  <c r="M160" i="35"/>
  <c r="M159" i="35"/>
  <c r="M158" i="35"/>
  <c r="M157" i="35"/>
  <c r="C157" i="35"/>
  <c r="M156" i="35"/>
  <c r="M155" i="35"/>
  <c r="M154" i="35"/>
  <c r="M153" i="35"/>
  <c r="M152" i="35"/>
  <c r="M151" i="35"/>
  <c r="M150" i="35"/>
  <c r="M149" i="35"/>
  <c r="M148" i="35"/>
  <c r="M147" i="35"/>
  <c r="M146" i="35"/>
  <c r="M145" i="35"/>
  <c r="M144" i="35"/>
  <c r="C144" i="35"/>
  <c r="M143" i="35"/>
  <c r="L143" i="35"/>
  <c r="M142" i="35"/>
  <c r="L142" i="35"/>
  <c r="M141" i="35"/>
  <c r="L141" i="35"/>
  <c r="O140" i="35"/>
  <c r="M140" i="35"/>
  <c r="L140" i="35"/>
  <c r="M139" i="35"/>
  <c r="M138" i="35"/>
  <c r="M137" i="35"/>
  <c r="M136" i="35"/>
  <c r="J136" i="35"/>
  <c r="M135" i="35"/>
  <c r="J135" i="35"/>
  <c r="M134" i="35"/>
  <c r="J134" i="35"/>
  <c r="M133" i="35"/>
  <c r="J133" i="35"/>
  <c r="M132" i="35"/>
  <c r="J132" i="35"/>
  <c r="M131" i="35"/>
  <c r="J131" i="35"/>
  <c r="M124" i="35"/>
  <c r="M123" i="35"/>
  <c r="M122" i="35"/>
  <c r="M121" i="35"/>
  <c r="M120" i="35"/>
  <c r="M119" i="35"/>
  <c r="M118" i="35"/>
  <c r="M117" i="35"/>
  <c r="M116" i="35"/>
  <c r="M115" i="35"/>
  <c r="M114" i="35"/>
  <c r="M113" i="35"/>
  <c r="M112" i="35"/>
  <c r="M111" i="35"/>
  <c r="M110" i="35"/>
  <c r="M109" i="35"/>
  <c r="M108" i="35"/>
  <c r="M107" i="35"/>
  <c r="M106" i="35"/>
  <c r="M105" i="35"/>
  <c r="M104" i="35"/>
  <c r="M103" i="35"/>
  <c r="M102" i="35"/>
  <c r="M101" i="35"/>
  <c r="M100" i="35"/>
  <c r="M99" i="35"/>
  <c r="M98" i="35"/>
  <c r="M97" i="35"/>
  <c r="M96" i="35"/>
  <c r="M95" i="35"/>
  <c r="M94" i="35"/>
  <c r="M93" i="35"/>
  <c r="M92" i="35"/>
  <c r="M91" i="35"/>
  <c r="M90" i="35"/>
  <c r="M89" i="35"/>
  <c r="M88" i="35"/>
  <c r="M87" i="35"/>
  <c r="M86" i="35"/>
  <c r="M85" i="35"/>
  <c r="M84" i="35"/>
  <c r="M83" i="35"/>
  <c r="M82" i="35"/>
  <c r="M81" i="35"/>
  <c r="M80" i="35"/>
  <c r="M79" i="35"/>
  <c r="M78" i="35"/>
  <c r="M77" i="35"/>
  <c r="M76" i="35"/>
  <c r="M75" i="35"/>
  <c r="M74" i="35"/>
  <c r="M73" i="35"/>
  <c r="M72" i="35"/>
  <c r="M71" i="35"/>
  <c r="M70" i="35"/>
  <c r="M69" i="35"/>
  <c r="M68" i="35"/>
  <c r="M67" i="35"/>
  <c r="M66" i="35"/>
  <c r="M65" i="35"/>
  <c r="M64" i="35"/>
  <c r="M63" i="35"/>
  <c r="M62" i="35"/>
  <c r="M61" i="35"/>
  <c r="J61" i="35"/>
  <c r="M60" i="35"/>
  <c r="J60" i="35"/>
  <c r="M59" i="35"/>
  <c r="M58" i="35"/>
  <c r="M57" i="35"/>
  <c r="M56" i="35"/>
  <c r="M55" i="35"/>
  <c r="J55" i="35"/>
  <c r="M54" i="35"/>
  <c r="J54" i="35"/>
  <c r="M53" i="35"/>
  <c r="M52" i="35"/>
  <c r="J52" i="35"/>
  <c r="M45" i="35"/>
  <c r="M44" i="35"/>
  <c r="M43" i="35"/>
  <c r="M42" i="35"/>
  <c r="M41" i="35"/>
  <c r="M40" i="35"/>
  <c r="M39" i="35"/>
  <c r="J39" i="35"/>
  <c r="M32" i="35"/>
  <c r="M31" i="35"/>
  <c r="M29" i="35"/>
  <c r="M28" i="35"/>
  <c r="M27" i="35"/>
  <c r="M26" i="35"/>
  <c r="M25" i="35"/>
  <c r="M24" i="35"/>
  <c r="M22" i="35"/>
  <c r="M21" i="35"/>
  <c r="M20" i="35"/>
  <c r="M19" i="35"/>
  <c r="M18" i="35"/>
  <c r="M17" i="35"/>
  <c r="M16" i="35"/>
  <c r="M15" i="35"/>
  <c r="M14" i="35"/>
  <c r="M13" i="35"/>
  <c r="M12" i="35"/>
  <c r="M11" i="35"/>
  <c r="M10" i="35"/>
  <c r="M9" i="35"/>
  <c r="M8" i="35"/>
  <c r="M7" i="35"/>
  <c r="M6" i="35"/>
  <c r="M5" i="35"/>
  <c r="M4" i="35"/>
  <c r="M3" i="35"/>
  <c r="M2" i="35"/>
  <c r="J2" i="35"/>
  <c r="M201" i="6"/>
  <c r="M200" i="6"/>
  <c r="M199" i="6"/>
  <c r="E45" i="3"/>
  <c r="P196" i="6"/>
  <c r="M196" i="6"/>
  <c r="K156" i="6"/>
  <c r="K155" i="6"/>
  <c r="K154" i="6"/>
  <c r="K153" i="6"/>
  <c r="K152" i="6"/>
  <c r="M150" i="6"/>
  <c r="K150" i="6"/>
  <c r="M149" i="6"/>
  <c r="K149" i="6"/>
  <c r="M148" i="6"/>
  <c r="K148" i="6"/>
  <c r="K147" i="6"/>
  <c r="K146" i="6"/>
  <c r="K145"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08" i="6"/>
  <c r="K107" i="6"/>
  <c r="K106" i="6"/>
  <c r="K105" i="6"/>
  <c r="K104" i="6"/>
  <c r="K103" i="6"/>
  <c r="K102" i="6"/>
  <c r="K101" i="6"/>
  <c r="K100" i="6"/>
  <c r="K99" i="6"/>
  <c r="K98" i="6"/>
  <c r="K97" i="6"/>
  <c r="K96" i="6"/>
  <c r="K95" i="6"/>
  <c r="K94" i="6"/>
  <c r="K93" i="6"/>
  <c r="K92" i="6"/>
  <c r="K91" i="6"/>
  <c r="K90" i="6"/>
  <c r="K89" i="6"/>
  <c r="K88" i="6"/>
  <c r="K87" i="6"/>
  <c r="K86" i="6"/>
  <c r="K85" i="6"/>
  <c r="K84" i="6"/>
  <c r="K78" i="6"/>
  <c r="K77" i="6"/>
  <c r="K76" i="6"/>
  <c r="K75" i="6"/>
  <c r="K74" i="6"/>
  <c r="K57" i="6"/>
  <c r="K54" i="6"/>
  <c r="K50" i="6"/>
  <c r="K49" i="6"/>
  <c r="K48" i="6"/>
  <c r="K44" i="6"/>
  <c r="K33" i="6"/>
  <c r="K32" i="6"/>
  <c r="K29" i="6"/>
  <c r="K28" i="6"/>
  <c r="K27" i="6"/>
  <c r="K26" i="6"/>
  <c r="K25" i="6"/>
  <c r="K24" i="6"/>
  <c r="K22" i="6"/>
  <c r="K21" i="6"/>
  <c r="K20" i="6"/>
  <c r="K17" i="6"/>
  <c r="K16" i="6"/>
  <c r="K15" i="6"/>
  <c r="K14" i="6"/>
  <c r="K13" i="6"/>
  <c r="K11" i="6"/>
  <c r="K10" i="6"/>
  <c r="K9" i="6"/>
  <c r="K8" i="6"/>
  <c r="K7" i="6"/>
  <c r="K6" i="6"/>
  <c r="K5" i="6"/>
  <c r="K4" i="6"/>
  <c r="K3" i="6"/>
  <c r="P72" i="38"/>
  <c r="P51" i="38"/>
  <c r="P52" i="38"/>
  <c r="P55" i="38"/>
  <c r="P56" i="38"/>
  <c r="P57" i="38"/>
  <c r="P58" i="38"/>
  <c r="P59" i="38"/>
  <c r="P63" i="38"/>
  <c r="P65" i="38"/>
  <c r="P66" i="38"/>
  <c r="P68" i="38"/>
  <c r="P42" i="38"/>
  <c r="P36" i="38"/>
  <c r="P37" i="38"/>
  <c r="P28" i="38"/>
  <c r="P29" i="38"/>
  <c r="P30" i="38"/>
  <c r="P31" i="38"/>
  <c r="P24" i="38"/>
  <c r="P2" i="38"/>
  <c r="P3" i="38"/>
  <c r="P4" i="38"/>
  <c r="P5" i="38"/>
  <c r="P6" i="38"/>
  <c r="P7" i="38"/>
  <c r="P8" i="38"/>
  <c r="P9" i="38"/>
  <c r="P12" i="38"/>
  <c r="P13" i="38"/>
  <c r="P14" i="38"/>
  <c r="P15" i="38"/>
  <c r="P16" i="38"/>
  <c r="P17" i="38"/>
  <c r="P19" i="38"/>
  <c r="P75" i="38"/>
  <c r="P76" i="38"/>
  <c r="P73" i="38"/>
  <c r="M72" i="38"/>
  <c r="P69" i="38"/>
  <c r="G68" i="38"/>
  <c r="M66" i="38"/>
  <c r="M65" i="38"/>
  <c r="M64" i="38"/>
  <c r="M63" i="38"/>
  <c r="M62" i="38"/>
  <c r="M61" i="38"/>
  <c r="M60" i="38"/>
  <c r="M59" i="38"/>
  <c r="H59" i="38"/>
  <c r="M58" i="38"/>
  <c r="M57" i="38"/>
  <c r="M56" i="38"/>
  <c r="M55" i="38"/>
  <c r="M54" i="38"/>
  <c r="M53" i="38"/>
  <c r="M52" i="38"/>
  <c r="M51" i="38"/>
  <c r="H51" i="38"/>
  <c r="M50" i="38"/>
  <c r="M49" i="38"/>
  <c r="M48" i="38"/>
  <c r="M47" i="38"/>
  <c r="H47" i="38"/>
  <c r="P43" i="38"/>
  <c r="M42" i="38"/>
  <c r="P38" i="38"/>
  <c r="G37" i="38"/>
  <c r="M36" i="38"/>
  <c r="P32" i="38"/>
  <c r="G31" i="38"/>
  <c r="M30" i="38"/>
  <c r="H30" i="38"/>
  <c r="M29" i="38"/>
  <c r="H29" i="38"/>
  <c r="M28" i="38"/>
  <c r="P25" i="38"/>
  <c r="M24" i="38"/>
  <c r="P20" i="38"/>
  <c r="G19" i="38"/>
  <c r="M17" i="38"/>
  <c r="M16" i="38"/>
  <c r="M15" i="38"/>
  <c r="M14" i="38"/>
  <c r="M13" i="38"/>
  <c r="M12" i="38"/>
  <c r="M11" i="38"/>
  <c r="M10" i="38"/>
  <c r="M9" i="38"/>
  <c r="M8" i="38"/>
  <c r="M7" i="38"/>
  <c r="M6" i="38"/>
  <c r="M5" i="38"/>
  <c r="M4" i="38"/>
  <c r="M3" i="38"/>
  <c r="M2" i="38"/>
  <c r="G87" i="1"/>
  <c r="P83" i="1"/>
  <c r="R54" i="37"/>
  <c r="R55" i="37"/>
  <c r="R56" i="37"/>
  <c r="R57" i="37"/>
  <c r="H56" i="37"/>
  <c r="N55" i="37"/>
  <c r="N54" i="37"/>
  <c r="R41" i="37"/>
  <c r="R42" i="37"/>
  <c r="R43" i="37"/>
  <c r="R44" i="37"/>
  <c r="R45" i="37"/>
  <c r="R46" i="37"/>
  <c r="R47" i="37"/>
  <c r="R48" i="37"/>
  <c r="R49" i="37"/>
  <c r="H48" i="37"/>
  <c r="N47" i="37"/>
  <c r="N46" i="37"/>
  <c r="N45" i="37"/>
  <c r="N44" i="37"/>
  <c r="N43" i="37"/>
  <c r="N42" i="37"/>
  <c r="N41" i="37"/>
  <c r="R29" i="37"/>
  <c r="R30" i="37"/>
  <c r="R31" i="37"/>
  <c r="R32" i="37"/>
  <c r="R33" i="37"/>
  <c r="R34" i="37"/>
  <c r="R35" i="37"/>
  <c r="R36" i="37"/>
  <c r="R37" i="37"/>
  <c r="H36" i="37"/>
  <c r="N35" i="37"/>
  <c r="N34" i="37"/>
  <c r="N33" i="37"/>
  <c r="N32" i="37"/>
  <c r="N31" i="37"/>
  <c r="N30" i="37"/>
  <c r="N29" i="37"/>
  <c r="R25" i="37"/>
  <c r="R26" i="37"/>
  <c r="H25" i="37"/>
  <c r="R24" i="37"/>
  <c r="N24" i="37"/>
  <c r="R23" i="37"/>
  <c r="N23" i="37"/>
  <c r="G23" i="37"/>
  <c r="R18" i="37"/>
  <c r="N18" i="37"/>
  <c r="R2" i="37"/>
  <c r="R3" i="37"/>
  <c r="R5" i="37"/>
  <c r="R6" i="37"/>
  <c r="R8" i="37"/>
  <c r="R10" i="37"/>
  <c r="R11" i="37"/>
  <c r="R12" i="37"/>
  <c r="R13" i="37"/>
  <c r="R15" i="37"/>
  <c r="R16" i="37"/>
  <c r="H15" i="37"/>
  <c r="N13" i="37"/>
  <c r="N12" i="37"/>
  <c r="N11" i="37"/>
  <c r="N10" i="37"/>
  <c r="N9" i="37"/>
  <c r="N8" i="37"/>
  <c r="N7" i="37"/>
  <c r="N6" i="37"/>
  <c r="N5" i="37"/>
  <c r="N4" i="37"/>
  <c r="N3" i="37"/>
  <c r="N2" i="37"/>
  <c r="P53" i="30"/>
  <c r="G53" i="30"/>
  <c r="C52" i="8"/>
  <c r="H50" i="8"/>
  <c r="G50" i="8"/>
  <c r="F50" i="8"/>
  <c r="E50" i="8"/>
  <c r="H48" i="8"/>
  <c r="F48" i="8"/>
  <c r="E48" i="8"/>
  <c r="H44" i="8"/>
  <c r="G44" i="8"/>
  <c r="F44" i="8"/>
  <c r="E44" i="8"/>
  <c r="H43" i="8"/>
  <c r="G43" i="8"/>
  <c r="F43" i="8"/>
  <c r="E43" i="8"/>
  <c r="H42" i="8"/>
  <c r="G42" i="8"/>
  <c r="F42" i="8"/>
  <c r="E42" i="8"/>
  <c r="H41" i="8"/>
  <c r="G41" i="8"/>
  <c r="F41" i="8"/>
  <c r="E41" i="8"/>
  <c r="H40" i="8"/>
  <c r="G40" i="8"/>
  <c r="F40" i="8"/>
  <c r="E40" i="8"/>
  <c r="H39" i="8"/>
  <c r="G39" i="8"/>
  <c r="F39" i="8"/>
  <c r="E39" i="8"/>
  <c r="H38" i="8"/>
  <c r="G38" i="8"/>
  <c r="F38" i="8"/>
  <c r="E38" i="8"/>
  <c r="H37" i="8"/>
  <c r="G37" i="8"/>
  <c r="F37" i="8"/>
  <c r="E37" i="8"/>
  <c r="H36" i="8"/>
  <c r="G36" i="8"/>
  <c r="F36" i="8"/>
  <c r="E36" i="8"/>
  <c r="H35" i="8"/>
  <c r="G35" i="8"/>
  <c r="F35" i="8"/>
  <c r="E35" i="8"/>
  <c r="H34" i="8"/>
  <c r="G34" i="8"/>
  <c r="F34" i="8"/>
  <c r="E34" i="8"/>
  <c r="H33" i="8"/>
  <c r="G33" i="8"/>
  <c r="F33" i="8"/>
  <c r="E33" i="8"/>
  <c r="H32" i="8"/>
  <c r="G32" i="8"/>
  <c r="F32" i="8"/>
  <c r="E32" i="8"/>
  <c r="H31" i="8"/>
  <c r="G31" i="8"/>
  <c r="F31" i="8"/>
  <c r="E31" i="8"/>
  <c r="H30" i="8"/>
  <c r="G30" i="8"/>
  <c r="F30" i="8"/>
  <c r="E30" i="8"/>
  <c r="H29" i="8"/>
  <c r="G29" i="8"/>
  <c r="F29" i="8"/>
  <c r="E29" i="8"/>
  <c r="H28" i="8"/>
  <c r="G28" i="8"/>
  <c r="F28" i="8"/>
  <c r="E28" i="8"/>
  <c r="H27" i="8"/>
  <c r="G27" i="8"/>
  <c r="F27" i="8"/>
  <c r="E27" i="8"/>
  <c r="H26" i="8"/>
  <c r="G26" i="8"/>
  <c r="F26" i="8"/>
  <c r="E26" i="8"/>
  <c r="H25" i="8"/>
  <c r="G25" i="8"/>
  <c r="F25" i="8"/>
  <c r="E25" i="8"/>
  <c r="H24" i="8"/>
  <c r="G24" i="8"/>
  <c r="F24" i="8"/>
  <c r="E24" i="8"/>
  <c r="H23" i="8"/>
  <c r="G23" i="8"/>
  <c r="F23" i="8"/>
  <c r="E23" i="8"/>
  <c r="H22" i="8"/>
  <c r="G22" i="8"/>
  <c r="F22" i="8"/>
  <c r="E22" i="8"/>
  <c r="H21" i="8"/>
  <c r="G21" i="8"/>
  <c r="F21" i="8"/>
  <c r="E21" i="8"/>
  <c r="H20" i="8"/>
  <c r="G20" i="8"/>
  <c r="F20" i="8"/>
  <c r="E20" i="8"/>
  <c r="H19" i="8"/>
  <c r="G19" i="8"/>
  <c r="F19" i="8"/>
  <c r="E19" i="8"/>
  <c r="H18" i="8"/>
  <c r="G18" i="8"/>
  <c r="F18" i="8"/>
  <c r="E18" i="8"/>
  <c r="H17" i="8"/>
  <c r="G17" i="8"/>
  <c r="F17" i="8"/>
  <c r="E17" i="8"/>
  <c r="H16" i="8"/>
  <c r="G16" i="8"/>
  <c r="F16" i="8"/>
  <c r="E16" i="8"/>
  <c r="H15" i="8"/>
  <c r="G15" i="8"/>
  <c r="F15" i="8"/>
  <c r="E15" i="8"/>
  <c r="G32" i="21"/>
  <c r="T27" i="42"/>
  <c r="E278" i="5"/>
  <c r="G278" i="5"/>
  <c r="P278" i="5"/>
  <c r="N278" i="5"/>
  <c r="L4" i="5"/>
  <c r="F111" i="27"/>
  <c r="I71" i="34"/>
  <c r="G95" i="27"/>
  <c r="W76" i="5"/>
  <c r="W87" i="5"/>
  <c r="M94" i="5"/>
  <c r="E111" i="27"/>
  <c r="G71" i="34"/>
  <c r="T92" i="5"/>
  <c r="Q102" i="5"/>
  <c r="V75" i="5"/>
  <c r="L78" i="5"/>
  <c r="S89" i="5"/>
  <c r="M4" i="5"/>
  <c r="H4" i="5"/>
  <c r="Q4" i="5"/>
  <c r="H84" i="5"/>
  <c r="T88" i="5"/>
  <c r="L106" i="5"/>
  <c r="P4" i="5"/>
  <c r="U4" i="5"/>
  <c r="Q84" i="5"/>
  <c r="O93" i="5"/>
  <c r="O80" i="5"/>
  <c r="M82" i="5"/>
  <c r="E86" i="5"/>
  <c r="H90" i="5"/>
  <c r="E96" i="5"/>
  <c r="BL113" i="5"/>
  <c r="S101" i="5"/>
  <c r="K103" i="5"/>
  <c r="P6" i="31"/>
  <c r="F110" i="27"/>
  <c r="I70" i="34"/>
  <c r="J38" i="5"/>
  <c r="F35" i="34"/>
  <c r="X38" i="5"/>
  <c r="H35" i="34"/>
  <c r="F75" i="5"/>
  <c r="L77" i="5"/>
  <c r="T90" i="5"/>
  <c r="W278" i="5"/>
  <c r="I4" i="5"/>
  <c r="R4" i="5"/>
  <c r="J7" i="5"/>
  <c r="F8" i="34"/>
  <c r="J11" i="5"/>
  <c r="F12" i="34"/>
  <c r="J15" i="5"/>
  <c r="F16" i="34"/>
  <c r="J19" i="5"/>
  <c r="J23" i="5"/>
  <c r="F23" i="34"/>
  <c r="G107" i="27"/>
  <c r="W77" i="5"/>
  <c r="H79" i="5"/>
  <c r="BB109" i="5"/>
  <c r="J285" i="5"/>
  <c r="J43" i="5"/>
  <c r="F71" i="34"/>
  <c r="N75" i="5"/>
  <c r="N81" i="5"/>
  <c r="U83" i="5"/>
  <c r="F85" i="5"/>
  <c r="H95" i="5"/>
  <c r="R129" i="5"/>
  <c r="Q278" i="5"/>
  <c r="J35" i="5"/>
  <c r="F33" i="34"/>
  <c r="X13" i="5"/>
  <c r="H14" i="34"/>
  <c r="AK198" i="5"/>
  <c r="F29" i="27"/>
  <c r="F47" i="27"/>
  <c r="I23" i="34"/>
  <c r="G29" i="27"/>
  <c r="G37" i="27"/>
  <c r="G41" i="27"/>
  <c r="G44" i="27"/>
  <c r="G47" i="27"/>
  <c r="F107" i="27"/>
  <c r="G112" i="27"/>
  <c r="K72" i="34"/>
  <c r="G113" i="27"/>
  <c r="K73" i="34"/>
  <c r="V78" i="5"/>
  <c r="F80" i="5"/>
  <c r="Q85" i="5"/>
  <c r="M87" i="5"/>
  <c r="I89" i="5"/>
  <c r="U142" i="5"/>
  <c r="O144" i="5"/>
  <c r="W151" i="5"/>
  <c r="P155" i="5"/>
  <c r="O278" i="5"/>
  <c r="S139" i="5"/>
  <c r="H141" i="5"/>
  <c r="M146" i="5"/>
  <c r="V157" i="5"/>
  <c r="U159" i="5"/>
  <c r="E29" i="27"/>
  <c r="G6" i="34"/>
  <c r="J8" i="5"/>
  <c r="F9" i="34"/>
  <c r="E37" i="27"/>
  <c r="G14" i="34"/>
  <c r="E41" i="27"/>
  <c r="G18" i="34"/>
  <c r="E43" i="27"/>
  <c r="G20" i="34"/>
  <c r="E44" i="27"/>
  <c r="G21" i="34"/>
  <c r="E47" i="27"/>
  <c r="G23" i="34"/>
  <c r="J27" i="5"/>
  <c r="F28" i="34"/>
  <c r="N26" i="5"/>
  <c r="J29" i="5"/>
  <c r="F68" i="34"/>
  <c r="J31" i="5"/>
  <c r="F30" i="34"/>
  <c r="G110" i="27"/>
  <c r="K70" i="34"/>
  <c r="E112" i="27"/>
  <c r="G72" i="34"/>
  <c r="E91" i="27"/>
  <c r="G94" i="27"/>
  <c r="E125" i="5"/>
  <c r="E135" i="5"/>
  <c r="F138" i="5"/>
  <c r="O148" i="5"/>
  <c r="J72" i="5"/>
  <c r="L123" i="5"/>
  <c r="V132" i="5"/>
  <c r="S135" i="5"/>
  <c r="T141" i="5"/>
  <c r="E145" i="5"/>
  <c r="N150" i="5"/>
  <c r="J268" i="5"/>
  <c r="X21" i="5"/>
  <c r="H22" i="34"/>
  <c r="F92" i="27"/>
  <c r="E94" i="27"/>
  <c r="P123" i="5"/>
  <c r="R138" i="5"/>
  <c r="G140" i="5"/>
  <c r="W143" i="5"/>
  <c r="E147" i="5"/>
  <c r="P152" i="5"/>
  <c r="U154" i="5"/>
  <c r="L156" i="5"/>
  <c r="U246" i="5"/>
  <c r="J263" i="5"/>
  <c r="R278" i="5"/>
  <c r="X334" i="5"/>
  <c r="X337" i="5"/>
  <c r="J6" i="5"/>
  <c r="F7" i="34"/>
  <c r="X17" i="5"/>
  <c r="H18" i="34"/>
  <c r="X25" i="5"/>
  <c r="G108" i="27"/>
  <c r="K68" i="34"/>
  <c r="J47" i="5"/>
  <c r="F41" i="34"/>
  <c r="J51" i="5"/>
  <c r="F73" i="34"/>
  <c r="J55" i="5"/>
  <c r="F48" i="34"/>
  <c r="J66" i="5"/>
  <c r="F59" i="34"/>
  <c r="J69" i="5"/>
  <c r="F62" i="34"/>
  <c r="N62" i="34"/>
  <c r="F95" i="27"/>
  <c r="M112" i="34"/>
  <c r="E122" i="5"/>
  <c r="G137" i="5"/>
  <c r="V145" i="5"/>
  <c r="F149" i="5"/>
  <c r="P158" i="5"/>
  <c r="P160" i="5"/>
  <c r="X269" i="5"/>
  <c r="X270" i="5"/>
  <c r="H122" i="5"/>
  <c r="H126" i="5"/>
  <c r="R140" i="5"/>
  <c r="I142" i="5"/>
  <c r="U147" i="5"/>
  <c r="G151" i="5"/>
  <c r="J266" i="5"/>
  <c r="X9" i="5"/>
  <c r="H10" i="34"/>
  <c r="F37" i="27"/>
  <c r="I14" i="34"/>
  <c r="F41" i="27"/>
  <c r="I18" i="34"/>
  <c r="F44" i="27"/>
  <c r="I21" i="34"/>
  <c r="E108" i="27"/>
  <c r="G68" i="34"/>
  <c r="J39" i="5"/>
  <c r="F36" i="34"/>
  <c r="G111" i="27"/>
  <c r="K71" i="34"/>
  <c r="F112" i="27"/>
  <c r="I72" i="34"/>
  <c r="X48" i="5"/>
  <c r="H42" i="34"/>
  <c r="F113" i="27"/>
  <c r="I73" i="34"/>
  <c r="F91" i="27"/>
  <c r="BI119" i="5"/>
  <c r="R137" i="5"/>
  <c r="G139" i="5"/>
  <c r="W149" i="5"/>
  <c r="I153" i="5"/>
  <c r="F157" i="5"/>
  <c r="X251" i="5"/>
  <c r="X257" i="5"/>
  <c r="X261" i="5"/>
  <c r="J281" i="5"/>
  <c r="J282" i="5"/>
  <c r="O4" i="5"/>
  <c r="J28" i="5"/>
  <c r="F67" i="34"/>
  <c r="V26" i="5"/>
  <c r="X36" i="5"/>
  <c r="H70" i="34"/>
  <c r="X45" i="5"/>
  <c r="H72" i="34"/>
  <c r="X47" i="5"/>
  <c r="H41" i="34"/>
  <c r="J50" i="5"/>
  <c r="F44" i="34"/>
  <c r="X50" i="5"/>
  <c r="H44" i="34"/>
  <c r="E113" i="27"/>
  <c r="G73" i="34"/>
  <c r="X63" i="5"/>
  <c r="H56" i="34"/>
  <c r="X67" i="5"/>
  <c r="F94" i="27"/>
  <c r="X70" i="5"/>
  <c r="X71" i="5"/>
  <c r="L76" i="5"/>
  <c r="R79" i="5"/>
  <c r="N105" i="5"/>
  <c r="U107" i="5"/>
  <c r="O124" i="5"/>
  <c r="U125" i="5"/>
  <c r="I130" i="5"/>
  <c r="R133" i="5"/>
  <c r="M135" i="5"/>
  <c r="W135" i="5"/>
  <c r="L137" i="5"/>
  <c r="W137" i="5"/>
  <c r="L138" i="5"/>
  <c r="N139" i="5"/>
  <c r="M140" i="5"/>
  <c r="W140" i="5"/>
  <c r="N141" i="5"/>
  <c r="Q142" i="5"/>
  <c r="F143" i="5"/>
  <c r="P143" i="5"/>
  <c r="G144" i="5"/>
  <c r="V144" i="5"/>
  <c r="N145" i="5"/>
  <c r="E146" i="5"/>
  <c r="U146" i="5"/>
  <c r="M147" i="5"/>
  <c r="F148" i="5"/>
  <c r="W148" i="5"/>
  <c r="O149" i="5"/>
  <c r="F150" i="5"/>
  <c r="V150" i="5"/>
  <c r="O151" i="5"/>
  <c r="G152" i="5"/>
  <c r="S153" i="5"/>
  <c r="L154" i="5"/>
  <c r="G155" i="5"/>
  <c r="V156" i="5"/>
  <c r="M157" i="5"/>
  <c r="I158" i="5"/>
  <c r="G159" i="5"/>
  <c r="G160" i="5"/>
  <c r="E161" i="5"/>
  <c r="P162" i="5"/>
  <c r="L166" i="5"/>
  <c r="X262" i="5"/>
  <c r="X263" i="5"/>
  <c r="J279" i="5"/>
  <c r="F163" i="34"/>
  <c r="J280" i="5"/>
  <c r="F164" i="34"/>
  <c r="F26" i="5"/>
  <c r="J32" i="5"/>
  <c r="F69" i="34"/>
  <c r="X40" i="5"/>
  <c r="H37" i="34"/>
  <c r="J45" i="5"/>
  <c r="F72" i="34"/>
  <c r="X49" i="5"/>
  <c r="H43" i="34"/>
  <c r="X51" i="5"/>
  <c r="H73" i="34"/>
  <c r="J54" i="5"/>
  <c r="F47" i="34"/>
  <c r="X54" i="5"/>
  <c r="H47" i="34"/>
  <c r="X56" i="5"/>
  <c r="H49" i="34"/>
  <c r="J59" i="5"/>
  <c r="F52" i="34"/>
  <c r="X60" i="5"/>
  <c r="H53" i="34"/>
  <c r="J63" i="5"/>
  <c r="F56" i="34"/>
  <c r="X64" i="5"/>
  <c r="H57" i="34"/>
  <c r="J67" i="5"/>
  <c r="F60" i="34"/>
  <c r="J70" i="5"/>
  <c r="X73" i="5"/>
  <c r="G61" i="34"/>
  <c r="E172" i="27"/>
  <c r="G108" i="34"/>
  <c r="BI113" i="5"/>
  <c r="S124" i="5"/>
  <c r="M127" i="5"/>
  <c r="N135" i="5"/>
  <c r="BA136" i="5"/>
  <c r="O123" i="34"/>
  <c r="O121" i="34"/>
  <c r="Y136" i="5"/>
  <c r="N137" i="5"/>
  <c r="N138" i="5"/>
  <c r="O139" i="5"/>
  <c r="N140" i="5"/>
  <c r="Q141" i="5"/>
  <c r="E142" i="5"/>
  <c r="R142" i="5"/>
  <c r="G143" i="5"/>
  <c r="Q143" i="5"/>
  <c r="W144" i="5"/>
  <c r="O145" i="5"/>
  <c r="I146" i="5"/>
  <c r="V146" i="5"/>
  <c r="O147" i="5"/>
  <c r="Q149" i="5"/>
  <c r="P151" i="5"/>
  <c r="U153" i="5"/>
  <c r="M154" i="5"/>
  <c r="F156" i="5"/>
  <c r="W156" i="5"/>
  <c r="N157" i="5"/>
  <c r="H160" i="5"/>
  <c r="O164" i="5"/>
  <c r="W166" i="5"/>
  <c r="X253" i="5"/>
  <c r="X256" i="5"/>
  <c r="X6" i="5"/>
  <c r="H7" i="34"/>
  <c r="X10" i="5"/>
  <c r="H11" i="34"/>
  <c r="J12" i="5"/>
  <c r="F13" i="34"/>
  <c r="X14" i="5"/>
  <c r="H15" i="34"/>
  <c r="J16" i="5"/>
  <c r="F17" i="34"/>
  <c r="X18" i="5"/>
  <c r="H19" i="34"/>
  <c r="J20" i="5"/>
  <c r="F25" i="34"/>
  <c r="X22" i="5"/>
  <c r="H23" i="34"/>
  <c r="J24" i="5"/>
  <c r="F24" i="34"/>
  <c r="X27" i="5"/>
  <c r="P26" i="5"/>
  <c r="J36" i="5"/>
  <c r="F70" i="34"/>
  <c r="J49" i="5"/>
  <c r="F43" i="34"/>
  <c r="X53" i="5"/>
  <c r="H46" i="34"/>
  <c r="X55" i="5"/>
  <c r="H48" i="34"/>
  <c r="X62" i="5"/>
  <c r="H55" i="34"/>
  <c r="X66" i="5"/>
  <c r="K74" i="5"/>
  <c r="E174" i="27"/>
  <c r="G110" i="34"/>
  <c r="Q127" i="5"/>
  <c r="S130" i="5"/>
  <c r="O135" i="5"/>
  <c r="Q136" i="5"/>
  <c r="P137" i="5"/>
  <c r="P138" i="5"/>
  <c r="E139" i="5"/>
  <c r="P139" i="5"/>
  <c r="E140" i="5"/>
  <c r="O140" i="5"/>
  <c r="R141" i="5"/>
  <c r="F142" i="5"/>
  <c r="S142" i="5"/>
  <c r="H143" i="5"/>
  <c r="S143" i="5"/>
  <c r="L144" i="5"/>
  <c r="Q145" i="5"/>
  <c r="P147" i="5"/>
  <c r="L148" i="5"/>
  <c r="R149" i="5"/>
  <c r="L150" i="5"/>
  <c r="Q151" i="5"/>
  <c r="N152" i="5"/>
  <c r="E153" i="5"/>
  <c r="V153" i="5"/>
  <c r="N154" i="5"/>
  <c r="L155" i="5"/>
  <c r="G156" i="5"/>
  <c r="R157" i="5"/>
  <c r="L158" i="5"/>
  <c r="L159" i="5"/>
  <c r="J256" i="5"/>
  <c r="J258" i="5"/>
  <c r="X260" i="5"/>
  <c r="J262" i="5"/>
  <c r="X264" i="5"/>
  <c r="X266" i="5"/>
  <c r="J269" i="5"/>
  <c r="J275" i="5"/>
  <c r="X7" i="5"/>
  <c r="H8" i="34"/>
  <c r="J10" i="5"/>
  <c r="F11" i="34"/>
  <c r="X11" i="5"/>
  <c r="H12" i="34"/>
  <c r="J14" i="5"/>
  <c r="F15" i="34"/>
  <c r="X15" i="5"/>
  <c r="H16" i="34"/>
  <c r="J18" i="5"/>
  <c r="F19" i="34"/>
  <c r="X19" i="5"/>
  <c r="H20" i="34"/>
  <c r="J22" i="5"/>
  <c r="F22" i="34"/>
  <c r="X23" i="5"/>
  <c r="H24" i="34"/>
  <c r="X29" i="5"/>
  <c r="H68" i="34"/>
  <c r="X31" i="5"/>
  <c r="H30" i="34"/>
  <c r="J34" i="5"/>
  <c r="F32" i="34"/>
  <c r="X34" i="5"/>
  <c r="H32" i="34"/>
  <c r="J40" i="5"/>
  <c r="F37" i="34"/>
  <c r="J53" i="5"/>
  <c r="F46" i="34"/>
  <c r="J62" i="5"/>
  <c r="F55" i="34"/>
  <c r="X69" i="5"/>
  <c r="J73" i="5"/>
  <c r="P74" i="34"/>
  <c r="P64" i="34"/>
  <c r="P63" i="34"/>
  <c r="H93" i="27"/>
  <c r="BA104" i="5"/>
  <c r="H45" i="27"/>
  <c r="H29" i="27"/>
  <c r="H108" i="27"/>
  <c r="H40" i="27"/>
  <c r="H60" i="27"/>
  <c r="H38" i="27"/>
  <c r="H109" i="27"/>
  <c r="H69" i="27"/>
  <c r="H95" i="27"/>
  <c r="H34" i="27"/>
  <c r="H110" i="27"/>
  <c r="H91" i="27"/>
  <c r="H48" i="27"/>
  <c r="H89" i="27"/>
  <c r="H84" i="27"/>
  <c r="H88" i="27"/>
  <c r="H94" i="27"/>
  <c r="H80" i="27"/>
  <c r="H77" i="27"/>
  <c r="H39" i="27"/>
  <c r="H63" i="27"/>
  <c r="H92" i="27"/>
  <c r="H78" i="27"/>
  <c r="H70" i="27"/>
  <c r="H81" i="27"/>
  <c r="H41" i="27"/>
  <c r="H66" i="27"/>
  <c r="H90" i="27"/>
  <c r="H30" i="27"/>
  <c r="H44" i="27"/>
  <c r="H64" i="27"/>
  <c r="H31" i="27"/>
  <c r="H79" i="27"/>
  <c r="H61" i="27"/>
  <c r="H68" i="27"/>
  <c r="H33" i="27"/>
  <c r="H112" i="27"/>
  <c r="H113" i="27"/>
  <c r="H46" i="27"/>
  <c r="H36" i="27"/>
  <c r="H75" i="27"/>
  <c r="H86" i="27"/>
  <c r="H67" i="27"/>
  <c r="H73" i="27"/>
  <c r="H107" i="27"/>
  <c r="H42" i="27"/>
  <c r="H65" i="27"/>
  <c r="H37" i="27"/>
  <c r="H83" i="27"/>
  <c r="H49" i="27"/>
  <c r="H35" i="27"/>
  <c r="H74" i="27"/>
  <c r="H87" i="27"/>
  <c r="H76" i="27"/>
  <c r="H111" i="27"/>
  <c r="H85" i="27"/>
  <c r="H47" i="27"/>
  <c r="H71" i="27"/>
  <c r="H62" i="27"/>
  <c r="H82" i="27"/>
  <c r="H72" i="27"/>
  <c r="H43" i="27"/>
  <c r="H32" i="27"/>
  <c r="D29" i="27"/>
  <c r="M129" i="5"/>
  <c r="N132" i="5"/>
  <c r="G230" i="5"/>
  <c r="E198" i="5"/>
  <c r="M198" i="5"/>
  <c r="U198" i="5"/>
  <c r="O198" i="5"/>
  <c r="H198" i="5"/>
  <c r="I198" i="5"/>
  <c r="F198" i="5"/>
  <c r="N198" i="5"/>
  <c r="V198" i="5"/>
  <c r="G198" i="5"/>
  <c r="W198" i="5"/>
  <c r="P198" i="5"/>
  <c r="Q198" i="5"/>
  <c r="R198" i="5"/>
  <c r="S198" i="5"/>
  <c r="L198" i="5"/>
  <c r="T198" i="5"/>
  <c r="F212" i="5"/>
  <c r="O173" i="5"/>
  <c r="N171" i="5"/>
  <c r="M165" i="5"/>
  <c r="O163" i="5"/>
  <c r="N162" i="5"/>
  <c r="I160" i="5"/>
  <c r="Q159" i="5"/>
  <c r="T158" i="5"/>
  <c r="G158" i="5"/>
  <c r="O157" i="5"/>
  <c r="N156" i="5"/>
  <c r="T155" i="5"/>
  <c r="H155" i="5"/>
  <c r="P154" i="5"/>
  <c r="E154" i="5"/>
  <c r="N153" i="5"/>
  <c r="W152" i="5"/>
  <c r="H152" i="5"/>
  <c r="S151" i="5"/>
  <c r="H151" i="5"/>
  <c r="R150" i="5"/>
  <c r="H150" i="5"/>
  <c r="S149" i="5"/>
  <c r="G149" i="5"/>
  <c r="S148" i="5"/>
  <c r="G148" i="5"/>
  <c r="Q147" i="5"/>
  <c r="G147" i="5"/>
  <c r="Q146" i="5"/>
  <c r="F146" i="5"/>
  <c r="R145" i="5"/>
  <c r="F145" i="5"/>
  <c r="R144" i="5"/>
  <c r="H144" i="5"/>
  <c r="T143" i="5"/>
  <c r="V142" i="5"/>
  <c r="M142" i="5"/>
  <c r="O141" i="5"/>
  <c r="T169" i="5"/>
  <c r="W165" i="5"/>
  <c r="O162" i="5"/>
  <c r="M161" i="5"/>
  <c r="T159" i="5"/>
  <c r="W158" i="5"/>
  <c r="H158" i="5"/>
  <c r="Q157" i="5"/>
  <c r="E157" i="5"/>
  <c r="O156" i="5"/>
  <c r="W155" i="5"/>
  <c r="I155" i="5"/>
  <c r="Q154" i="5"/>
  <c r="F154" i="5"/>
  <c r="Q153" i="5"/>
  <c r="T151" i="5"/>
  <c r="I151" i="5"/>
  <c r="T150" i="5"/>
  <c r="I150" i="5"/>
  <c r="U149" i="5"/>
  <c r="I149" i="5"/>
  <c r="T148" i="5"/>
  <c r="H148" i="5"/>
  <c r="S147" i="5"/>
  <c r="H147" i="5"/>
  <c r="R146" i="5"/>
  <c r="H146" i="5"/>
  <c r="S145" i="5"/>
  <c r="G145" i="5"/>
  <c r="S144" i="5"/>
  <c r="I144" i="5"/>
  <c r="U143" i="5"/>
  <c r="L143" i="5"/>
  <c r="N142" i="5"/>
  <c r="P141" i="5"/>
  <c r="F141" i="5"/>
  <c r="Q140" i="5"/>
  <c r="H140" i="5"/>
  <c r="U139" i="5"/>
  <c r="L139" i="5"/>
  <c r="V138" i="5"/>
  <c r="M138" i="5"/>
  <c r="O137" i="5"/>
  <c r="R135" i="5"/>
  <c r="F135" i="5"/>
  <c r="Q135" i="5"/>
  <c r="F137" i="5"/>
  <c r="Q137" i="5"/>
  <c r="E138" i="5"/>
  <c r="Q138" i="5"/>
  <c r="F139" i="5"/>
  <c r="R139" i="5"/>
  <c r="F140" i="5"/>
  <c r="P140" i="5"/>
  <c r="G141" i="5"/>
  <c r="S141" i="5"/>
  <c r="H142" i="5"/>
  <c r="T142" i="5"/>
  <c r="I143" i="5"/>
  <c r="V143" i="5"/>
  <c r="N144" i="5"/>
  <c r="U145" i="5"/>
  <c r="L146" i="5"/>
  <c r="T147" i="5"/>
  <c r="N148" i="5"/>
  <c r="E149" i="5"/>
  <c r="V149" i="5"/>
  <c r="M150" i="5"/>
  <c r="E151" i="5"/>
  <c r="U151" i="5"/>
  <c r="O152" i="5"/>
  <c r="F153" i="5"/>
  <c r="T154" i="5"/>
  <c r="O155" i="5"/>
  <c r="U157" i="5"/>
  <c r="O158" i="5"/>
  <c r="M159" i="5"/>
  <c r="O160" i="5"/>
  <c r="P161" i="5"/>
  <c r="E163" i="5"/>
  <c r="J249" i="5"/>
  <c r="J253" i="5"/>
  <c r="J260" i="5"/>
  <c r="J264" i="5"/>
  <c r="J267" i="5"/>
  <c r="X33" i="5"/>
  <c r="H31" i="34"/>
  <c r="J5" i="5"/>
  <c r="N4" i="5"/>
  <c r="V4" i="5"/>
  <c r="J9" i="5"/>
  <c r="F10" i="34"/>
  <c r="J13" i="5"/>
  <c r="F14" i="34"/>
  <c r="J17" i="5"/>
  <c r="F18" i="34"/>
  <c r="J21" i="5"/>
  <c r="F21" i="34"/>
  <c r="J25" i="5"/>
  <c r="J33" i="5"/>
  <c r="F31" i="34"/>
  <c r="X37" i="5"/>
  <c r="H34" i="34"/>
  <c r="X39" i="5"/>
  <c r="H36" i="34"/>
  <c r="J42" i="5"/>
  <c r="F39" i="34"/>
  <c r="X42" i="5"/>
  <c r="H39" i="34"/>
  <c r="X44" i="5"/>
  <c r="X52" i="5"/>
  <c r="H45" i="34"/>
  <c r="X57" i="5"/>
  <c r="H50" i="34"/>
  <c r="X61" i="5"/>
  <c r="H54" i="34"/>
  <c r="X65" i="5"/>
  <c r="H58" i="34"/>
  <c r="X72" i="5"/>
  <c r="Q104" i="5"/>
  <c r="U108" i="5"/>
  <c r="G120" i="5"/>
  <c r="I125" i="5"/>
  <c r="W126" i="5"/>
  <c r="G128" i="5"/>
  <c r="H135" i="5"/>
  <c r="T135" i="5"/>
  <c r="H137" i="5"/>
  <c r="S137" i="5"/>
  <c r="H138" i="5"/>
  <c r="S138" i="5"/>
  <c r="H139" i="5"/>
  <c r="T139" i="5"/>
  <c r="I140" i="5"/>
  <c r="T140" i="5"/>
  <c r="I141" i="5"/>
  <c r="V141" i="5"/>
  <c r="M143" i="5"/>
  <c r="P144" i="5"/>
  <c r="I145" i="5"/>
  <c r="W145" i="5"/>
  <c r="N146" i="5"/>
  <c r="I147" i="5"/>
  <c r="W147" i="5"/>
  <c r="P148" i="5"/>
  <c r="P150" i="5"/>
  <c r="R152" i="5"/>
  <c r="H154" i="5"/>
  <c r="V154" i="5"/>
  <c r="Q155" i="5"/>
  <c r="R156" i="5"/>
  <c r="G157" i="5"/>
  <c r="W157" i="5"/>
  <c r="Q158" i="5"/>
  <c r="V159" i="5"/>
  <c r="Q160" i="5"/>
  <c r="N163" i="5"/>
  <c r="W167" i="5"/>
  <c r="R172" i="5"/>
  <c r="M185" i="5"/>
  <c r="X250" i="5"/>
  <c r="J251" i="5"/>
  <c r="X279" i="5"/>
  <c r="H163" i="34"/>
  <c r="X280" i="5"/>
  <c r="H164" i="34"/>
  <c r="T278" i="5"/>
  <c r="X281" i="5"/>
  <c r="I26" i="5"/>
  <c r="X35" i="5"/>
  <c r="H33" i="34"/>
  <c r="X28" i="5"/>
  <c r="H67" i="34"/>
  <c r="J37" i="5"/>
  <c r="F34" i="34"/>
  <c r="X41" i="5"/>
  <c r="H38" i="34"/>
  <c r="X43" i="5"/>
  <c r="H71" i="34"/>
  <c r="J48" i="5"/>
  <c r="F42" i="34"/>
  <c r="E92" i="27"/>
  <c r="X68" i="5"/>
  <c r="H61" i="34"/>
  <c r="J71" i="5"/>
  <c r="E173" i="27"/>
  <c r="G109" i="34"/>
  <c r="M111" i="34"/>
  <c r="AM104" i="5"/>
  <c r="M118" i="5"/>
  <c r="U122" i="5"/>
  <c r="F124" i="5"/>
  <c r="N131" i="5"/>
  <c r="I135" i="5"/>
  <c r="U135" i="5"/>
  <c r="I137" i="5"/>
  <c r="T137" i="5"/>
  <c r="I138" i="5"/>
  <c r="T138" i="5"/>
  <c r="V139" i="5"/>
  <c r="U140" i="5"/>
  <c r="W141" i="5"/>
  <c r="L142" i="5"/>
  <c r="N143" i="5"/>
  <c r="Q144" i="5"/>
  <c r="P146" i="5"/>
  <c r="R148" i="5"/>
  <c r="M149" i="5"/>
  <c r="Q150" i="5"/>
  <c r="L151" i="5"/>
  <c r="S152" i="5"/>
  <c r="M153" i="5"/>
  <c r="I154" i="5"/>
  <c r="S155" i="5"/>
  <c r="S156" i="5"/>
  <c r="I157" i="5"/>
  <c r="F162" i="5"/>
  <c r="F4" i="5"/>
  <c r="W4" i="5"/>
  <c r="S4" i="5"/>
  <c r="G4" i="5"/>
  <c r="X8" i="5"/>
  <c r="H9" i="34"/>
  <c r="T4" i="5"/>
  <c r="X12" i="5"/>
  <c r="H13" i="34"/>
  <c r="X16" i="5"/>
  <c r="H17" i="34"/>
  <c r="X20" i="5"/>
  <c r="H21" i="34"/>
  <c r="X24" i="5"/>
  <c r="H25" i="34"/>
  <c r="X32" i="5"/>
  <c r="H69" i="34"/>
  <c r="J41" i="5"/>
  <c r="F38" i="34"/>
  <c r="J46" i="5"/>
  <c r="F40" i="34"/>
  <c r="X46" i="5"/>
  <c r="H40" i="34"/>
  <c r="J52" i="5"/>
  <c r="F45" i="34"/>
  <c r="J56" i="5"/>
  <c r="F49" i="34"/>
  <c r="J57" i="5"/>
  <c r="F50" i="34"/>
  <c r="J60" i="5"/>
  <c r="F53" i="34"/>
  <c r="J61" i="5"/>
  <c r="F54" i="34"/>
  <c r="J64" i="5"/>
  <c r="F57" i="34"/>
  <c r="J65" i="5"/>
  <c r="F58" i="34"/>
  <c r="J68" i="5"/>
  <c r="F61" i="34"/>
  <c r="E95" i="27"/>
  <c r="BH110" i="5"/>
  <c r="Q125" i="5"/>
  <c r="T128" i="5"/>
  <c r="F130" i="5"/>
  <c r="U131" i="5"/>
  <c r="L135" i="5"/>
  <c r="V135" i="5"/>
  <c r="V137" i="5"/>
  <c r="U138" i="5"/>
  <c r="M139" i="5"/>
  <c r="W139" i="5"/>
  <c r="L140" i="5"/>
  <c r="V140" i="5"/>
  <c r="L141" i="5"/>
  <c r="P142" i="5"/>
  <c r="E143" i="5"/>
  <c r="O143" i="5"/>
  <c r="F144" i="5"/>
  <c r="T144" i="5"/>
  <c r="M145" i="5"/>
  <c r="T146" i="5"/>
  <c r="L147" i="5"/>
  <c r="V148" i="5"/>
  <c r="N149" i="5"/>
  <c r="E150" i="5"/>
  <c r="U150" i="5"/>
  <c r="M151" i="5"/>
  <c r="F152" i="5"/>
  <c r="V152" i="5"/>
  <c r="R153" i="5"/>
  <c r="T156" i="5"/>
  <c r="J250" i="5"/>
  <c r="J252" i="5"/>
  <c r="X255" i="5"/>
  <c r="X259" i="5"/>
  <c r="X267" i="5"/>
  <c r="X268" i="5"/>
  <c r="J274" i="5"/>
  <c r="J276" i="5"/>
  <c r="H278" i="5"/>
  <c r="X282" i="5"/>
  <c r="X333" i="5"/>
  <c r="J254" i="5"/>
  <c r="J255" i="5"/>
  <c r="X258" i="5"/>
  <c r="J259" i="5"/>
  <c r="J265" i="5"/>
  <c r="J270" i="5"/>
  <c r="P246" i="5"/>
  <c r="T246" i="5"/>
  <c r="X286" i="5"/>
  <c r="J289" i="5"/>
  <c r="J293" i="5"/>
  <c r="J297" i="5"/>
  <c r="J301" i="5"/>
  <c r="J305" i="5"/>
  <c r="J309" i="5"/>
  <c r="J313" i="5"/>
  <c r="J317" i="5"/>
  <c r="J321" i="5"/>
  <c r="J325" i="5"/>
  <c r="J329" i="5"/>
  <c r="J333" i="5"/>
  <c r="H246" i="5"/>
  <c r="Q246" i="5"/>
  <c r="X275" i="5"/>
  <c r="J277" i="5"/>
  <c r="K278" i="5"/>
  <c r="S278" i="5"/>
  <c r="X283" i="5"/>
  <c r="X284" i="5"/>
  <c r="X335" i="5"/>
  <c r="X336" i="5"/>
  <c r="X285" i="5"/>
  <c r="X289" i="5"/>
  <c r="X291" i="5"/>
  <c r="X292" i="5"/>
  <c r="X293" i="5"/>
  <c r="X295" i="5"/>
  <c r="X296" i="5"/>
  <c r="X297" i="5"/>
  <c r="X299" i="5"/>
  <c r="X300" i="5"/>
  <c r="X301" i="5"/>
  <c r="X303" i="5"/>
  <c r="X304" i="5"/>
  <c r="X305" i="5"/>
  <c r="X307" i="5"/>
  <c r="X308" i="5"/>
  <c r="X309" i="5"/>
  <c r="X311" i="5"/>
  <c r="X312" i="5"/>
  <c r="X313" i="5"/>
  <c r="X315" i="5"/>
  <c r="X316" i="5"/>
  <c r="X317" i="5"/>
  <c r="X319" i="5"/>
  <c r="X320" i="5"/>
  <c r="X321" i="5"/>
  <c r="X323" i="5"/>
  <c r="X324" i="5"/>
  <c r="X325" i="5"/>
  <c r="X327" i="5"/>
  <c r="X328" i="5"/>
  <c r="X329" i="5"/>
  <c r="X331" i="5"/>
  <c r="X332" i="5"/>
  <c r="J334" i="5"/>
  <c r="J335" i="5"/>
  <c r="J336" i="5"/>
  <c r="J337" i="5"/>
  <c r="X290" i="5"/>
  <c r="X294" i="5"/>
  <c r="X298" i="5"/>
  <c r="X302" i="5"/>
  <c r="X306" i="5"/>
  <c r="X310" i="5"/>
  <c r="X314" i="5"/>
  <c r="X318" i="5"/>
  <c r="X322" i="5"/>
  <c r="X326" i="5"/>
  <c r="X330" i="5"/>
  <c r="I246" i="5"/>
  <c r="X248" i="5"/>
  <c r="X252" i="5"/>
  <c r="X254" i="5"/>
  <c r="J257" i="5"/>
  <c r="J261" i="5"/>
  <c r="X265" i="5"/>
  <c r="X274" i="5"/>
  <c r="J283" i="5"/>
  <c r="J284" i="5"/>
  <c r="J286" i="5"/>
  <c r="J290" i="5"/>
  <c r="J291" i="5"/>
  <c r="J292" i="5"/>
  <c r="J294" i="5"/>
  <c r="J295" i="5"/>
  <c r="J296" i="5"/>
  <c r="J298" i="5"/>
  <c r="J299" i="5"/>
  <c r="J300" i="5"/>
  <c r="J302" i="5"/>
  <c r="J303" i="5"/>
  <c r="J304" i="5"/>
  <c r="J306" i="5"/>
  <c r="J307" i="5"/>
  <c r="J308" i="5"/>
  <c r="J310" i="5"/>
  <c r="J311" i="5"/>
  <c r="J312" i="5"/>
  <c r="J314" i="5"/>
  <c r="J315" i="5"/>
  <c r="J316" i="5"/>
  <c r="J318" i="5"/>
  <c r="J319" i="5"/>
  <c r="J320" i="5"/>
  <c r="J322" i="5"/>
  <c r="J323" i="5"/>
  <c r="J324" i="5"/>
  <c r="J326" i="5"/>
  <c r="J327" i="5"/>
  <c r="J328" i="5"/>
  <c r="J330" i="5"/>
  <c r="J331" i="5"/>
  <c r="J332" i="5"/>
  <c r="G33" i="21"/>
  <c r="T184" i="42"/>
  <c r="X273" i="5"/>
  <c r="L246" i="5"/>
  <c r="J273" i="5"/>
  <c r="M246" i="5"/>
  <c r="AR198" i="5"/>
  <c r="AS198" i="5"/>
  <c r="AV198" i="5"/>
  <c r="AU198" i="5"/>
  <c r="AT198" i="5"/>
  <c r="AN198" i="5"/>
  <c r="AO198" i="5"/>
  <c r="AW198" i="5"/>
  <c r="AX198" i="5"/>
  <c r="AP198" i="5"/>
  <c r="AQ198" i="5"/>
  <c r="AY198" i="5"/>
  <c r="S10" i="36"/>
  <c r="S13" i="36"/>
  <c r="S11" i="36"/>
  <c r="S12" i="36"/>
  <c r="S9" i="36"/>
  <c r="F173" i="27"/>
  <c r="I109" i="34"/>
  <c r="M109" i="34"/>
  <c r="F172" i="27"/>
  <c r="I108" i="34"/>
  <c r="F174" i="27"/>
  <c r="I110" i="34"/>
  <c r="M110" i="34"/>
  <c r="G39" i="21"/>
  <c r="G48" i="3"/>
  <c r="G38" i="3"/>
  <c r="G3" i="3"/>
  <c r="G14" i="3"/>
  <c r="G38" i="21"/>
  <c r="G40" i="3"/>
  <c r="G13" i="3"/>
  <c r="G41" i="3"/>
  <c r="G37" i="21"/>
  <c r="G9" i="3"/>
  <c r="G43" i="3"/>
  <c r="G44" i="3"/>
  <c r="G15" i="21"/>
  <c r="G4" i="3"/>
  <c r="G14" i="21"/>
  <c r="G8" i="3"/>
  <c r="G42" i="3"/>
  <c r="G12" i="3"/>
  <c r="G16" i="21"/>
  <c r="G45" i="3"/>
  <c r="G10" i="3"/>
  <c r="G7" i="3"/>
  <c r="G36" i="21"/>
  <c r="G47" i="3"/>
  <c r="G6" i="3"/>
  <c r="G11" i="3"/>
  <c r="G39" i="3"/>
  <c r="G13" i="21"/>
  <c r="G46" i="3"/>
  <c r="G5" i="3"/>
  <c r="G49" i="3"/>
  <c r="R26" i="5"/>
  <c r="O26" i="5"/>
  <c r="W26" i="5"/>
  <c r="T26" i="5"/>
  <c r="J30" i="5"/>
  <c r="F29" i="34"/>
  <c r="E26" i="5"/>
  <c r="M26" i="5"/>
  <c r="U26" i="5"/>
  <c r="K12" i="34"/>
  <c r="H10" i="45"/>
  <c r="K89" i="34"/>
  <c r="H53" i="45"/>
  <c r="K95" i="34"/>
  <c r="H63" i="45"/>
  <c r="K92" i="34"/>
  <c r="H60" i="45"/>
  <c r="K79" i="34"/>
  <c r="H35" i="45"/>
  <c r="K82" i="34"/>
  <c r="H38" i="45"/>
  <c r="K85" i="34"/>
  <c r="H41" i="45"/>
  <c r="K94" i="34"/>
  <c r="H62" i="45"/>
  <c r="K98" i="34"/>
  <c r="H67" i="45"/>
  <c r="K78" i="34"/>
  <c r="H34" i="45"/>
  <c r="K11" i="34"/>
  <c r="H9" i="45"/>
  <c r="K84" i="34"/>
  <c r="M84" i="34"/>
  <c r="H40" i="45"/>
  <c r="K90" i="34"/>
  <c r="H57" i="45"/>
  <c r="K91" i="34"/>
  <c r="H59" i="45"/>
  <c r="K96" i="34"/>
  <c r="H64" i="45"/>
  <c r="K81" i="34"/>
  <c r="H37" i="45"/>
  <c r="K93" i="34"/>
  <c r="H61" i="45"/>
  <c r="K97" i="34"/>
  <c r="H66" i="45"/>
  <c r="K99" i="34"/>
  <c r="H68" i="45"/>
  <c r="K10" i="34"/>
  <c r="M10" i="34"/>
  <c r="H8" i="45"/>
  <c r="K16" i="34"/>
  <c r="H14" i="45"/>
  <c r="K20" i="34"/>
  <c r="H18" i="45"/>
  <c r="K83" i="34"/>
  <c r="H39" i="45"/>
  <c r="D52" i="3"/>
  <c r="BM253" i="5"/>
  <c r="BF261" i="5"/>
  <c r="BH275" i="5"/>
  <c r="BG248" i="5"/>
  <c r="BB260" i="5"/>
  <c r="BB58" i="5"/>
  <c r="BI250" i="5"/>
  <c r="BG259" i="5"/>
  <c r="BF260" i="5"/>
  <c r="BF270" i="5"/>
  <c r="BL272" i="5"/>
  <c r="BH247" i="5"/>
  <c r="BH259" i="5"/>
  <c r="BG260" i="5"/>
  <c r="BE252" i="5"/>
  <c r="BG256" i="5"/>
  <c r="BI258" i="5"/>
  <c r="BH263" i="5"/>
  <c r="BF266" i="5"/>
  <c r="BC269" i="5"/>
  <c r="BL275" i="5"/>
  <c r="BG252" i="5"/>
  <c r="BI263" i="5"/>
  <c r="BE271" i="5"/>
  <c r="BD274" i="5"/>
  <c r="BF251" i="5"/>
  <c r="BH255" i="5"/>
  <c r="BI262" i="5"/>
  <c r="BF274" i="5"/>
  <c r="BB118" i="5"/>
  <c r="BH251" i="5"/>
  <c r="BI255" i="5"/>
  <c r="BB261" i="5"/>
  <c r="BM262" i="5"/>
  <c r="BF268" i="5"/>
  <c r="BF273" i="5"/>
  <c r="K14" i="34"/>
  <c r="H12" i="45"/>
  <c r="K18" i="34"/>
  <c r="H16" i="45"/>
  <c r="K21" i="34"/>
  <c r="H20" i="45"/>
  <c r="K23" i="34"/>
  <c r="H22" i="45"/>
  <c r="K13" i="34"/>
  <c r="H11" i="45"/>
  <c r="K15" i="34"/>
  <c r="H13" i="45"/>
  <c r="K17" i="34"/>
  <c r="H15" i="45"/>
  <c r="K25" i="34"/>
  <c r="H19" i="45"/>
  <c r="K22" i="34"/>
  <c r="H21" i="45"/>
  <c r="K24" i="34"/>
  <c r="H23" i="45"/>
  <c r="AM26" i="5"/>
  <c r="S26" i="5"/>
  <c r="X58" i="5"/>
  <c r="H51" i="34"/>
  <c r="H26" i="5"/>
  <c r="Q26" i="5"/>
  <c r="J58" i="5"/>
  <c r="F51" i="34"/>
  <c r="BE249" i="5"/>
  <c r="BM250" i="5"/>
  <c r="BI251" i="5"/>
  <c r="BE257" i="5"/>
  <c r="BE265" i="5"/>
  <c r="BG266" i="5"/>
  <c r="BE267" i="5"/>
  <c r="BG268" i="5"/>
  <c r="BD269" i="5"/>
  <c r="BG270" i="5"/>
  <c r="BF271" i="5"/>
  <c r="BM272" i="5"/>
  <c r="BL273" i="5"/>
  <c r="BF247" i="5"/>
  <c r="BE248" i="5"/>
  <c r="BM249" i="5"/>
  <c r="BF255" i="5"/>
  <c r="BE256" i="5"/>
  <c r="BM257" i="5"/>
  <c r="BF263" i="5"/>
  <c r="BE264" i="5"/>
  <c r="BM265" i="5"/>
  <c r="BH266" i="5"/>
  <c r="BF267" i="5"/>
  <c r="BK268" i="5"/>
  <c r="BE269" i="5"/>
  <c r="BK270" i="5"/>
  <c r="J9" i="43"/>
  <c r="I9" i="43"/>
  <c r="H9" i="43"/>
  <c r="G9" i="43"/>
  <c r="N9" i="43"/>
  <c r="F9" i="43"/>
  <c r="M9" i="43"/>
  <c r="E9" i="43"/>
  <c r="L9" i="43"/>
  <c r="D9" i="43"/>
  <c r="K9" i="43"/>
  <c r="C9" i="43"/>
  <c r="BK277" i="5"/>
  <c r="BC277" i="5"/>
  <c r="BK276" i="5"/>
  <c r="BC276" i="5"/>
  <c r="BK275" i="5"/>
  <c r="BC275" i="5"/>
  <c r="BK274" i="5"/>
  <c r="BC274" i="5"/>
  <c r="BK273" i="5"/>
  <c r="BC273" i="5"/>
  <c r="BK272" i="5"/>
  <c r="BC272" i="5"/>
  <c r="BK271" i="5"/>
  <c r="BC271" i="5"/>
  <c r="BJ270" i="5"/>
  <c r="BB270" i="5"/>
  <c r="BJ269" i="5"/>
  <c r="BB269" i="5"/>
  <c r="BJ268" i="5"/>
  <c r="BB268" i="5"/>
  <c r="BK267" i="5"/>
  <c r="BC267" i="5"/>
  <c r="BK266" i="5"/>
  <c r="BC266" i="5"/>
  <c r="BL265" i="5"/>
  <c r="BD265" i="5"/>
  <c r="BL264" i="5"/>
  <c r="BD264" i="5"/>
  <c r="BL263" i="5"/>
  <c r="BD263" i="5"/>
  <c r="BL262" i="5"/>
  <c r="BD262" i="5"/>
  <c r="BM261" i="5"/>
  <c r="BE261" i="5"/>
  <c r="BM260" i="5"/>
  <c r="BE260" i="5"/>
  <c r="BM259" i="5"/>
  <c r="BE259" i="5"/>
  <c r="BM258" i="5"/>
  <c r="BE258" i="5"/>
  <c r="BL257" i="5"/>
  <c r="BD257" i="5"/>
  <c r="BL256" i="5"/>
  <c r="BD256" i="5"/>
  <c r="BL255" i="5"/>
  <c r="BD255" i="5"/>
  <c r="BL254" i="5"/>
  <c r="BD254" i="5"/>
  <c r="BL253" i="5"/>
  <c r="BD253" i="5"/>
  <c r="BL252" i="5"/>
  <c r="BD252" i="5"/>
  <c r="BL251" i="5"/>
  <c r="BD251" i="5"/>
  <c r="BL250" i="5"/>
  <c r="BD250" i="5"/>
  <c r="BL249" i="5"/>
  <c r="BD249" i="5"/>
  <c r="BL248" i="5"/>
  <c r="BD248" i="5"/>
  <c r="BL247" i="5"/>
  <c r="BD247" i="5"/>
  <c r="BJ277" i="5"/>
  <c r="BB277" i="5"/>
  <c r="BJ276" i="5"/>
  <c r="BB276" i="5"/>
  <c r="BJ275" i="5"/>
  <c r="BB275" i="5"/>
  <c r="BJ274" i="5"/>
  <c r="BB274" i="5"/>
  <c r="BJ273" i="5"/>
  <c r="BB273" i="5"/>
  <c r="BJ272" i="5"/>
  <c r="BB272" i="5"/>
  <c r="BJ271" i="5"/>
  <c r="BB271" i="5"/>
  <c r="BI270" i="5"/>
  <c r="BI269" i="5"/>
  <c r="BI268" i="5"/>
  <c r="BJ267" i="5"/>
  <c r="BB267" i="5"/>
  <c r="BJ266" i="5"/>
  <c r="BB266" i="5"/>
  <c r="BK265" i="5"/>
  <c r="BC265" i="5"/>
  <c r="BK264" i="5"/>
  <c r="BC264" i="5"/>
  <c r="BK263" i="5"/>
  <c r="BC263" i="5"/>
  <c r="BK262" i="5"/>
  <c r="BC262" i="5"/>
  <c r="BL261" i="5"/>
  <c r="BD261" i="5"/>
  <c r="BL260" i="5"/>
  <c r="BD260" i="5"/>
  <c r="BL259" i="5"/>
  <c r="BD259" i="5"/>
  <c r="BL258" i="5"/>
  <c r="BD258" i="5"/>
  <c r="BK257" i="5"/>
  <c r="BC257" i="5"/>
  <c r="BK256" i="5"/>
  <c r="BC256" i="5"/>
  <c r="BK255" i="5"/>
  <c r="BC255" i="5"/>
  <c r="BK254" i="5"/>
  <c r="BC254" i="5"/>
  <c r="BK253" i="5"/>
  <c r="BC253" i="5"/>
  <c r="BK252" i="5"/>
  <c r="BC252" i="5"/>
  <c r="BK251" i="5"/>
  <c r="BC251" i="5"/>
  <c r="BK250" i="5"/>
  <c r="BC250" i="5"/>
  <c r="BK249" i="5"/>
  <c r="BC249" i="5"/>
  <c r="BK248" i="5"/>
  <c r="BC248" i="5"/>
  <c r="BK247" i="5"/>
  <c r="BC247" i="5"/>
  <c r="BI277" i="5"/>
  <c r="BI276" i="5"/>
  <c r="BI275" i="5"/>
  <c r="BI274" i="5"/>
  <c r="BI273" i="5"/>
  <c r="BI272" i="5"/>
  <c r="BI271" i="5"/>
  <c r="BH270" i="5"/>
  <c r="BH269" i="5"/>
  <c r="BH268" i="5"/>
  <c r="BI267" i="5"/>
  <c r="BI266" i="5"/>
  <c r="BJ265" i="5"/>
  <c r="BB265" i="5"/>
  <c r="BJ264" i="5"/>
  <c r="BB264" i="5"/>
  <c r="BJ263" i="5"/>
  <c r="BB263" i="5"/>
  <c r="BJ262" i="5"/>
  <c r="BB262" i="5"/>
  <c r="BK261" i="5"/>
  <c r="BC261" i="5"/>
  <c r="BK260" i="5"/>
  <c r="BC260" i="5"/>
  <c r="BK259" i="5"/>
  <c r="BC259" i="5"/>
  <c r="BK258" i="5"/>
  <c r="BC258" i="5"/>
  <c r="BJ257" i="5"/>
  <c r="BB257" i="5"/>
  <c r="BJ256" i="5"/>
  <c r="BB256" i="5"/>
  <c r="BJ255" i="5"/>
  <c r="BB255" i="5"/>
  <c r="BJ254" i="5"/>
  <c r="BB254" i="5"/>
  <c r="BJ253" i="5"/>
  <c r="BB253" i="5"/>
  <c r="BJ252" i="5"/>
  <c r="BB252" i="5"/>
  <c r="BJ251" i="5"/>
  <c r="BB251" i="5"/>
  <c r="BJ250" i="5"/>
  <c r="BB250" i="5"/>
  <c r="BJ249" i="5"/>
  <c r="BB249" i="5"/>
  <c r="BJ248" i="5"/>
  <c r="BB248" i="5"/>
  <c r="BJ247" i="5"/>
  <c r="BB247" i="5"/>
  <c r="BE277" i="5"/>
  <c r="BH276" i="5"/>
  <c r="BL277" i="5"/>
  <c r="BD276" i="5"/>
  <c r="BG275" i="5"/>
  <c r="BM274" i="5"/>
  <c r="BE273" i="5"/>
  <c r="BH272" i="5"/>
  <c r="BE270" i="5"/>
  <c r="BL269" i="5"/>
  <c r="BE268" i="5"/>
  <c r="BM267" i="5"/>
  <c r="BE266" i="5"/>
  <c r="BI265" i="5"/>
  <c r="BE263" i="5"/>
  <c r="BG262" i="5"/>
  <c r="BJ261" i="5"/>
  <c r="BF259" i="5"/>
  <c r="BH258" i="5"/>
  <c r="BI257" i="5"/>
  <c r="BE255" i="5"/>
  <c r="BG254" i="5"/>
  <c r="BI253" i="5"/>
  <c r="BE251" i="5"/>
  <c r="BG250" i="5"/>
  <c r="BI249" i="5"/>
  <c r="BE247" i="5"/>
  <c r="BM273" i="5"/>
  <c r="BM270" i="5"/>
  <c r="BG267" i="5"/>
  <c r="BH264" i="5"/>
  <c r="BI260" i="5"/>
  <c r="BM255" i="5"/>
  <c r="BF249" i="5"/>
  <c r="BH277" i="5"/>
  <c r="BF275" i="5"/>
  <c r="BL274" i="5"/>
  <c r="BD273" i="5"/>
  <c r="BG272" i="5"/>
  <c r="BM271" i="5"/>
  <c r="BD270" i="5"/>
  <c r="BK269" i="5"/>
  <c r="BD268" i="5"/>
  <c r="BL267" i="5"/>
  <c r="BD266" i="5"/>
  <c r="BH265" i="5"/>
  <c r="BM264" i="5"/>
  <c r="BF262" i="5"/>
  <c r="BI261" i="5"/>
  <c r="BB259" i="5"/>
  <c r="BG258" i="5"/>
  <c r="BH257" i="5"/>
  <c r="BM256" i="5"/>
  <c r="BF254" i="5"/>
  <c r="BH253" i="5"/>
  <c r="BM252" i="5"/>
  <c r="BF250" i="5"/>
  <c r="BH249" i="5"/>
  <c r="BM248" i="5"/>
  <c r="BF277" i="5"/>
  <c r="BG274" i="5"/>
  <c r="BE272" i="5"/>
  <c r="BF269" i="5"/>
  <c r="BM266" i="5"/>
  <c r="BM263" i="5"/>
  <c r="BB258" i="5"/>
  <c r="BF253" i="5"/>
  <c r="BM251" i="5"/>
  <c r="BM247" i="5"/>
  <c r="BG277" i="5"/>
  <c r="BM276" i="5"/>
  <c r="BE275" i="5"/>
  <c r="BH274" i="5"/>
  <c r="BF272" i="5"/>
  <c r="BL271" i="5"/>
  <c r="BC270" i="5"/>
  <c r="BG269" i="5"/>
  <c r="BC268" i="5"/>
  <c r="BH267" i="5"/>
  <c r="BG265" i="5"/>
  <c r="BI264" i="5"/>
  <c r="BE262" i="5"/>
  <c r="BH261" i="5"/>
  <c r="BJ260" i="5"/>
  <c r="BF258" i="5"/>
  <c r="BG257" i="5"/>
  <c r="BI256" i="5"/>
  <c r="BE254" i="5"/>
  <c r="BG253" i="5"/>
  <c r="BI252" i="5"/>
  <c r="BE250" i="5"/>
  <c r="BG249" i="5"/>
  <c r="BI248" i="5"/>
  <c r="BL276" i="5"/>
  <c r="BD275" i="5"/>
  <c r="BH271" i="5"/>
  <c r="BM268" i="5"/>
  <c r="BF265" i="5"/>
  <c r="BG261" i="5"/>
  <c r="BF257" i="5"/>
  <c r="BH256" i="5"/>
  <c r="BH252" i="5"/>
  <c r="BH248" i="5"/>
  <c r="BG247" i="5"/>
  <c r="BF248" i="5"/>
  <c r="BH254" i="5"/>
  <c r="BG255" i="5"/>
  <c r="BF256" i="5"/>
  <c r="BH262" i="5"/>
  <c r="BG263" i="5"/>
  <c r="BF264" i="5"/>
  <c r="BL266" i="5"/>
  <c r="BL268" i="5"/>
  <c r="BM269" i="5"/>
  <c r="BL270" i="5"/>
  <c r="BD277" i="5"/>
  <c r="BH250" i="5"/>
  <c r="BG251" i="5"/>
  <c r="BF252" i="5"/>
  <c r="BJ258" i="5"/>
  <c r="BJ259" i="5"/>
  <c r="BH260" i="5"/>
  <c r="BD271" i="5"/>
  <c r="BD272" i="5"/>
  <c r="BG273" i="5"/>
  <c r="BE274" i="5"/>
  <c r="BM275" i="5"/>
  <c r="BB198" i="5"/>
  <c r="BJ198" i="5"/>
  <c r="BC198" i="5"/>
  <c r="BK198" i="5"/>
  <c r="BD198" i="5"/>
  <c r="BL198" i="5"/>
  <c r="BE198" i="5"/>
  <c r="BM198" i="5"/>
  <c r="BF198" i="5"/>
  <c r="BG198" i="5"/>
  <c r="BH198" i="5"/>
  <c r="BI198" i="5"/>
  <c r="K246" i="5"/>
  <c r="S246" i="5"/>
  <c r="X272" i="5"/>
  <c r="J272" i="5"/>
  <c r="AB198" i="5"/>
  <c r="AJ198" i="5"/>
  <c r="AC198" i="5"/>
  <c r="AD198" i="5"/>
  <c r="AH198" i="5"/>
  <c r="AA198" i="5"/>
  <c r="H60" i="34"/>
  <c r="G60" i="34"/>
  <c r="H28" i="34"/>
  <c r="H59" i="34"/>
  <c r="G59" i="34"/>
  <c r="F6" i="34"/>
  <c r="J4" i="5"/>
  <c r="G50" i="34"/>
  <c r="E82" i="27"/>
  <c r="G54" i="34"/>
  <c r="E86" i="27"/>
  <c r="G58" i="34"/>
  <c r="E90" i="27"/>
  <c r="G30" i="34"/>
  <c r="E62" i="27"/>
  <c r="E68" i="27"/>
  <c r="G36" i="34"/>
  <c r="E73" i="27"/>
  <c r="G41" i="34"/>
  <c r="G48" i="34"/>
  <c r="E80" i="27"/>
  <c r="X59" i="5"/>
  <c r="H52" i="34"/>
  <c r="B5" i="9"/>
  <c r="R102" i="5"/>
  <c r="P101" i="5"/>
  <c r="H101" i="5"/>
  <c r="V100" i="5"/>
  <c r="N100" i="5"/>
  <c r="F100" i="5"/>
  <c r="T99" i="5"/>
  <c r="L99" i="5"/>
  <c r="R98" i="5"/>
  <c r="P97" i="5"/>
  <c r="H97" i="5"/>
  <c r="V96" i="5"/>
  <c r="N96" i="5"/>
  <c r="F96" i="5"/>
  <c r="T95" i="5"/>
  <c r="L95" i="5"/>
  <c r="V102" i="5"/>
  <c r="M102" i="5"/>
  <c r="Q101" i="5"/>
  <c r="G101" i="5"/>
  <c r="T100" i="5"/>
  <c r="O99" i="5"/>
  <c r="F99" i="5"/>
  <c r="T98" i="5"/>
  <c r="W97" i="5"/>
  <c r="N97" i="5"/>
  <c r="E97" i="5"/>
  <c r="R96" i="5"/>
  <c r="I96" i="5"/>
  <c r="V95" i="5"/>
  <c r="M95" i="5"/>
  <c r="R94" i="5"/>
  <c r="P93" i="5"/>
  <c r="H93" i="5"/>
  <c r="V92" i="5"/>
  <c r="N92" i="5"/>
  <c r="F92" i="5"/>
  <c r="T91" i="5"/>
  <c r="N102" i="5"/>
  <c r="O101" i="5"/>
  <c r="E101" i="5"/>
  <c r="Q100" i="5"/>
  <c r="H100" i="5"/>
  <c r="S99" i="5"/>
  <c r="I99" i="5"/>
  <c r="V98" i="5"/>
  <c r="L98" i="5"/>
  <c r="M97" i="5"/>
  <c r="O96" i="5"/>
  <c r="P95" i="5"/>
  <c r="F95" i="5"/>
  <c r="T94" i="5"/>
  <c r="W93" i="5"/>
  <c r="N93" i="5"/>
  <c r="E93" i="5"/>
  <c r="R92" i="5"/>
  <c r="I92" i="5"/>
  <c r="V91" i="5"/>
  <c r="M91" i="5"/>
  <c r="E91" i="5"/>
  <c r="S90" i="5"/>
  <c r="W102" i="5"/>
  <c r="L102" i="5"/>
  <c r="N101" i="5"/>
  <c r="P100" i="5"/>
  <c r="G100" i="5"/>
  <c r="R99" i="5"/>
  <c r="H99" i="5"/>
  <c r="U98" i="5"/>
  <c r="V97" i="5"/>
  <c r="L97" i="5"/>
  <c r="M96" i="5"/>
  <c r="O95" i="5"/>
  <c r="E95" i="5"/>
  <c r="S94" i="5"/>
  <c r="I94" i="5"/>
  <c r="V93" i="5"/>
  <c r="M93" i="5"/>
  <c r="U102" i="5"/>
  <c r="W101" i="5"/>
  <c r="M101" i="5"/>
  <c r="O100" i="5"/>
  <c r="E100" i="5"/>
  <c r="Q99" i="5"/>
  <c r="G99" i="5"/>
  <c r="S98" i="5"/>
  <c r="I98" i="5"/>
  <c r="U97" i="5"/>
  <c r="W96" i="5"/>
  <c r="L96" i="5"/>
  <c r="N95" i="5"/>
  <c r="Q94" i="5"/>
  <c r="H94" i="5"/>
  <c r="U93" i="5"/>
  <c r="L93" i="5"/>
  <c r="P92" i="5"/>
  <c r="G92" i="5"/>
  <c r="S91" i="5"/>
  <c r="Q90" i="5"/>
  <c r="I90" i="5"/>
  <c r="W89" i="5"/>
  <c r="O89" i="5"/>
  <c r="G89" i="5"/>
  <c r="U88" i="5"/>
  <c r="M88" i="5"/>
  <c r="E88" i="5"/>
  <c r="S87" i="5"/>
  <c r="Q86" i="5"/>
  <c r="I86" i="5"/>
  <c r="W85" i="5"/>
  <c r="O85" i="5"/>
  <c r="G85" i="5"/>
  <c r="U84" i="5"/>
  <c r="M84" i="5"/>
  <c r="E84" i="5"/>
  <c r="S83" i="5"/>
  <c r="Q82" i="5"/>
  <c r="I82" i="5"/>
  <c r="W81" i="5"/>
  <c r="O81" i="5"/>
  <c r="G81" i="5"/>
  <c r="U80" i="5"/>
  <c r="M80" i="5"/>
  <c r="E80" i="5"/>
  <c r="S79" i="5"/>
  <c r="R78" i="5"/>
  <c r="P77" i="5"/>
  <c r="H77" i="5"/>
  <c r="U76" i="5"/>
  <c r="M76" i="5"/>
  <c r="T102" i="5"/>
  <c r="I102" i="5"/>
  <c r="V101" i="5"/>
  <c r="L101" i="5"/>
  <c r="M100" i="5"/>
  <c r="P99" i="5"/>
  <c r="E99" i="5"/>
  <c r="Q98" i="5"/>
  <c r="H98" i="5"/>
  <c r="T97" i="5"/>
  <c r="U96" i="5"/>
  <c r="W95" i="5"/>
  <c r="P94" i="5"/>
  <c r="G94" i="5"/>
  <c r="T93" i="5"/>
  <c r="O92" i="5"/>
  <c r="E92" i="5"/>
  <c r="R91" i="5"/>
  <c r="S102" i="5"/>
  <c r="H102" i="5"/>
  <c r="U101" i="5"/>
  <c r="W100" i="5"/>
  <c r="L100" i="5"/>
  <c r="N99" i="5"/>
  <c r="P98" i="5"/>
  <c r="G98" i="5"/>
  <c r="S97" i="5"/>
  <c r="I97" i="5"/>
  <c r="T96" i="5"/>
  <c r="U95" i="5"/>
  <c r="O94" i="5"/>
  <c r="F94" i="5"/>
  <c r="S93" i="5"/>
  <c r="W92" i="5"/>
  <c r="M92" i="5"/>
  <c r="Q91" i="5"/>
  <c r="I91" i="5"/>
  <c r="W90" i="5"/>
  <c r="O90" i="5"/>
  <c r="G90" i="5"/>
  <c r="U89" i="5"/>
  <c r="M89" i="5"/>
  <c r="E89" i="5"/>
  <c r="S88" i="5"/>
  <c r="Q87" i="5"/>
  <c r="I87" i="5"/>
  <c r="W86" i="5"/>
  <c r="O86" i="5"/>
  <c r="G86" i="5"/>
  <c r="U85" i="5"/>
  <c r="M85" i="5"/>
  <c r="E85" i="5"/>
  <c r="S84" i="5"/>
  <c r="Q83" i="5"/>
  <c r="I83" i="5"/>
  <c r="W82" i="5"/>
  <c r="O82" i="5"/>
  <c r="G82" i="5"/>
  <c r="U81" i="5"/>
  <c r="M81" i="5"/>
  <c r="E81" i="5"/>
  <c r="S80" i="5"/>
  <c r="Q79" i="5"/>
  <c r="I79" i="5"/>
  <c r="P78" i="5"/>
  <c r="H78" i="5"/>
  <c r="V77" i="5"/>
  <c r="N77" i="5"/>
  <c r="F77" i="5"/>
  <c r="S76" i="5"/>
  <c r="W75" i="5"/>
  <c r="O102" i="5"/>
  <c r="E102" i="5"/>
  <c r="R101" i="5"/>
  <c r="F101" i="5"/>
  <c r="R100" i="5"/>
  <c r="I100" i="5"/>
  <c r="U99" i="5"/>
  <c r="W98" i="5"/>
  <c r="M98" i="5"/>
  <c r="P5" i="31"/>
  <c r="R5" i="31"/>
  <c r="P5" i="4"/>
  <c r="G75" i="5"/>
  <c r="O75" i="5"/>
  <c r="N76" i="5"/>
  <c r="M77" i="5"/>
  <c r="M78" i="5"/>
  <c r="W78" i="5"/>
  <c r="T79" i="5"/>
  <c r="G80" i="5"/>
  <c r="P80" i="5"/>
  <c r="P81" i="5"/>
  <c r="N82" i="5"/>
  <c r="L83" i="5"/>
  <c r="V83" i="5"/>
  <c r="I84" i="5"/>
  <c r="R84" i="5"/>
  <c r="H85" i="5"/>
  <c r="R85" i="5"/>
  <c r="F86" i="5"/>
  <c r="R86" i="5"/>
  <c r="E87" i="5"/>
  <c r="N87" i="5"/>
  <c r="V88" i="5"/>
  <c r="T89" i="5"/>
  <c r="U90" i="5"/>
  <c r="L91" i="5"/>
  <c r="U92" i="5"/>
  <c r="Q93" i="5"/>
  <c r="N94" i="5"/>
  <c r="I95" i="5"/>
  <c r="G96" i="5"/>
  <c r="F97" i="5"/>
  <c r="E98" i="5"/>
  <c r="S100" i="5"/>
  <c r="T101" i="5"/>
  <c r="X30" i="5"/>
  <c r="H29" i="34"/>
  <c r="G26" i="5"/>
  <c r="E65" i="27"/>
  <c r="G33" i="34"/>
  <c r="K4" i="5"/>
  <c r="E81" i="27"/>
  <c r="G49" i="34"/>
  <c r="E85" i="27"/>
  <c r="G53" i="34"/>
  <c r="E89" i="27"/>
  <c r="G57" i="34"/>
  <c r="H75" i="5"/>
  <c r="P75" i="5"/>
  <c r="O76" i="5"/>
  <c r="O77" i="5"/>
  <c r="N78" i="5"/>
  <c r="U79" i="5"/>
  <c r="H80" i="5"/>
  <c r="Q80" i="5"/>
  <c r="F81" i="5"/>
  <c r="Q81" i="5"/>
  <c r="E82" i="5"/>
  <c r="P82" i="5"/>
  <c r="M83" i="5"/>
  <c r="W83" i="5"/>
  <c r="T84" i="5"/>
  <c r="I85" i="5"/>
  <c r="S85" i="5"/>
  <c r="H86" i="5"/>
  <c r="S86" i="5"/>
  <c r="F87" i="5"/>
  <c r="O87" i="5"/>
  <c r="L88" i="5"/>
  <c r="W88" i="5"/>
  <c r="G103" i="34"/>
  <c r="E167" i="27"/>
  <c r="V89" i="5"/>
  <c r="V90" i="5"/>
  <c r="N91" i="5"/>
  <c r="H92" i="5"/>
  <c r="R93" i="5"/>
  <c r="U94" i="5"/>
  <c r="H96" i="5"/>
  <c r="G97" i="5"/>
  <c r="F98" i="5"/>
  <c r="M99" i="5"/>
  <c r="U100" i="5"/>
  <c r="R104" i="5"/>
  <c r="O105" i="5"/>
  <c r="M106" i="5"/>
  <c r="Q111" i="5"/>
  <c r="X5" i="5"/>
  <c r="E61" i="27"/>
  <c r="G29" i="34"/>
  <c r="G32" i="34"/>
  <c r="E64" i="27"/>
  <c r="G35" i="34"/>
  <c r="E67" i="27"/>
  <c r="E71" i="27"/>
  <c r="G39" i="34"/>
  <c r="G40" i="34"/>
  <c r="E72" i="27"/>
  <c r="E76" i="27"/>
  <c r="G44" i="34"/>
  <c r="E79" i="27"/>
  <c r="G47" i="34"/>
  <c r="I75" i="5"/>
  <c r="Q75" i="5"/>
  <c r="E76" i="5"/>
  <c r="P76" i="5"/>
  <c r="E77" i="5"/>
  <c r="Q77" i="5"/>
  <c r="E78" i="5"/>
  <c r="O78" i="5"/>
  <c r="L79" i="5"/>
  <c r="V79" i="5"/>
  <c r="I80" i="5"/>
  <c r="R80" i="5"/>
  <c r="H81" i="5"/>
  <c r="R81" i="5"/>
  <c r="F82" i="5"/>
  <c r="R82" i="5"/>
  <c r="E83" i="5"/>
  <c r="N83" i="5"/>
  <c r="V84" i="5"/>
  <c r="T85" i="5"/>
  <c r="T86" i="5"/>
  <c r="G87" i="5"/>
  <c r="P87" i="5"/>
  <c r="N88" i="5"/>
  <c r="L89" i="5"/>
  <c r="L90" i="5"/>
  <c r="O91" i="5"/>
  <c r="V94" i="5"/>
  <c r="Q95" i="5"/>
  <c r="V99" i="5"/>
  <c r="B6" i="9"/>
  <c r="BJ120" i="5"/>
  <c r="BB120" i="5"/>
  <c r="S120" i="5"/>
  <c r="BL119" i="5"/>
  <c r="BD119" i="5"/>
  <c r="U119" i="5"/>
  <c r="M119" i="5"/>
  <c r="E119" i="5"/>
  <c r="BF118" i="5"/>
  <c r="W118" i="5"/>
  <c r="O118" i="5"/>
  <c r="G118" i="5"/>
  <c r="BH117" i="5"/>
  <c r="P117" i="5"/>
  <c r="H117" i="5"/>
  <c r="BI116" i="5"/>
  <c r="P116" i="5"/>
  <c r="G116" i="5"/>
  <c r="BI115" i="5"/>
  <c r="R115" i="5"/>
  <c r="BK114" i="5"/>
  <c r="BC114" i="5"/>
  <c r="T114" i="5"/>
  <c r="L114" i="5"/>
  <c r="BM113" i="5"/>
  <c r="BE113" i="5"/>
  <c r="V113" i="5"/>
  <c r="N113" i="5"/>
  <c r="F113" i="5"/>
  <c r="BG112" i="5"/>
  <c r="P112" i="5"/>
  <c r="H112" i="5"/>
  <c r="BI111" i="5"/>
  <c r="R111" i="5"/>
  <c r="BK110" i="5"/>
  <c r="BC110" i="5"/>
  <c r="T110" i="5"/>
  <c r="L110" i="5"/>
  <c r="BM109" i="5"/>
  <c r="BE109" i="5"/>
  <c r="V109" i="5"/>
  <c r="N109" i="5"/>
  <c r="F109" i="5"/>
  <c r="BG108" i="5"/>
  <c r="P108" i="5"/>
  <c r="H108" i="5"/>
  <c r="BI107" i="5"/>
  <c r="R107" i="5"/>
  <c r="BK106" i="5"/>
  <c r="BC106" i="5"/>
  <c r="BF120" i="5"/>
  <c r="V120" i="5"/>
  <c r="M120" i="5"/>
  <c r="E120" i="5"/>
  <c r="BE119" i="5"/>
  <c r="T119" i="5"/>
  <c r="BK118" i="5"/>
  <c r="R118" i="5"/>
  <c r="I118" i="5"/>
  <c r="BI117" i="5"/>
  <c r="W117" i="5"/>
  <c r="N117" i="5"/>
  <c r="E117" i="5"/>
  <c r="BE116" i="5"/>
  <c r="T116" i="5"/>
  <c r="BK115" i="5"/>
  <c r="BB115" i="5"/>
  <c r="S115" i="5"/>
  <c r="I115" i="5"/>
  <c r="BI114" i="5"/>
  <c r="P114" i="5"/>
  <c r="G114" i="5"/>
  <c r="BG113" i="5"/>
  <c r="W113" i="5"/>
  <c r="M113" i="5"/>
  <c r="BM112" i="5"/>
  <c r="BD112" i="5"/>
  <c r="T112" i="5"/>
  <c r="BK111" i="5"/>
  <c r="BB111" i="5"/>
  <c r="S111" i="5"/>
  <c r="I111" i="5"/>
  <c r="BI110" i="5"/>
  <c r="P110" i="5"/>
  <c r="G110" i="5"/>
  <c r="BG109" i="5"/>
  <c r="W109" i="5"/>
  <c r="M109" i="5"/>
  <c r="BM108" i="5"/>
  <c r="BD108" i="5"/>
  <c r="T108" i="5"/>
  <c r="BK107" i="5"/>
  <c r="BB107" i="5"/>
  <c r="S107" i="5"/>
  <c r="I107" i="5"/>
  <c r="BI106" i="5"/>
  <c r="Q106" i="5"/>
  <c r="I106" i="5"/>
  <c r="BJ105" i="5"/>
  <c r="BB105" i="5"/>
  <c r="S105" i="5"/>
  <c r="BL104" i="5"/>
  <c r="BD104" i="5"/>
  <c r="U104" i="5"/>
  <c r="M104" i="5"/>
  <c r="E104" i="5"/>
  <c r="BM120" i="5"/>
  <c r="BD120" i="5"/>
  <c r="T120" i="5"/>
  <c r="BK119" i="5"/>
  <c r="BB119" i="5"/>
  <c r="R119" i="5"/>
  <c r="I119" i="5"/>
  <c r="BI118" i="5"/>
  <c r="P118" i="5"/>
  <c r="F118" i="5"/>
  <c r="BF117" i="5"/>
  <c r="U117" i="5"/>
  <c r="L117" i="5"/>
  <c r="BL116" i="5"/>
  <c r="BC116" i="5"/>
  <c r="R116" i="5"/>
  <c r="H116" i="5"/>
  <c r="BH115" i="5"/>
  <c r="BI120" i="5"/>
  <c r="P120" i="5"/>
  <c r="H120" i="5"/>
  <c r="BH119" i="5"/>
  <c r="O119" i="5"/>
  <c r="F119" i="5"/>
  <c r="BE118" i="5"/>
  <c r="U118" i="5"/>
  <c r="L118" i="5"/>
  <c r="BL117" i="5"/>
  <c r="BC117" i="5"/>
  <c r="R117" i="5"/>
  <c r="I117" i="5"/>
  <c r="BH116" i="5"/>
  <c r="W116" i="5"/>
  <c r="N116" i="5"/>
  <c r="BE115" i="5"/>
  <c r="V115" i="5"/>
  <c r="M115" i="5"/>
  <c r="BM114" i="5"/>
  <c r="BD114" i="5"/>
  <c r="S114" i="5"/>
  <c r="BJ113" i="5"/>
  <c r="Q113" i="5"/>
  <c r="H113" i="5"/>
  <c r="BH112" i="5"/>
  <c r="W112" i="5"/>
  <c r="N112" i="5"/>
  <c r="E112" i="5"/>
  <c r="BE111" i="5"/>
  <c r="V111" i="5"/>
  <c r="M111" i="5"/>
  <c r="BM110" i="5"/>
  <c r="BD110" i="5"/>
  <c r="S110" i="5"/>
  <c r="BJ109" i="5"/>
  <c r="Q109" i="5"/>
  <c r="H109" i="5"/>
  <c r="BH108" i="5"/>
  <c r="W108" i="5"/>
  <c r="N108" i="5"/>
  <c r="E108" i="5"/>
  <c r="BE107" i="5"/>
  <c r="V107" i="5"/>
  <c r="M107" i="5"/>
  <c r="BM106" i="5"/>
  <c r="BE120" i="5"/>
  <c r="Q120" i="5"/>
  <c r="F120" i="5"/>
  <c r="BG118" i="5"/>
  <c r="S118" i="5"/>
  <c r="BM117" i="5"/>
  <c r="V117" i="5"/>
  <c r="G117" i="5"/>
  <c r="BB116" i="5"/>
  <c r="L116" i="5"/>
  <c r="BG115" i="5"/>
  <c r="U115" i="5"/>
  <c r="H115" i="5"/>
  <c r="BF114" i="5"/>
  <c r="U114" i="5"/>
  <c r="H114" i="5"/>
  <c r="BD113" i="5"/>
  <c r="S113" i="5"/>
  <c r="G113" i="5"/>
  <c r="BC112" i="5"/>
  <c r="Q112" i="5"/>
  <c r="F112" i="5"/>
  <c r="BC111" i="5"/>
  <c r="P111" i="5"/>
  <c r="E111" i="5"/>
  <c r="O110" i="5"/>
  <c r="BL109" i="5"/>
  <c r="O109" i="5"/>
  <c r="BK108" i="5"/>
  <c r="BC120" i="5"/>
  <c r="O120" i="5"/>
  <c r="BM119" i="5"/>
  <c r="W119" i="5"/>
  <c r="BD118" i="5"/>
  <c r="Q118" i="5"/>
  <c r="BK117" i="5"/>
  <c r="T117" i="5"/>
  <c r="F117" i="5"/>
  <c r="BF115" i="5"/>
  <c r="T115" i="5"/>
  <c r="G115" i="5"/>
  <c r="BE114" i="5"/>
  <c r="R114" i="5"/>
  <c r="F114" i="5"/>
  <c r="BC113" i="5"/>
  <c r="R113" i="5"/>
  <c r="E113" i="5"/>
  <c r="BB112" i="5"/>
  <c r="O112" i="5"/>
  <c r="BM111" i="5"/>
  <c r="O111" i="5"/>
  <c r="BL110" i="5"/>
  <c r="N110" i="5"/>
  <c r="BK109" i="5"/>
  <c r="L109" i="5"/>
  <c r="BJ108" i="5"/>
  <c r="V108" i="5"/>
  <c r="BH107" i="5"/>
  <c r="W107" i="5"/>
  <c r="BG106" i="5"/>
  <c r="W106" i="5"/>
  <c r="N106" i="5"/>
  <c r="E106" i="5"/>
  <c r="BE105" i="5"/>
  <c r="U105" i="5"/>
  <c r="L105" i="5"/>
  <c r="BM104" i="5"/>
  <c r="BC104" i="5"/>
  <c r="S104" i="5"/>
  <c r="N120" i="5"/>
  <c r="BJ119" i="5"/>
  <c r="V119" i="5"/>
  <c r="H119" i="5"/>
  <c r="BC118" i="5"/>
  <c r="N118" i="5"/>
  <c r="BJ117" i="5"/>
  <c r="S117" i="5"/>
  <c r="BM116" i="5"/>
  <c r="V116" i="5"/>
  <c r="I116" i="5"/>
  <c r="BD115" i="5"/>
  <c r="Q115" i="5"/>
  <c r="F115" i="5"/>
  <c r="BB114" i="5"/>
  <c r="Q114" i="5"/>
  <c r="E114" i="5"/>
  <c r="BL120" i="5"/>
  <c r="BG119" i="5"/>
  <c r="Q119" i="5"/>
  <c r="BM118" i="5"/>
  <c r="BE117" i="5"/>
  <c r="O117" i="5"/>
  <c r="BJ116" i="5"/>
  <c r="S116" i="5"/>
  <c r="E116" i="5"/>
  <c r="O115" i="5"/>
  <c r="BL114" i="5"/>
  <c r="N114" i="5"/>
  <c r="BK113" i="5"/>
  <c r="L113" i="5"/>
  <c r="BJ112" i="5"/>
  <c r="V112" i="5"/>
  <c r="BH111" i="5"/>
  <c r="W111" i="5"/>
  <c r="BG110" i="5"/>
  <c r="V110" i="5"/>
  <c r="I110" i="5"/>
  <c r="BF109" i="5"/>
  <c r="T109" i="5"/>
  <c r="I109" i="5"/>
  <c r="BE108" i="5"/>
  <c r="R108" i="5"/>
  <c r="G108" i="5"/>
  <c r="BD107" i="5"/>
  <c r="Q107" i="5"/>
  <c r="F107" i="5"/>
  <c r="BD106" i="5"/>
  <c r="T106" i="5"/>
  <c r="BK105" i="5"/>
  <c r="BH120" i="5"/>
  <c r="U120" i="5"/>
  <c r="I120" i="5"/>
  <c r="BC119" i="5"/>
  <c r="N119" i="5"/>
  <c r="BJ118" i="5"/>
  <c r="V118" i="5"/>
  <c r="H118" i="5"/>
  <c r="BB117" i="5"/>
  <c r="BF116" i="5"/>
  <c r="O116" i="5"/>
  <c r="BL115" i="5"/>
  <c r="L115" i="5"/>
  <c r="BH114" i="5"/>
  <c r="W114" i="5"/>
  <c r="BH113" i="5"/>
  <c r="U113" i="5"/>
  <c r="BF112" i="5"/>
  <c r="S112" i="5"/>
  <c r="I112" i="5"/>
  <c r="BF111" i="5"/>
  <c r="T111" i="5"/>
  <c r="G111" i="5"/>
  <c r="BE110" i="5"/>
  <c r="R110" i="5"/>
  <c r="F110" i="5"/>
  <c r="BC109" i="5"/>
  <c r="R109" i="5"/>
  <c r="E109" i="5"/>
  <c r="BB108" i="5"/>
  <c r="O108" i="5"/>
  <c r="BM107" i="5"/>
  <c r="O107" i="5"/>
  <c r="BL106" i="5"/>
  <c r="W120" i="5"/>
  <c r="BH118" i="5"/>
  <c r="E118" i="5"/>
  <c r="BK116" i="5"/>
  <c r="F116" i="5"/>
  <c r="N115" i="5"/>
  <c r="V114" i="5"/>
  <c r="BB113" i="5"/>
  <c r="I113" i="5"/>
  <c r="R112" i="5"/>
  <c r="BG111" i="5"/>
  <c r="L111" i="5"/>
  <c r="H110" i="5"/>
  <c r="BI108" i="5"/>
  <c r="M108" i="5"/>
  <c r="BG107" i="5"/>
  <c r="P107" i="5"/>
  <c r="BH106" i="5"/>
  <c r="U106" i="5"/>
  <c r="BG105" i="5"/>
  <c r="V105" i="5"/>
  <c r="BJ104" i="5"/>
  <c r="O104" i="5"/>
  <c r="R120" i="5"/>
  <c r="BG117" i="5"/>
  <c r="BG116" i="5"/>
  <c r="BM115" i="5"/>
  <c r="O114" i="5"/>
  <c r="BL112" i="5"/>
  <c r="M112" i="5"/>
  <c r="BD111" i="5"/>
  <c r="E110" i="5"/>
  <c r="U109" i="5"/>
  <c r="BF108" i="5"/>
  <c r="L108" i="5"/>
  <c r="BF107" i="5"/>
  <c r="N107" i="5"/>
  <c r="BF106" i="5"/>
  <c r="S106" i="5"/>
  <c r="H106" i="5"/>
  <c r="BF105" i="5"/>
  <c r="T105" i="5"/>
  <c r="BI104" i="5"/>
  <c r="N104" i="5"/>
  <c r="L120" i="5"/>
  <c r="S119" i="5"/>
  <c r="BD117" i="5"/>
  <c r="BD116" i="5"/>
  <c r="BJ115" i="5"/>
  <c r="E115" i="5"/>
  <c r="M114" i="5"/>
  <c r="BK112" i="5"/>
  <c r="L112" i="5"/>
  <c r="H111" i="5"/>
  <c r="BI109" i="5"/>
  <c r="S109" i="5"/>
  <c r="BC108" i="5"/>
  <c r="BC107" i="5"/>
  <c r="L107" i="5"/>
  <c r="BE106" i="5"/>
  <c r="R106" i="5"/>
  <c r="G106" i="5"/>
  <c r="BD105" i="5"/>
  <c r="R105" i="5"/>
  <c r="I105" i="5"/>
  <c r="BH104" i="5"/>
  <c r="W104" i="5"/>
  <c r="L104" i="5"/>
  <c r="P119" i="5"/>
  <c r="BC115" i="5"/>
  <c r="BJ114" i="5"/>
  <c r="BI112" i="5"/>
  <c r="F111" i="5"/>
  <c r="W110" i="5"/>
  <c r="BH109" i="5"/>
  <c r="P109" i="5"/>
  <c r="BB106" i="5"/>
  <c r="P106" i="5"/>
  <c r="F106" i="5"/>
  <c r="BC105" i="5"/>
  <c r="Q105" i="5"/>
  <c r="H105" i="5"/>
  <c r="BG104" i="5"/>
  <c r="V104" i="5"/>
  <c r="BK120" i="5"/>
  <c r="L119" i="5"/>
  <c r="T118" i="5"/>
  <c r="Q117" i="5"/>
  <c r="U116" i="5"/>
  <c r="BG114" i="5"/>
  <c r="I114" i="5"/>
  <c r="T113" i="5"/>
  <c r="BE112" i="5"/>
  <c r="BJ110" i="5"/>
  <c r="U110" i="5"/>
  <c r="BD109" i="5"/>
  <c r="I108" i="5"/>
  <c r="H107" i="5"/>
  <c r="O106" i="5"/>
  <c r="BM105" i="5"/>
  <c r="P105" i="5"/>
  <c r="G105" i="5"/>
  <c r="BF104" i="5"/>
  <c r="T104" i="5"/>
  <c r="I104" i="5"/>
  <c r="BF119" i="5"/>
  <c r="BL118" i="5"/>
  <c r="P115" i="5"/>
  <c r="BF113" i="5"/>
  <c r="U112" i="5"/>
  <c r="BJ111" i="5"/>
  <c r="N111" i="5"/>
  <c r="BB110" i="5"/>
  <c r="BL108" i="5"/>
  <c r="Q108" i="5"/>
  <c r="BJ107" i="5"/>
  <c r="T107" i="5"/>
  <c r="BJ106" i="5"/>
  <c r="V106" i="5"/>
  <c r="BH105" i="5"/>
  <c r="W105" i="5"/>
  <c r="M105" i="5"/>
  <c r="BK104" i="5"/>
  <c r="P104" i="5"/>
  <c r="F104" i="5"/>
  <c r="M110" i="5"/>
  <c r="U111" i="5"/>
  <c r="Q116" i="5"/>
  <c r="E60" i="27"/>
  <c r="G28" i="34"/>
  <c r="E4" i="5"/>
  <c r="J26" i="5"/>
  <c r="E84" i="27"/>
  <c r="G52" i="34"/>
  <c r="G56" i="34"/>
  <c r="E88" i="27"/>
  <c r="R75" i="5"/>
  <c r="F76" i="5"/>
  <c r="Q76" i="5"/>
  <c r="G77" i="5"/>
  <c r="R77" i="5"/>
  <c r="F78" i="5"/>
  <c r="Q78" i="5"/>
  <c r="M79" i="5"/>
  <c r="W79" i="5"/>
  <c r="T80" i="5"/>
  <c r="I81" i="5"/>
  <c r="S81" i="5"/>
  <c r="H82" i="5"/>
  <c r="S82" i="5"/>
  <c r="F83" i="5"/>
  <c r="O83" i="5"/>
  <c r="L84" i="5"/>
  <c r="W84" i="5"/>
  <c r="G99" i="34"/>
  <c r="E163" i="27"/>
  <c r="V85" i="5"/>
  <c r="G100" i="34"/>
  <c r="E164" i="27"/>
  <c r="U86" i="5"/>
  <c r="H87" i="5"/>
  <c r="R87" i="5"/>
  <c r="F88" i="5"/>
  <c r="O88" i="5"/>
  <c r="N89" i="5"/>
  <c r="M90" i="5"/>
  <c r="P91" i="5"/>
  <c r="E170" i="27"/>
  <c r="G106" i="34"/>
  <c r="F93" i="5"/>
  <c r="W94" i="5"/>
  <c r="R95" i="5"/>
  <c r="P96" i="5"/>
  <c r="O97" i="5"/>
  <c r="N98" i="5"/>
  <c r="W99" i="5"/>
  <c r="F102" i="5"/>
  <c r="BB104" i="5"/>
  <c r="G109" i="5"/>
  <c r="Q110" i="5"/>
  <c r="O113" i="5"/>
  <c r="G119" i="5"/>
  <c r="K26" i="5"/>
  <c r="E63" i="27"/>
  <c r="G31" i="34"/>
  <c r="G34" i="34"/>
  <c r="E66" i="27"/>
  <c r="G38" i="34"/>
  <c r="E70" i="27"/>
  <c r="G43" i="34"/>
  <c r="E75" i="27"/>
  <c r="G46" i="34"/>
  <c r="E78" i="27"/>
  <c r="S75" i="5"/>
  <c r="G76" i="5"/>
  <c r="R76" i="5"/>
  <c r="I77" i="5"/>
  <c r="S77" i="5"/>
  <c r="G78" i="5"/>
  <c r="S78" i="5"/>
  <c r="E79" i="5"/>
  <c r="N79" i="5"/>
  <c r="V80" i="5"/>
  <c r="T81" i="5"/>
  <c r="T82" i="5"/>
  <c r="G83" i="5"/>
  <c r="P83" i="5"/>
  <c r="N84" i="5"/>
  <c r="L85" i="5"/>
  <c r="L86" i="5"/>
  <c r="V86" i="5"/>
  <c r="T87" i="5"/>
  <c r="G88" i="5"/>
  <c r="P88" i="5"/>
  <c r="P89" i="5"/>
  <c r="N90" i="5"/>
  <c r="F91" i="5"/>
  <c r="U91" i="5"/>
  <c r="L92" i="5"/>
  <c r="G93" i="5"/>
  <c r="E94" i="5"/>
  <c r="J94" i="5"/>
  <c r="F108" i="34"/>
  <c r="S95" i="5"/>
  <c r="Q96" i="5"/>
  <c r="Q97" i="5"/>
  <c r="O98" i="5"/>
  <c r="I101" i="5"/>
  <c r="G102" i="5"/>
  <c r="BE104" i="5"/>
  <c r="BL107" i="5"/>
  <c r="P113" i="5"/>
  <c r="BG120" i="5"/>
  <c r="Y208" i="5"/>
  <c r="Y134" i="5"/>
  <c r="L26" i="5"/>
  <c r="G51" i="34"/>
  <c r="E83" i="27"/>
  <c r="E87" i="27"/>
  <c r="G55" i="34"/>
  <c r="L75" i="5"/>
  <c r="T75" i="5"/>
  <c r="H76" i="5"/>
  <c r="T76" i="5"/>
  <c r="T77" i="5"/>
  <c r="I78" i="5"/>
  <c r="T78" i="5"/>
  <c r="F79" i="5"/>
  <c r="O79" i="5"/>
  <c r="L80" i="5"/>
  <c r="W80" i="5"/>
  <c r="G95" i="34"/>
  <c r="E159" i="27"/>
  <c r="V81" i="5"/>
  <c r="E160" i="27"/>
  <c r="G96" i="34"/>
  <c r="U82" i="5"/>
  <c r="H83" i="5"/>
  <c r="R83" i="5"/>
  <c r="F84" i="5"/>
  <c r="O84" i="5"/>
  <c r="N85" i="5"/>
  <c r="M86" i="5"/>
  <c r="U87" i="5"/>
  <c r="H88" i="5"/>
  <c r="Q88" i="5"/>
  <c r="F89" i="5"/>
  <c r="Q89" i="5"/>
  <c r="E90" i="5"/>
  <c r="P90" i="5"/>
  <c r="G91" i="5"/>
  <c r="W91" i="5"/>
  <c r="Q92" i="5"/>
  <c r="I93" i="5"/>
  <c r="S96" i="5"/>
  <c r="R97" i="5"/>
  <c r="G104" i="5"/>
  <c r="E105" i="5"/>
  <c r="BI105" i="5"/>
  <c r="E107" i="5"/>
  <c r="F108" i="5"/>
  <c r="BL111" i="5"/>
  <c r="W115" i="5"/>
  <c r="M117" i="5"/>
  <c r="E69" i="27"/>
  <c r="G37" i="34"/>
  <c r="G42" i="34"/>
  <c r="E74" i="27"/>
  <c r="E77" i="27"/>
  <c r="G45" i="34"/>
  <c r="E75" i="5"/>
  <c r="M75" i="5"/>
  <c r="U75" i="5"/>
  <c r="I76" i="5"/>
  <c r="V76" i="5"/>
  <c r="G91" i="34"/>
  <c r="E155" i="27"/>
  <c r="U77" i="5"/>
  <c r="G92" i="34"/>
  <c r="E156" i="27"/>
  <c r="U78" i="5"/>
  <c r="G79" i="5"/>
  <c r="P79" i="5"/>
  <c r="N80" i="5"/>
  <c r="L81" i="5"/>
  <c r="L82" i="5"/>
  <c r="V82" i="5"/>
  <c r="T83" i="5"/>
  <c r="G84" i="5"/>
  <c r="P84" i="5"/>
  <c r="P85" i="5"/>
  <c r="N86" i="5"/>
  <c r="L87" i="5"/>
  <c r="V87" i="5"/>
  <c r="I88" i="5"/>
  <c r="R88" i="5"/>
  <c r="H89" i="5"/>
  <c r="R89" i="5"/>
  <c r="F90" i="5"/>
  <c r="R90" i="5"/>
  <c r="H91" i="5"/>
  <c r="S92" i="5"/>
  <c r="L94" i="5"/>
  <c r="G95" i="5"/>
  <c r="P102" i="5"/>
  <c r="H104" i="5"/>
  <c r="F105" i="5"/>
  <c r="BL105" i="5"/>
  <c r="G107" i="5"/>
  <c r="BF110" i="5"/>
  <c r="G112" i="5"/>
  <c r="E158" i="27"/>
  <c r="G94" i="34"/>
  <c r="E162" i="27"/>
  <c r="G98" i="34"/>
  <c r="E166" i="27"/>
  <c r="G102" i="34"/>
  <c r="G107" i="34"/>
  <c r="E171" i="27"/>
  <c r="E157" i="27"/>
  <c r="G93" i="34"/>
  <c r="G97" i="34"/>
  <c r="E161" i="27"/>
  <c r="E165" i="27"/>
  <c r="G101" i="34"/>
  <c r="G105" i="34"/>
  <c r="E169" i="27"/>
  <c r="E168" i="27"/>
  <c r="G104" i="34"/>
  <c r="D104" i="5"/>
  <c r="D103" i="5"/>
  <c r="E93" i="27"/>
  <c r="E45" i="27"/>
  <c r="E51" i="27"/>
  <c r="D110" i="27"/>
  <c r="D93" i="27"/>
  <c r="D89" i="27"/>
  <c r="D85" i="27"/>
  <c r="D81" i="27"/>
  <c r="D77" i="27"/>
  <c r="D73" i="27"/>
  <c r="D69" i="27"/>
  <c r="D65" i="27"/>
  <c r="D61" i="27"/>
  <c r="D48" i="27"/>
  <c r="D45" i="27"/>
  <c r="D41" i="27"/>
  <c r="D37" i="27"/>
  <c r="E14" i="34"/>
  <c r="D113" i="27"/>
  <c r="D109" i="27"/>
  <c r="E69" i="34"/>
  <c r="M69" i="34"/>
  <c r="D95" i="27"/>
  <c r="D92" i="27"/>
  <c r="D88" i="27"/>
  <c r="D84" i="27"/>
  <c r="D80" i="27"/>
  <c r="D76" i="27"/>
  <c r="D72" i="27"/>
  <c r="D68" i="27"/>
  <c r="D64" i="27"/>
  <c r="D60" i="27"/>
  <c r="D47" i="27"/>
  <c r="D44" i="27"/>
  <c r="D40" i="27"/>
  <c r="E17" i="34"/>
  <c r="D36" i="27"/>
  <c r="E13" i="34"/>
  <c r="D112" i="27"/>
  <c r="D108" i="27"/>
  <c r="D94" i="27"/>
  <c r="D91" i="27"/>
  <c r="D87" i="27"/>
  <c r="D83" i="27"/>
  <c r="D79" i="27"/>
  <c r="D75" i="27"/>
  <c r="D71" i="27"/>
  <c r="D67" i="27"/>
  <c r="D63" i="27"/>
  <c r="D46" i="27"/>
  <c r="D43" i="27"/>
  <c r="E20" i="34"/>
  <c r="D39" i="27"/>
  <c r="E16" i="34"/>
  <c r="G93" i="27"/>
  <c r="G45" i="27"/>
  <c r="D111" i="27"/>
  <c r="D107" i="27"/>
  <c r="F93" i="27"/>
  <c r="D90" i="27"/>
  <c r="D86" i="27"/>
  <c r="D82" i="27"/>
  <c r="D78" i="27"/>
  <c r="D74" i="27"/>
  <c r="D70" i="27"/>
  <c r="D66" i="27"/>
  <c r="D62" i="27"/>
  <c r="D49" i="27"/>
  <c r="F45" i="27"/>
  <c r="D42" i="27"/>
  <c r="D38" i="27"/>
  <c r="E15" i="34"/>
  <c r="D30" i="27"/>
  <c r="Y104" i="5"/>
  <c r="Y103" i="5"/>
  <c r="P6" i="9"/>
  <c r="F8" i="27"/>
  <c r="E133" i="27"/>
  <c r="G81" i="34"/>
  <c r="K121" i="5"/>
  <c r="P7" i="4"/>
  <c r="R7" i="4"/>
  <c r="F122" i="5"/>
  <c r="V122" i="5"/>
  <c r="M123" i="5"/>
  <c r="E124" i="5"/>
  <c r="R124" i="5"/>
  <c r="G125" i="5"/>
  <c r="R125" i="5"/>
  <c r="I126" i="5"/>
  <c r="N127" i="5"/>
  <c r="F128" i="5"/>
  <c r="N129" i="5"/>
  <c r="G130" i="5"/>
  <c r="P131" i="5"/>
  <c r="T132" i="5"/>
  <c r="Q133" i="5"/>
  <c r="R123" i="5"/>
  <c r="H124" i="5"/>
  <c r="U124" i="5"/>
  <c r="V125" i="5"/>
  <c r="N126" i="5"/>
  <c r="S127" i="5"/>
  <c r="T129" i="5"/>
  <c r="V131" i="5"/>
  <c r="B7" i="9"/>
  <c r="S133" i="5"/>
  <c r="Q132" i="5"/>
  <c r="I132" i="5"/>
  <c r="W131" i="5"/>
  <c r="O131" i="5"/>
  <c r="G131" i="5"/>
  <c r="U130" i="5"/>
  <c r="M130" i="5"/>
  <c r="E130" i="5"/>
  <c r="S129" i="5"/>
  <c r="Q128" i="5"/>
  <c r="I128" i="5"/>
  <c r="W127" i="5"/>
  <c r="O127" i="5"/>
  <c r="G127" i="5"/>
  <c r="U126" i="5"/>
  <c r="M126" i="5"/>
  <c r="E126" i="5"/>
  <c r="S125" i="5"/>
  <c r="Q124" i="5"/>
  <c r="I124" i="5"/>
  <c r="W123" i="5"/>
  <c r="O123" i="5"/>
  <c r="G123" i="5"/>
  <c r="T122" i="5"/>
  <c r="L122" i="5"/>
  <c r="W133" i="5"/>
  <c r="O133" i="5"/>
  <c r="G133" i="5"/>
  <c r="U132" i="5"/>
  <c r="M132" i="5"/>
  <c r="E132" i="5"/>
  <c r="S131" i="5"/>
  <c r="P133" i="5"/>
  <c r="F133" i="5"/>
  <c r="S132" i="5"/>
  <c r="H132" i="5"/>
  <c r="T131" i="5"/>
  <c r="W130" i="5"/>
  <c r="N130" i="5"/>
  <c r="Q129" i="5"/>
  <c r="I129" i="5"/>
  <c r="W128" i="5"/>
  <c r="N128" i="5"/>
  <c r="E128" i="5"/>
  <c r="R127" i="5"/>
  <c r="I127" i="5"/>
  <c r="V126" i="5"/>
  <c r="L126" i="5"/>
  <c r="P125" i="5"/>
  <c r="H125" i="5"/>
  <c r="V124" i="5"/>
  <c r="M124" i="5"/>
  <c r="Q123" i="5"/>
  <c r="H123" i="5"/>
  <c r="S122" i="5"/>
  <c r="I122" i="5"/>
  <c r="N133" i="5"/>
  <c r="E133" i="5"/>
  <c r="R132" i="5"/>
  <c r="G132" i="5"/>
  <c r="R131" i="5"/>
  <c r="I131" i="5"/>
  <c r="V130" i="5"/>
  <c r="L130" i="5"/>
  <c r="P129" i="5"/>
  <c r="H129" i="5"/>
  <c r="V128" i="5"/>
  <c r="M128" i="5"/>
  <c r="M133" i="5"/>
  <c r="P132" i="5"/>
  <c r="F132" i="5"/>
  <c r="Q131" i="5"/>
  <c r="H131" i="5"/>
  <c r="T130" i="5"/>
  <c r="O129" i="5"/>
  <c r="G129" i="5"/>
  <c r="U128" i="5"/>
  <c r="L128" i="5"/>
  <c r="P127" i="5"/>
  <c r="F127" i="5"/>
  <c r="S126" i="5"/>
  <c r="W125" i="5"/>
  <c r="N125" i="5"/>
  <c r="F125" i="5"/>
  <c r="T124" i="5"/>
  <c r="N123" i="5"/>
  <c r="E123" i="5"/>
  <c r="Q122" i="5"/>
  <c r="G122" i="5"/>
  <c r="V133" i="5"/>
  <c r="L133" i="5"/>
  <c r="O132" i="5"/>
  <c r="T133" i="5"/>
  <c r="W132" i="5"/>
  <c r="L132" i="5"/>
  <c r="M131" i="5"/>
  <c r="Q130" i="5"/>
  <c r="H130" i="5"/>
  <c r="U129" i="5"/>
  <c r="L129" i="5"/>
  <c r="R128" i="5"/>
  <c r="H128" i="5"/>
  <c r="U127" i="5"/>
  <c r="L127" i="5"/>
  <c r="P126" i="5"/>
  <c r="G126" i="5"/>
  <c r="T125" i="5"/>
  <c r="P124" i="5"/>
  <c r="G124" i="5"/>
  <c r="T123" i="5"/>
  <c r="W122" i="5"/>
  <c r="N122" i="5"/>
  <c r="M122" i="5"/>
  <c r="F123" i="5"/>
  <c r="S123" i="5"/>
  <c r="W124" i="5"/>
  <c r="O126" i="5"/>
  <c r="E127" i="5"/>
  <c r="T127" i="5"/>
  <c r="E129" i="5"/>
  <c r="V129" i="5"/>
  <c r="E131" i="5"/>
  <c r="D136" i="5"/>
  <c r="D134" i="5"/>
  <c r="D10" i="27"/>
  <c r="K136" i="5"/>
  <c r="K134" i="5"/>
  <c r="W136" i="5"/>
  <c r="O136" i="5"/>
  <c r="G136" i="5"/>
  <c r="V136" i="5"/>
  <c r="L136" i="5"/>
  <c r="U136" i="5"/>
  <c r="T136" i="5"/>
  <c r="I136" i="5"/>
  <c r="R136" i="5"/>
  <c r="H136" i="5"/>
  <c r="AM136" i="5"/>
  <c r="P136" i="5"/>
  <c r="E136" i="5"/>
  <c r="O122" i="5"/>
  <c r="I123" i="5"/>
  <c r="U123" i="5"/>
  <c r="L125" i="5"/>
  <c r="Q126" i="5"/>
  <c r="H127" i="5"/>
  <c r="V127" i="5"/>
  <c r="O128" i="5"/>
  <c r="F129" i="5"/>
  <c r="W129" i="5"/>
  <c r="O130" i="5"/>
  <c r="F131" i="5"/>
  <c r="F136" i="5"/>
  <c r="P122" i="5"/>
  <c r="V123" i="5"/>
  <c r="L124" i="5"/>
  <c r="M125" i="5"/>
  <c r="R126" i="5"/>
  <c r="P128" i="5"/>
  <c r="P130" i="5"/>
  <c r="H133" i="5"/>
  <c r="M136" i="5"/>
  <c r="R122" i="5"/>
  <c r="N124" i="5"/>
  <c r="O125" i="5"/>
  <c r="F126" i="5"/>
  <c r="T126" i="5"/>
  <c r="S128" i="5"/>
  <c r="R130" i="5"/>
  <c r="L131" i="5"/>
  <c r="I133" i="5"/>
  <c r="N136" i="5"/>
  <c r="J143" i="5"/>
  <c r="L145" i="5"/>
  <c r="T145" i="5"/>
  <c r="G146" i="5"/>
  <c r="J146" i="5"/>
  <c r="O146" i="5"/>
  <c r="W146" i="5"/>
  <c r="R147" i="5"/>
  <c r="E148" i="5"/>
  <c r="M148" i="5"/>
  <c r="U148" i="5"/>
  <c r="H149" i="5"/>
  <c r="J149" i="5"/>
  <c r="P149" i="5"/>
  <c r="S150" i="5"/>
  <c r="F151" i="5"/>
  <c r="J151" i="5"/>
  <c r="N151" i="5"/>
  <c r="V151" i="5"/>
  <c r="I152" i="5"/>
  <c r="Q152" i="5"/>
  <c r="L153" i="5"/>
  <c r="T153" i="5"/>
  <c r="G154" i="5"/>
  <c r="J154" i="5"/>
  <c r="O154" i="5"/>
  <c r="W154" i="5"/>
  <c r="R155" i="5"/>
  <c r="E156" i="5"/>
  <c r="M156" i="5"/>
  <c r="U156" i="5"/>
  <c r="H157" i="5"/>
  <c r="J157" i="5"/>
  <c r="P157" i="5"/>
  <c r="R158" i="5"/>
  <c r="E159" i="5"/>
  <c r="N159" i="5"/>
  <c r="W159" i="5"/>
  <c r="R160" i="5"/>
  <c r="G161" i="5"/>
  <c r="Q161" i="5"/>
  <c r="G162" i="5"/>
  <c r="R162" i="5"/>
  <c r="F163" i="5"/>
  <c r="Q163" i="5"/>
  <c r="E164" i="5"/>
  <c r="P164" i="5"/>
  <c r="N165" i="5"/>
  <c r="M166" i="5"/>
  <c r="O168" i="5"/>
  <c r="F169" i="5"/>
  <c r="U169" i="5"/>
  <c r="Q170" i="5"/>
  <c r="V171" i="5"/>
  <c r="S172" i="5"/>
  <c r="W173" i="5"/>
  <c r="R177" i="5"/>
  <c r="O180" i="5"/>
  <c r="G182" i="5"/>
  <c r="V185" i="5"/>
  <c r="E187" i="5"/>
  <c r="S188" i="5"/>
  <c r="F194" i="5"/>
  <c r="F202" i="5"/>
  <c r="S158" i="5"/>
  <c r="F159" i="5"/>
  <c r="O159" i="5"/>
  <c r="T160" i="5"/>
  <c r="H161" i="5"/>
  <c r="S161" i="5"/>
  <c r="H162" i="5"/>
  <c r="S162" i="5"/>
  <c r="G163" i="5"/>
  <c r="R163" i="5"/>
  <c r="G164" i="5"/>
  <c r="Q164" i="5"/>
  <c r="E165" i="5"/>
  <c r="O165" i="5"/>
  <c r="O166" i="5"/>
  <c r="N167" i="5"/>
  <c r="P168" i="5"/>
  <c r="G169" i="5"/>
  <c r="V169" i="5"/>
  <c r="S170" i="5"/>
  <c r="W171" i="5"/>
  <c r="F175" i="5"/>
  <c r="I179" i="5"/>
  <c r="H184" i="5"/>
  <c r="W190" i="5"/>
  <c r="L160" i="5"/>
  <c r="U160" i="5"/>
  <c r="I161" i="5"/>
  <c r="T161" i="5"/>
  <c r="T162" i="5"/>
  <c r="I163" i="5"/>
  <c r="S163" i="5"/>
  <c r="H164" i="5"/>
  <c r="S164" i="5"/>
  <c r="F165" i="5"/>
  <c r="Q165" i="5"/>
  <c r="E166" i="5"/>
  <c r="P166" i="5"/>
  <c r="O167" i="5"/>
  <c r="Q168" i="5"/>
  <c r="G175" i="5"/>
  <c r="L176" i="5"/>
  <c r="P182" i="5"/>
  <c r="N187" i="5"/>
  <c r="P192" i="5"/>
  <c r="F197" i="5"/>
  <c r="F207" i="5"/>
  <c r="L152" i="5"/>
  <c r="T152" i="5"/>
  <c r="G153" i="5"/>
  <c r="O153" i="5"/>
  <c r="W153" i="5"/>
  <c r="R154" i="5"/>
  <c r="E155" i="5"/>
  <c r="M155" i="5"/>
  <c r="U155" i="5"/>
  <c r="H156" i="5"/>
  <c r="P156" i="5"/>
  <c r="S157" i="5"/>
  <c r="E158" i="5"/>
  <c r="M158" i="5"/>
  <c r="U158" i="5"/>
  <c r="I159" i="5"/>
  <c r="R159" i="5"/>
  <c r="E160" i="5"/>
  <c r="M160" i="5"/>
  <c r="V160" i="5"/>
  <c r="U161" i="5"/>
  <c r="V162" i="5"/>
  <c r="U163" i="5"/>
  <c r="I164" i="5"/>
  <c r="T164" i="5"/>
  <c r="G165" i="5"/>
  <c r="R165" i="5"/>
  <c r="G166" i="5"/>
  <c r="Q166" i="5"/>
  <c r="E167" i="5"/>
  <c r="P167" i="5"/>
  <c r="E168" i="5"/>
  <c r="S168" i="5"/>
  <c r="L169" i="5"/>
  <c r="E173" i="5"/>
  <c r="U176" i="5"/>
  <c r="E178" i="5"/>
  <c r="R179" i="5"/>
  <c r="Q184" i="5"/>
  <c r="I186" i="5"/>
  <c r="W187" i="5"/>
  <c r="I189" i="5"/>
  <c r="B8" i="9"/>
  <c r="R245" i="5"/>
  <c r="P244" i="5"/>
  <c r="H244" i="5"/>
  <c r="V243" i="5"/>
  <c r="N243" i="5"/>
  <c r="F243" i="5"/>
  <c r="T242" i="5"/>
  <c r="L242" i="5"/>
  <c r="R241" i="5"/>
  <c r="P240" i="5"/>
  <c r="H240" i="5"/>
  <c r="V239" i="5"/>
  <c r="N239" i="5"/>
  <c r="F239" i="5"/>
  <c r="T238" i="5"/>
  <c r="L238" i="5"/>
  <c r="R237" i="5"/>
  <c r="P236" i="5"/>
  <c r="H236" i="5"/>
  <c r="V235" i="5"/>
  <c r="N235" i="5"/>
  <c r="F235" i="5"/>
  <c r="T234" i="5"/>
  <c r="L234" i="5"/>
  <c r="P245" i="5"/>
  <c r="H245" i="5"/>
  <c r="V244" i="5"/>
  <c r="N244" i="5"/>
  <c r="F244" i="5"/>
  <c r="T243" i="5"/>
  <c r="L243" i="5"/>
  <c r="R242" i="5"/>
  <c r="P241" i="5"/>
  <c r="H241" i="5"/>
  <c r="V240" i="5"/>
  <c r="N240" i="5"/>
  <c r="F240" i="5"/>
  <c r="T239" i="5"/>
  <c r="L239" i="5"/>
  <c r="R238" i="5"/>
  <c r="P237" i="5"/>
  <c r="H237" i="5"/>
  <c r="V236" i="5"/>
  <c r="N236" i="5"/>
  <c r="F236" i="5"/>
  <c r="T235" i="5"/>
  <c r="L235" i="5"/>
  <c r="R234" i="5"/>
  <c r="P233" i="5"/>
  <c r="H233" i="5"/>
  <c r="V232" i="5"/>
  <c r="N232" i="5"/>
  <c r="F232" i="5"/>
  <c r="T231" i="5"/>
  <c r="L231" i="5"/>
  <c r="R230" i="5"/>
  <c r="P229" i="5"/>
  <c r="H229" i="5"/>
  <c r="V228" i="5"/>
  <c r="N228" i="5"/>
  <c r="F228" i="5"/>
  <c r="T227" i="5"/>
  <c r="L227" i="5"/>
  <c r="R226" i="5"/>
  <c r="V216" i="5"/>
  <c r="N216" i="5"/>
  <c r="F216" i="5"/>
  <c r="T215" i="5"/>
  <c r="L215" i="5"/>
  <c r="W245" i="5"/>
  <c r="O245" i="5"/>
  <c r="G245" i="5"/>
  <c r="U244" i="5"/>
  <c r="M244" i="5"/>
  <c r="E244" i="5"/>
  <c r="S243" i="5"/>
  <c r="Q242" i="5"/>
  <c r="I242" i="5"/>
  <c r="W241" i="5"/>
  <c r="O241" i="5"/>
  <c r="G241" i="5"/>
  <c r="U240" i="5"/>
  <c r="M240" i="5"/>
  <c r="E240" i="5"/>
  <c r="S239" i="5"/>
  <c r="Q238" i="5"/>
  <c r="I238" i="5"/>
  <c r="W237" i="5"/>
  <c r="O237" i="5"/>
  <c r="G237" i="5"/>
  <c r="U236" i="5"/>
  <c r="M236" i="5"/>
  <c r="E236" i="5"/>
  <c r="S235" i="5"/>
  <c r="Q234" i="5"/>
  <c r="I234" i="5"/>
  <c r="W233" i="5"/>
  <c r="O233" i="5"/>
  <c r="G233" i="5"/>
  <c r="U232" i="5"/>
  <c r="M232" i="5"/>
  <c r="E232" i="5"/>
  <c r="S231" i="5"/>
  <c r="Q230" i="5"/>
  <c r="I230" i="5"/>
  <c r="W229" i="5"/>
  <c r="O229" i="5"/>
  <c r="G229" i="5"/>
  <c r="U228" i="5"/>
  <c r="M228" i="5"/>
  <c r="E228" i="5"/>
  <c r="S227" i="5"/>
  <c r="Q226" i="5"/>
  <c r="I226" i="5"/>
  <c r="U216" i="5"/>
  <c r="M216" i="5"/>
  <c r="E216" i="5"/>
  <c r="S215" i="5"/>
  <c r="Q214" i="5"/>
  <c r="I214" i="5"/>
  <c r="W213" i="5"/>
  <c r="O213" i="5"/>
  <c r="V245" i="5"/>
  <c r="N245" i="5"/>
  <c r="F245" i="5"/>
  <c r="T244" i="5"/>
  <c r="L244" i="5"/>
  <c r="R243" i="5"/>
  <c r="P242" i="5"/>
  <c r="H242" i="5"/>
  <c r="V241" i="5"/>
  <c r="N241" i="5"/>
  <c r="F241" i="5"/>
  <c r="T240" i="5"/>
  <c r="L240" i="5"/>
  <c r="R239" i="5"/>
  <c r="P238" i="5"/>
  <c r="H238" i="5"/>
  <c r="V237" i="5"/>
  <c r="N237" i="5"/>
  <c r="F237" i="5"/>
  <c r="T236" i="5"/>
  <c r="L236" i="5"/>
  <c r="R235" i="5"/>
  <c r="P234" i="5"/>
  <c r="H234" i="5"/>
  <c r="V233" i="5"/>
  <c r="N233" i="5"/>
  <c r="F233" i="5"/>
  <c r="T232" i="5"/>
  <c r="L232" i="5"/>
  <c r="R231" i="5"/>
  <c r="P230" i="5"/>
  <c r="H230" i="5"/>
  <c r="V229" i="5"/>
  <c r="N229" i="5"/>
  <c r="F229" i="5"/>
  <c r="T228" i="5"/>
  <c r="L228" i="5"/>
  <c r="R227" i="5"/>
  <c r="P226" i="5"/>
  <c r="H226" i="5"/>
  <c r="T216" i="5"/>
  <c r="L216" i="5"/>
  <c r="R215" i="5"/>
  <c r="P214" i="5"/>
  <c r="H214" i="5"/>
  <c r="V213" i="5"/>
  <c r="N213" i="5"/>
  <c r="F213" i="5"/>
  <c r="S212" i="5"/>
  <c r="P211" i="5"/>
  <c r="H211" i="5"/>
  <c r="U210" i="5"/>
  <c r="M210" i="5"/>
  <c r="E210" i="5"/>
  <c r="S209" i="5"/>
  <c r="Q208" i="5"/>
  <c r="I208" i="5"/>
  <c r="W207" i="5"/>
  <c r="O207" i="5"/>
  <c r="T245" i="5"/>
  <c r="L245" i="5"/>
  <c r="R244" i="5"/>
  <c r="P243" i="5"/>
  <c r="H243" i="5"/>
  <c r="V242" i="5"/>
  <c r="N242" i="5"/>
  <c r="F242" i="5"/>
  <c r="T241" i="5"/>
  <c r="L241" i="5"/>
  <c r="M245" i="5"/>
  <c r="S244" i="5"/>
  <c r="I243" i="5"/>
  <c r="O242" i="5"/>
  <c r="U241" i="5"/>
  <c r="Q239" i="5"/>
  <c r="G239" i="5"/>
  <c r="O238" i="5"/>
  <c r="R236" i="5"/>
  <c r="W234" i="5"/>
  <c r="S233" i="5"/>
  <c r="E233" i="5"/>
  <c r="P232" i="5"/>
  <c r="N231" i="5"/>
  <c r="E231" i="5"/>
  <c r="O230" i="5"/>
  <c r="E230" i="5"/>
  <c r="M229" i="5"/>
  <c r="V227" i="5"/>
  <c r="W226" i="5"/>
  <c r="L226" i="5"/>
  <c r="R216" i="5"/>
  <c r="G216" i="5"/>
  <c r="P215" i="5"/>
  <c r="F215" i="5"/>
  <c r="S214" i="5"/>
  <c r="G214" i="5"/>
  <c r="S213" i="5"/>
  <c r="I213" i="5"/>
  <c r="U212" i="5"/>
  <c r="L212" i="5"/>
  <c r="O211" i="5"/>
  <c r="F211" i="5"/>
  <c r="R210" i="5"/>
  <c r="I210" i="5"/>
  <c r="V209" i="5"/>
  <c r="M209" i="5"/>
  <c r="E209" i="5"/>
  <c r="R208" i="5"/>
  <c r="H208" i="5"/>
  <c r="U207" i="5"/>
  <c r="L207" i="5"/>
  <c r="R206" i="5"/>
  <c r="P205" i="5"/>
  <c r="H205" i="5"/>
  <c r="V204" i="5"/>
  <c r="N204" i="5"/>
  <c r="F204" i="5"/>
  <c r="T203" i="5"/>
  <c r="L203" i="5"/>
  <c r="R202" i="5"/>
  <c r="P201" i="5"/>
  <c r="H201" i="5"/>
  <c r="V200" i="5"/>
  <c r="N200" i="5"/>
  <c r="F200" i="5"/>
  <c r="T199" i="5"/>
  <c r="L199" i="5"/>
  <c r="R197" i="5"/>
  <c r="P196" i="5"/>
  <c r="H196" i="5"/>
  <c r="V195" i="5"/>
  <c r="N195" i="5"/>
  <c r="F195" i="5"/>
  <c r="T194" i="5"/>
  <c r="L194" i="5"/>
  <c r="Q244" i="5"/>
  <c r="W243" i="5"/>
  <c r="G243" i="5"/>
  <c r="M242" i="5"/>
  <c r="S241" i="5"/>
  <c r="I240" i="5"/>
  <c r="P239" i="5"/>
  <c r="E239" i="5"/>
  <c r="N238" i="5"/>
  <c r="Q236" i="5"/>
  <c r="V234" i="5"/>
  <c r="G234" i="5"/>
  <c r="R233" i="5"/>
  <c r="O232" i="5"/>
  <c r="M231" i="5"/>
  <c r="N230" i="5"/>
  <c r="L229" i="5"/>
  <c r="W228" i="5"/>
  <c r="I228" i="5"/>
  <c r="U227" i="5"/>
  <c r="I227" i="5"/>
  <c r="V226" i="5"/>
  <c r="Q216" i="5"/>
  <c r="O215" i="5"/>
  <c r="E215" i="5"/>
  <c r="R214" i="5"/>
  <c r="F214" i="5"/>
  <c r="R213" i="5"/>
  <c r="H213" i="5"/>
  <c r="T212" i="5"/>
  <c r="W211" i="5"/>
  <c r="N211" i="5"/>
  <c r="E211" i="5"/>
  <c r="Q210" i="5"/>
  <c r="H210" i="5"/>
  <c r="U209" i="5"/>
  <c r="L209" i="5"/>
  <c r="P208" i="5"/>
  <c r="G208" i="5"/>
  <c r="T207" i="5"/>
  <c r="Q206" i="5"/>
  <c r="I206" i="5"/>
  <c r="W205" i="5"/>
  <c r="O205" i="5"/>
  <c r="G205" i="5"/>
  <c r="U204" i="5"/>
  <c r="M204" i="5"/>
  <c r="E204" i="5"/>
  <c r="S203" i="5"/>
  <c r="Q202" i="5"/>
  <c r="I202" i="5"/>
  <c r="W201" i="5"/>
  <c r="O201" i="5"/>
  <c r="G201" i="5"/>
  <c r="U200" i="5"/>
  <c r="M200" i="5"/>
  <c r="E200" i="5"/>
  <c r="S199" i="5"/>
  <c r="Q197" i="5"/>
  <c r="I197" i="5"/>
  <c r="W196" i="5"/>
  <c r="O196" i="5"/>
  <c r="G196" i="5"/>
  <c r="U195" i="5"/>
  <c r="M195" i="5"/>
  <c r="E195" i="5"/>
  <c r="S194" i="5"/>
  <c r="Q193" i="5"/>
  <c r="I193" i="5"/>
  <c r="W192" i="5"/>
  <c r="O192" i="5"/>
  <c r="G192" i="5"/>
  <c r="O244" i="5"/>
  <c r="U243" i="5"/>
  <c r="E243" i="5"/>
  <c r="Q241" i="5"/>
  <c r="W240" i="5"/>
  <c r="G240" i="5"/>
  <c r="O239" i="5"/>
  <c r="M238" i="5"/>
  <c r="U237" i="5"/>
  <c r="I237" i="5"/>
  <c r="O236" i="5"/>
  <c r="W235" i="5"/>
  <c r="I235" i="5"/>
  <c r="U234" i="5"/>
  <c r="F234" i="5"/>
  <c r="Q233" i="5"/>
  <c r="W231" i="5"/>
  <c r="M230" i="5"/>
  <c r="S228" i="5"/>
  <c r="H228" i="5"/>
  <c r="Q227" i="5"/>
  <c r="H227" i="5"/>
  <c r="U226" i="5"/>
  <c r="P216" i="5"/>
  <c r="N215" i="5"/>
  <c r="O214" i="5"/>
  <c r="E214" i="5"/>
  <c r="Q213" i="5"/>
  <c r="G213" i="5"/>
  <c r="R212" i="5"/>
  <c r="V211" i="5"/>
  <c r="M211" i="5"/>
  <c r="P210" i="5"/>
  <c r="G210" i="5"/>
  <c r="T209" i="5"/>
  <c r="O208" i="5"/>
  <c r="F208" i="5"/>
  <c r="S207" i="5"/>
  <c r="P206" i="5"/>
  <c r="H206" i="5"/>
  <c r="V205" i="5"/>
  <c r="N205" i="5"/>
  <c r="F205" i="5"/>
  <c r="T204" i="5"/>
  <c r="L204" i="5"/>
  <c r="R203" i="5"/>
  <c r="P202" i="5"/>
  <c r="H202" i="5"/>
  <c r="V201" i="5"/>
  <c r="N201" i="5"/>
  <c r="F201" i="5"/>
  <c r="T200" i="5"/>
  <c r="L200" i="5"/>
  <c r="R199" i="5"/>
  <c r="P197" i="5"/>
  <c r="H197" i="5"/>
  <c r="V196" i="5"/>
  <c r="N196" i="5"/>
  <c r="F196" i="5"/>
  <c r="T195" i="5"/>
  <c r="L195" i="5"/>
  <c r="R194" i="5"/>
  <c r="P193" i="5"/>
  <c r="H193" i="5"/>
  <c r="V192" i="5"/>
  <c r="N192" i="5"/>
  <c r="F192" i="5"/>
  <c r="T191" i="5"/>
  <c r="L191" i="5"/>
  <c r="R190" i="5"/>
  <c r="P189" i="5"/>
  <c r="H189" i="5"/>
  <c r="V188" i="5"/>
  <c r="N188" i="5"/>
  <c r="F188" i="5"/>
  <c r="T187" i="5"/>
  <c r="L187" i="5"/>
  <c r="R186" i="5"/>
  <c r="P185" i="5"/>
  <c r="H185" i="5"/>
  <c r="V184" i="5"/>
  <c r="N184" i="5"/>
  <c r="F184" i="5"/>
  <c r="T183" i="5"/>
  <c r="L183" i="5"/>
  <c r="R182" i="5"/>
  <c r="P181" i="5"/>
  <c r="H181" i="5"/>
  <c r="V180" i="5"/>
  <c r="N180" i="5"/>
  <c r="F180" i="5"/>
  <c r="T179" i="5"/>
  <c r="L179" i="5"/>
  <c r="R178" i="5"/>
  <c r="P177" i="5"/>
  <c r="H177" i="5"/>
  <c r="V176" i="5"/>
  <c r="N176" i="5"/>
  <c r="F176" i="5"/>
  <c r="T175" i="5"/>
  <c r="L175" i="5"/>
  <c r="R174" i="5"/>
  <c r="P173" i="5"/>
  <c r="H173" i="5"/>
  <c r="V172" i="5"/>
  <c r="N172" i="5"/>
  <c r="F172" i="5"/>
  <c r="T171" i="5"/>
  <c r="L171" i="5"/>
  <c r="R170" i="5"/>
  <c r="P169" i="5"/>
  <c r="H169" i="5"/>
  <c r="V168" i="5"/>
  <c r="N168" i="5"/>
  <c r="F168" i="5"/>
  <c r="T167" i="5"/>
  <c r="L167" i="5"/>
  <c r="I245" i="5"/>
  <c r="Q243" i="5"/>
  <c r="M241" i="5"/>
  <c r="S240" i="5"/>
  <c r="M239" i="5"/>
  <c r="T237" i="5"/>
  <c r="E237" i="5"/>
  <c r="U235" i="5"/>
  <c r="H235" i="5"/>
  <c r="S234" i="5"/>
  <c r="E234" i="5"/>
  <c r="M233" i="5"/>
  <c r="V231" i="5"/>
  <c r="W230" i="5"/>
  <c r="L230" i="5"/>
  <c r="U229" i="5"/>
  <c r="R228" i="5"/>
  <c r="G228" i="5"/>
  <c r="P227" i="5"/>
  <c r="G227" i="5"/>
  <c r="T226" i="5"/>
  <c r="G226" i="5"/>
  <c r="O216" i="5"/>
  <c r="M215" i="5"/>
  <c r="N214" i="5"/>
  <c r="P213" i="5"/>
  <c r="E213" i="5"/>
  <c r="Q212" i="5"/>
  <c r="I212" i="5"/>
  <c r="U211" i="5"/>
  <c r="L211" i="5"/>
  <c r="O210" i="5"/>
  <c r="F210" i="5"/>
  <c r="R209" i="5"/>
  <c r="W208" i="5"/>
  <c r="N208" i="5"/>
  <c r="E208" i="5"/>
  <c r="J208" i="5"/>
  <c r="R207" i="5"/>
  <c r="I207" i="5"/>
  <c r="W206" i="5"/>
  <c r="O206" i="5"/>
  <c r="G206" i="5"/>
  <c r="U205" i="5"/>
  <c r="M205" i="5"/>
  <c r="E205" i="5"/>
  <c r="S204" i="5"/>
  <c r="Q203" i="5"/>
  <c r="I203" i="5"/>
  <c r="W202" i="5"/>
  <c r="O202" i="5"/>
  <c r="G202" i="5"/>
  <c r="U201" i="5"/>
  <c r="M201" i="5"/>
  <c r="E201" i="5"/>
  <c r="S200" i="5"/>
  <c r="Q199" i="5"/>
  <c r="I199" i="5"/>
  <c r="W197" i="5"/>
  <c r="O197" i="5"/>
  <c r="G197" i="5"/>
  <c r="U196" i="5"/>
  <c r="M196" i="5"/>
  <c r="E196" i="5"/>
  <c r="S195" i="5"/>
  <c r="Q194" i="5"/>
  <c r="I194" i="5"/>
  <c r="W193" i="5"/>
  <c r="O193" i="5"/>
  <c r="G193" i="5"/>
  <c r="U192" i="5"/>
  <c r="M192" i="5"/>
  <c r="E192" i="5"/>
  <c r="S191" i="5"/>
  <c r="Q190" i="5"/>
  <c r="I190" i="5"/>
  <c r="W189" i="5"/>
  <c r="O189" i="5"/>
  <c r="G189" i="5"/>
  <c r="U188" i="5"/>
  <c r="E245" i="5"/>
  <c r="O243" i="5"/>
  <c r="G242" i="5"/>
  <c r="R240" i="5"/>
  <c r="W238" i="5"/>
  <c r="S237" i="5"/>
  <c r="Q235" i="5"/>
  <c r="G235" i="5"/>
  <c r="O234" i="5"/>
  <c r="L233" i="5"/>
  <c r="W232" i="5"/>
  <c r="I232" i="5"/>
  <c r="U231" i="5"/>
  <c r="I231" i="5"/>
  <c r="V230" i="5"/>
  <c r="T229" i="5"/>
  <c r="I229" i="5"/>
  <c r="Q228" i="5"/>
  <c r="O227" i="5"/>
  <c r="F227" i="5"/>
  <c r="S226" i="5"/>
  <c r="F226" i="5"/>
  <c r="W215" i="5"/>
  <c r="W214" i="5"/>
  <c r="M214" i="5"/>
  <c r="M213" i="5"/>
  <c r="P212" i="5"/>
  <c r="H212" i="5"/>
  <c r="T211" i="5"/>
  <c r="W210" i="5"/>
  <c r="N210" i="5"/>
  <c r="Q209" i="5"/>
  <c r="I209" i="5"/>
  <c r="V208" i="5"/>
  <c r="M208" i="5"/>
  <c r="U245" i="5"/>
  <c r="I244" i="5"/>
  <c r="M243" i="5"/>
  <c r="W242" i="5"/>
  <c r="E242" i="5"/>
  <c r="Q240" i="5"/>
  <c r="V238" i="5"/>
  <c r="G238" i="5"/>
  <c r="Q237" i="5"/>
  <c r="I236" i="5"/>
  <c r="P235" i="5"/>
  <c r="E235" i="5"/>
  <c r="N234" i="5"/>
  <c r="S232" i="5"/>
  <c r="H232" i="5"/>
  <c r="Q231" i="5"/>
  <c r="H231" i="5"/>
  <c r="U230" i="5"/>
  <c r="S229" i="5"/>
  <c r="E229" i="5"/>
  <c r="P228" i="5"/>
  <c r="N227" i="5"/>
  <c r="E227" i="5"/>
  <c r="O226" i="5"/>
  <c r="E226" i="5"/>
  <c r="V215" i="5"/>
  <c r="I215" i="5"/>
  <c r="V214" i="5"/>
  <c r="L214" i="5"/>
  <c r="L213" i="5"/>
  <c r="O212" i="5"/>
  <c r="G212" i="5"/>
  <c r="S211" i="5"/>
  <c r="V210" i="5"/>
  <c r="L210" i="5"/>
  <c r="P209" i="5"/>
  <c r="H209" i="5"/>
  <c r="U208" i="5"/>
  <c r="L208" i="5"/>
  <c r="P207" i="5"/>
  <c r="G207" i="5"/>
  <c r="U206" i="5"/>
  <c r="M206" i="5"/>
  <c r="E206" i="5"/>
  <c r="S205" i="5"/>
  <c r="Q204" i="5"/>
  <c r="I204" i="5"/>
  <c r="W203" i="5"/>
  <c r="O203" i="5"/>
  <c r="G203" i="5"/>
  <c r="U202" i="5"/>
  <c r="M202" i="5"/>
  <c r="E202" i="5"/>
  <c r="S201" i="5"/>
  <c r="Q200" i="5"/>
  <c r="I200" i="5"/>
  <c r="W199" i="5"/>
  <c r="O199" i="5"/>
  <c r="G199" i="5"/>
  <c r="U197" i="5"/>
  <c r="M197" i="5"/>
  <c r="E197" i="5"/>
  <c r="S196" i="5"/>
  <c r="Q195" i="5"/>
  <c r="I195" i="5"/>
  <c r="W194" i="5"/>
  <c r="O194" i="5"/>
  <c r="G194" i="5"/>
  <c r="U193" i="5"/>
  <c r="M193" i="5"/>
  <c r="E193" i="5"/>
  <c r="S192" i="5"/>
  <c r="Q245" i="5"/>
  <c r="W244" i="5"/>
  <c r="S242" i="5"/>
  <c r="E241" i="5"/>
  <c r="U239" i="5"/>
  <c r="H239" i="5"/>
  <c r="S238" i="5"/>
  <c r="E238" i="5"/>
  <c r="L237" i="5"/>
  <c r="S236" i="5"/>
  <c r="M235" i="5"/>
  <c r="T233" i="5"/>
  <c r="I233" i="5"/>
  <c r="Q232" i="5"/>
  <c r="O231" i="5"/>
  <c r="F231" i="5"/>
  <c r="S230" i="5"/>
  <c r="F230" i="5"/>
  <c r="Q229" i="5"/>
  <c r="W227" i="5"/>
  <c r="M226" i="5"/>
  <c r="S216" i="5"/>
  <c r="H216" i="5"/>
  <c r="Q215" i="5"/>
  <c r="G215" i="5"/>
  <c r="T214" i="5"/>
  <c r="T213" i="5"/>
  <c r="V212" i="5"/>
  <c r="M212" i="5"/>
  <c r="E212" i="5"/>
  <c r="Q211" i="5"/>
  <c r="G211" i="5"/>
  <c r="S210" i="5"/>
  <c r="W209" i="5"/>
  <c r="N209" i="5"/>
  <c r="F209" i="5"/>
  <c r="S208" i="5"/>
  <c r="V207" i="5"/>
  <c r="M207" i="5"/>
  <c r="E207" i="5"/>
  <c r="S206" i="5"/>
  <c r="Q205" i="5"/>
  <c r="I205" i="5"/>
  <c r="W204" i="5"/>
  <c r="O204" i="5"/>
  <c r="G204" i="5"/>
  <c r="U203" i="5"/>
  <c r="M203" i="5"/>
  <c r="E203" i="5"/>
  <c r="S202" i="5"/>
  <c r="Q201" i="5"/>
  <c r="I201" i="5"/>
  <c r="W200" i="5"/>
  <c r="O200" i="5"/>
  <c r="G200" i="5"/>
  <c r="U199" i="5"/>
  <c r="M199" i="5"/>
  <c r="E199" i="5"/>
  <c r="S197" i="5"/>
  <c r="Q196" i="5"/>
  <c r="I196" i="5"/>
  <c r="W195" i="5"/>
  <c r="O195" i="5"/>
  <c r="G195" i="5"/>
  <c r="U194" i="5"/>
  <c r="M194" i="5"/>
  <c r="E194" i="5"/>
  <c r="S193" i="5"/>
  <c r="Q192" i="5"/>
  <c r="I192" i="5"/>
  <c r="W191" i="5"/>
  <c r="O191" i="5"/>
  <c r="G191" i="5"/>
  <c r="U190" i="5"/>
  <c r="M190" i="5"/>
  <c r="E190" i="5"/>
  <c r="S189" i="5"/>
  <c r="U238" i="5"/>
  <c r="R232" i="5"/>
  <c r="U215" i="5"/>
  <c r="L192" i="5"/>
  <c r="U191" i="5"/>
  <c r="I191" i="5"/>
  <c r="V190" i="5"/>
  <c r="H190" i="5"/>
  <c r="R189" i="5"/>
  <c r="F189" i="5"/>
  <c r="R188" i="5"/>
  <c r="I188" i="5"/>
  <c r="V187" i="5"/>
  <c r="M187" i="5"/>
  <c r="Q186" i="5"/>
  <c r="H186" i="5"/>
  <c r="U185" i="5"/>
  <c r="L185" i="5"/>
  <c r="P184" i="5"/>
  <c r="G184" i="5"/>
  <c r="S183" i="5"/>
  <c r="O182" i="5"/>
  <c r="F182" i="5"/>
  <c r="S181" i="5"/>
  <c r="W180" i="5"/>
  <c r="M180" i="5"/>
  <c r="Q179" i="5"/>
  <c r="H179" i="5"/>
  <c r="V178" i="5"/>
  <c r="M178" i="5"/>
  <c r="Q177" i="5"/>
  <c r="G177" i="5"/>
  <c r="T176" i="5"/>
  <c r="O235" i="5"/>
  <c r="G231" i="5"/>
  <c r="U213" i="5"/>
  <c r="R211" i="5"/>
  <c r="F193" i="5"/>
  <c r="R191" i="5"/>
  <c r="H191" i="5"/>
  <c r="T190" i="5"/>
  <c r="G190" i="5"/>
  <c r="Q189" i="5"/>
  <c r="E189" i="5"/>
  <c r="Q188" i="5"/>
  <c r="H188" i="5"/>
  <c r="U187" i="5"/>
  <c r="P186" i="5"/>
  <c r="G186" i="5"/>
  <c r="T185" i="5"/>
  <c r="O184" i="5"/>
  <c r="E184" i="5"/>
  <c r="R183" i="5"/>
  <c r="I183" i="5"/>
  <c r="W182" i="5"/>
  <c r="N182" i="5"/>
  <c r="E182" i="5"/>
  <c r="R181" i="5"/>
  <c r="I181" i="5"/>
  <c r="U180" i="5"/>
  <c r="L180" i="5"/>
  <c r="P179" i="5"/>
  <c r="G179" i="5"/>
  <c r="U178" i="5"/>
  <c r="L178" i="5"/>
  <c r="O177" i="5"/>
  <c r="F177" i="5"/>
  <c r="S176" i="5"/>
  <c r="W175" i="5"/>
  <c r="N175" i="5"/>
  <c r="E175" i="5"/>
  <c r="S174" i="5"/>
  <c r="I174" i="5"/>
  <c r="V173" i="5"/>
  <c r="M173" i="5"/>
  <c r="Q172" i="5"/>
  <c r="H172" i="5"/>
  <c r="U171" i="5"/>
  <c r="P170" i="5"/>
  <c r="I241" i="5"/>
  <c r="W239" i="5"/>
  <c r="R229" i="5"/>
  <c r="N226" i="5"/>
  <c r="H215" i="5"/>
  <c r="O209" i="5"/>
  <c r="V206" i="5"/>
  <c r="T205" i="5"/>
  <c r="R204" i="5"/>
  <c r="V203" i="5"/>
  <c r="V202" i="5"/>
  <c r="T201" i="5"/>
  <c r="R200" i="5"/>
  <c r="V199" i="5"/>
  <c r="V197" i="5"/>
  <c r="T196" i="5"/>
  <c r="R195" i="5"/>
  <c r="V194" i="5"/>
  <c r="V193" i="5"/>
  <c r="Q191" i="5"/>
  <c r="F191" i="5"/>
  <c r="S190" i="5"/>
  <c r="F190" i="5"/>
  <c r="N189" i="5"/>
  <c r="P188" i="5"/>
  <c r="G188" i="5"/>
  <c r="S187" i="5"/>
  <c r="O186" i="5"/>
  <c r="F186" i="5"/>
  <c r="S185" i="5"/>
  <c r="W184" i="5"/>
  <c r="M184" i="5"/>
  <c r="Q183" i="5"/>
  <c r="H183" i="5"/>
  <c r="V182" i="5"/>
  <c r="M182" i="5"/>
  <c r="Q181" i="5"/>
  <c r="G181" i="5"/>
  <c r="T180" i="5"/>
  <c r="O179" i="5"/>
  <c r="F179" i="5"/>
  <c r="T178" i="5"/>
  <c r="W177" i="5"/>
  <c r="N177" i="5"/>
  <c r="E177" i="5"/>
  <c r="R176" i="5"/>
  <c r="I176" i="5"/>
  <c r="V175" i="5"/>
  <c r="M175" i="5"/>
  <c r="Q174" i="5"/>
  <c r="H174" i="5"/>
  <c r="U173" i="5"/>
  <c r="L173" i="5"/>
  <c r="P172" i="5"/>
  <c r="G172" i="5"/>
  <c r="S171" i="5"/>
  <c r="O170" i="5"/>
  <c r="F170" i="5"/>
  <c r="S169" i="5"/>
  <c r="W168" i="5"/>
  <c r="M168" i="5"/>
  <c r="Q167" i="5"/>
  <c r="H167" i="5"/>
  <c r="V166" i="5"/>
  <c r="N166" i="5"/>
  <c r="F166" i="5"/>
  <c r="T165" i="5"/>
  <c r="L165" i="5"/>
  <c r="R164" i="5"/>
  <c r="P163" i="5"/>
  <c r="H163" i="5"/>
  <c r="U162" i="5"/>
  <c r="M162" i="5"/>
  <c r="E162" i="5"/>
  <c r="R161" i="5"/>
  <c r="U242" i="5"/>
  <c r="F238" i="5"/>
  <c r="W236" i="5"/>
  <c r="U233" i="5"/>
  <c r="G232" i="5"/>
  <c r="W216" i="5"/>
  <c r="I211" i="5"/>
  <c r="Q207" i="5"/>
  <c r="T206" i="5"/>
  <c r="R205" i="5"/>
  <c r="P204" i="5"/>
  <c r="P203" i="5"/>
  <c r="T202" i="5"/>
  <c r="R201" i="5"/>
  <c r="P200" i="5"/>
  <c r="P199" i="5"/>
  <c r="T197" i="5"/>
  <c r="R196" i="5"/>
  <c r="P195" i="5"/>
  <c r="P194" i="5"/>
  <c r="T193" i="5"/>
  <c r="H192" i="5"/>
  <c r="P191" i="5"/>
  <c r="E191" i="5"/>
  <c r="P190" i="5"/>
  <c r="M189" i="5"/>
  <c r="O188" i="5"/>
  <c r="E188" i="5"/>
  <c r="R187" i="5"/>
  <c r="I187" i="5"/>
  <c r="W186" i="5"/>
  <c r="N186" i="5"/>
  <c r="E186" i="5"/>
  <c r="R185" i="5"/>
  <c r="I185" i="5"/>
  <c r="U184" i="5"/>
  <c r="L184" i="5"/>
  <c r="P183" i="5"/>
  <c r="G183" i="5"/>
  <c r="U182" i="5"/>
  <c r="L182" i="5"/>
  <c r="O181" i="5"/>
  <c r="F181" i="5"/>
  <c r="S180" i="5"/>
  <c r="W179" i="5"/>
  <c r="N179" i="5"/>
  <c r="E179" i="5"/>
  <c r="S178" i="5"/>
  <c r="I178" i="5"/>
  <c r="V177" i="5"/>
  <c r="M177" i="5"/>
  <c r="Q176" i="5"/>
  <c r="H176" i="5"/>
  <c r="U175" i="5"/>
  <c r="P174" i="5"/>
  <c r="G174" i="5"/>
  <c r="T173" i="5"/>
  <c r="O172" i="5"/>
  <c r="E172" i="5"/>
  <c r="R171" i="5"/>
  <c r="I171" i="5"/>
  <c r="W170" i="5"/>
  <c r="N170" i="5"/>
  <c r="E170" i="5"/>
  <c r="R169" i="5"/>
  <c r="I169" i="5"/>
  <c r="U168" i="5"/>
  <c r="L168" i="5"/>
  <c r="G244" i="5"/>
  <c r="T230" i="5"/>
  <c r="W212" i="5"/>
  <c r="G209" i="5"/>
  <c r="N207" i="5"/>
  <c r="N206" i="5"/>
  <c r="L205" i="5"/>
  <c r="N203" i="5"/>
  <c r="N202" i="5"/>
  <c r="L201" i="5"/>
  <c r="N199" i="5"/>
  <c r="N197" i="5"/>
  <c r="L196" i="5"/>
  <c r="N194" i="5"/>
  <c r="R193" i="5"/>
  <c r="N191" i="5"/>
  <c r="O190" i="5"/>
  <c r="L189" i="5"/>
  <c r="M188" i="5"/>
  <c r="Q187" i="5"/>
  <c r="H187" i="5"/>
  <c r="V186" i="5"/>
  <c r="M186" i="5"/>
  <c r="Q185" i="5"/>
  <c r="G185" i="5"/>
  <c r="T184" i="5"/>
  <c r="O183" i="5"/>
  <c r="F183" i="5"/>
  <c r="T182" i="5"/>
  <c r="W181" i="5"/>
  <c r="N181" i="5"/>
  <c r="E181" i="5"/>
  <c r="R180" i="5"/>
  <c r="I180" i="5"/>
  <c r="V179" i="5"/>
  <c r="M179" i="5"/>
  <c r="Q178" i="5"/>
  <c r="H178" i="5"/>
  <c r="U177" i="5"/>
  <c r="L177" i="5"/>
  <c r="P176" i="5"/>
  <c r="G176" i="5"/>
  <c r="S175" i="5"/>
  <c r="O174" i="5"/>
  <c r="F174" i="5"/>
  <c r="S173" i="5"/>
  <c r="W172" i="5"/>
  <c r="M172" i="5"/>
  <c r="Q171" i="5"/>
  <c r="H171" i="5"/>
  <c r="V170" i="5"/>
  <c r="M170" i="5"/>
  <c r="S245" i="5"/>
  <c r="O240" i="5"/>
  <c r="I239" i="5"/>
  <c r="M227" i="5"/>
  <c r="I216" i="5"/>
  <c r="U214" i="5"/>
  <c r="N212" i="5"/>
  <c r="T210" i="5"/>
  <c r="L206" i="5"/>
  <c r="L202" i="5"/>
  <c r="L197" i="5"/>
  <c r="N193" i="5"/>
  <c r="T192" i="5"/>
  <c r="M191" i="5"/>
  <c r="N190" i="5"/>
  <c r="V189" i="5"/>
  <c r="W188" i="5"/>
  <c r="L188" i="5"/>
  <c r="P187" i="5"/>
  <c r="G187" i="5"/>
  <c r="U186" i="5"/>
  <c r="L186" i="5"/>
  <c r="O185" i="5"/>
  <c r="F185" i="5"/>
  <c r="S184" i="5"/>
  <c r="W183" i="5"/>
  <c r="N183" i="5"/>
  <c r="E183" i="5"/>
  <c r="S182" i="5"/>
  <c r="I182" i="5"/>
  <c r="V181" i="5"/>
  <c r="M181" i="5"/>
  <c r="Q180" i="5"/>
  <c r="H180" i="5"/>
  <c r="U179" i="5"/>
  <c r="P178" i="5"/>
  <c r="G178" i="5"/>
  <c r="T177" i="5"/>
  <c r="O176" i="5"/>
  <c r="E176" i="5"/>
  <c r="R175" i="5"/>
  <c r="I175" i="5"/>
  <c r="W174" i="5"/>
  <c r="N174" i="5"/>
  <c r="E174" i="5"/>
  <c r="R173" i="5"/>
  <c r="I173" i="5"/>
  <c r="U172" i="5"/>
  <c r="L172" i="5"/>
  <c r="P171" i="5"/>
  <c r="G171" i="5"/>
  <c r="U170" i="5"/>
  <c r="L170" i="5"/>
  <c r="M237" i="5"/>
  <c r="G236" i="5"/>
  <c r="M234" i="5"/>
  <c r="P231" i="5"/>
  <c r="T208" i="5"/>
  <c r="H207" i="5"/>
  <c r="H204" i="5"/>
  <c r="H203" i="5"/>
  <c r="H200" i="5"/>
  <c r="H199" i="5"/>
  <c r="H195" i="5"/>
  <c r="H194" i="5"/>
  <c r="L193" i="5"/>
  <c r="R192" i="5"/>
  <c r="L190" i="5"/>
  <c r="U189" i="5"/>
  <c r="T188" i="5"/>
  <c r="O187" i="5"/>
  <c r="F187" i="5"/>
  <c r="T186" i="5"/>
  <c r="W185" i="5"/>
  <c r="N185" i="5"/>
  <c r="E185" i="5"/>
  <c r="R184" i="5"/>
  <c r="I184" i="5"/>
  <c r="V183" i="5"/>
  <c r="M183" i="5"/>
  <c r="Q182" i="5"/>
  <c r="H182" i="5"/>
  <c r="U181" i="5"/>
  <c r="L181" i="5"/>
  <c r="P180" i="5"/>
  <c r="G180" i="5"/>
  <c r="S179" i="5"/>
  <c r="O178" i="5"/>
  <c r="F178" i="5"/>
  <c r="S177" i="5"/>
  <c r="W176" i="5"/>
  <c r="M176" i="5"/>
  <c r="Q175" i="5"/>
  <c r="H175" i="5"/>
  <c r="V174" i="5"/>
  <c r="M174" i="5"/>
  <c r="Q173" i="5"/>
  <c r="G173" i="5"/>
  <c r="T172" i="5"/>
  <c r="O171" i="5"/>
  <c r="F171" i="5"/>
  <c r="T170" i="5"/>
  <c r="W169" i="5"/>
  <c r="N169" i="5"/>
  <c r="E169" i="5"/>
  <c r="R168" i="5"/>
  <c r="I168" i="5"/>
  <c r="V167" i="5"/>
  <c r="M167" i="5"/>
  <c r="R166" i="5"/>
  <c r="P165" i="5"/>
  <c r="H165" i="5"/>
  <c r="V164" i="5"/>
  <c r="N164" i="5"/>
  <c r="F164" i="5"/>
  <c r="T163" i="5"/>
  <c r="L163" i="5"/>
  <c r="Q162" i="5"/>
  <c r="I162" i="5"/>
  <c r="V161" i="5"/>
  <c r="N161" i="5"/>
  <c r="F161" i="5"/>
  <c r="J161" i="5"/>
  <c r="S160" i="5"/>
  <c r="P159" i="5"/>
  <c r="H159" i="5"/>
  <c r="G135" i="5"/>
  <c r="J135" i="5"/>
  <c r="P135" i="5"/>
  <c r="X135" i="5"/>
  <c r="S136" i="5"/>
  <c r="E137" i="5"/>
  <c r="J137" i="5"/>
  <c r="M137" i="5"/>
  <c r="U137" i="5"/>
  <c r="G138" i="5"/>
  <c r="J138" i="5"/>
  <c r="O138" i="5"/>
  <c r="W138" i="5"/>
  <c r="I139" i="5"/>
  <c r="J139" i="5"/>
  <c r="Q139" i="5"/>
  <c r="S140" i="5"/>
  <c r="X140" i="5"/>
  <c r="E141" i="5"/>
  <c r="J141" i="5"/>
  <c r="M141" i="5"/>
  <c r="U141" i="5"/>
  <c r="G142" i="5"/>
  <c r="J142" i="5"/>
  <c r="O142" i="5"/>
  <c r="W142" i="5"/>
  <c r="R143" i="5"/>
  <c r="E144" i="5"/>
  <c r="J144" i="5"/>
  <c r="M144" i="5"/>
  <c r="U144" i="5"/>
  <c r="H145" i="5"/>
  <c r="J145" i="5"/>
  <c r="P145" i="5"/>
  <c r="S146" i="5"/>
  <c r="F147" i="5"/>
  <c r="J147" i="5"/>
  <c r="N147" i="5"/>
  <c r="V147" i="5"/>
  <c r="I148" i="5"/>
  <c r="Q148" i="5"/>
  <c r="L149" i="5"/>
  <c r="T149" i="5"/>
  <c r="G150" i="5"/>
  <c r="J150" i="5"/>
  <c r="O150" i="5"/>
  <c r="W150" i="5"/>
  <c r="R151" i="5"/>
  <c r="E152" i="5"/>
  <c r="M152" i="5"/>
  <c r="U152" i="5"/>
  <c r="H153" i="5"/>
  <c r="P153" i="5"/>
  <c r="S154" i="5"/>
  <c r="F155" i="5"/>
  <c r="N155" i="5"/>
  <c r="V155" i="5"/>
  <c r="I156" i="5"/>
  <c r="Q156" i="5"/>
  <c r="L157" i="5"/>
  <c r="T157" i="5"/>
  <c r="F158" i="5"/>
  <c r="N158" i="5"/>
  <c r="V158" i="5"/>
  <c r="S159" i="5"/>
  <c r="F160" i="5"/>
  <c r="N160" i="5"/>
  <c r="W160" i="5"/>
  <c r="L161" i="5"/>
  <c r="W161" i="5"/>
  <c r="L162" i="5"/>
  <c r="W162" i="5"/>
  <c r="V163" i="5"/>
  <c r="U164" i="5"/>
  <c r="I165" i="5"/>
  <c r="S165" i="5"/>
  <c r="H166" i="5"/>
  <c r="S166" i="5"/>
  <c r="F167" i="5"/>
  <c r="R167" i="5"/>
  <c r="G168" i="5"/>
  <c r="T168" i="5"/>
  <c r="M169" i="5"/>
  <c r="G170" i="5"/>
  <c r="E171" i="5"/>
  <c r="I172" i="5"/>
  <c r="F173" i="5"/>
  <c r="L174" i="5"/>
  <c r="O175" i="5"/>
  <c r="F203" i="5"/>
  <c r="O228" i="5"/>
  <c r="M163" i="5"/>
  <c r="W163" i="5"/>
  <c r="L164" i="5"/>
  <c r="W164" i="5"/>
  <c r="U165" i="5"/>
  <c r="I166" i="5"/>
  <c r="T166" i="5"/>
  <c r="G167" i="5"/>
  <c r="S167" i="5"/>
  <c r="H168" i="5"/>
  <c r="O169" i="5"/>
  <c r="H170" i="5"/>
  <c r="T174" i="5"/>
  <c r="P175" i="5"/>
  <c r="N178" i="5"/>
  <c r="T181" i="5"/>
  <c r="S186" i="5"/>
  <c r="T189" i="5"/>
  <c r="M164" i="5"/>
  <c r="V165" i="5"/>
  <c r="U166" i="5"/>
  <c r="I167" i="5"/>
  <c r="U167" i="5"/>
  <c r="Q169" i="5"/>
  <c r="I170" i="5"/>
  <c r="M171" i="5"/>
  <c r="N173" i="5"/>
  <c r="U174" i="5"/>
  <c r="I177" i="5"/>
  <c r="W178" i="5"/>
  <c r="E180" i="5"/>
  <c r="U183" i="5"/>
  <c r="V191" i="5"/>
  <c r="F199" i="5"/>
  <c r="F206" i="5"/>
  <c r="P9" i="4"/>
  <c r="R9" i="4"/>
  <c r="G161" i="34"/>
  <c r="X249" i="5"/>
  <c r="X247" i="5"/>
  <c r="P10" i="43"/>
  <c r="H12" i="27"/>
  <c r="P10" i="15"/>
  <c r="G12" i="27"/>
  <c r="P10" i="4"/>
  <c r="E12" i="27"/>
  <c r="P10" i="31"/>
  <c r="J248" i="5"/>
  <c r="E246" i="5"/>
  <c r="J247" i="5"/>
  <c r="J287" i="5"/>
  <c r="J288" i="5"/>
  <c r="N246" i="5"/>
  <c r="V246" i="5"/>
  <c r="F246" i="5"/>
  <c r="O246" i="5"/>
  <c r="W246" i="5"/>
  <c r="L278" i="5"/>
  <c r="G246" i="5"/>
  <c r="F278" i="5"/>
  <c r="R246" i="5"/>
  <c r="X287" i="5"/>
  <c r="X288" i="5"/>
  <c r="C4" i="43"/>
  <c r="G4" i="43"/>
  <c r="F4" i="43"/>
  <c r="M4" i="43"/>
  <c r="D4" i="43"/>
  <c r="K4" i="43"/>
  <c r="J4" i="43"/>
  <c r="E4" i="43"/>
  <c r="I4" i="43"/>
  <c r="L4" i="43"/>
  <c r="H4" i="43"/>
  <c r="N4" i="43"/>
  <c r="K7" i="43"/>
  <c r="C7" i="43"/>
  <c r="J7" i="43"/>
  <c r="I7" i="43"/>
  <c r="H7" i="43"/>
  <c r="G7" i="43"/>
  <c r="N7" i="43"/>
  <c r="F7" i="43"/>
  <c r="M7" i="43"/>
  <c r="E7" i="43"/>
  <c r="L7" i="43"/>
  <c r="D7" i="43"/>
  <c r="J3" i="43"/>
  <c r="H3" i="43"/>
  <c r="F3" i="43"/>
  <c r="M3" i="43"/>
  <c r="E3" i="43"/>
  <c r="D3" i="43"/>
  <c r="I3" i="43"/>
  <c r="L3" i="43"/>
  <c r="K3" i="43"/>
  <c r="C3" i="43"/>
  <c r="G3" i="43"/>
  <c r="N3" i="43"/>
  <c r="K5" i="43"/>
  <c r="C5" i="43"/>
  <c r="N5" i="43"/>
  <c r="F5" i="43"/>
  <c r="H5" i="43"/>
  <c r="M5" i="43"/>
  <c r="E5" i="43"/>
  <c r="J5" i="43"/>
  <c r="G5" i="43"/>
  <c r="L5" i="43"/>
  <c r="D5" i="43"/>
  <c r="I5" i="43"/>
  <c r="G8" i="43"/>
  <c r="N8" i="43"/>
  <c r="F8" i="43"/>
  <c r="M8" i="43"/>
  <c r="E8" i="43"/>
  <c r="L8" i="43"/>
  <c r="D8" i="43"/>
  <c r="K8" i="43"/>
  <c r="C8" i="43"/>
  <c r="J8" i="43"/>
  <c r="I8" i="43"/>
  <c r="H8" i="43"/>
  <c r="G727" i="36"/>
  <c r="G753" i="36"/>
  <c r="E7" i="3"/>
  <c r="E15" i="3"/>
  <c r="T727" i="36"/>
  <c r="T753" i="36"/>
  <c r="E140" i="27"/>
  <c r="G77" i="34"/>
  <c r="G76" i="34"/>
  <c r="E9" i="27"/>
  <c r="D7" i="27"/>
  <c r="E76" i="34"/>
  <c r="D140" i="27"/>
  <c r="D142" i="27"/>
  <c r="M90" i="34"/>
  <c r="BB10" i="5"/>
  <c r="BJ33" i="5"/>
  <c r="BJ25" i="5"/>
  <c r="BH278" i="5"/>
  <c r="BN335" i="5"/>
  <c r="BG278" i="5"/>
  <c r="BJ278" i="5"/>
  <c r="BD278" i="5"/>
  <c r="BL278" i="5"/>
  <c r="BF278" i="5"/>
  <c r="BN317" i="5"/>
  <c r="BN325" i="5"/>
  <c r="BE278" i="5"/>
  <c r="BM278" i="5"/>
  <c r="BN337" i="5"/>
  <c r="BJ8" i="5"/>
  <c r="BF9" i="5"/>
  <c r="BN280" i="5"/>
  <c r="BN288" i="5"/>
  <c r="BN296" i="5"/>
  <c r="BN304" i="5"/>
  <c r="BN312" i="5"/>
  <c r="BN320" i="5"/>
  <c r="BN328" i="5"/>
  <c r="BN336" i="5"/>
  <c r="BJ10" i="5"/>
  <c r="BF11" i="5"/>
  <c r="BB12" i="5"/>
  <c r="BN297" i="5"/>
  <c r="BN305" i="5"/>
  <c r="BN313" i="5"/>
  <c r="BN321" i="5"/>
  <c r="BN329" i="5"/>
  <c r="BN332" i="5"/>
  <c r="BB6" i="5"/>
  <c r="BG64" i="5"/>
  <c r="BH25" i="5"/>
  <c r="BJ12" i="5"/>
  <c r="BF13" i="5"/>
  <c r="BB14" i="5"/>
  <c r="BN286" i="5"/>
  <c r="BN294" i="5"/>
  <c r="BN302" i="5"/>
  <c r="BN310" i="5"/>
  <c r="BN318" i="5"/>
  <c r="BN326" i="5"/>
  <c r="BN334" i="5"/>
  <c r="BF24" i="5"/>
  <c r="BJ14" i="5"/>
  <c r="BF15" i="5"/>
  <c r="BB16" i="5"/>
  <c r="BN319" i="5"/>
  <c r="BN327" i="5"/>
  <c r="BN333" i="5"/>
  <c r="BJ16" i="5"/>
  <c r="BF17" i="5"/>
  <c r="BB18" i="5"/>
  <c r="BB21" i="5"/>
  <c r="BD27" i="5"/>
  <c r="BN284" i="5"/>
  <c r="BN292" i="5"/>
  <c r="BN300" i="5"/>
  <c r="BN308" i="5"/>
  <c r="BN316" i="5"/>
  <c r="BN324" i="5"/>
  <c r="BJ23" i="5"/>
  <c r="BB25" i="5"/>
  <c r="BL29" i="5"/>
  <c r="BH30" i="5"/>
  <c r="BD31" i="5"/>
  <c r="BJ18" i="5"/>
  <c r="BF19" i="5"/>
  <c r="BJ21" i="5"/>
  <c r="BF22" i="5"/>
  <c r="BB23" i="5"/>
  <c r="BL27" i="5"/>
  <c r="BH28" i="5"/>
  <c r="BD29" i="5"/>
  <c r="BI278" i="5"/>
  <c r="BN322" i="5"/>
  <c r="BN330" i="5"/>
  <c r="BF5" i="5"/>
  <c r="BJ6" i="5"/>
  <c r="BF7" i="5"/>
  <c r="BB8" i="5"/>
  <c r="BL31" i="5"/>
  <c r="BK32" i="5"/>
  <c r="BN323" i="5"/>
  <c r="BN331" i="5"/>
  <c r="BM133" i="5"/>
  <c r="BL133" i="5"/>
  <c r="BD133" i="5"/>
  <c r="BH132" i="5"/>
  <c r="BL131" i="5"/>
  <c r="BD131" i="5"/>
  <c r="BH130" i="5"/>
  <c r="BL129" i="5"/>
  <c r="BD129" i="5"/>
  <c r="BH128" i="5"/>
  <c r="BL127" i="5"/>
  <c r="BD127" i="5"/>
  <c r="BH126" i="5"/>
  <c r="BL125" i="5"/>
  <c r="BD125" i="5"/>
  <c r="BH124" i="5"/>
  <c r="BL123" i="5"/>
  <c r="BD123" i="5"/>
  <c r="BH122" i="5"/>
  <c r="BK133" i="5"/>
  <c r="BC133" i="5"/>
  <c r="BG132" i="5"/>
  <c r="BK131" i="5"/>
  <c r="BC131" i="5"/>
  <c r="BG130" i="5"/>
  <c r="BK129" i="5"/>
  <c r="BC129" i="5"/>
  <c r="BG128" i="5"/>
  <c r="BK127" i="5"/>
  <c r="BC127" i="5"/>
  <c r="BG126" i="5"/>
  <c r="BK125" i="5"/>
  <c r="BC125" i="5"/>
  <c r="BG124" i="5"/>
  <c r="BK123" i="5"/>
  <c r="BC123" i="5"/>
  <c r="BG122" i="5"/>
  <c r="BJ133" i="5"/>
  <c r="BB133" i="5"/>
  <c r="BF132" i="5"/>
  <c r="BJ131" i="5"/>
  <c r="BB131" i="5"/>
  <c r="BF130" i="5"/>
  <c r="BJ129" i="5"/>
  <c r="BB129" i="5"/>
  <c r="BF128" i="5"/>
  <c r="BJ127" i="5"/>
  <c r="BB127" i="5"/>
  <c r="BF126" i="5"/>
  <c r="BJ125" i="5"/>
  <c r="BB125" i="5"/>
  <c r="BF124" i="5"/>
  <c r="BJ123" i="5"/>
  <c r="BB123" i="5"/>
  <c r="BF122" i="5"/>
  <c r="BI133" i="5"/>
  <c r="BM132" i="5"/>
  <c r="BE132" i="5"/>
  <c r="BI131" i="5"/>
  <c r="BM130" i="5"/>
  <c r="BE130" i="5"/>
  <c r="BI129" i="5"/>
  <c r="BM128" i="5"/>
  <c r="BE128" i="5"/>
  <c r="BI127" i="5"/>
  <c r="BM126" i="5"/>
  <c r="BE126" i="5"/>
  <c r="BI125" i="5"/>
  <c r="BM124" i="5"/>
  <c r="BE124" i="5"/>
  <c r="BI123" i="5"/>
  <c r="BM122" i="5"/>
  <c r="BE122" i="5"/>
  <c r="BH133" i="5"/>
  <c r="BL132" i="5"/>
  <c r="BD132" i="5"/>
  <c r="BH131" i="5"/>
  <c r="BL130" i="5"/>
  <c r="BD130" i="5"/>
  <c r="BH129" i="5"/>
  <c r="BL128" i="5"/>
  <c r="BD128" i="5"/>
  <c r="BH127" i="5"/>
  <c r="BL126" i="5"/>
  <c r="BD126" i="5"/>
  <c r="BH125" i="5"/>
  <c r="BL124" i="5"/>
  <c r="BD124" i="5"/>
  <c r="BH123" i="5"/>
  <c r="BL122" i="5"/>
  <c r="BD122" i="5"/>
  <c r="BG133" i="5"/>
  <c r="BK132" i="5"/>
  <c r="BC132" i="5"/>
  <c r="BG131" i="5"/>
  <c r="BK130" i="5"/>
  <c r="BC130" i="5"/>
  <c r="BG129" i="5"/>
  <c r="BK128" i="5"/>
  <c r="BC128" i="5"/>
  <c r="BG127" i="5"/>
  <c r="BK126" i="5"/>
  <c r="BC126" i="5"/>
  <c r="BG125" i="5"/>
  <c r="BK124" i="5"/>
  <c r="BC124" i="5"/>
  <c r="BG123" i="5"/>
  <c r="BK122" i="5"/>
  <c r="BC122" i="5"/>
  <c r="BF133" i="5"/>
  <c r="BJ132" i="5"/>
  <c r="BB132" i="5"/>
  <c r="BF131" i="5"/>
  <c r="BJ130" i="5"/>
  <c r="BB130" i="5"/>
  <c r="BF129" i="5"/>
  <c r="BJ128" i="5"/>
  <c r="BB128" i="5"/>
  <c r="BF127" i="5"/>
  <c r="BJ126" i="5"/>
  <c r="BB126" i="5"/>
  <c r="BF125" i="5"/>
  <c r="BJ124" i="5"/>
  <c r="BB124" i="5"/>
  <c r="BF123" i="5"/>
  <c r="BJ122" i="5"/>
  <c r="BB122" i="5"/>
  <c r="BE133" i="5"/>
  <c r="BI132" i="5"/>
  <c r="BM131" i="5"/>
  <c r="BE131" i="5"/>
  <c r="BI130" i="5"/>
  <c r="BM129" i="5"/>
  <c r="BE129" i="5"/>
  <c r="BI128" i="5"/>
  <c r="BM127" i="5"/>
  <c r="BE127" i="5"/>
  <c r="BI126" i="5"/>
  <c r="BM125" i="5"/>
  <c r="BE125" i="5"/>
  <c r="BI124" i="5"/>
  <c r="BM123" i="5"/>
  <c r="BE123" i="5"/>
  <c r="BI122" i="5"/>
  <c r="BE5" i="5"/>
  <c r="BM5" i="5"/>
  <c r="BI6" i="5"/>
  <c r="BE7" i="5"/>
  <c r="BM7" i="5"/>
  <c r="BI8" i="5"/>
  <c r="BE9" i="5"/>
  <c r="BM9" i="5"/>
  <c r="BI10" i="5"/>
  <c r="BE11" i="5"/>
  <c r="BM11" i="5"/>
  <c r="BI12" i="5"/>
  <c r="BE13" i="5"/>
  <c r="BM13" i="5"/>
  <c r="BI14" i="5"/>
  <c r="BE15" i="5"/>
  <c r="BM15" i="5"/>
  <c r="BI16" i="5"/>
  <c r="BE17" i="5"/>
  <c r="BM17" i="5"/>
  <c r="BI18" i="5"/>
  <c r="BE19" i="5"/>
  <c r="BG20" i="5"/>
  <c r="BI21" i="5"/>
  <c r="BE22" i="5"/>
  <c r="BM22" i="5"/>
  <c r="BI23" i="5"/>
  <c r="BE24" i="5"/>
  <c r="BM24" i="5"/>
  <c r="BI25" i="5"/>
  <c r="BC27" i="5"/>
  <c r="BK27" i="5"/>
  <c r="BG28" i="5"/>
  <c r="BC29" i="5"/>
  <c r="BK29" i="5"/>
  <c r="BG30" i="5"/>
  <c r="BC31" i="5"/>
  <c r="BK31" i="5"/>
  <c r="BJ32" i="5"/>
  <c r="BH33" i="5"/>
  <c r="BG34" i="5"/>
  <c r="BF35" i="5"/>
  <c r="BF36" i="5"/>
  <c r="BG37" i="5"/>
  <c r="BH38" i="5"/>
  <c r="BJ39" i="5"/>
  <c r="BC41" i="5"/>
  <c r="BD43" i="5"/>
  <c r="BJ46" i="5"/>
  <c r="BF48" i="5"/>
  <c r="BE50" i="5"/>
  <c r="BB52" i="5"/>
  <c r="BM54" i="5"/>
  <c r="BJ56" i="5"/>
  <c r="BC57" i="5"/>
  <c r="BB60" i="5"/>
  <c r="BF63" i="5"/>
  <c r="BM65" i="5"/>
  <c r="BH34" i="5"/>
  <c r="BG35" i="5"/>
  <c r="BG36" i="5"/>
  <c r="BH37" i="5"/>
  <c r="BK38" i="5"/>
  <c r="BK39" i="5"/>
  <c r="BD41" i="5"/>
  <c r="BH43" i="5"/>
  <c r="BB45" i="5"/>
  <c r="BM46" i="5"/>
  <c r="BJ48" i="5"/>
  <c r="BF50" i="5"/>
  <c r="BE52" i="5"/>
  <c r="BF57" i="5"/>
  <c r="BG60" i="5"/>
  <c r="BK63" i="5"/>
  <c r="BE66" i="5"/>
  <c r="BG5" i="5"/>
  <c r="BC6" i="5"/>
  <c r="BK6" i="5"/>
  <c r="BG7" i="5"/>
  <c r="BC8" i="5"/>
  <c r="BK8" i="5"/>
  <c r="BG9" i="5"/>
  <c r="BC10" i="5"/>
  <c r="BK10" i="5"/>
  <c r="BG11" i="5"/>
  <c r="BC12" i="5"/>
  <c r="BK12" i="5"/>
  <c r="BG13" i="5"/>
  <c r="BC14" i="5"/>
  <c r="BK14" i="5"/>
  <c r="BG15" i="5"/>
  <c r="BC16" i="5"/>
  <c r="BK16" i="5"/>
  <c r="BG17" i="5"/>
  <c r="BC18" i="5"/>
  <c r="BK18" i="5"/>
  <c r="BG19" i="5"/>
  <c r="BC21" i="5"/>
  <c r="BK21" i="5"/>
  <c r="BG22" i="5"/>
  <c r="BC23" i="5"/>
  <c r="BK23" i="5"/>
  <c r="BG24" i="5"/>
  <c r="BC25" i="5"/>
  <c r="BK25" i="5"/>
  <c r="BE27" i="5"/>
  <c r="BM27" i="5"/>
  <c r="BI28" i="5"/>
  <c r="BE29" i="5"/>
  <c r="BM29" i="5"/>
  <c r="BI30" i="5"/>
  <c r="BE31" i="5"/>
  <c r="BB32" i="5"/>
  <c r="BL32" i="5"/>
  <c r="BK33" i="5"/>
  <c r="BJ34" i="5"/>
  <c r="BH35" i="5"/>
  <c r="BH36" i="5"/>
  <c r="BJ37" i="5"/>
  <c r="BL38" i="5"/>
  <c r="BL39" i="5"/>
  <c r="BC40" i="5"/>
  <c r="BH41" i="5"/>
  <c r="BK43" i="5"/>
  <c r="BF45" i="5"/>
  <c r="BB47" i="5"/>
  <c r="BM48" i="5"/>
  <c r="BJ50" i="5"/>
  <c r="BJ52" i="5"/>
  <c r="BK57" i="5"/>
  <c r="BJ60" i="5"/>
  <c r="BC61" i="5"/>
  <c r="BB64" i="5"/>
  <c r="BM66" i="5"/>
  <c r="BH5" i="5"/>
  <c r="BD6" i="5"/>
  <c r="BL6" i="5"/>
  <c r="BH7" i="5"/>
  <c r="BD8" i="5"/>
  <c r="BL8" i="5"/>
  <c r="BH9" i="5"/>
  <c r="BD10" i="5"/>
  <c r="BL10" i="5"/>
  <c r="BH11" i="5"/>
  <c r="BD12" i="5"/>
  <c r="BL12" i="5"/>
  <c r="BH13" i="5"/>
  <c r="BD14" i="5"/>
  <c r="BL14" i="5"/>
  <c r="BH15" i="5"/>
  <c r="BD16" i="5"/>
  <c r="BL16" i="5"/>
  <c r="BH17" i="5"/>
  <c r="BD18" i="5"/>
  <c r="BL18" i="5"/>
  <c r="BB20" i="5"/>
  <c r="BD21" i="5"/>
  <c r="BL21" i="5"/>
  <c r="BH22" i="5"/>
  <c r="BD23" i="5"/>
  <c r="BL23" i="5"/>
  <c r="BH24" i="5"/>
  <c r="BD25" i="5"/>
  <c r="BL25" i="5"/>
  <c r="BF27" i="5"/>
  <c r="BB28" i="5"/>
  <c r="BJ28" i="5"/>
  <c r="BF29" i="5"/>
  <c r="BB30" i="5"/>
  <c r="BJ30" i="5"/>
  <c r="BF31" i="5"/>
  <c r="BC32" i="5"/>
  <c r="BB33" i="5"/>
  <c r="BL33" i="5"/>
  <c r="BK34" i="5"/>
  <c r="BJ35" i="5"/>
  <c r="BK36" i="5"/>
  <c r="BK37" i="5"/>
  <c r="BB39" i="5"/>
  <c r="BD40" i="5"/>
  <c r="BK41" i="5"/>
  <c r="BL43" i="5"/>
  <c r="BI45" i="5"/>
  <c r="BF47" i="5"/>
  <c r="BB49" i="5"/>
  <c r="BM50" i="5"/>
  <c r="BM52" i="5"/>
  <c r="BF53" i="5"/>
  <c r="BC55" i="5"/>
  <c r="BF61" i="5"/>
  <c r="BK73" i="5"/>
  <c r="BC73" i="5"/>
  <c r="BH72" i="5"/>
  <c r="BM71" i="5"/>
  <c r="BE71" i="5"/>
  <c r="BJ70" i="5"/>
  <c r="BB70" i="5"/>
  <c r="BG69" i="5"/>
  <c r="BL68" i="5"/>
  <c r="BD68" i="5"/>
  <c r="BI67" i="5"/>
  <c r="BF66" i="5"/>
  <c r="BK65" i="5"/>
  <c r="BC65" i="5"/>
  <c r="BH64" i="5"/>
  <c r="BL63" i="5"/>
  <c r="BD63" i="5"/>
  <c r="BH62" i="5"/>
  <c r="BL61" i="5"/>
  <c r="BD61" i="5"/>
  <c r="BH60" i="5"/>
  <c r="BL59" i="5"/>
  <c r="BD59" i="5"/>
  <c r="BH58" i="5"/>
  <c r="BL57" i="5"/>
  <c r="BD57" i="5"/>
  <c r="BH56" i="5"/>
  <c r="BL55" i="5"/>
  <c r="BD55" i="5"/>
  <c r="BK54" i="5"/>
  <c r="BC54" i="5"/>
  <c r="BG53" i="5"/>
  <c r="BK52" i="5"/>
  <c r="BC52" i="5"/>
  <c r="BG51" i="5"/>
  <c r="BK50" i="5"/>
  <c r="BC50" i="5"/>
  <c r="BG49" i="5"/>
  <c r="BK48" i="5"/>
  <c r="BC48" i="5"/>
  <c r="BG47" i="5"/>
  <c r="BK46" i="5"/>
  <c r="BC46" i="5"/>
  <c r="BG45" i="5"/>
  <c r="BI43" i="5"/>
  <c r="BM42" i="5"/>
  <c r="BE42" i="5"/>
  <c r="BI41" i="5"/>
  <c r="BM40" i="5"/>
  <c r="BE40" i="5"/>
  <c r="BI39" i="5"/>
  <c r="BM38" i="5"/>
  <c r="BE38" i="5"/>
  <c r="BI37" i="5"/>
  <c r="BM36" i="5"/>
  <c r="BE36" i="5"/>
  <c r="BI35" i="5"/>
  <c r="BM34" i="5"/>
  <c r="BE34" i="5"/>
  <c r="BI33" i="5"/>
  <c r="BM32" i="5"/>
  <c r="BE32" i="5"/>
  <c r="BJ73" i="5"/>
  <c r="BB73" i="5"/>
  <c r="BG72" i="5"/>
  <c r="BL71" i="5"/>
  <c r="BD71" i="5"/>
  <c r="BI70" i="5"/>
  <c r="BF69" i="5"/>
  <c r="BK68" i="5"/>
  <c r="BC68" i="5"/>
  <c r="BH67" i="5"/>
  <c r="BI73" i="5"/>
  <c r="BF72" i="5"/>
  <c r="BK71" i="5"/>
  <c r="BC71" i="5"/>
  <c r="BH70" i="5"/>
  <c r="BM69" i="5"/>
  <c r="BE69" i="5"/>
  <c r="BJ68" i="5"/>
  <c r="BB68" i="5"/>
  <c r="BG67" i="5"/>
  <c r="BL66" i="5"/>
  <c r="BD66" i="5"/>
  <c r="BI65" i="5"/>
  <c r="BF64" i="5"/>
  <c r="BJ63" i="5"/>
  <c r="BB63" i="5"/>
  <c r="BF62" i="5"/>
  <c r="BJ61" i="5"/>
  <c r="BB61" i="5"/>
  <c r="BF60" i="5"/>
  <c r="BJ59" i="5"/>
  <c r="BB59" i="5"/>
  <c r="BF58" i="5"/>
  <c r="BJ57" i="5"/>
  <c r="BB57" i="5"/>
  <c r="BF56" i="5"/>
  <c r="BJ55" i="5"/>
  <c r="BB55" i="5"/>
  <c r="BI54" i="5"/>
  <c r="BM53" i="5"/>
  <c r="BE53" i="5"/>
  <c r="BI52" i="5"/>
  <c r="BM51" i="5"/>
  <c r="BE51" i="5"/>
  <c r="BI50" i="5"/>
  <c r="BM49" i="5"/>
  <c r="BE49" i="5"/>
  <c r="BI48" i="5"/>
  <c r="BM47" i="5"/>
  <c r="BE47" i="5"/>
  <c r="BI46" i="5"/>
  <c r="BM45" i="5"/>
  <c r="BE45" i="5"/>
  <c r="BG43" i="5"/>
  <c r="BK42" i="5"/>
  <c r="BC42" i="5"/>
  <c r="BG41" i="5"/>
  <c r="BK40" i="5"/>
  <c r="BH73" i="5"/>
  <c r="BM72" i="5"/>
  <c r="BE72" i="5"/>
  <c r="BJ71" i="5"/>
  <c r="BB71" i="5"/>
  <c r="BG70" i="5"/>
  <c r="BL69" i="5"/>
  <c r="BD69" i="5"/>
  <c r="BI68" i="5"/>
  <c r="BF67" i="5"/>
  <c r="BK66" i="5"/>
  <c r="BC66" i="5"/>
  <c r="BH65" i="5"/>
  <c r="BM64" i="5"/>
  <c r="BE64" i="5"/>
  <c r="BI63" i="5"/>
  <c r="BM62" i="5"/>
  <c r="BE62" i="5"/>
  <c r="BI61" i="5"/>
  <c r="BM60" i="5"/>
  <c r="BE60" i="5"/>
  <c r="BI59" i="5"/>
  <c r="BM58" i="5"/>
  <c r="BE58" i="5"/>
  <c r="BI57" i="5"/>
  <c r="BM56" i="5"/>
  <c r="BE56" i="5"/>
  <c r="BI55" i="5"/>
  <c r="BH54" i="5"/>
  <c r="BL53" i="5"/>
  <c r="BD53" i="5"/>
  <c r="BH52" i="5"/>
  <c r="BL51" i="5"/>
  <c r="BD51" i="5"/>
  <c r="BH50" i="5"/>
  <c r="BL49" i="5"/>
  <c r="BD49" i="5"/>
  <c r="BH48" i="5"/>
  <c r="BL47" i="5"/>
  <c r="BD47" i="5"/>
  <c r="BH46" i="5"/>
  <c r="BL45" i="5"/>
  <c r="BD45" i="5"/>
  <c r="BF43" i="5"/>
  <c r="BJ42" i="5"/>
  <c r="BB42" i="5"/>
  <c r="BF41" i="5"/>
  <c r="BJ40" i="5"/>
  <c r="BB40" i="5"/>
  <c r="BF39" i="5"/>
  <c r="BJ38" i="5"/>
  <c r="BB38" i="5"/>
  <c r="BF37" i="5"/>
  <c r="BJ36" i="5"/>
  <c r="BB36" i="5"/>
  <c r="BG73" i="5"/>
  <c r="BL72" i="5"/>
  <c r="BD72" i="5"/>
  <c r="BI71" i="5"/>
  <c r="BF70" i="5"/>
  <c r="BK69" i="5"/>
  <c r="BC69" i="5"/>
  <c r="BH68" i="5"/>
  <c r="BM67" i="5"/>
  <c r="BE67" i="5"/>
  <c r="BJ66" i="5"/>
  <c r="BB66" i="5"/>
  <c r="BG65" i="5"/>
  <c r="BL64" i="5"/>
  <c r="BD64" i="5"/>
  <c r="BH63" i="5"/>
  <c r="BL62" i="5"/>
  <c r="BD62" i="5"/>
  <c r="BH61" i="5"/>
  <c r="BL60" i="5"/>
  <c r="BD60" i="5"/>
  <c r="BH59" i="5"/>
  <c r="BL58" i="5"/>
  <c r="BD58" i="5"/>
  <c r="BH57" i="5"/>
  <c r="BL56" i="5"/>
  <c r="BD56" i="5"/>
  <c r="BH55" i="5"/>
  <c r="BG54" i="5"/>
  <c r="BK53" i="5"/>
  <c r="BC53" i="5"/>
  <c r="BG52" i="5"/>
  <c r="BK51" i="5"/>
  <c r="BC51" i="5"/>
  <c r="BG50" i="5"/>
  <c r="BK49" i="5"/>
  <c r="BC49" i="5"/>
  <c r="BG48" i="5"/>
  <c r="BK47" i="5"/>
  <c r="BC47" i="5"/>
  <c r="BG46" i="5"/>
  <c r="BK45" i="5"/>
  <c r="BC45" i="5"/>
  <c r="BM43" i="5"/>
  <c r="BE43" i="5"/>
  <c r="BI42" i="5"/>
  <c r="BM41" i="5"/>
  <c r="BE41" i="5"/>
  <c r="BI40" i="5"/>
  <c r="BM39" i="5"/>
  <c r="BE39" i="5"/>
  <c r="BI38" i="5"/>
  <c r="BM37" i="5"/>
  <c r="BE37" i="5"/>
  <c r="BI36" i="5"/>
  <c r="BM35" i="5"/>
  <c r="BE35" i="5"/>
  <c r="BI34" i="5"/>
  <c r="BM33" i="5"/>
  <c r="BE33" i="5"/>
  <c r="BI32" i="5"/>
  <c r="BM31" i="5"/>
  <c r="BF73" i="5"/>
  <c r="BK72" i="5"/>
  <c r="BC72" i="5"/>
  <c r="BH71" i="5"/>
  <c r="BM70" i="5"/>
  <c r="BE70" i="5"/>
  <c r="BJ69" i="5"/>
  <c r="BB69" i="5"/>
  <c r="BG68" i="5"/>
  <c r="BL67" i="5"/>
  <c r="BD67" i="5"/>
  <c r="BI66" i="5"/>
  <c r="BF65" i="5"/>
  <c r="BK64" i="5"/>
  <c r="BC64" i="5"/>
  <c r="BG63" i="5"/>
  <c r="BK62" i="5"/>
  <c r="BC62" i="5"/>
  <c r="BG61" i="5"/>
  <c r="BK60" i="5"/>
  <c r="BC60" i="5"/>
  <c r="BG59" i="5"/>
  <c r="BK58" i="5"/>
  <c r="BC58" i="5"/>
  <c r="BG57" i="5"/>
  <c r="BK56" i="5"/>
  <c r="BC56" i="5"/>
  <c r="BG55" i="5"/>
  <c r="BF54" i="5"/>
  <c r="BJ53" i="5"/>
  <c r="BB53" i="5"/>
  <c r="BF52" i="5"/>
  <c r="BM73" i="5"/>
  <c r="BE73" i="5"/>
  <c r="BJ72" i="5"/>
  <c r="BB72" i="5"/>
  <c r="BG71" i="5"/>
  <c r="BL70" i="5"/>
  <c r="BD70" i="5"/>
  <c r="BI69" i="5"/>
  <c r="BF68" i="5"/>
  <c r="BK67" i="5"/>
  <c r="BC67" i="5"/>
  <c r="BH66" i="5"/>
  <c r="BL73" i="5"/>
  <c r="BD73" i="5"/>
  <c r="BI72" i="5"/>
  <c r="BF71" i="5"/>
  <c r="BK70" i="5"/>
  <c r="BC70" i="5"/>
  <c r="BH69" i="5"/>
  <c r="BM68" i="5"/>
  <c r="BE68" i="5"/>
  <c r="BJ67" i="5"/>
  <c r="BB67" i="5"/>
  <c r="BG66" i="5"/>
  <c r="BL65" i="5"/>
  <c r="BD65" i="5"/>
  <c r="BI64" i="5"/>
  <c r="BM63" i="5"/>
  <c r="BE63" i="5"/>
  <c r="BI62" i="5"/>
  <c r="BM61" i="5"/>
  <c r="BE61" i="5"/>
  <c r="BI60" i="5"/>
  <c r="BM59" i="5"/>
  <c r="BE59" i="5"/>
  <c r="BI58" i="5"/>
  <c r="BM57" i="5"/>
  <c r="BE57" i="5"/>
  <c r="BI56" i="5"/>
  <c r="BM55" i="5"/>
  <c r="BE55" i="5"/>
  <c r="BL54" i="5"/>
  <c r="BD54" i="5"/>
  <c r="BH53" i="5"/>
  <c r="BL52" i="5"/>
  <c r="BD52" i="5"/>
  <c r="BH51" i="5"/>
  <c r="BL50" i="5"/>
  <c r="BD50" i="5"/>
  <c r="BH49" i="5"/>
  <c r="BL48" i="5"/>
  <c r="BD48" i="5"/>
  <c r="BH47" i="5"/>
  <c r="BL46" i="5"/>
  <c r="BD46" i="5"/>
  <c r="BH45" i="5"/>
  <c r="BJ43" i="5"/>
  <c r="BB43" i="5"/>
  <c r="BF42" i="5"/>
  <c r="BJ41" i="5"/>
  <c r="BB41" i="5"/>
  <c r="BL245" i="5"/>
  <c r="BD245" i="5"/>
  <c r="BH244" i="5"/>
  <c r="BL243" i="5"/>
  <c r="BD243" i="5"/>
  <c r="BH242" i="5"/>
  <c r="BL241" i="5"/>
  <c r="BD241" i="5"/>
  <c r="BH240" i="5"/>
  <c r="BL239" i="5"/>
  <c r="BD239" i="5"/>
  <c r="BH238" i="5"/>
  <c r="BL237" i="5"/>
  <c r="BD237" i="5"/>
  <c r="BH236" i="5"/>
  <c r="BL235" i="5"/>
  <c r="BD235" i="5"/>
  <c r="BH234" i="5"/>
  <c r="BL233" i="5"/>
  <c r="BD233" i="5"/>
  <c r="BH232" i="5"/>
  <c r="BL231" i="5"/>
  <c r="BD231" i="5"/>
  <c r="BH230" i="5"/>
  <c r="BL229" i="5"/>
  <c r="BD229" i="5"/>
  <c r="BH228" i="5"/>
  <c r="BL227" i="5"/>
  <c r="BD227" i="5"/>
  <c r="BH226" i="5"/>
  <c r="BH216" i="5"/>
  <c r="BL215" i="5"/>
  <c r="BD215" i="5"/>
  <c r="BH214" i="5"/>
  <c r="BL213" i="5"/>
  <c r="BD213" i="5"/>
  <c r="BH212" i="5"/>
  <c r="BK211" i="5"/>
  <c r="BC211" i="5"/>
  <c r="BF210" i="5"/>
  <c r="BI209" i="5"/>
  <c r="BM208" i="5"/>
  <c r="BE208" i="5"/>
  <c r="BJ245" i="5"/>
  <c r="BB245" i="5"/>
  <c r="BF244" i="5"/>
  <c r="BJ243" i="5"/>
  <c r="BB243" i="5"/>
  <c r="BF242" i="5"/>
  <c r="BJ241" i="5"/>
  <c r="BB241" i="5"/>
  <c r="BF240" i="5"/>
  <c r="BJ239" i="5"/>
  <c r="BB239" i="5"/>
  <c r="BF238" i="5"/>
  <c r="BJ237" i="5"/>
  <c r="BB237" i="5"/>
  <c r="BF236" i="5"/>
  <c r="BJ235" i="5"/>
  <c r="BB235" i="5"/>
  <c r="BF234" i="5"/>
  <c r="BJ233" i="5"/>
  <c r="BB233" i="5"/>
  <c r="BF232" i="5"/>
  <c r="BJ231" i="5"/>
  <c r="BB231" i="5"/>
  <c r="BF230" i="5"/>
  <c r="BJ229" i="5"/>
  <c r="BB229" i="5"/>
  <c r="BF228" i="5"/>
  <c r="BJ227" i="5"/>
  <c r="BB227" i="5"/>
  <c r="BF226" i="5"/>
  <c r="BF216" i="5"/>
  <c r="BJ215" i="5"/>
  <c r="BB215" i="5"/>
  <c r="BF214" i="5"/>
  <c r="BJ213" i="5"/>
  <c r="BB213" i="5"/>
  <c r="BF212" i="5"/>
  <c r="BI211" i="5"/>
  <c r="BL210" i="5"/>
  <c r="BD210" i="5"/>
  <c r="BG209" i="5"/>
  <c r="BK208" i="5"/>
  <c r="BC208" i="5"/>
  <c r="BG207" i="5"/>
  <c r="BK206" i="5"/>
  <c r="BC206" i="5"/>
  <c r="BG205" i="5"/>
  <c r="BK204" i="5"/>
  <c r="BC204" i="5"/>
  <c r="BG203" i="5"/>
  <c r="BK202" i="5"/>
  <c r="BC202" i="5"/>
  <c r="BG201" i="5"/>
  <c r="BK200" i="5"/>
  <c r="BC200" i="5"/>
  <c r="BG199" i="5"/>
  <c r="BK197" i="5"/>
  <c r="BC197" i="5"/>
  <c r="BG196" i="5"/>
  <c r="BK195" i="5"/>
  <c r="BI245" i="5"/>
  <c r="BM244" i="5"/>
  <c r="BE244" i="5"/>
  <c r="BI243" i="5"/>
  <c r="BM242" i="5"/>
  <c r="BE242" i="5"/>
  <c r="BI241" i="5"/>
  <c r="BM240" i="5"/>
  <c r="BE240" i="5"/>
  <c r="BI239" i="5"/>
  <c r="BM238" i="5"/>
  <c r="BE238" i="5"/>
  <c r="BI237" i="5"/>
  <c r="BM236" i="5"/>
  <c r="BE236" i="5"/>
  <c r="BI235" i="5"/>
  <c r="BM234" i="5"/>
  <c r="BE234" i="5"/>
  <c r="BI233" i="5"/>
  <c r="BM232" i="5"/>
  <c r="BE232" i="5"/>
  <c r="BI231" i="5"/>
  <c r="BM230" i="5"/>
  <c r="BE230" i="5"/>
  <c r="BI229" i="5"/>
  <c r="BM228" i="5"/>
  <c r="BE228" i="5"/>
  <c r="BI227" i="5"/>
  <c r="BM226" i="5"/>
  <c r="BE226" i="5"/>
  <c r="BM216" i="5"/>
  <c r="BE216" i="5"/>
  <c r="BI215" i="5"/>
  <c r="BM214" i="5"/>
  <c r="BE214" i="5"/>
  <c r="BI213" i="5"/>
  <c r="BM212" i="5"/>
  <c r="BE212" i="5"/>
  <c r="BH211" i="5"/>
  <c r="BK210" i="5"/>
  <c r="BC210" i="5"/>
  <c r="BF209" i="5"/>
  <c r="BJ208" i="5"/>
  <c r="BB208" i="5"/>
  <c r="BH245" i="5"/>
  <c r="BL244" i="5"/>
  <c r="BD244" i="5"/>
  <c r="BH243" i="5"/>
  <c r="BL242" i="5"/>
  <c r="BD242" i="5"/>
  <c r="BH241" i="5"/>
  <c r="BL240" i="5"/>
  <c r="BD240" i="5"/>
  <c r="BH239" i="5"/>
  <c r="BL238" i="5"/>
  <c r="BD238" i="5"/>
  <c r="BH237" i="5"/>
  <c r="BL236" i="5"/>
  <c r="BD236" i="5"/>
  <c r="BH235" i="5"/>
  <c r="BL234" i="5"/>
  <c r="BD234" i="5"/>
  <c r="BH233" i="5"/>
  <c r="BL232" i="5"/>
  <c r="BD232" i="5"/>
  <c r="BH231" i="5"/>
  <c r="BL230" i="5"/>
  <c r="BD230" i="5"/>
  <c r="BH229" i="5"/>
  <c r="BL228" i="5"/>
  <c r="BD228" i="5"/>
  <c r="BH227" i="5"/>
  <c r="BL226" i="5"/>
  <c r="BD226" i="5"/>
  <c r="BL216" i="5"/>
  <c r="BD216" i="5"/>
  <c r="BH215" i="5"/>
  <c r="BL214" i="5"/>
  <c r="BD214" i="5"/>
  <c r="BH213" i="5"/>
  <c r="BL212" i="5"/>
  <c r="BD212" i="5"/>
  <c r="BG211" i="5"/>
  <c r="BJ210" i="5"/>
  <c r="BB210" i="5"/>
  <c r="BG245" i="5"/>
  <c r="BK244" i="5"/>
  <c r="BC244" i="5"/>
  <c r="BG243" i="5"/>
  <c r="BK242" i="5"/>
  <c r="BC242" i="5"/>
  <c r="BG241" i="5"/>
  <c r="BK240" i="5"/>
  <c r="BC240" i="5"/>
  <c r="BG239" i="5"/>
  <c r="BK238" i="5"/>
  <c r="BC238" i="5"/>
  <c r="BG237" i="5"/>
  <c r="BK236" i="5"/>
  <c r="BC236" i="5"/>
  <c r="BG235" i="5"/>
  <c r="BK234" i="5"/>
  <c r="BC234" i="5"/>
  <c r="BG233" i="5"/>
  <c r="BK232" i="5"/>
  <c r="BC232" i="5"/>
  <c r="BG231" i="5"/>
  <c r="BK230" i="5"/>
  <c r="BC230" i="5"/>
  <c r="BG229" i="5"/>
  <c r="BK228" i="5"/>
  <c r="BC228" i="5"/>
  <c r="BG227" i="5"/>
  <c r="BK226" i="5"/>
  <c r="BC226" i="5"/>
  <c r="BK216" i="5"/>
  <c r="BC216" i="5"/>
  <c r="BG215" i="5"/>
  <c r="BK214" i="5"/>
  <c r="BC214" i="5"/>
  <c r="BG213" i="5"/>
  <c r="BK212" i="5"/>
  <c r="BC212" i="5"/>
  <c r="BF211" i="5"/>
  <c r="BI210" i="5"/>
  <c r="BE245" i="5"/>
  <c r="BE243" i="5"/>
  <c r="BE241" i="5"/>
  <c r="BE239" i="5"/>
  <c r="BE237" i="5"/>
  <c r="BE235" i="5"/>
  <c r="BE233" i="5"/>
  <c r="BE231" i="5"/>
  <c r="BE229" i="5"/>
  <c r="BE227" i="5"/>
  <c r="BE215" i="5"/>
  <c r="BE213" i="5"/>
  <c r="BB211" i="5"/>
  <c r="BH210" i="5"/>
  <c r="BC209" i="5"/>
  <c r="BM207" i="5"/>
  <c r="BD207" i="5"/>
  <c r="BG206" i="5"/>
  <c r="BJ205" i="5"/>
  <c r="BM204" i="5"/>
  <c r="BD204" i="5"/>
  <c r="BF203" i="5"/>
  <c r="BI202" i="5"/>
  <c r="BL201" i="5"/>
  <c r="BC201" i="5"/>
  <c r="BF200" i="5"/>
  <c r="BI199" i="5"/>
  <c r="BL197" i="5"/>
  <c r="BB197" i="5"/>
  <c r="BE196" i="5"/>
  <c r="BH195" i="5"/>
  <c r="BL194" i="5"/>
  <c r="BD194" i="5"/>
  <c r="BH193" i="5"/>
  <c r="BL192" i="5"/>
  <c r="BD192" i="5"/>
  <c r="BH191" i="5"/>
  <c r="BL190" i="5"/>
  <c r="BD190" i="5"/>
  <c r="BH189" i="5"/>
  <c r="BL188" i="5"/>
  <c r="BD188" i="5"/>
  <c r="BH187" i="5"/>
  <c r="BL186" i="5"/>
  <c r="BD186" i="5"/>
  <c r="BH185" i="5"/>
  <c r="BL184" i="5"/>
  <c r="BD184" i="5"/>
  <c r="BH183" i="5"/>
  <c r="BL182" i="5"/>
  <c r="BD182" i="5"/>
  <c r="BH181" i="5"/>
  <c r="BL180" i="5"/>
  <c r="BD180" i="5"/>
  <c r="BH179" i="5"/>
  <c r="BL178" i="5"/>
  <c r="BD178" i="5"/>
  <c r="BH177" i="5"/>
  <c r="BL176" i="5"/>
  <c r="BD176" i="5"/>
  <c r="BH175" i="5"/>
  <c r="BL174" i="5"/>
  <c r="BD174" i="5"/>
  <c r="BH173" i="5"/>
  <c r="BL172" i="5"/>
  <c r="BD172" i="5"/>
  <c r="BH171" i="5"/>
  <c r="BL170" i="5"/>
  <c r="BD170" i="5"/>
  <c r="BH169" i="5"/>
  <c r="BL168" i="5"/>
  <c r="BD168" i="5"/>
  <c r="BH167" i="5"/>
  <c r="BL166" i="5"/>
  <c r="BD166" i="5"/>
  <c r="BC245" i="5"/>
  <c r="BJ244" i="5"/>
  <c r="BC243" i="5"/>
  <c r="BJ242" i="5"/>
  <c r="BC241" i="5"/>
  <c r="BJ240" i="5"/>
  <c r="BC239" i="5"/>
  <c r="BJ238" i="5"/>
  <c r="BC237" i="5"/>
  <c r="BJ236" i="5"/>
  <c r="BC235" i="5"/>
  <c r="BJ234" i="5"/>
  <c r="BC233" i="5"/>
  <c r="BJ232" i="5"/>
  <c r="BC231" i="5"/>
  <c r="BJ230" i="5"/>
  <c r="BC229" i="5"/>
  <c r="BJ228" i="5"/>
  <c r="BC227" i="5"/>
  <c r="BJ226" i="5"/>
  <c r="BJ216" i="5"/>
  <c r="BC215" i="5"/>
  <c r="BJ214" i="5"/>
  <c r="BC213" i="5"/>
  <c r="BJ212" i="5"/>
  <c r="BG210" i="5"/>
  <c r="BM209" i="5"/>
  <c r="BB209" i="5"/>
  <c r="BL207" i="5"/>
  <c r="BC207" i="5"/>
  <c r="BF206" i="5"/>
  <c r="BI205" i="5"/>
  <c r="BL204" i="5"/>
  <c r="BB204" i="5"/>
  <c r="BE203" i="5"/>
  <c r="BH202" i="5"/>
  <c r="BK201" i="5"/>
  <c r="BB201" i="5"/>
  <c r="BE200" i="5"/>
  <c r="BH199" i="5"/>
  <c r="BJ197" i="5"/>
  <c r="BM196" i="5"/>
  <c r="BD196" i="5"/>
  <c r="BG195" i="5"/>
  <c r="BK194" i="5"/>
  <c r="BC194" i="5"/>
  <c r="BG193" i="5"/>
  <c r="BK192" i="5"/>
  <c r="BC192" i="5"/>
  <c r="BG191" i="5"/>
  <c r="BK190" i="5"/>
  <c r="BC190" i="5"/>
  <c r="BG189" i="5"/>
  <c r="BK188" i="5"/>
  <c r="BC188" i="5"/>
  <c r="BI244" i="5"/>
  <c r="BI242" i="5"/>
  <c r="BI240" i="5"/>
  <c r="BI238" i="5"/>
  <c r="BI236" i="5"/>
  <c r="BI234" i="5"/>
  <c r="BI232" i="5"/>
  <c r="BI230" i="5"/>
  <c r="BI228" i="5"/>
  <c r="BI226" i="5"/>
  <c r="BI216" i="5"/>
  <c r="BI214" i="5"/>
  <c r="BI212" i="5"/>
  <c r="BE210" i="5"/>
  <c r="BL209" i="5"/>
  <c r="BL208" i="5"/>
  <c r="BK207" i="5"/>
  <c r="BB207" i="5"/>
  <c r="BE206" i="5"/>
  <c r="BH205" i="5"/>
  <c r="BJ204" i="5"/>
  <c r="BM203" i="5"/>
  <c r="BD203" i="5"/>
  <c r="BG202" i="5"/>
  <c r="BJ201" i="5"/>
  <c r="BM200" i="5"/>
  <c r="BD200" i="5"/>
  <c r="BF199" i="5"/>
  <c r="BI197" i="5"/>
  <c r="BL196" i="5"/>
  <c r="BC196" i="5"/>
  <c r="BF195" i="5"/>
  <c r="BJ194" i="5"/>
  <c r="BB194" i="5"/>
  <c r="BF193" i="5"/>
  <c r="BJ192" i="5"/>
  <c r="BB192" i="5"/>
  <c r="BF191" i="5"/>
  <c r="BJ190" i="5"/>
  <c r="BB190" i="5"/>
  <c r="BF189" i="5"/>
  <c r="BJ188" i="5"/>
  <c r="BB188" i="5"/>
  <c r="BF187" i="5"/>
  <c r="BJ186" i="5"/>
  <c r="BB186" i="5"/>
  <c r="BF185" i="5"/>
  <c r="BJ184" i="5"/>
  <c r="BB184" i="5"/>
  <c r="BF183" i="5"/>
  <c r="BJ182" i="5"/>
  <c r="BB182" i="5"/>
  <c r="BF181" i="5"/>
  <c r="BJ180" i="5"/>
  <c r="BB180" i="5"/>
  <c r="BF179" i="5"/>
  <c r="BJ178" i="5"/>
  <c r="BB178" i="5"/>
  <c r="BF177" i="5"/>
  <c r="BJ176" i="5"/>
  <c r="BB176" i="5"/>
  <c r="BF175" i="5"/>
  <c r="BJ174" i="5"/>
  <c r="BB174" i="5"/>
  <c r="BF173" i="5"/>
  <c r="BJ172" i="5"/>
  <c r="BG244" i="5"/>
  <c r="BG242" i="5"/>
  <c r="BG240" i="5"/>
  <c r="BG238" i="5"/>
  <c r="BG236" i="5"/>
  <c r="BG234" i="5"/>
  <c r="BG232" i="5"/>
  <c r="BG230" i="5"/>
  <c r="BG228" i="5"/>
  <c r="BG226" i="5"/>
  <c r="BG216" i="5"/>
  <c r="BG214" i="5"/>
  <c r="BG212" i="5"/>
  <c r="BM211" i="5"/>
  <c r="BB244" i="5"/>
  <c r="BB242" i="5"/>
  <c r="BB240" i="5"/>
  <c r="BB238" i="5"/>
  <c r="BB236" i="5"/>
  <c r="BB234" i="5"/>
  <c r="BB232" i="5"/>
  <c r="BB230" i="5"/>
  <c r="BB228" i="5"/>
  <c r="BB226" i="5"/>
  <c r="BB216" i="5"/>
  <c r="BB214" i="5"/>
  <c r="BB212" i="5"/>
  <c r="BL211" i="5"/>
  <c r="BJ209" i="5"/>
  <c r="BH208" i="5"/>
  <c r="BI207" i="5"/>
  <c r="BL206" i="5"/>
  <c r="BB206" i="5"/>
  <c r="BE205" i="5"/>
  <c r="BH204" i="5"/>
  <c r="BK203" i="5"/>
  <c r="BB203" i="5"/>
  <c r="BE202" i="5"/>
  <c r="BH201" i="5"/>
  <c r="BJ200" i="5"/>
  <c r="BM199" i="5"/>
  <c r="BD199" i="5"/>
  <c r="BG197" i="5"/>
  <c r="BJ196" i="5"/>
  <c r="BM195" i="5"/>
  <c r="BD195" i="5"/>
  <c r="BH194" i="5"/>
  <c r="BL193" i="5"/>
  <c r="BD193" i="5"/>
  <c r="BH192" i="5"/>
  <c r="BL191" i="5"/>
  <c r="BD191" i="5"/>
  <c r="BH190" i="5"/>
  <c r="BL189" i="5"/>
  <c r="BD189" i="5"/>
  <c r="BH188" i="5"/>
  <c r="BL187" i="5"/>
  <c r="BD187" i="5"/>
  <c r="BH186" i="5"/>
  <c r="BL185" i="5"/>
  <c r="BM245" i="5"/>
  <c r="BM243" i="5"/>
  <c r="BM241" i="5"/>
  <c r="BM239" i="5"/>
  <c r="BM237" i="5"/>
  <c r="BM235" i="5"/>
  <c r="BM233" i="5"/>
  <c r="BM231" i="5"/>
  <c r="BM229" i="5"/>
  <c r="BM227" i="5"/>
  <c r="BM215" i="5"/>
  <c r="BM213" i="5"/>
  <c r="BJ211" i="5"/>
  <c r="BH209" i="5"/>
  <c r="BG208" i="5"/>
  <c r="BH207" i="5"/>
  <c r="BJ206" i="5"/>
  <c r="BM205" i="5"/>
  <c r="BD205" i="5"/>
  <c r="BG204" i="5"/>
  <c r="BJ203" i="5"/>
  <c r="BM202" i="5"/>
  <c r="BK245" i="5"/>
  <c r="BK243" i="5"/>
  <c r="BK241" i="5"/>
  <c r="BK239" i="5"/>
  <c r="BK237" i="5"/>
  <c r="BK235" i="5"/>
  <c r="BK233" i="5"/>
  <c r="BK231" i="5"/>
  <c r="BK229" i="5"/>
  <c r="BK227" i="5"/>
  <c r="BK215" i="5"/>
  <c r="BK213" i="5"/>
  <c r="BE211" i="5"/>
  <c r="BE209" i="5"/>
  <c r="BF208" i="5"/>
  <c r="BF207" i="5"/>
  <c r="BI206" i="5"/>
  <c r="BL205" i="5"/>
  <c r="BC205" i="5"/>
  <c r="BF204" i="5"/>
  <c r="BI203" i="5"/>
  <c r="BL202" i="5"/>
  <c r="BB202" i="5"/>
  <c r="BE201" i="5"/>
  <c r="BH200" i="5"/>
  <c r="BK199" i="5"/>
  <c r="BB199" i="5"/>
  <c r="BE197" i="5"/>
  <c r="BF245" i="5"/>
  <c r="BF243" i="5"/>
  <c r="BF241" i="5"/>
  <c r="BF239" i="5"/>
  <c r="BF237" i="5"/>
  <c r="BF235" i="5"/>
  <c r="BF233" i="5"/>
  <c r="BF231" i="5"/>
  <c r="BF229" i="5"/>
  <c r="BF227" i="5"/>
  <c r="BF215" i="5"/>
  <c r="BF213" i="5"/>
  <c r="BD211" i="5"/>
  <c r="BM210" i="5"/>
  <c r="BD209" i="5"/>
  <c r="BD208" i="5"/>
  <c r="BE207" i="5"/>
  <c r="BH206" i="5"/>
  <c r="BK205" i="5"/>
  <c r="BB205" i="5"/>
  <c r="BE204" i="5"/>
  <c r="BH203" i="5"/>
  <c r="BJ202" i="5"/>
  <c r="BM201" i="5"/>
  <c r="BD201" i="5"/>
  <c r="BG200" i="5"/>
  <c r="BJ199" i="5"/>
  <c r="BM197" i="5"/>
  <c r="BD197" i="5"/>
  <c r="BF196" i="5"/>
  <c r="BI195" i="5"/>
  <c r="BM194" i="5"/>
  <c r="BE194" i="5"/>
  <c r="BI193" i="5"/>
  <c r="BM192" i="5"/>
  <c r="BE192" i="5"/>
  <c r="BI191" i="5"/>
  <c r="BM190" i="5"/>
  <c r="BE190" i="5"/>
  <c r="BI189" i="5"/>
  <c r="BM188" i="5"/>
  <c r="BE188" i="5"/>
  <c r="BI187" i="5"/>
  <c r="BM186" i="5"/>
  <c r="BE186" i="5"/>
  <c r="BI185" i="5"/>
  <c r="BM184" i="5"/>
  <c r="BE184" i="5"/>
  <c r="BD202" i="5"/>
  <c r="BI201" i="5"/>
  <c r="BI196" i="5"/>
  <c r="BI194" i="5"/>
  <c r="BI192" i="5"/>
  <c r="BI190" i="5"/>
  <c r="BI188" i="5"/>
  <c r="BB187" i="5"/>
  <c r="BG185" i="5"/>
  <c r="BG184" i="5"/>
  <c r="BE183" i="5"/>
  <c r="BG182" i="5"/>
  <c r="BG181" i="5"/>
  <c r="BH180" i="5"/>
  <c r="BI179" i="5"/>
  <c r="BI178" i="5"/>
  <c r="BJ177" i="5"/>
  <c r="BK176" i="5"/>
  <c r="BK175" i="5"/>
  <c r="BM174" i="5"/>
  <c r="BL173" i="5"/>
  <c r="BB173" i="5"/>
  <c r="BC172" i="5"/>
  <c r="BF171" i="5"/>
  <c r="BI170" i="5"/>
  <c r="BL169" i="5"/>
  <c r="BC169" i="5"/>
  <c r="BF168" i="5"/>
  <c r="BI167" i="5"/>
  <c r="BK166" i="5"/>
  <c r="BB166" i="5"/>
  <c r="BF165" i="5"/>
  <c r="BJ164" i="5"/>
  <c r="BB164" i="5"/>
  <c r="BF163" i="5"/>
  <c r="BJ162" i="5"/>
  <c r="BB162" i="5"/>
  <c r="BF201" i="5"/>
  <c r="BL200" i="5"/>
  <c r="BH196" i="5"/>
  <c r="BG194" i="5"/>
  <c r="BG192" i="5"/>
  <c r="BG190" i="5"/>
  <c r="BG188" i="5"/>
  <c r="BK186" i="5"/>
  <c r="BE185" i="5"/>
  <c r="BF184" i="5"/>
  <c r="BD183" i="5"/>
  <c r="BF182" i="5"/>
  <c r="BE181" i="5"/>
  <c r="BG180" i="5"/>
  <c r="BG179" i="5"/>
  <c r="BH178" i="5"/>
  <c r="BI177" i="5"/>
  <c r="BI176" i="5"/>
  <c r="BJ175" i="5"/>
  <c r="BK174" i="5"/>
  <c r="BK173" i="5"/>
  <c r="BM172" i="5"/>
  <c r="BB172" i="5"/>
  <c r="BE171" i="5"/>
  <c r="BH170" i="5"/>
  <c r="BK169" i="5"/>
  <c r="BB169" i="5"/>
  <c r="BE168" i="5"/>
  <c r="BG167" i="5"/>
  <c r="BJ166" i="5"/>
  <c r="BM165" i="5"/>
  <c r="BE165" i="5"/>
  <c r="BI164" i="5"/>
  <c r="BM163" i="5"/>
  <c r="BE163" i="5"/>
  <c r="BI162" i="5"/>
  <c r="BL161" i="5"/>
  <c r="BD161" i="5"/>
  <c r="BG160" i="5"/>
  <c r="BJ159" i="5"/>
  <c r="BB159" i="5"/>
  <c r="BM158" i="5"/>
  <c r="BE158" i="5"/>
  <c r="BH157" i="5"/>
  <c r="BL156" i="5"/>
  <c r="BD156" i="5"/>
  <c r="BG155" i="5"/>
  <c r="BJ154" i="5"/>
  <c r="BB154" i="5"/>
  <c r="BM153" i="5"/>
  <c r="BE153" i="5"/>
  <c r="BH152" i="5"/>
  <c r="BK151" i="5"/>
  <c r="BC151" i="5"/>
  <c r="BF150" i="5"/>
  <c r="BI149" i="5"/>
  <c r="BL148" i="5"/>
  <c r="BD148" i="5"/>
  <c r="BG147" i="5"/>
  <c r="BJ146" i="5"/>
  <c r="BB146" i="5"/>
  <c r="BM145" i="5"/>
  <c r="BE145" i="5"/>
  <c r="BH144" i="5"/>
  <c r="BK143" i="5"/>
  <c r="BC143" i="5"/>
  <c r="BF142" i="5"/>
  <c r="BI141" i="5"/>
  <c r="BM140" i="5"/>
  <c r="BE140" i="5"/>
  <c r="BI139" i="5"/>
  <c r="BM138" i="5"/>
  <c r="BE138" i="5"/>
  <c r="BI137" i="5"/>
  <c r="BM136" i="5"/>
  <c r="BE136" i="5"/>
  <c r="BJ135" i="5"/>
  <c r="BB135" i="5"/>
  <c r="BI200" i="5"/>
  <c r="BB196" i="5"/>
  <c r="BF194" i="5"/>
  <c r="BM193" i="5"/>
  <c r="BF192" i="5"/>
  <c r="BM191" i="5"/>
  <c r="BF190" i="5"/>
  <c r="BM189" i="5"/>
  <c r="BF188" i="5"/>
  <c r="BM187" i="5"/>
  <c r="BI186" i="5"/>
  <c r="BD185" i="5"/>
  <c r="BC184" i="5"/>
  <c r="BM183" i="5"/>
  <c r="BC183" i="5"/>
  <c r="BE182" i="5"/>
  <c r="BD181" i="5"/>
  <c r="BF180" i="5"/>
  <c r="BE179" i="5"/>
  <c r="BG178" i="5"/>
  <c r="BG177" i="5"/>
  <c r="BH176" i="5"/>
  <c r="BI175" i="5"/>
  <c r="BI174" i="5"/>
  <c r="BJ173" i="5"/>
  <c r="BK172" i="5"/>
  <c r="BM171" i="5"/>
  <c r="BD171" i="5"/>
  <c r="BG170" i="5"/>
  <c r="BJ169" i="5"/>
  <c r="BM168" i="5"/>
  <c r="BC168" i="5"/>
  <c r="BF167" i="5"/>
  <c r="BI166" i="5"/>
  <c r="BL165" i="5"/>
  <c r="BD165" i="5"/>
  <c r="BH164" i="5"/>
  <c r="BL163" i="5"/>
  <c r="BD163" i="5"/>
  <c r="BH162" i="5"/>
  <c r="BK161" i="5"/>
  <c r="BC161" i="5"/>
  <c r="BF160" i="5"/>
  <c r="BI159" i="5"/>
  <c r="BL158" i="5"/>
  <c r="BD158" i="5"/>
  <c r="BG157" i="5"/>
  <c r="BK156" i="5"/>
  <c r="BC156" i="5"/>
  <c r="BF155" i="5"/>
  <c r="BI154" i="5"/>
  <c r="BL153" i="5"/>
  <c r="BD153" i="5"/>
  <c r="BG152" i="5"/>
  <c r="BJ151" i="5"/>
  <c r="BB151" i="5"/>
  <c r="BM150" i="5"/>
  <c r="BE150" i="5"/>
  <c r="BH149" i="5"/>
  <c r="BK148" i="5"/>
  <c r="BC148" i="5"/>
  <c r="BF147" i="5"/>
  <c r="BI146" i="5"/>
  <c r="BL145" i="5"/>
  <c r="BD145" i="5"/>
  <c r="BG144" i="5"/>
  <c r="BJ143" i="5"/>
  <c r="BB143" i="5"/>
  <c r="BM142" i="5"/>
  <c r="BE142" i="5"/>
  <c r="BH141" i="5"/>
  <c r="BL140" i="5"/>
  <c r="BD140" i="5"/>
  <c r="BH139" i="5"/>
  <c r="BL138" i="5"/>
  <c r="BD138" i="5"/>
  <c r="BH137" i="5"/>
  <c r="BL136" i="5"/>
  <c r="BB200" i="5"/>
  <c r="BL195" i="5"/>
  <c r="BK193" i="5"/>
  <c r="BK191" i="5"/>
  <c r="BK189" i="5"/>
  <c r="BK187" i="5"/>
  <c r="BG186" i="5"/>
  <c r="BC185" i="5"/>
  <c r="BL183" i="5"/>
  <c r="BB183" i="5"/>
  <c r="BC182" i="5"/>
  <c r="BM181" i="5"/>
  <c r="BC181" i="5"/>
  <c r="BE180" i="5"/>
  <c r="BD179" i="5"/>
  <c r="BF178" i="5"/>
  <c r="BE177" i="5"/>
  <c r="BG176" i="5"/>
  <c r="BG175" i="5"/>
  <c r="BL199" i="5"/>
  <c r="BJ195" i="5"/>
  <c r="BJ193" i="5"/>
  <c r="BJ191" i="5"/>
  <c r="BJ189" i="5"/>
  <c r="BJ187" i="5"/>
  <c r="BF186" i="5"/>
  <c r="BB185" i="5"/>
  <c r="BK183" i="5"/>
  <c r="BM182" i="5"/>
  <c r="BL181" i="5"/>
  <c r="BB181" i="5"/>
  <c r="BC180" i="5"/>
  <c r="BM179" i="5"/>
  <c r="BC179" i="5"/>
  <c r="BE178" i="5"/>
  <c r="BD177" i="5"/>
  <c r="BF176" i="5"/>
  <c r="BE175" i="5"/>
  <c r="BG174" i="5"/>
  <c r="BG173" i="5"/>
  <c r="BH172" i="5"/>
  <c r="BK171" i="5"/>
  <c r="BB171" i="5"/>
  <c r="BE170" i="5"/>
  <c r="BG169" i="5"/>
  <c r="BJ168" i="5"/>
  <c r="BM167" i="5"/>
  <c r="BD167" i="5"/>
  <c r="BG166" i="5"/>
  <c r="BJ165" i="5"/>
  <c r="BB165" i="5"/>
  <c r="BF164" i="5"/>
  <c r="BJ163" i="5"/>
  <c r="BB163" i="5"/>
  <c r="BF162" i="5"/>
  <c r="BI161" i="5"/>
  <c r="BL160" i="5"/>
  <c r="BD160" i="5"/>
  <c r="BG159" i="5"/>
  <c r="BJ158" i="5"/>
  <c r="BB158" i="5"/>
  <c r="BM157" i="5"/>
  <c r="BE157" i="5"/>
  <c r="BI156" i="5"/>
  <c r="BL155" i="5"/>
  <c r="BD155" i="5"/>
  <c r="BG154" i="5"/>
  <c r="BJ153" i="5"/>
  <c r="BB153" i="5"/>
  <c r="BM152" i="5"/>
  <c r="BE152" i="5"/>
  <c r="BH151" i="5"/>
  <c r="BK150" i="5"/>
  <c r="BC150" i="5"/>
  <c r="BF149" i="5"/>
  <c r="BI148" i="5"/>
  <c r="BL147" i="5"/>
  <c r="BD147" i="5"/>
  <c r="BG146" i="5"/>
  <c r="BJ145" i="5"/>
  <c r="BB145" i="5"/>
  <c r="BM144" i="5"/>
  <c r="BE144" i="5"/>
  <c r="BH143" i="5"/>
  <c r="BK142" i="5"/>
  <c r="BC142" i="5"/>
  <c r="BF141" i="5"/>
  <c r="BJ140" i="5"/>
  <c r="BD206" i="5"/>
  <c r="BF205" i="5"/>
  <c r="BI204" i="5"/>
  <c r="BL203" i="5"/>
  <c r="BC199" i="5"/>
  <c r="BH197" i="5"/>
  <c r="BC195" i="5"/>
  <c r="BC193" i="5"/>
  <c r="BC191" i="5"/>
  <c r="BC189" i="5"/>
  <c r="BE187" i="5"/>
  <c r="BK185" i="5"/>
  <c r="BI184" i="5"/>
  <c r="BI183" i="5"/>
  <c r="BI182" i="5"/>
  <c r="BJ181" i="5"/>
  <c r="BK180" i="5"/>
  <c r="BK179" i="5"/>
  <c r="BM178" i="5"/>
  <c r="BL177" i="5"/>
  <c r="BB177" i="5"/>
  <c r="BC176" i="5"/>
  <c r="BM175" i="5"/>
  <c r="BC175" i="5"/>
  <c r="BE174" i="5"/>
  <c r="BD173" i="5"/>
  <c r="BF172" i="5"/>
  <c r="BI171" i="5"/>
  <c r="BK170" i="5"/>
  <c r="BB170" i="5"/>
  <c r="BE169" i="5"/>
  <c r="BH168" i="5"/>
  <c r="BK167" i="5"/>
  <c r="BB167" i="5"/>
  <c r="BE166" i="5"/>
  <c r="BH165" i="5"/>
  <c r="BL164" i="5"/>
  <c r="BD164" i="5"/>
  <c r="BH163" i="5"/>
  <c r="BL162" i="5"/>
  <c r="BD162" i="5"/>
  <c r="BG161" i="5"/>
  <c r="BJ160" i="5"/>
  <c r="BB160" i="5"/>
  <c r="BM159" i="5"/>
  <c r="BE159" i="5"/>
  <c r="BH158" i="5"/>
  <c r="BC203" i="5"/>
  <c r="BF202" i="5"/>
  <c r="BF197" i="5"/>
  <c r="BK196" i="5"/>
  <c r="BB195" i="5"/>
  <c r="BB193" i="5"/>
  <c r="BB191" i="5"/>
  <c r="BB189" i="5"/>
  <c r="BC187" i="5"/>
  <c r="BJ185" i="5"/>
  <c r="BH184" i="5"/>
  <c r="BG183" i="5"/>
  <c r="BH182" i="5"/>
  <c r="BI181" i="5"/>
  <c r="BI180" i="5"/>
  <c r="BJ179" i="5"/>
  <c r="BK178" i="5"/>
  <c r="BK177" i="5"/>
  <c r="BM176" i="5"/>
  <c r="BL175" i="5"/>
  <c r="BB175" i="5"/>
  <c r="BC174" i="5"/>
  <c r="BM173" i="5"/>
  <c r="BC173" i="5"/>
  <c r="BE172" i="5"/>
  <c r="BG171" i="5"/>
  <c r="BJ170" i="5"/>
  <c r="BM169" i="5"/>
  <c r="BD169" i="5"/>
  <c r="BG168" i="5"/>
  <c r="BJ167" i="5"/>
  <c r="BM166" i="5"/>
  <c r="BC166" i="5"/>
  <c r="BG165" i="5"/>
  <c r="BK164" i="5"/>
  <c r="BC164" i="5"/>
  <c r="BG163" i="5"/>
  <c r="BK162" i="5"/>
  <c r="BC162" i="5"/>
  <c r="BF161" i="5"/>
  <c r="BI160" i="5"/>
  <c r="BL159" i="5"/>
  <c r="BD159" i="5"/>
  <c r="BG158" i="5"/>
  <c r="BJ157" i="5"/>
  <c r="BB157" i="5"/>
  <c r="BF156" i="5"/>
  <c r="BI155" i="5"/>
  <c r="BL154" i="5"/>
  <c r="BD154" i="5"/>
  <c r="BG153" i="5"/>
  <c r="BJ152" i="5"/>
  <c r="BB152" i="5"/>
  <c r="BM151" i="5"/>
  <c r="BE151" i="5"/>
  <c r="BH150" i="5"/>
  <c r="BK149" i="5"/>
  <c r="BC149" i="5"/>
  <c r="BF148" i="5"/>
  <c r="BI147" i="5"/>
  <c r="BL146" i="5"/>
  <c r="BD146" i="5"/>
  <c r="BG145" i="5"/>
  <c r="BJ144" i="5"/>
  <c r="BB144" i="5"/>
  <c r="BM143" i="5"/>
  <c r="BE143" i="5"/>
  <c r="BH142" i="5"/>
  <c r="BK141" i="5"/>
  <c r="BC141" i="5"/>
  <c r="BG140" i="5"/>
  <c r="BJ171" i="5"/>
  <c r="BE167" i="5"/>
  <c r="BC163" i="5"/>
  <c r="BM162" i="5"/>
  <c r="BC160" i="5"/>
  <c r="BK159" i="5"/>
  <c r="BI157" i="5"/>
  <c r="BB156" i="5"/>
  <c r="BK155" i="5"/>
  <c r="BF154" i="5"/>
  <c r="BI152" i="5"/>
  <c r="BI150" i="5"/>
  <c r="BB149" i="5"/>
  <c r="BJ148" i="5"/>
  <c r="BC147" i="5"/>
  <c r="BH145" i="5"/>
  <c r="BI143" i="5"/>
  <c r="BJ141" i="5"/>
  <c r="BF140" i="5"/>
  <c r="BF139" i="5"/>
  <c r="BH138" i="5"/>
  <c r="BJ137" i="5"/>
  <c r="BJ136" i="5"/>
  <c r="BE135" i="5"/>
  <c r="BG187" i="5"/>
  <c r="BC186" i="5"/>
  <c r="BM185" i="5"/>
  <c r="BK184" i="5"/>
  <c r="BJ183" i="5"/>
  <c r="BK182" i="5"/>
  <c r="BK181" i="5"/>
  <c r="BM180" i="5"/>
  <c r="BL179" i="5"/>
  <c r="BC171" i="5"/>
  <c r="BM170" i="5"/>
  <c r="BC167" i="5"/>
  <c r="BH166" i="5"/>
  <c r="BG162" i="5"/>
  <c r="BM161" i="5"/>
  <c r="BH159" i="5"/>
  <c r="BF157" i="5"/>
  <c r="BJ155" i="5"/>
  <c r="BE154" i="5"/>
  <c r="BF152" i="5"/>
  <c r="BG150" i="5"/>
  <c r="BH148" i="5"/>
  <c r="BB147" i="5"/>
  <c r="BM146" i="5"/>
  <c r="BF145" i="5"/>
  <c r="BG143" i="5"/>
  <c r="BG141" i="5"/>
  <c r="BC140" i="5"/>
  <c r="BE139" i="5"/>
  <c r="BG138" i="5"/>
  <c r="BG137" i="5"/>
  <c r="BI136" i="5"/>
  <c r="BM135" i="5"/>
  <c r="BD135" i="5"/>
  <c r="BE189" i="5"/>
  <c r="BB179" i="5"/>
  <c r="BF170" i="5"/>
  <c r="BF166" i="5"/>
  <c r="BK165" i="5"/>
  <c r="BE162" i="5"/>
  <c r="BJ161" i="5"/>
  <c r="BF159" i="5"/>
  <c r="BD157" i="5"/>
  <c r="BH155" i="5"/>
  <c r="BC154" i="5"/>
  <c r="BK153" i="5"/>
  <c r="BD152" i="5"/>
  <c r="BD150" i="5"/>
  <c r="BM149" i="5"/>
  <c r="BG148" i="5"/>
  <c r="BK146" i="5"/>
  <c r="BC145" i="5"/>
  <c r="BL144" i="5"/>
  <c r="BF143" i="5"/>
  <c r="BL142" i="5"/>
  <c r="BE141" i="5"/>
  <c r="BB140" i="5"/>
  <c r="BD139" i="5"/>
  <c r="BF138" i="5"/>
  <c r="BF137" i="5"/>
  <c r="BH136" i="5"/>
  <c r="BL135" i="5"/>
  <c r="BC135" i="5"/>
  <c r="BE191" i="5"/>
  <c r="BC178" i="5"/>
  <c r="BM177" i="5"/>
  <c r="BC170" i="5"/>
  <c r="BI169" i="5"/>
  <c r="BI165" i="5"/>
  <c r="BH161" i="5"/>
  <c r="BC159" i="5"/>
  <c r="BK158" i="5"/>
  <c r="BC157" i="5"/>
  <c r="BM156" i="5"/>
  <c r="BE155" i="5"/>
  <c r="BI153" i="5"/>
  <c r="BC152" i="5"/>
  <c r="BL151" i="5"/>
  <c r="BB150" i="5"/>
  <c r="BL149" i="5"/>
  <c r="BE148" i="5"/>
  <c r="BM147" i="5"/>
  <c r="BH146" i="5"/>
  <c r="BK144" i="5"/>
  <c r="BD143" i="5"/>
  <c r="BJ142" i="5"/>
  <c r="BD141" i="5"/>
  <c r="BM139" i="5"/>
  <c r="BC139" i="5"/>
  <c r="BC138" i="5"/>
  <c r="BE137" i="5"/>
  <c r="BG136" i="5"/>
  <c r="BK135" i="5"/>
  <c r="BE193" i="5"/>
  <c r="BC177" i="5"/>
  <c r="BE176" i="5"/>
  <c r="BD175" i="5"/>
  <c r="BH174" i="5"/>
  <c r="BF169" i="5"/>
  <c r="BK168" i="5"/>
  <c r="BC165" i="5"/>
  <c r="BM164" i="5"/>
  <c r="BE161" i="5"/>
  <c r="BM160" i="5"/>
  <c r="BI158" i="5"/>
  <c r="BJ156" i="5"/>
  <c r="BC155" i="5"/>
  <c r="BH153" i="5"/>
  <c r="BI151" i="5"/>
  <c r="BJ149" i="5"/>
  <c r="BB148" i="5"/>
  <c r="BK147" i="5"/>
  <c r="BF146" i="5"/>
  <c r="BI144" i="5"/>
  <c r="BI142" i="5"/>
  <c r="BB141" i="5"/>
  <c r="BL139" i="5"/>
  <c r="BB139" i="5"/>
  <c r="BB138" i="5"/>
  <c r="BD137" i="5"/>
  <c r="BF136" i="5"/>
  <c r="BI135" i="5"/>
  <c r="BK209" i="5"/>
  <c r="BI208" i="5"/>
  <c r="BJ207" i="5"/>
  <c r="BM206" i="5"/>
  <c r="BE195" i="5"/>
  <c r="BF174" i="5"/>
  <c r="BI173" i="5"/>
  <c r="BI168" i="5"/>
  <c r="BG164" i="5"/>
  <c r="BB161" i="5"/>
  <c r="BK160" i="5"/>
  <c r="BF158" i="5"/>
  <c r="BH156" i="5"/>
  <c r="BB155" i="5"/>
  <c r="BM154" i="5"/>
  <c r="BF153" i="5"/>
  <c r="BG151" i="5"/>
  <c r="BG149" i="5"/>
  <c r="BJ147" i="5"/>
  <c r="BE146" i="5"/>
  <c r="BF144" i="5"/>
  <c r="BG142" i="5"/>
  <c r="BK140" i="5"/>
  <c r="BK139" i="5"/>
  <c r="BK138" i="5"/>
  <c r="BM137" i="5"/>
  <c r="BC137" i="5"/>
  <c r="BD136" i="5"/>
  <c r="BH135" i="5"/>
  <c r="BE173" i="5"/>
  <c r="BI172" i="5"/>
  <c r="BB168" i="5"/>
  <c r="BE164" i="5"/>
  <c r="BK163" i="5"/>
  <c r="BH160" i="5"/>
  <c r="BC158" i="5"/>
  <c r="BL157" i="5"/>
  <c r="BG156" i="5"/>
  <c r="BK154" i="5"/>
  <c r="BC153" i="5"/>
  <c r="BL152" i="5"/>
  <c r="BF151" i="5"/>
  <c r="BL150" i="5"/>
  <c r="BE149" i="5"/>
  <c r="BH147" i="5"/>
  <c r="BC146" i="5"/>
  <c r="BK145" i="5"/>
  <c r="BD144" i="5"/>
  <c r="BD142" i="5"/>
  <c r="BM141" i="5"/>
  <c r="BI140" i="5"/>
  <c r="BJ139" i="5"/>
  <c r="BJ138" i="5"/>
  <c r="BL137" i="5"/>
  <c r="BB137" i="5"/>
  <c r="BC136" i="5"/>
  <c r="BG135" i="5"/>
  <c r="BE199" i="5"/>
  <c r="BG172" i="5"/>
  <c r="BL171" i="5"/>
  <c r="BL167" i="5"/>
  <c r="BI163" i="5"/>
  <c r="BE160" i="5"/>
  <c r="BK157" i="5"/>
  <c r="BE156" i="5"/>
  <c r="BM155" i="5"/>
  <c r="BH154" i="5"/>
  <c r="BK152" i="5"/>
  <c r="BD151" i="5"/>
  <c r="BJ150" i="5"/>
  <c r="BD149" i="5"/>
  <c r="BM148" i="5"/>
  <c r="BE147" i="5"/>
  <c r="BI145" i="5"/>
  <c r="BC144" i="5"/>
  <c r="BL143" i="5"/>
  <c r="BB142" i="5"/>
  <c r="BL141" i="5"/>
  <c r="BH140" i="5"/>
  <c r="BG139" i="5"/>
  <c r="BI138" i="5"/>
  <c r="BK137" i="5"/>
  <c r="BK136" i="5"/>
  <c r="BB136" i="5"/>
  <c r="BF135" i="5"/>
  <c r="BL102" i="5"/>
  <c r="BD102" i="5"/>
  <c r="BH101" i="5"/>
  <c r="BL100" i="5"/>
  <c r="BD100" i="5"/>
  <c r="BH99" i="5"/>
  <c r="BL98" i="5"/>
  <c r="BD98" i="5"/>
  <c r="BH97" i="5"/>
  <c r="BL96" i="5"/>
  <c r="BD96" i="5"/>
  <c r="BH95" i="5"/>
  <c r="BL94" i="5"/>
  <c r="BD94" i="5"/>
  <c r="BH93" i="5"/>
  <c r="BL92" i="5"/>
  <c r="BD92" i="5"/>
  <c r="BH91" i="5"/>
  <c r="BL90" i="5"/>
  <c r="BD90" i="5"/>
  <c r="BH89" i="5"/>
  <c r="BL88" i="5"/>
  <c r="BD88" i="5"/>
  <c r="BK102" i="5"/>
  <c r="BC102" i="5"/>
  <c r="BG101" i="5"/>
  <c r="BK100" i="5"/>
  <c r="BC100" i="5"/>
  <c r="BG99" i="5"/>
  <c r="BK98" i="5"/>
  <c r="BC98" i="5"/>
  <c r="BG97" i="5"/>
  <c r="BK96" i="5"/>
  <c r="BC96" i="5"/>
  <c r="BG95" i="5"/>
  <c r="BK94" i="5"/>
  <c r="BC94" i="5"/>
  <c r="BG93" i="5"/>
  <c r="BK92" i="5"/>
  <c r="BC92" i="5"/>
  <c r="BG91" i="5"/>
  <c r="BK90" i="5"/>
  <c r="BC90" i="5"/>
  <c r="BG89" i="5"/>
  <c r="BJ102" i="5"/>
  <c r="BB102" i="5"/>
  <c r="BF101" i="5"/>
  <c r="BJ100" i="5"/>
  <c r="BB100" i="5"/>
  <c r="BF99" i="5"/>
  <c r="BJ98" i="5"/>
  <c r="BB98" i="5"/>
  <c r="BF97" i="5"/>
  <c r="BJ96" i="5"/>
  <c r="BB96" i="5"/>
  <c r="BF95" i="5"/>
  <c r="BJ94" i="5"/>
  <c r="BB94" i="5"/>
  <c r="BF93" i="5"/>
  <c r="BJ92" i="5"/>
  <c r="BI102" i="5"/>
  <c r="BM101" i="5"/>
  <c r="BE101" i="5"/>
  <c r="BI100" i="5"/>
  <c r="BM99" i="5"/>
  <c r="BE99" i="5"/>
  <c r="BI98" i="5"/>
  <c r="BM97" i="5"/>
  <c r="BE97" i="5"/>
  <c r="BI96" i="5"/>
  <c r="BM95" i="5"/>
  <c r="BE95" i="5"/>
  <c r="BI94" i="5"/>
  <c r="BM93" i="5"/>
  <c r="BE93" i="5"/>
  <c r="BI92" i="5"/>
  <c r="BM91" i="5"/>
  <c r="BE91" i="5"/>
  <c r="BI90" i="5"/>
  <c r="BM89" i="5"/>
  <c r="BE89" i="5"/>
  <c r="BI88" i="5"/>
  <c r="BH102" i="5"/>
  <c r="BL101" i="5"/>
  <c r="BD101" i="5"/>
  <c r="BH100" i="5"/>
  <c r="BL99" i="5"/>
  <c r="BD99" i="5"/>
  <c r="BH98" i="5"/>
  <c r="BL97" i="5"/>
  <c r="BD97" i="5"/>
  <c r="BH96" i="5"/>
  <c r="BL95" i="5"/>
  <c r="BD95" i="5"/>
  <c r="BH94" i="5"/>
  <c r="BL93" i="5"/>
  <c r="BD93" i="5"/>
  <c r="BH92" i="5"/>
  <c r="BL91" i="5"/>
  <c r="BD91" i="5"/>
  <c r="BH90" i="5"/>
  <c r="BL89" i="5"/>
  <c r="BD89" i="5"/>
  <c r="BH88" i="5"/>
  <c r="BL87" i="5"/>
  <c r="BD87" i="5"/>
  <c r="BG102" i="5"/>
  <c r="BK101" i="5"/>
  <c r="BC101" i="5"/>
  <c r="BG100" i="5"/>
  <c r="BK99" i="5"/>
  <c r="BC99" i="5"/>
  <c r="BG98" i="5"/>
  <c r="BK97" i="5"/>
  <c r="BC97" i="5"/>
  <c r="BG96" i="5"/>
  <c r="BK95" i="5"/>
  <c r="BC95" i="5"/>
  <c r="BG94" i="5"/>
  <c r="BK93" i="5"/>
  <c r="BC93" i="5"/>
  <c r="BG92" i="5"/>
  <c r="BK91" i="5"/>
  <c r="BC91" i="5"/>
  <c r="BG90" i="5"/>
  <c r="BK89" i="5"/>
  <c r="BC89" i="5"/>
  <c r="BG88" i="5"/>
  <c r="BK87" i="5"/>
  <c r="BC87" i="5"/>
  <c r="BG86" i="5"/>
  <c r="BM102" i="5"/>
  <c r="BE102" i="5"/>
  <c r="BI101" i="5"/>
  <c r="BM100" i="5"/>
  <c r="BE100" i="5"/>
  <c r="BI99" i="5"/>
  <c r="BM98" i="5"/>
  <c r="BE98" i="5"/>
  <c r="BI97" i="5"/>
  <c r="BM96" i="5"/>
  <c r="BE96" i="5"/>
  <c r="BI95" i="5"/>
  <c r="BM94" i="5"/>
  <c r="BE94" i="5"/>
  <c r="BI93" i="5"/>
  <c r="BM92" i="5"/>
  <c r="BE92" i="5"/>
  <c r="BI91" i="5"/>
  <c r="BM90" i="5"/>
  <c r="BE90" i="5"/>
  <c r="BI89" i="5"/>
  <c r="BM88" i="5"/>
  <c r="BE88" i="5"/>
  <c r="BI87" i="5"/>
  <c r="BM86" i="5"/>
  <c r="BE86" i="5"/>
  <c r="BB101" i="5"/>
  <c r="BB93" i="5"/>
  <c r="BB90" i="5"/>
  <c r="BB88" i="5"/>
  <c r="BL86" i="5"/>
  <c r="BB86" i="5"/>
  <c r="BF85" i="5"/>
  <c r="BJ84" i="5"/>
  <c r="BB84" i="5"/>
  <c r="BF83" i="5"/>
  <c r="BJ82" i="5"/>
  <c r="BB82" i="5"/>
  <c r="BF81" i="5"/>
  <c r="BJ80" i="5"/>
  <c r="BB80" i="5"/>
  <c r="BF79" i="5"/>
  <c r="BC78" i="5"/>
  <c r="BH77" i="5"/>
  <c r="BL76" i="5"/>
  <c r="BD76" i="5"/>
  <c r="BM75" i="5"/>
  <c r="BE75" i="5"/>
  <c r="BF100" i="5"/>
  <c r="BJ99" i="5"/>
  <c r="BF92" i="5"/>
  <c r="BJ89" i="5"/>
  <c r="BM87" i="5"/>
  <c r="BK86" i="5"/>
  <c r="BM85" i="5"/>
  <c r="BE85" i="5"/>
  <c r="BI84" i="5"/>
  <c r="BM83" i="5"/>
  <c r="BE83" i="5"/>
  <c r="BI82" i="5"/>
  <c r="BM81" i="5"/>
  <c r="BE81" i="5"/>
  <c r="BI80" i="5"/>
  <c r="BM79" i="5"/>
  <c r="BE79" i="5"/>
  <c r="BB78" i="5"/>
  <c r="BG77" i="5"/>
  <c r="BK76" i="5"/>
  <c r="BC76" i="5"/>
  <c r="BL75" i="5"/>
  <c r="BD75" i="5"/>
  <c r="BB99" i="5"/>
  <c r="BB92" i="5"/>
  <c r="BF89" i="5"/>
  <c r="BJ87" i="5"/>
  <c r="BJ86" i="5"/>
  <c r="BL85" i="5"/>
  <c r="BD85" i="5"/>
  <c r="BH84" i="5"/>
  <c r="BL83" i="5"/>
  <c r="BD83" i="5"/>
  <c r="BH82" i="5"/>
  <c r="BL81" i="5"/>
  <c r="BD81" i="5"/>
  <c r="BH80" i="5"/>
  <c r="BL79" i="5"/>
  <c r="BD79" i="5"/>
  <c r="BF77" i="5"/>
  <c r="BJ76" i="5"/>
  <c r="BB76" i="5"/>
  <c r="BK75" i="5"/>
  <c r="BC75" i="5"/>
  <c r="BF98" i="5"/>
  <c r="BJ97" i="5"/>
  <c r="BJ91" i="5"/>
  <c r="BB89" i="5"/>
  <c r="BH87" i="5"/>
  <c r="BI86" i="5"/>
  <c r="BK85" i="5"/>
  <c r="BC85" i="5"/>
  <c r="BG84" i="5"/>
  <c r="BK83" i="5"/>
  <c r="BC83" i="5"/>
  <c r="BG82" i="5"/>
  <c r="BK81" i="5"/>
  <c r="BC81" i="5"/>
  <c r="BG80" i="5"/>
  <c r="BK79" i="5"/>
  <c r="BC79" i="5"/>
  <c r="BM77" i="5"/>
  <c r="BE77" i="5"/>
  <c r="BI76" i="5"/>
  <c r="BJ75" i="5"/>
  <c r="BB75" i="5"/>
  <c r="BB97" i="5"/>
  <c r="BF91" i="5"/>
  <c r="BK88" i="5"/>
  <c r="BG87" i="5"/>
  <c r="BH86" i="5"/>
  <c r="BJ85" i="5"/>
  <c r="BB85" i="5"/>
  <c r="BF84" i="5"/>
  <c r="BJ83" i="5"/>
  <c r="BB83" i="5"/>
  <c r="BF82" i="5"/>
  <c r="BJ81" i="5"/>
  <c r="BB81" i="5"/>
  <c r="BF80" i="5"/>
  <c r="BJ79" i="5"/>
  <c r="BB79" i="5"/>
  <c r="BL77" i="5"/>
  <c r="BD77" i="5"/>
  <c r="BH76" i="5"/>
  <c r="BI75" i="5"/>
  <c r="BF96" i="5"/>
  <c r="BJ95" i="5"/>
  <c r="BB91" i="5"/>
  <c r="BJ88" i="5"/>
  <c r="BF87" i="5"/>
  <c r="BF86" i="5"/>
  <c r="BI85" i="5"/>
  <c r="BM84" i="5"/>
  <c r="BE84" i="5"/>
  <c r="BI83" i="5"/>
  <c r="BM82" i="5"/>
  <c r="BE82" i="5"/>
  <c r="BI81" i="5"/>
  <c r="BM80" i="5"/>
  <c r="BE80" i="5"/>
  <c r="BI79" i="5"/>
  <c r="BF78" i="5"/>
  <c r="BK77" i="5"/>
  <c r="BC77" i="5"/>
  <c r="BG76" i="5"/>
  <c r="BH75" i="5"/>
  <c r="BB95" i="5"/>
  <c r="BJ90" i="5"/>
  <c r="BF88" i="5"/>
  <c r="BE87" i="5"/>
  <c r="BD86" i="5"/>
  <c r="BH85" i="5"/>
  <c r="BL84" i="5"/>
  <c r="BD84" i="5"/>
  <c r="BH83" i="5"/>
  <c r="BL82" i="5"/>
  <c r="BD82" i="5"/>
  <c r="BH81" i="5"/>
  <c r="BL80" i="5"/>
  <c r="BD80" i="5"/>
  <c r="BH79" i="5"/>
  <c r="BE78" i="5"/>
  <c r="BJ77" i="5"/>
  <c r="BB77" i="5"/>
  <c r="BF76" i="5"/>
  <c r="BG75" i="5"/>
  <c r="BF102" i="5"/>
  <c r="BJ101" i="5"/>
  <c r="BF94" i="5"/>
  <c r="BJ93" i="5"/>
  <c r="BF90" i="5"/>
  <c r="BC88" i="5"/>
  <c r="BB87" i="5"/>
  <c r="BC86" i="5"/>
  <c r="BG85" i="5"/>
  <c r="BK84" i="5"/>
  <c r="BC84" i="5"/>
  <c r="BG83" i="5"/>
  <c r="BK82" i="5"/>
  <c r="BC82" i="5"/>
  <c r="BG81" i="5"/>
  <c r="BK80" i="5"/>
  <c r="BC80" i="5"/>
  <c r="BG79" i="5"/>
  <c r="BD78" i="5"/>
  <c r="BI77" i="5"/>
  <c r="BM76" i="5"/>
  <c r="BE76" i="5"/>
  <c r="BF75" i="5"/>
  <c r="BI5" i="5"/>
  <c r="BE6" i="5"/>
  <c r="BM6" i="5"/>
  <c r="BI7" i="5"/>
  <c r="BE8" i="5"/>
  <c r="BM8" i="5"/>
  <c r="BI9" i="5"/>
  <c r="BE10" i="5"/>
  <c r="BM10" i="5"/>
  <c r="BI11" i="5"/>
  <c r="BE12" i="5"/>
  <c r="BM12" i="5"/>
  <c r="BI13" i="5"/>
  <c r="BE14" i="5"/>
  <c r="BM14" i="5"/>
  <c r="BI15" i="5"/>
  <c r="BE16" i="5"/>
  <c r="BM16" i="5"/>
  <c r="BI17" i="5"/>
  <c r="BE18" i="5"/>
  <c r="BM18" i="5"/>
  <c r="BC20" i="5"/>
  <c r="BE21" i="5"/>
  <c r="BM21" i="5"/>
  <c r="BI22" i="5"/>
  <c r="BE23" i="5"/>
  <c r="BM23" i="5"/>
  <c r="BI24" i="5"/>
  <c r="BE25" i="5"/>
  <c r="BM25" i="5"/>
  <c r="BG27" i="5"/>
  <c r="BC28" i="5"/>
  <c r="BK28" i="5"/>
  <c r="BG29" i="5"/>
  <c r="BC30" i="5"/>
  <c r="BK30" i="5"/>
  <c r="BG31" i="5"/>
  <c r="BD32" i="5"/>
  <c r="BC33" i="5"/>
  <c r="BB34" i="5"/>
  <c r="BL34" i="5"/>
  <c r="BK35" i="5"/>
  <c r="BL36" i="5"/>
  <c r="BL37" i="5"/>
  <c r="BC38" i="5"/>
  <c r="BC39" i="5"/>
  <c r="BF40" i="5"/>
  <c r="BL41" i="5"/>
  <c r="BD42" i="5"/>
  <c r="BJ45" i="5"/>
  <c r="BI47" i="5"/>
  <c r="BF49" i="5"/>
  <c r="BB51" i="5"/>
  <c r="BI53" i="5"/>
  <c r="BF55" i="5"/>
  <c r="BG58" i="5"/>
  <c r="BK61" i="5"/>
  <c r="BJ64" i="5"/>
  <c r="BB5" i="5"/>
  <c r="BJ5" i="5"/>
  <c r="BF6" i="5"/>
  <c r="BB7" i="5"/>
  <c r="BJ7" i="5"/>
  <c r="BF8" i="5"/>
  <c r="BB9" i="5"/>
  <c r="BJ9" i="5"/>
  <c r="BF10" i="5"/>
  <c r="BB11" i="5"/>
  <c r="BJ11" i="5"/>
  <c r="BF12" i="5"/>
  <c r="BB13" i="5"/>
  <c r="BJ13" i="5"/>
  <c r="BF14" i="5"/>
  <c r="BB15" i="5"/>
  <c r="BJ15" i="5"/>
  <c r="BF16" i="5"/>
  <c r="BB17" i="5"/>
  <c r="BJ17" i="5"/>
  <c r="BF18" i="5"/>
  <c r="BB19" i="5"/>
  <c r="BD20" i="5"/>
  <c r="BF21" i="5"/>
  <c r="BB22" i="5"/>
  <c r="BJ22" i="5"/>
  <c r="BF23" i="5"/>
  <c r="BB24" i="5"/>
  <c r="BJ24" i="5"/>
  <c r="BF25" i="5"/>
  <c r="BH27" i="5"/>
  <c r="BD28" i="5"/>
  <c r="BL28" i="5"/>
  <c r="BH29" i="5"/>
  <c r="BD30" i="5"/>
  <c r="BL30" i="5"/>
  <c r="BH31" i="5"/>
  <c r="BF32" i="5"/>
  <c r="BD33" i="5"/>
  <c r="BC34" i="5"/>
  <c r="BB35" i="5"/>
  <c r="BL35" i="5"/>
  <c r="BB37" i="5"/>
  <c r="BD38" i="5"/>
  <c r="BD39" i="5"/>
  <c r="BG40" i="5"/>
  <c r="BG42" i="5"/>
  <c r="BB46" i="5"/>
  <c r="BJ47" i="5"/>
  <c r="BI49" i="5"/>
  <c r="BF51" i="5"/>
  <c r="BB54" i="5"/>
  <c r="BK55" i="5"/>
  <c r="BJ58" i="5"/>
  <c r="BC59" i="5"/>
  <c r="BB62" i="5"/>
  <c r="BB65" i="5"/>
  <c r="BC5" i="5"/>
  <c r="BK5" i="5"/>
  <c r="BG6" i="5"/>
  <c r="BC7" i="5"/>
  <c r="BK7" i="5"/>
  <c r="BG8" i="5"/>
  <c r="BC9" i="5"/>
  <c r="BK9" i="5"/>
  <c r="BG10" i="5"/>
  <c r="BC11" i="5"/>
  <c r="BK11" i="5"/>
  <c r="BG12" i="5"/>
  <c r="BC13" i="5"/>
  <c r="BK13" i="5"/>
  <c r="BG14" i="5"/>
  <c r="BC15" i="5"/>
  <c r="BK15" i="5"/>
  <c r="BG16" i="5"/>
  <c r="BC17" i="5"/>
  <c r="BK17" i="5"/>
  <c r="BG18" i="5"/>
  <c r="BC19" i="5"/>
  <c r="BE20" i="5"/>
  <c r="BG21" i="5"/>
  <c r="BC22" i="5"/>
  <c r="BK22" i="5"/>
  <c r="BG23" i="5"/>
  <c r="BC24" i="5"/>
  <c r="BK24" i="5"/>
  <c r="BG25" i="5"/>
  <c r="BI27" i="5"/>
  <c r="BE28" i="5"/>
  <c r="BM28" i="5"/>
  <c r="BI29" i="5"/>
  <c r="BE30" i="5"/>
  <c r="BM30" i="5"/>
  <c r="BI31" i="5"/>
  <c r="BG32" i="5"/>
  <c r="BF33" i="5"/>
  <c r="BD34" i="5"/>
  <c r="BC35" i="5"/>
  <c r="BC36" i="5"/>
  <c r="BC37" i="5"/>
  <c r="BF38" i="5"/>
  <c r="BG39" i="5"/>
  <c r="BH40" i="5"/>
  <c r="BH42" i="5"/>
  <c r="BE46" i="5"/>
  <c r="BB48" i="5"/>
  <c r="BJ49" i="5"/>
  <c r="BI51" i="5"/>
  <c r="BE54" i="5"/>
  <c r="BB56" i="5"/>
  <c r="BF59" i="5"/>
  <c r="BG62" i="5"/>
  <c r="BE65" i="5"/>
  <c r="BD5" i="5"/>
  <c r="BL5" i="5"/>
  <c r="BH6" i="5"/>
  <c r="BD7" i="5"/>
  <c r="BL7" i="5"/>
  <c r="BH8" i="5"/>
  <c r="BD9" i="5"/>
  <c r="BL9" i="5"/>
  <c r="BH10" i="5"/>
  <c r="BD11" i="5"/>
  <c r="BL11" i="5"/>
  <c r="BH12" i="5"/>
  <c r="BD13" i="5"/>
  <c r="BL13" i="5"/>
  <c r="BH14" i="5"/>
  <c r="BD15" i="5"/>
  <c r="BL15" i="5"/>
  <c r="BH16" i="5"/>
  <c r="BD17" i="5"/>
  <c r="BL17" i="5"/>
  <c r="BH18" i="5"/>
  <c r="BD19" i="5"/>
  <c r="BF20" i="5"/>
  <c r="BH21" i="5"/>
  <c r="BD22" i="5"/>
  <c r="BL22" i="5"/>
  <c r="BH23" i="5"/>
  <c r="BD24" i="5"/>
  <c r="BL24" i="5"/>
  <c r="BB27" i="5"/>
  <c r="BJ27" i="5"/>
  <c r="BF28" i="5"/>
  <c r="BB29" i="5"/>
  <c r="BJ29" i="5"/>
  <c r="BF30" i="5"/>
  <c r="BB31" i="5"/>
  <c r="BJ31" i="5"/>
  <c r="BH32" i="5"/>
  <c r="BG33" i="5"/>
  <c r="BF34" i="5"/>
  <c r="BD35" i="5"/>
  <c r="BD36" i="5"/>
  <c r="BD37" i="5"/>
  <c r="BG38" i="5"/>
  <c r="BH39" i="5"/>
  <c r="BL40" i="5"/>
  <c r="BL42" i="5"/>
  <c r="BC43" i="5"/>
  <c r="BF46" i="5"/>
  <c r="BE48" i="5"/>
  <c r="BB50" i="5"/>
  <c r="BJ51" i="5"/>
  <c r="BJ54" i="5"/>
  <c r="BG56" i="5"/>
  <c r="BK59" i="5"/>
  <c r="BJ62" i="5"/>
  <c r="BC63" i="5"/>
  <c r="BJ65" i="5"/>
  <c r="BN281" i="5"/>
  <c r="BN289" i="5"/>
  <c r="BN277" i="5"/>
  <c r="BN279" i="5"/>
  <c r="BN287" i="5"/>
  <c r="BN295" i="5"/>
  <c r="BN303" i="5"/>
  <c r="BN311" i="5"/>
  <c r="BC278" i="5"/>
  <c r="BK278" i="5"/>
  <c r="BN285" i="5"/>
  <c r="BN293" i="5"/>
  <c r="BN301" i="5"/>
  <c r="BN309" i="5"/>
  <c r="BN282" i="5"/>
  <c r="BN290" i="5"/>
  <c r="BN298" i="5"/>
  <c r="BN306" i="5"/>
  <c r="BN314" i="5"/>
  <c r="BN273" i="5"/>
  <c r="BN283" i="5"/>
  <c r="BN291" i="5"/>
  <c r="BN299" i="5"/>
  <c r="BN307" i="5"/>
  <c r="BN315" i="5"/>
  <c r="BB278" i="5"/>
  <c r="H483" i="6"/>
  <c r="H481" i="6"/>
  <c r="T95" i="11"/>
  <c r="T89" i="11"/>
  <c r="T99" i="11"/>
  <c r="T91" i="11"/>
  <c r="T103" i="11"/>
  <c r="T97" i="11"/>
  <c r="T101" i="11"/>
  <c r="T93" i="11"/>
  <c r="T109" i="11"/>
  <c r="T86" i="11"/>
  <c r="T90" i="11"/>
  <c r="T94" i="11"/>
  <c r="T98" i="11"/>
  <c r="T102" i="11"/>
  <c r="T106" i="11"/>
  <c r="T110" i="11"/>
  <c r="T88" i="11"/>
  <c r="T92" i="11"/>
  <c r="T96" i="11"/>
  <c r="T100" i="11"/>
  <c r="T104" i="11"/>
  <c r="T108" i="11"/>
  <c r="T129" i="11"/>
  <c r="T353" i="11"/>
  <c r="T379" i="11"/>
  <c r="T117" i="11"/>
  <c r="T135" i="11"/>
  <c r="T140" i="11"/>
  <c r="T142" i="11"/>
  <c r="T144" i="11"/>
  <c r="T146" i="11"/>
  <c r="T148" i="11"/>
  <c r="T150" i="11"/>
  <c r="T160" i="11"/>
  <c r="T162" i="11"/>
  <c r="T164" i="11"/>
  <c r="T166" i="11"/>
  <c r="T168" i="11"/>
  <c r="T170" i="11"/>
  <c r="T172" i="11"/>
  <c r="T174" i="11"/>
  <c r="T179" i="11"/>
  <c r="T294" i="11"/>
  <c r="T373" i="11"/>
  <c r="T141" i="11"/>
  <c r="T143" i="11"/>
  <c r="T145" i="11"/>
  <c r="T147" i="11"/>
  <c r="T149" i="11"/>
  <c r="T151" i="11"/>
  <c r="T161" i="11"/>
  <c r="T163" i="11"/>
  <c r="T165" i="11"/>
  <c r="T167" i="11"/>
  <c r="T169" i="11"/>
  <c r="T171" i="11"/>
  <c r="T173" i="11"/>
  <c r="T284" i="11"/>
  <c r="T199" i="11"/>
  <c r="T201" i="11"/>
  <c r="T203" i="11"/>
  <c r="T205" i="11"/>
  <c r="T207" i="11"/>
  <c r="T209" i="11"/>
  <c r="T211" i="11"/>
  <c r="T213" i="11"/>
  <c r="T215" i="11"/>
  <c r="T217" i="11"/>
  <c r="T219" i="11"/>
  <c r="T221" i="11"/>
  <c r="T226" i="11"/>
  <c r="T337" i="11"/>
  <c r="T399" i="11"/>
  <c r="T16" i="11"/>
  <c r="T53" i="11"/>
  <c r="T185" i="11"/>
  <c r="T196" i="11"/>
  <c r="T200" i="11"/>
  <c r="T202" i="11"/>
  <c r="T204" i="11"/>
  <c r="T206" i="11"/>
  <c r="T208" i="11"/>
  <c r="T210" i="11"/>
  <c r="T212" i="11"/>
  <c r="T214" i="11"/>
  <c r="T216" i="11"/>
  <c r="T218" i="11"/>
  <c r="T220" i="11"/>
  <c r="T278" i="11"/>
  <c r="T426" i="11"/>
  <c r="T393" i="11"/>
  <c r="T403" i="11"/>
  <c r="T14" i="11"/>
  <c r="T61" i="11"/>
  <c r="T127" i="11"/>
  <c r="T183" i="11"/>
  <c r="T315" i="11"/>
  <c r="T325" i="11"/>
  <c r="T377" i="11"/>
  <c r="T420" i="11"/>
  <c r="T12" i="11"/>
  <c r="T113" i="11"/>
  <c r="T125" i="11"/>
  <c r="T280" i="11"/>
  <c r="T313" i="11"/>
  <c r="T323" i="11"/>
  <c r="T355" i="11"/>
  <c r="T121" i="11"/>
  <c r="T133" i="11"/>
  <c r="T331" i="11"/>
  <c r="T341" i="11"/>
  <c r="T361" i="11"/>
  <c r="T371" i="11"/>
  <c r="T391" i="11"/>
  <c r="T6" i="11"/>
  <c r="T119" i="11"/>
  <c r="T286" i="11"/>
  <c r="T296" i="11"/>
  <c r="T329" i="11"/>
  <c r="T369" i="11"/>
  <c r="AW116" i="5"/>
  <c r="H187" i="36"/>
  <c r="F10" i="21"/>
  <c r="T18" i="11"/>
  <c r="T123" i="11"/>
  <c r="T292" i="11"/>
  <c r="T339" i="11"/>
  <c r="T363" i="11"/>
  <c r="T385" i="11"/>
  <c r="T422" i="11"/>
  <c r="T10" i="11"/>
  <c r="T115" i="11"/>
  <c r="T131" i="11"/>
  <c r="T401" i="11"/>
  <c r="T428" i="11"/>
  <c r="T22" i="11"/>
  <c r="S71" i="36"/>
  <c r="T231" i="11"/>
  <c r="T233" i="11"/>
  <c r="T235" i="11"/>
  <c r="T237" i="11"/>
  <c r="T239" i="11"/>
  <c r="T241" i="11"/>
  <c r="T243" i="11"/>
  <c r="T245" i="11"/>
  <c r="T247" i="11"/>
  <c r="T249" i="11"/>
  <c r="T251" i="11"/>
  <c r="T253" i="11"/>
  <c r="T255" i="11"/>
  <c r="T257" i="11"/>
  <c r="T259" i="11"/>
  <c r="T261" i="11"/>
  <c r="T263" i="11"/>
  <c r="T265" i="11"/>
  <c r="T267" i="11"/>
  <c r="T269" i="11"/>
  <c r="T271" i="11"/>
  <c r="T273" i="11"/>
  <c r="T275" i="11"/>
  <c r="T282" i="11"/>
  <c r="T298" i="11"/>
  <c r="T311" i="11"/>
  <c r="T327" i="11"/>
  <c r="T359" i="11"/>
  <c r="T375" i="11"/>
  <c r="T389" i="11"/>
  <c r="T405" i="11"/>
  <c r="T424" i="11"/>
  <c r="T76" i="11"/>
  <c r="T55" i="11"/>
  <c r="T276" i="11"/>
  <c r="T21" i="11"/>
  <c r="T67" i="11"/>
  <c r="T230" i="11"/>
  <c r="T232" i="11"/>
  <c r="T234" i="11"/>
  <c r="T236" i="11"/>
  <c r="T238" i="11"/>
  <c r="T240" i="11"/>
  <c r="T242" i="11"/>
  <c r="T244" i="11"/>
  <c r="T246" i="11"/>
  <c r="T248" i="11"/>
  <c r="T250" i="11"/>
  <c r="T252" i="11"/>
  <c r="T254" i="11"/>
  <c r="T256" i="11"/>
  <c r="T258" i="11"/>
  <c r="T260" i="11"/>
  <c r="T262" i="11"/>
  <c r="T264" i="11"/>
  <c r="T266" i="11"/>
  <c r="T268" i="11"/>
  <c r="T270" i="11"/>
  <c r="T272" i="11"/>
  <c r="T274" i="11"/>
  <c r="T290" i="11"/>
  <c r="T319" i="11"/>
  <c r="T335" i="11"/>
  <c r="T351" i="11"/>
  <c r="T367" i="11"/>
  <c r="T383" i="11"/>
  <c r="T397" i="11"/>
  <c r="T413" i="11"/>
  <c r="T432" i="11"/>
  <c r="T5" i="11"/>
  <c r="T7" i="11"/>
  <c r="T9" i="11"/>
  <c r="T11" i="11"/>
  <c r="T13" i="11"/>
  <c r="T15" i="11"/>
  <c r="T17" i="11"/>
  <c r="T19" i="11"/>
  <c r="T114" i="11"/>
  <c r="T116" i="11"/>
  <c r="T118" i="11"/>
  <c r="T120" i="11"/>
  <c r="T122" i="11"/>
  <c r="T124" i="11"/>
  <c r="T126" i="11"/>
  <c r="T128" i="11"/>
  <c r="T130" i="11"/>
  <c r="T132" i="11"/>
  <c r="T134" i="11"/>
  <c r="T136" i="11"/>
  <c r="T228" i="11"/>
  <c r="T288" i="11"/>
  <c r="T317" i="11"/>
  <c r="T333" i="11"/>
  <c r="T349" i="11"/>
  <c r="T365" i="11"/>
  <c r="T381" i="11"/>
  <c r="T395" i="11"/>
  <c r="T430" i="11"/>
  <c r="AX24" i="5"/>
  <c r="H4" i="15"/>
  <c r="G4" i="15"/>
  <c r="G4" i="13"/>
  <c r="N4" i="15"/>
  <c r="F4" i="15"/>
  <c r="F4" i="13"/>
  <c r="M4" i="15"/>
  <c r="E4" i="15"/>
  <c r="E4" i="13"/>
  <c r="L4" i="15"/>
  <c r="D4" i="15"/>
  <c r="D4" i="13"/>
  <c r="K4" i="15"/>
  <c r="C4" i="15"/>
  <c r="C4" i="13"/>
  <c r="I4" i="15"/>
  <c r="J4" i="15"/>
  <c r="AV73" i="5"/>
  <c r="AN73" i="5"/>
  <c r="AW72" i="5"/>
  <c r="AO72" i="5"/>
  <c r="AX71" i="5"/>
  <c r="AP71" i="5"/>
  <c r="AY70" i="5"/>
  <c r="AQ70" i="5"/>
  <c r="AR69" i="5"/>
  <c r="AS68" i="5"/>
  <c r="AT67" i="5"/>
  <c r="AU66" i="5"/>
  <c r="AV65" i="5"/>
  <c r="AN65" i="5"/>
  <c r="AV64" i="5"/>
  <c r="AN64" i="5"/>
  <c r="AV63" i="5"/>
  <c r="AV62" i="5"/>
  <c r="AV61" i="5"/>
  <c r="AN61" i="5"/>
  <c r="AV60" i="5"/>
  <c r="AN60" i="5"/>
  <c r="AV59" i="5"/>
  <c r="AV58" i="5"/>
  <c r="AN58" i="5"/>
  <c r="AV57" i="5"/>
  <c r="AV56" i="5"/>
  <c r="AN56" i="5"/>
  <c r="AV55" i="5"/>
  <c r="AN55" i="5"/>
  <c r="AY54" i="5"/>
  <c r="AQ54" i="5"/>
  <c r="AY53" i="5"/>
  <c r="AQ53" i="5"/>
  <c r="AY52" i="5"/>
  <c r="AQ52" i="5"/>
  <c r="AY51" i="5"/>
  <c r="AQ51" i="5"/>
  <c r="AY50" i="5"/>
  <c r="AQ50" i="5"/>
  <c r="AY49" i="5"/>
  <c r="AQ49" i="5"/>
  <c r="AY48" i="5"/>
  <c r="AQ48" i="5"/>
  <c r="AY47" i="5"/>
  <c r="AQ47" i="5"/>
  <c r="AY46" i="5"/>
  <c r="AQ46" i="5"/>
  <c r="AY45" i="5"/>
  <c r="AQ45" i="5"/>
  <c r="AW43" i="5"/>
  <c r="AO43" i="5"/>
  <c r="AW42" i="5"/>
  <c r="AO42" i="5"/>
  <c r="AW41" i="5"/>
  <c r="AO41" i="5"/>
  <c r="AW40" i="5"/>
  <c r="AO40" i="5"/>
  <c r="AW39" i="5"/>
  <c r="AO39" i="5"/>
  <c r="AW38" i="5"/>
  <c r="AO38" i="5"/>
  <c r="AW37" i="5"/>
  <c r="AO37" i="5"/>
  <c r="AW36" i="5"/>
  <c r="AO36" i="5"/>
  <c r="AW35" i="5"/>
  <c r="AO35" i="5"/>
  <c r="AW34" i="5"/>
  <c r="AO34" i="5"/>
  <c r="AW33" i="5"/>
  <c r="AO33" i="5"/>
  <c r="AW32" i="5"/>
  <c r="AO32" i="5"/>
  <c r="AW31" i="5"/>
  <c r="AO31" i="5"/>
  <c r="AW30" i="5"/>
  <c r="AO30" i="5"/>
  <c r="AW29" i="5"/>
  <c r="AO29" i="5"/>
  <c r="AW28" i="5"/>
  <c r="AO28" i="5"/>
  <c r="AW27" i="5"/>
  <c r="AO27" i="5"/>
  <c r="AU73" i="5"/>
  <c r="AV72" i="5"/>
  <c r="AN72" i="5"/>
  <c r="AW71" i="5"/>
  <c r="AO71" i="5"/>
  <c r="AX70" i="5"/>
  <c r="AP70" i="5"/>
  <c r="AY69" i="5"/>
  <c r="AQ69" i="5"/>
  <c r="AR68" i="5"/>
  <c r="AS67" i="5"/>
  <c r="AT66" i="5"/>
  <c r="AU65" i="5"/>
  <c r="AU64" i="5"/>
  <c r="AU63" i="5"/>
  <c r="AU62" i="5"/>
  <c r="AU61" i="5"/>
  <c r="AU60" i="5"/>
  <c r="AU59" i="5"/>
  <c r="AU58" i="5"/>
  <c r="AU57" i="5"/>
  <c r="AU56" i="5"/>
  <c r="AU55" i="5"/>
  <c r="AX54" i="5"/>
  <c r="AP54" i="5"/>
  <c r="AX53" i="5"/>
  <c r="AP53" i="5"/>
  <c r="AX52" i="5"/>
  <c r="AP52" i="5"/>
  <c r="AX51" i="5"/>
  <c r="AP51" i="5"/>
  <c r="AX50" i="5"/>
  <c r="AP50" i="5"/>
  <c r="AX49" i="5"/>
  <c r="AP49" i="5"/>
  <c r="AX48" i="5"/>
  <c r="AP48" i="5"/>
  <c r="AX47" i="5"/>
  <c r="AP47" i="5"/>
  <c r="AX46" i="5"/>
  <c r="AP46" i="5"/>
  <c r="AX45" i="5"/>
  <c r="AP45" i="5"/>
  <c r="AV43" i="5"/>
  <c r="AN43" i="5"/>
  <c r="AV42" i="5"/>
  <c r="AN42" i="5"/>
  <c r="AV41" i="5"/>
  <c r="AN41" i="5"/>
  <c r="AV40" i="5"/>
  <c r="AV39" i="5"/>
  <c r="AV38" i="5"/>
  <c r="AV37" i="5"/>
  <c r="AT73" i="5"/>
  <c r="AU72" i="5"/>
  <c r="AV71" i="5"/>
  <c r="AN71" i="5"/>
  <c r="AW70" i="5"/>
  <c r="AO70" i="5"/>
  <c r="AX69" i="5"/>
  <c r="AP69" i="5"/>
  <c r="AY68" i="5"/>
  <c r="AQ68" i="5"/>
  <c r="AR67" i="5"/>
  <c r="AS66" i="5"/>
  <c r="AT65" i="5"/>
  <c r="AT64" i="5"/>
  <c r="AT63" i="5"/>
  <c r="AT62" i="5"/>
  <c r="AT61" i="5"/>
  <c r="AT60" i="5"/>
  <c r="AT59" i="5"/>
  <c r="AT58" i="5"/>
  <c r="AT57" i="5"/>
  <c r="AT56" i="5"/>
  <c r="AT55" i="5"/>
  <c r="AW54" i="5"/>
  <c r="AO54" i="5"/>
  <c r="AW53" i="5"/>
  <c r="AO53" i="5"/>
  <c r="AW52" i="5"/>
  <c r="AO52" i="5"/>
  <c r="AW51" i="5"/>
  <c r="AO51" i="5"/>
  <c r="AW50" i="5"/>
  <c r="AO50" i="5"/>
  <c r="AW49" i="5"/>
  <c r="AO49" i="5"/>
  <c r="AW48" i="5"/>
  <c r="AO48" i="5"/>
  <c r="AW47" i="5"/>
  <c r="AO47" i="5"/>
  <c r="AW46" i="5"/>
  <c r="AO46" i="5"/>
  <c r="AW45" i="5"/>
  <c r="AO45" i="5"/>
  <c r="AU43" i="5"/>
  <c r="AU42" i="5"/>
  <c r="AU41" i="5"/>
  <c r="AU40" i="5"/>
  <c r="AU39" i="5"/>
  <c r="AU38" i="5"/>
  <c r="AU37" i="5"/>
  <c r="AU36" i="5"/>
  <c r="AU35" i="5"/>
  <c r="AU34" i="5"/>
  <c r="AU33" i="5"/>
  <c r="AU32" i="5"/>
  <c r="AU31" i="5"/>
  <c r="AU30" i="5"/>
  <c r="AU29" i="5"/>
  <c r="AU28" i="5"/>
  <c r="AU27" i="5"/>
  <c r="AS73" i="5"/>
  <c r="AT72" i="5"/>
  <c r="AU71" i="5"/>
  <c r="AV70" i="5"/>
  <c r="AN70" i="5"/>
  <c r="AW69" i="5"/>
  <c r="AO69" i="5"/>
  <c r="AX68" i="5"/>
  <c r="AP68" i="5"/>
  <c r="AY67" i="5"/>
  <c r="AQ67" i="5"/>
  <c r="AR66" i="5"/>
  <c r="AS65" i="5"/>
  <c r="AS64" i="5"/>
  <c r="AS63" i="5"/>
  <c r="AS62" i="5"/>
  <c r="AS61" i="5"/>
  <c r="AS60" i="5"/>
  <c r="AS59" i="5"/>
  <c r="AS58" i="5"/>
  <c r="AS57" i="5"/>
  <c r="AS56" i="5"/>
  <c r="AS55" i="5"/>
  <c r="AV54" i="5"/>
  <c r="AV53" i="5"/>
  <c r="AV52" i="5"/>
  <c r="AN52" i="5"/>
  <c r="AV51" i="5"/>
  <c r="AN51" i="5"/>
  <c r="AV50" i="5"/>
  <c r="AV49" i="5"/>
  <c r="AV48" i="5"/>
  <c r="AN48" i="5"/>
  <c r="AV47" i="5"/>
  <c r="AV46" i="5"/>
  <c r="AV45" i="5"/>
  <c r="AT43" i="5"/>
  <c r="AT42" i="5"/>
  <c r="AT41" i="5"/>
  <c r="AT40" i="5"/>
  <c r="AT39" i="5"/>
  <c r="AT38" i="5"/>
  <c r="AT37" i="5"/>
  <c r="AT36" i="5"/>
  <c r="AT35" i="5"/>
  <c r="AT34" i="5"/>
  <c r="AT33" i="5"/>
  <c r="AT32" i="5"/>
  <c r="AT31" i="5"/>
  <c r="AT30" i="5"/>
  <c r="AT29" i="5"/>
  <c r="AT28" i="5"/>
  <c r="AT27" i="5"/>
  <c r="AR73" i="5"/>
  <c r="AS72" i="5"/>
  <c r="AT71" i="5"/>
  <c r="AU70" i="5"/>
  <c r="AV69" i="5"/>
  <c r="AN69" i="5"/>
  <c r="AW68" i="5"/>
  <c r="AO68" i="5"/>
  <c r="AX67" i="5"/>
  <c r="AP67" i="5"/>
  <c r="AY66" i="5"/>
  <c r="AQ66" i="5"/>
  <c r="AR65" i="5"/>
  <c r="AR64" i="5"/>
  <c r="AR63" i="5"/>
  <c r="AR62" i="5"/>
  <c r="AR61" i="5"/>
  <c r="AR60" i="5"/>
  <c r="AR59" i="5"/>
  <c r="AR58" i="5"/>
  <c r="AR57" i="5"/>
  <c r="AR56" i="5"/>
  <c r="AR55" i="5"/>
  <c r="AU54" i="5"/>
  <c r="AU53" i="5"/>
  <c r="AU52" i="5"/>
  <c r="AU51" i="5"/>
  <c r="AU50" i="5"/>
  <c r="AU49" i="5"/>
  <c r="AU48" i="5"/>
  <c r="AU47" i="5"/>
  <c r="AU46" i="5"/>
  <c r="AU45" i="5"/>
  <c r="AS43" i="5"/>
  <c r="AS42" i="5"/>
  <c r="AS41" i="5"/>
  <c r="AS40" i="5"/>
  <c r="AS39" i="5"/>
  <c r="AS38" i="5"/>
  <c r="AS37" i="5"/>
  <c r="AS36" i="5"/>
  <c r="AS35" i="5"/>
  <c r="AS34" i="5"/>
  <c r="AS33" i="5"/>
  <c r="AS32" i="5"/>
  <c r="AS31" i="5"/>
  <c r="AS30" i="5"/>
  <c r="AS29" i="5"/>
  <c r="AS28" i="5"/>
  <c r="AS27" i="5"/>
  <c r="AY73" i="5"/>
  <c r="AQ73" i="5"/>
  <c r="AR72" i="5"/>
  <c r="AS71" i="5"/>
  <c r="AT70" i="5"/>
  <c r="AU69" i="5"/>
  <c r="AV68" i="5"/>
  <c r="AN68" i="5"/>
  <c r="AW67" i="5"/>
  <c r="AO67" i="5"/>
  <c r="AX66" i="5"/>
  <c r="AP66" i="5"/>
  <c r="AY65" i="5"/>
  <c r="AQ65" i="5"/>
  <c r="AY64" i="5"/>
  <c r="AQ64" i="5"/>
  <c r="AY63" i="5"/>
  <c r="AQ63" i="5"/>
  <c r="AY62" i="5"/>
  <c r="AQ62" i="5"/>
  <c r="AY61" i="5"/>
  <c r="AQ61" i="5"/>
  <c r="AY60" i="5"/>
  <c r="AQ60" i="5"/>
  <c r="AY59" i="5"/>
  <c r="AQ59" i="5"/>
  <c r="AY58" i="5"/>
  <c r="AQ58" i="5"/>
  <c r="AY57" i="5"/>
  <c r="AQ57" i="5"/>
  <c r="AY56" i="5"/>
  <c r="AQ56" i="5"/>
  <c r="AY55" i="5"/>
  <c r="AQ55" i="5"/>
  <c r="AT54" i="5"/>
  <c r="AT53" i="5"/>
  <c r="AT52" i="5"/>
  <c r="AT51" i="5"/>
  <c r="AT50" i="5"/>
  <c r="AT49" i="5"/>
  <c r="AT48" i="5"/>
  <c r="AT47" i="5"/>
  <c r="AT46" i="5"/>
  <c r="AT45" i="5"/>
  <c r="AR43" i="5"/>
  <c r="AR42" i="5"/>
  <c r="AR41" i="5"/>
  <c r="AR40" i="5"/>
  <c r="AR39" i="5"/>
  <c r="AR38" i="5"/>
  <c r="AR37" i="5"/>
  <c r="AR36" i="5"/>
  <c r="AR35" i="5"/>
  <c r="AR34" i="5"/>
  <c r="AR33" i="5"/>
  <c r="AR32" i="5"/>
  <c r="AR31" i="5"/>
  <c r="AR30" i="5"/>
  <c r="AR29" i="5"/>
  <c r="AR28" i="5"/>
  <c r="AR27" i="5"/>
  <c r="AW73" i="5"/>
  <c r="AO73" i="5"/>
  <c r="AX72" i="5"/>
  <c r="AP72" i="5"/>
  <c r="AY71" i="5"/>
  <c r="AQ71" i="5"/>
  <c r="AR70" i="5"/>
  <c r="AS69" i="5"/>
  <c r="AT68" i="5"/>
  <c r="AU67" i="5"/>
  <c r="AV66" i="5"/>
  <c r="AN66" i="5"/>
  <c r="AW65" i="5"/>
  <c r="AO65" i="5"/>
  <c r="AW64" i="5"/>
  <c r="AO64" i="5"/>
  <c r="AW63" i="5"/>
  <c r="AO63" i="5"/>
  <c r="AW62" i="5"/>
  <c r="AO62" i="5"/>
  <c r="AW61" i="5"/>
  <c r="AO61" i="5"/>
  <c r="AW60" i="5"/>
  <c r="AO60" i="5"/>
  <c r="AW59" i="5"/>
  <c r="AO59" i="5"/>
  <c r="AW58" i="5"/>
  <c r="AO58" i="5"/>
  <c r="AW57" i="5"/>
  <c r="AO57" i="5"/>
  <c r="AW56" i="5"/>
  <c r="AO56" i="5"/>
  <c r="AW55" i="5"/>
  <c r="AO55" i="5"/>
  <c r="AR54" i="5"/>
  <c r="AR53" i="5"/>
  <c r="AR52" i="5"/>
  <c r="AR51" i="5"/>
  <c r="AR50" i="5"/>
  <c r="AR49" i="5"/>
  <c r="AR48" i="5"/>
  <c r="AR47" i="5"/>
  <c r="AR46" i="5"/>
  <c r="AR45" i="5"/>
  <c r="AX43" i="5"/>
  <c r="AP43" i="5"/>
  <c r="AX42" i="5"/>
  <c r="AP42" i="5"/>
  <c r="AX41" i="5"/>
  <c r="AP41" i="5"/>
  <c r="AX40" i="5"/>
  <c r="AP40" i="5"/>
  <c r="AX39" i="5"/>
  <c r="AP39" i="5"/>
  <c r="AX38" i="5"/>
  <c r="AP38" i="5"/>
  <c r="AX37" i="5"/>
  <c r="AP37" i="5"/>
  <c r="AX36" i="5"/>
  <c r="AP36" i="5"/>
  <c r="AX35" i="5"/>
  <c r="AP35" i="5"/>
  <c r="AX34" i="5"/>
  <c r="AP34" i="5"/>
  <c r="AX33" i="5"/>
  <c r="AP33" i="5"/>
  <c r="AX32" i="5"/>
  <c r="AP32" i="5"/>
  <c r="AX31" i="5"/>
  <c r="AP31" i="5"/>
  <c r="AX30" i="5"/>
  <c r="AP30" i="5"/>
  <c r="AX29" i="5"/>
  <c r="AP29" i="5"/>
  <c r="AX28" i="5"/>
  <c r="AP28" i="5"/>
  <c r="AX27" i="5"/>
  <c r="AP27" i="5"/>
  <c r="AX73" i="5"/>
  <c r="AQ72" i="5"/>
  <c r="AU68" i="5"/>
  <c r="AX63" i="5"/>
  <c r="AX59" i="5"/>
  <c r="AX55" i="5"/>
  <c r="AS51" i="5"/>
  <c r="AQ42" i="5"/>
  <c r="AQ38" i="5"/>
  <c r="AP73" i="5"/>
  <c r="AP63" i="5"/>
  <c r="AP59" i="5"/>
  <c r="AP55" i="5"/>
  <c r="AS54" i="5"/>
  <c r="AS46" i="5"/>
  <c r="AY43" i="5"/>
  <c r="AY39" i="5"/>
  <c r="AT69" i="5"/>
  <c r="AX64" i="5"/>
  <c r="AX60" i="5"/>
  <c r="AX56" i="5"/>
  <c r="AS49" i="5"/>
  <c r="AQ43" i="5"/>
  <c r="AQ39" i="5"/>
  <c r="AP64" i="5"/>
  <c r="AP60" i="5"/>
  <c r="AP56" i="5"/>
  <c r="AS52" i="5"/>
  <c r="AY40" i="5"/>
  <c r="AY36" i="5"/>
  <c r="AY35" i="5"/>
  <c r="AY34" i="5"/>
  <c r="AY33" i="5"/>
  <c r="AY32" i="5"/>
  <c r="AY31" i="5"/>
  <c r="AY30" i="5"/>
  <c r="AY29" i="5"/>
  <c r="AY28" i="5"/>
  <c r="AY27" i="5"/>
  <c r="AS70" i="5"/>
  <c r="AX65" i="5"/>
  <c r="AX61" i="5"/>
  <c r="AX57" i="5"/>
  <c r="AS47" i="5"/>
  <c r="AQ40" i="5"/>
  <c r="AV36" i="5"/>
  <c r="AV35" i="5"/>
  <c r="AV34" i="5"/>
  <c r="AV33" i="5"/>
  <c r="AV32" i="5"/>
  <c r="AV31" i="5"/>
  <c r="AV30" i="5"/>
  <c r="AV29" i="5"/>
  <c r="AV28" i="5"/>
  <c r="AV27" i="5"/>
  <c r="AW66" i="5"/>
  <c r="AP65" i="5"/>
  <c r="AP61" i="5"/>
  <c r="AP57" i="5"/>
  <c r="AS50" i="5"/>
  <c r="AY41" i="5"/>
  <c r="AY37" i="5"/>
  <c r="AQ36" i="5"/>
  <c r="AQ35" i="5"/>
  <c r="AQ34" i="5"/>
  <c r="AQ33" i="5"/>
  <c r="AQ32" i="5"/>
  <c r="AQ31" i="5"/>
  <c r="AQ30" i="5"/>
  <c r="AQ29" i="5"/>
  <c r="AQ28" i="5"/>
  <c r="AQ27" i="5"/>
  <c r="AR71" i="5"/>
  <c r="AV67" i="5"/>
  <c r="AO66" i="5"/>
  <c r="AX62" i="5"/>
  <c r="AX58" i="5"/>
  <c r="AS53" i="5"/>
  <c r="AS45" i="5"/>
  <c r="AQ41" i="5"/>
  <c r="AQ37" i="5"/>
  <c r="AN36" i="5"/>
  <c r="AN34" i="5"/>
  <c r="AN33" i="5"/>
  <c r="AN32" i="5"/>
  <c r="AN31" i="5"/>
  <c r="AN30" i="5"/>
  <c r="AN29" i="5"/>
  <c r="AY72" i="5"/>
  <c r="AN67" i="5"/>
  <c r="AP62" i="5"/>
  <c r="AP58" i="5"/>
  <c r="AS48" i="5"/>
  <c r="AY42" i="5"/>
  <c r="AY38" i="5"/>
  <c r="L7" i="15"/>
  <c r="D7" i="15"/>
  <c r="F7" i="13"/>
  <c r="K7" i="15"/>
  <c r="C7" i="15"/>
  <c r="E7" i="13"/>
  <c r="J7" i="15"/>
  <c r="D7" i="13"/>
  <c r="I7" i="15"/>
  <c r="C7" i="13"/>
  <c r="H7" i="15"/>
  <c r="G7" i="15"/>
  <c r="M7" i="15"/>
  <c r="E7" i="15"/>
  <c r="G7" i="13"/>
  <c r="N7" i="15"/>
  <c r="F7" i="15"/>
  <c r="AV133" i="5"/>
  <c r="AN133" i="5"/>
  <c r="AV132" i="5"/>
  <c r="AN132" i="5"/>
  <c r="AV131" i="5"/>
  <c r="AN131" i="5"/>
  <c r="AV130" i="5"/>
  <c r="AN130" i="5"/>
  <c r="AV129" i="5"/>
  <c r="AN129" i="5"/>
  <c r="AV128" i="5"/>
  <c r="AS133" i="5"/>
  <c r="AS132" i="5"/>
  <c r="AS131" i="5"/>
  <c r="AS130" i="5"/>
  <c r="AR133" i="5"/>
  <c r="AR132" i="5"/>
  <c r="AR131" i="5"/>
  <c r="AR130" i="5"/>
  <c r="AR129" i="5"/>
  <c r="AR128" i="5"/>
  <c r="AR127" i="5"/>
  <c r="AR126" i="5"/>
  <c r="AW133" i="5"/>
  <c r="AO133" i="5"/>
  <c r="AW132" i="5"/>
  <c r="AO132" i="5"/>
  <c r="AW131" i="5"/>
  <c r="AO131" i="5"/>
  <c r="AW130" i="5"/>
  <c r="AO130" i="5"/>
  <c r="AP132" i="5"/>
  <c r="AT131" i="5"/>
  <c r="AX130" i="5"/>
  <c r="AP129" i="5"/>
  <c r="AW128" i="5"/>
  <c r="AU127" i="5"/>
  <c r="AT126" i="5"/>
  <c r="AS125" i="5"/>
  <c r="AS124" i="5"/>
  <c r="AS123" i="5"/>
  <c r="AS122" i="5"/>
  <c r="AY133" i="5"/>
  <c r="AQ131" i="5"/>
  <c r="AU130" i="5"/>
  <c r="AY129" i="5"/>
  <c r="AO129" i="5"/>
  <c r="AU128" i="5"/>
  <c r="AT127" i="5"/>
  <c r="AS126" i="5"/>
  <c r="AR125" i="5"/>
  <c r="AR124" i="5"/>
  <c r="AR123" i="5"/>
  <c r="AR122" i="5"/>
  <c r="AX133" i="5"/>
  <c r="AP131" i="5"/>
  <c r="AT130" i="5"/>
  <c r="AX129" i="5"/>
  <c r="AT128" i="5"/>
  <c r="AS127" i="5"/>
  <c r="AQ126" i="5"/>
  <c r="AY125" i="5"/>
  <c r="AQ125" i="5"/>
  <c r="AY124" i="5"/>
  <c r="AQ124" i="5"/>
  <c r="AY123" i="5"/>
  <c r="AQ123" i="5"/>
  <c r="AY122" i="5"/>
  <c r="AQ122" i="5"/>
  <c r="AU133" i="5"/>
  <c r="AY132" i="5"/>
  <c r="AQ130" i="5"/>
  <c r="AW129" i="5"/>
  <c r="AS128" i="5"/>
  <c r="AQ127" i="5"/>
  <c r="AY126" i="5"/>
  <c r="AP126" i="5"/>
  <c r="AX125" i="5"/>
  <c r="AP125" i="5"/>
  <c r="AX124" i="5"/>
  <c r="AP124" i="5"/>
  <c r="AX123" i="5"/>
  <c r="AP123" i="5"/>
  <c r="AX122" i="5"/>
  <c r="AP122" i="5"/>
  <c r="AT133" i="5"/>
  <c r="AX132" i="5"/>
  <c r="AP130" i="5"/>
  <c r="AU129" i="5"/>
  <c r="AQ128" i="5"/>
  <c r="AY127" i="5"/>
  <c r="AP127" i="5"/>
  <c r="AX126" i="5"/>
  <c r="AO126" i="5"/>
  <c r="AW125" i="5"/>
  <c r="AO125" i="5"/>
  <c r="AW124" i="5"/>
  <c r="AO124" i="5"/>
  <c r="AW123" i="5"/>
  <c r="AO123" i="5"/>
  <c r="AW122" i="5"/>
  <c r="AO122" i="5"/>
  <c r="AQ133" i="5"/>
  <c r="AU132" i="5"/>
  <c r="AY131" i="5"/>
  <c r="AT129" i="5"/>
  <c r="AP128" i="5"/>
  <c r="AX127" i="5"/>
  <c r="AO127" i="5"/>
  <c r="AW126" i="5"/>
  <c r="AN126" i="5"/>
  <c r="AV125" i="5"/>
  <c r="AN125" i="5"/>
  <c r="AV124" i="5"/>
  <c r="AN124" i="5"/>
  <c r="AV123" i="5"/>
  <c r="AN123" i="5"/>
  <c r="AV122" i="5"/>
  <c r="AN122" i="5"/>
  <c r="AP133" i="5"/>
  <c r="AT132" i="5"/>
  <c r="AX131" i="5"/>
  <c r="AS129" i="5"/>
  <c r="AY128" i="5"/>
  <c r="AO128" i="5"/>
  <c r="AW127" i="5"/>
  <c r="AN127" i="5"/>
  <c r="AV126" i="5"/>
  <c r="AU125" i="5"/>
  <c r="AU124" i="5"/>
  <c r="AU123" i="5"/>
  <c r="AU122" i="5"/>
  <c r="AQ132" i="5"/>
  <c r="AU131" i="5"/>
  <c r="AY130" i="5"/>
  <c r="AQ129" i="5"/>
  <c r="AX128" i="5"/>
  <c r="AN128" i="5"/>
  <c r="AV127" i="5"/>
  <c r="AU126" i="5"/>
  <c r="AT125" i="5"/>
  <c r="AT124" i="5"/>
  <c r="AT123" i="5"/>
  <c r="AT122" i="5"/>
  <c r="T24" i="11"/>
  <c r="S24" i="36"/>
  <c r="S40" i="36"/>
  <c r="T40" i="11"/>
  <c r="F28" i="21"/>
  <c r="T27" i="11"/>
  <c r="S27" i="36"/>
  <c r="AN6" i="5"/>
  <c r="T35" i="11"/>
  <c r="S35" i="36"/>
  <c r="T43" i="11"/>
  <c r="S43" i="36"/>
  <c r="T51" i="11"/>
  <c r="S51" i="36"/>
  <c r="T68" i="11"/>
  <c r="T80" i="11"/>
  <c r="S392" i="36"/>
  <c r="T392" i="11"/>
  <c r="T427" i="11"/>
  <c r="S427" i="36"/>
  <c r="T30" i="11"/>
  <c r="S30" i="36"/>
  <c r="AS25" i="5"/>
  <c r="S38" i="36"/>
  <c r="T38" i="11"/>
  <c r="S46" i="36"/>
  <c r="T46" i="11"/>
  <c r="S60" i="36"/>
  <c r="H60" i="36"/>
  <c r="T75" i="11"/>
  <c r="AN62" i="5"/>
  <c r="S307" i="36"/>
  <c r="T307" i="11"/>
  <c r="S390" i="36"/>
  <c r="T390" i="11"/>
  <c r="T425" i="11"/>
  <c r="S425" i="36"/>
  <c r="T25" i="11"/>
  <c r="S25" i="36"/>
  <c r="T33" i="11"/>
  <c r="S33" i="36"/>
  <c r="H8" i="15"/>
  <c r="G8" i="15"/>
  <c r="G8" i="13"/>
  <c r="N8" i="15"/>
  <c r="F8" i="15"/>
  <c r="F8" i="13"/>
  <c r="M8" i="15"/>
  <c r="E8" i="15"/>
  <c r="E8" i="13"/>
  <c r="L8" i="15"/>
  <c r="D8" i="15"/>
  <c r="D8" i="13"/>
  <c r="K8" i="15"/>
  <c r="C8" i="15"/>
  <c r="C8" i="13"/>
  <c r="I8" i="15"/>
  <c r="J8" i="15"/>
  <c r="AW245" i="5"/>
  <c r="AO245" i="5"/>
  <c r="AW244" i="5"/>
  <c r="AO244" i="5"/>
  <c r="AW243" i="5"/>
  <c r="AO243" i="5"/>
  <c r="AW242" i="5"/>
  <c r="AO242" i="5"/>
  <c r="AW241" i="5"/>
  <c r="AO241" i="5"/>
  <c r="AW240" i="5"/>
  <c r="AO240" i="5"/>
  <c r="AW239" i="5"/>
  <c r="AO239" i="5"/>
  <c r="AW238" i="5"/>
  <c r="AO238" i="5"/>
  <c r="AW237" i="5"/>
  <c r="AO237" i="5"/>
  <c r="AW236" i="5"/>
  <c r="AO236" i="5"/>
  <c r="AW235" i="5"/>
  <c r="AO235" i="5"/>
  <c r="AW234" i="5"/>
  <c r="AO234" i="5"/>
  <c r="AW233" i="5"/>
  <c r="AO233" i="5"/>
  <c r="AW232" i="5"/>
  <c r="AV245" i="5"/>
  <c r="AN245" i="5"/>
  <c r="AV244" i="5"/>
  <c r="AN244" i="5"/>
  <c r="AV243" i="5"/>
  <c r="AN243" i="5"/>
  <c r="AV242" i="5"/>
  <c r="AN242" i="5"/>
  <c r="AV241" i="5"/>
  <c r="AN241" i="5"/>
  <c r="AV240" i="5"/>
  <c r="AN240" i="5"/>
  <c r="AV239" i="5"/>
  <c r="AN239" i="5"/>
  <c r="AV238" i="5"/>
  <c r="AN238" i="5"/>
  <c r="AV237" i="5"/>
  <c r="AN237" i="5"/>
  <c r="AV236" i="5"/>
  <c r="AN236" i="5"/>
  <c r="AV235" i="5"/>
  <c r="AN235" i="5"/>
  <c r="AV234" i="5"/>
  <c r="AN234" i="5"/>
  <c r="AV233" i="5"/>
  <c r="AN233" i="5"/>
  <c r="AV232" i="5"/>
  <c r="AN232" i="5"/>
  <c r="AV231" i="5"/>
  <c r="AN231" i="5"/>
  <c r="AV230" i="5"/>
  <c r="AN230" i="5"/>
  <c r="AV229" i="5"/>
  <c r="AN229" i="5"/>
  <c r="AV228" i="5"/>
  <c r="AN228" i="5"/>
  <c r="AV227" i="5"/>
  <c r="AN227" i="5"/>
  <c r="AV226" i="5"/>
  <c r="AN226" i="5"/>
  <c r="AV216" i="5"/>
  <c r="AS245" i="5"/>
  <c r="AS244" i="5"/>
  <c r="AS243" i="5"/>
  <c r="AS242" i="5"/>
  <c r="AS241" i="5"/>
  <c r="AS240" i="5"/>
  <c r="AS239" i="5"/>
  <c r="AS238" i="5"/>
  <c r="AS237" i="5"/>
  <c r="AS236" i="5"/>
  <c r="AS235" i="5"/>
  <c r="AS234" i="5"/>
  <c r="AS233" i="5"/>
  <c r="AS232" i="5"/>
  <c r="AS231" i="5"/>
  <c r="AS230" i="5"/>
  <c r="AS229" i="5"/>
  <c r="AS228" i="5"/>
  <c r="AS227" i="5"/>
  <c r="AS226" i="5"/>
  <c r="AS216" i="5"/>
  <c r="AS215" i="5"/>
  <c r="AS214" i="5"/>
  <c r="AS213" i="5"/>
  <c r="AS212" i="5"/>
  <c r="AS211" i="5"/>
  <c r="AS210" i="5"/>
  <c r="AS209" i="5"/>
  <c r="AS208" i="5"/>
  <c r="AS207" i="5"/>
  <c r="AS206" i="5"/>
  <c r="AS205" i="5"/>
  <c r="AS204" i="5"/>
  <c r="AS203" i="5"/>
  <c r="AS202" i="5"/>
  <c r="AS201" i="5"/>
  <c r="AS200" i="5"/>
  <c r="AS199" i="5"/>
  <c r="AS197" i="5"/>
  <c r="AS196" i="5"/>
  <c r="AS195" i="5"/>
  <c r="AS194" i="5"/>
  <c r="AS193" i="5"/>
  <c r="AS192" i="5"/>
  <c r="AS191" i="5"/>
  <c r="AS190" i="5"/>
  <c r="AS189" i="5"/>
  <c r="AS188" i="5"/>
  <c r="AS187" i="5"/>
  <c r="AS186" i="5"/>
  <c r="AR245" i="5"/>
  <c r="AR244" i="5"/>
  <c r="AR243" i="5"/>
  <c r="AR242" i="5"/>
  <c r="AR241" i="5"/>
  <c r="AR240" i="5"/>
  <c r="AR239" i="5"/>
  <c r="AR238" i="5"/>
  <c r="AR237" i="5"/>
  <c r="AR236" i="5"/>
  <c r="AR235" i="5"/>
  <c r="AR234" i="5"/>
  <c r="AR233" i="5"/>
  <c r="AR232" i="5"/>
  <c r="AR231" i="5"/>
  <c r="AR230" i="5"/>
  <c r="AR229" i="5"/>
  <c r="AR228" i="5"/>
  <c r="AR227" i="5"/>
  <c r="AR226" i="5"/>
  <c r="AR216" i="5"/>
  <c r="AR215" i="5"/>
  <c r="AR214" i="5"/>
  <c r="AR213" i="5"/>
  <c r="AR212" i="5"/>
  <c r="AR211" i="5"/>
  <c r="AR210" i="5"/>
  <c r="AR209" i="5"/>
  <c r="AR208" i="5"/>
  <c r="AR207" i="5"/>
  <c r="AR206" i="5"/>
  <c r="AR205" i="5"/>
  <c r="AR204" i="5"/>
  <c r="AR203" i="5"/>
  <c r="AR202" i="5"/>
  <c r="AR201" i="5"/>
  <c r="AR200" i="5"/>
  <c r="AR199" i="5"/>
  <c r="AR197" i="5"/>
  <c r="AR196" i="5"/>
  <c r="AR195" i="5"/>
  <c r="AR194" i="5"/>
  <c r="AR193" i="5"/>
  <c r="AR192" i="5"/>
  <c r="AR191" i="5"/>
  <c r="AR190" i="5"/>
  <c r="AR189" i="5"/>
  <c r="AR188" i="5"/>
  <c r="AR187" i="5"/>
  <c r="AY245" i="5"/>
  <c r="AQ245" i="5"/>
  <c r="AY244" i="5"/>
  <c r="AQ244" i="5"/>
  <c r="AY243" i="5"/>
  <c r="AQ243" i="5"/>
  <c r="AY242" i="5"/>
  <c r="AQ242" i="5"/>
  <c r="AY241" i="5"/>
  <c r="AQ241" i="5"/>
  <c r="AY240" i="5"/>
  <c r="AQ240" i="5"/>
  <c r="AY239" i="5"/>
  <c r="AQ239" i="5"/>
  <c r="AY238" i="5"/>
  <c r="AQ238" i="5"/>
  <c r="AY237" i="5"/>
  <c r="AQ237" i="5"/>
  <c r="AY236" i="5"/>
  <c r="AQ236" i="5"/>
  <c r="AY235" i="5"/>
  <c r="AQ235" i="5"/>
  <c r="AY234" i="5"/>
  <c r="AQ234" i="5"/>
  <c r="AY233" i="5"/>
  <c r="AQ233" i="5"/>
  <c r="AY232" i="5"/>
  <c r="AQ232" i="5"/>
  <c r="AY231" i="5"/>
  <c r="AQ231" i="5"/>
  <c r="AY230" i="5"/>
  <c r="AQ230" i="5"/>
  <c r="AY229" i="5"/>
  <c r="AQ229" i="5"/>
  <c r="AY228" i="5"/>
  <c r="AQ228" i="5"/>
  <c r="AY227" i="5"/>
  <c r="AQ227" i="5"/>
  <c r="AY226" i="5"/>
  <c r="AQ226" i="5"/>
  <c r="AY216" i="5"/>
  <c r="AQ216" i="5"/>
  <c r="AX245" i="5"/>
  <c r="AP245" i="5"/>
  <c r="AX244" i="5"/>
  <c r="AP244" i="5"/>
  <c r="AX243" i="5"/>
  <c r="AP243" i="5"/>
  <c r="AX242" i="5"/>
  <c r="AP242" i="5"/>
  <c r="AX241" i="5"/>
  <c r="AP241" i="5"/>
  <c r="AX240" i="5"/>
  <c r="AT245" i="5"/>
  <c r="AT241" i="5"/>
  <c r="AO232" i="5"/>
  <c r="AT231" i="5"/>
  <c r="AW230" i="5"/>
  <c r="AO228" i="5"/>
  <c r="AT227" i="5"/>
  <c r="AW226" i="5"/>
  <c r="AO216" i="5"/>
  <c r="AW215" i="5"/>
  <c r="AU214" i="5"/>
  <c r="AQ213" i="5"/>
  <c r="AY212" i="5"/>
  <c r="AO212" i="5"/>
  <c r="AW211" i="5"/>
  <c r="AU210" i="5"/>
  <c r="AQ209" i="5"/>
  <c r="AY208" i="5"/>
  <c r="AO208" i="5"/>
  <c r="AW207" i="5"/>
  <c r="AU206" i="5"/>
  <c r="AQ205" i="5"/>
  <c r="AY204" i="5"/>
  <c r="AO204" i="5"/>
  <c r="AW203" i="5"/>
  <c r="AU202" i="5"/>
  <c r="AQ201" i="5"/>
  <c r="AU242" i="5"/>
  <c r="AP231" i="5"/>
  <c r="AU230" i="5"/>
  <c r="AX229" i="5"/>
  <c r="AP227" i="5"/>
  <c r="AU226" i="5"/>
  <c r="AN216" i="5"/>
  <c r="AV215" i="5"/>
  <c r="AT214" i="5"/>
  <c r="AP213" i="5"/>
  <c r="AX212" i="5"/>
  <c r="AN212" i="5"/>
  <c r="AV211" i="5"/>
  <c r="AT210" i="5"/>
  <c r="AP209" i="5"/>
  <c r="AX208" i="5"/>
  <c r="AN208" i="5"/>
  <c r="AV207" i="5"/>
  <c r="AT206" i="5"/>
  <c r="AP205" i="5"/>
  <c r="AX204" i="5"/>
  <c r="AN204" i="5"/>
  <c r="AV203" i="5"/>
  <c r="AT202" i="5"/>
  <c r="AP201" i="5"/>
  <c r="AX200" i="5"/>
  <c r="AN200" i="5"/>
  <c r="AV199" i="5"/>
  <c r="AT197" i="5"/>
  <c r="AP196" i="5"/>
  <c r="AX195" i="5"/>
  <c r="AN195" i="5"/>
  <c r="AV194" i="5"/>
  <c r="AT193" i="5"/>
  <c r="AP192" i="5"/>
  <c r="AX191" i="5"/>
  <c r="AN191" i="5"/>
  <c r="AV190" i="5"/>
  <c r="AT189" i="5"/>
  <c r="AT242" i="5"/>
  <c r="AO231" i="5"/>
  <c r="AT230" i="5"/>
  <c r="AW229" i="5"/>
  <c r="AO227" i="5"/>
  <c r="AT226" i="5"/>
  <c r="AU215" i="5"/>
  <c r="AQ214" i="5"/>
  <c r="AY213" i="5"/>
  <c r="AO213" i="5"/>
  <c r="AW212" i="5"/>
  <c r="AU211" i="5"/>
  <c r="AQ210" i="5"/>
  <c r="AY209" i="5"/>
  <c r="AO209" i="5"/>
  <c r="AW208" i="5"/>
  <c r="AU207" i="5"/>
  <c r="AQ206" i="5"/>
  <c r="AY205" i="5"/>
  <c r="AO205" i="5"/>
  <c r="AW204" i="5"/>
  <c r="AU203" i="5"/>
  <c r="AQ202" i="5"/>
  <c r="AY201" i="5"/>
  <c r="AO201" i="5"/>
  <c r="AW200" i="5"/>
  <c r="AU199" i="5"/>
  <c r="AQ197" i="5"/>
  <c r="AY196" i="5"/>
  <c r="AO196" i="5"/>
  <c r="AW195" i="5"/>
  <c r="AU194" i="5"/>
  <c r="AQ193" i="5"/>
  <c r="AY192" i="5"/>
  <c r="AO192" i="5"/>
  <c r="AW191" i="5"/>
  <c r="AU190" i="5"/>
  <c r="AQ189" i="5"/>
  <c r="AY188" i="5"/>
  <c r="AO188" i="5"/>
  <c r="AW187" i="5"/>
  <c r="AU186" i="5"/>
  <c r="AT185" i="5"/>
  <c r="AU243" i="5"/>
  <c r="AP230" i="5"/>
  <c r="AU229" i="5"/>
  <c r="AX228" i="5"/>
  <c r="AP226" i="5"/>
  <c r="AX216" i="5"/>
  <c r="AT215" i="5"/>
  <c r="AP214" i="5"/>
  <c r="AX213" i="5"/>
  <c r="AN213" i="5"/>
  <c r="AV212" i="5"/>
  <c r="AT211" i="5"/>
  <c r="AP210" i="5"/>
  <c r="AX209" i="5"/>
  <c r="AN209" i="5"/>
  <c r="AV208" i="5"/>
  <c r="AT207" i="5"/>
  <c r="AP206" i="5"/>
  <c r="AX205" i="5"/>
  <c r="AN205" i="5"/>
  <c r="AV204" i="5"/>
  <c r="AT203" i="5"/>
  <c r="AP202" i="5"/>
  <c r="AX201" i="5"/>
  <c r="AN201" i="5"/>
  <c r="AV200" i="5"/>
  <c r="AT199" i="5"/>
  <c r="AP197" i="5"/>
  <c r="AX196" i="5"/>
  <c r="AN196" i="5"/>
  <c r="AV195" i="5"/>
  <c r="AT194" i="5"/>
  <c r="AP193" i="5"/>
  <c r="AX192" i="5"/>
  <c r="AN192" i="5"/>
  <c r="AV191" i="5"/>
  <c r="AT190" i="5"/>
  <c r="AP189" i="5"/>
  <c r="AX188" i="5"/>
  <c r="AN188" i="5"/>
  <c r="AV187" i="5"/>
  <c r="AT186" i="5"/>
  <c r="AS185" i="5"/>
  <c r="AS184" i="5"/>
  <c r="AS183" i="5"/>
  <c r="AS182" i="5"/>
  <c r="AS181" i="5"/>
  <c r="AS180" i="5"/>
  <c r="AS179" i="5"/>
  <c r="AS178" i="5"/>
  <c r="AS177" i="5"/>
  <c r="AS176" i="5"/>
  <c r="AT243" i="5"/>
  <c r="AX239" i="5"/>
  <c r="AX238" i="5"/>
  <c r="AX237" i="5"/>
  <c r="AX236" i="5"/>
  <c r="AX235" i="5"/>
  <c r="AX234" i="5"/>
  <c r="AX233" i="5"/>
  <c r="AX232" i="5"/>
  <c r="AO230" i="5"/>
  <c r="AT229" i="5"/>
  <c r="AW228" i="5"/>
  <c r="AO226" i="5"/>
  <c r="AW216" i="5"/>
  <c r="AQ215" i="5"/>
  <c r="AY214" i="5"/>
  <c r="AO214" i="5"/>
  <c r="AW213" i="5"/>
  <c r="AU212" i="5"/>
  <c r="AQ211" i="5"/>
  <c r="AY210" i="5"/>
  <c r="AO210" i="5"/>
  <c r="AW209" i="5"/>
  <c r="AU208" i="5"/>
  <c r="AQ207" i="5"/>
  <c r="AY206" i="5"/>
  <c r="AO206" i="5"/>
  <c r="AW205" i="5"/>
  <c r="AU204" i="5"/>
  <c r="AQ203" i="5"/>
  <c r="AY202" i="5"/>
  <c r="AO202" i="5"/>
  <c r="AW201" i="5"/>
  <c r="AU200" i="5"/>
  <c r="AQ199" i="5"/>
  <c r="AY197" i="5"/>
  <c r="AO197" i="5"/>
  <c r="AW196" i="5"/>
  <c r="AU195" i="5"/>
  <c r="AQ194" i="5"/>
  <c r="AY193" i="5"/>
  <c r="AO193" i="5"/>
  <c r="AW192" i="5"/>
  <c r="AU191" i="5"/>
  <c r="AQ190" i="5"/>
  <c r="AY189" i="5"/>
  <c r="AO189" i="5"/>
  <c r="AW188" i="5"/>
  <c r="AU187" i="5"/>
  <c r="AR186" i="5"/>
  <c r="AR185" i="5"/>
  <c r="AR184" i="5"/>
  <c r="AR183" i="5"/>
  <c r="AR182" i="5"/>
  <c r="AR181" i="5"/>
  <c r="AR180" i="5"/>
  <c r="AR179" i="5"/>
  <c r="AR178" i="5"/>
  <c r="AR177" i="5"/>
  <c r="AR176" i="5"/>
  <c r="AR175" i="5"/>
  <c r="AR174" i="5"/>
  <c r="AR173" i="5"/>
  <c r="AR172" i="5"/>
  <c r="AR171" i="5"/>
  <c r="AR170" i="5"/>
  <c r="AR169" i="5"/>
  <c r="AR168" i="5"/>
  <c r="AR167" i="5"/>
  <c r="AR166" i="5"/>
  <c r="AR165" i="5"/>
  <c r="AU244" i="5"/>
  <c r="AU240" i="5"/>
  <c r="AU239" i="5"/>
  <c r="AU238" i="5"/>
  <c r="AU237" i="5"/>
  <c r="AU236" i="5"/>
  <c r="AU235" i="5"/>
  <c r="AU234" i="5"/>
  <c r="AU233" i="5"/>
  <c r="AU232" i="5"/>
  <c r="AX231" i="5"/>
  <c r="AP229" i="5"/>
  <c r="AU228" i="5"/>
  <c r="AX227" i="5"/>
  <c r="AU216" i="5"/>
  <c r="AP215" i="5"/>
  <c r="AX214" i="5"/>
  <c r="AN214" i="5"/>
  <c r="AV213" i="5"/>
  <c r="AT212" i="5"/>
  <c r="AP211" i="5"/>
  <c r="AX210" i="5"/>
  <c r="AN210" i="5"/>
  <c r="AV209" i="5"/>
  <c r="AT208" i="5"/>
  <c r="AP207" i="5"/>
  <c r="AX206" i="5"/>
  <c r="AN206" i="5"/>
  <c r="AV205" i="5"/>
  <c r="AT204" i="5"/>
  <c r="AP203" i="5"/>
  <c r="AX202" i="5"/>
  <c r="AN202" i="5"/>
  <c r="AV201" i="5"/>
  <c r="AT200" i="5"/>
  <c r="AP199" i="5"/>
  <c r="AX197" i="5"/>
  <c r="AN197" i="5"/>
  <c r="AV196" i="5"/>
  <c r="AT195" i="5"/>
  <c r="AP194" i="5"/>
  <c r="AX193" i="5"/>
  <c r="AN193" i="5"/>
  <c r="AV192" i="5"/>
  <c r="AT191" i="5"/>
  <c r="AP190" i="5"/>
  <c r="AX189" i="5"/>
  <c r="AN189" i="5"/>
  <c r="AV188" i="5"/>
  <c r="AT187" i="5"/>
  <c r="AQ186" i="5"/>
  <c r="AY185" i="5"/>
  <c r="AQ185" i="5"/>
  <c r="AY184" i="5"/>
  <c r="AQ184" i="5"/>
  <c r="AT244" i="5"/>
  <c r="AT240" i="5"/>
  <c r="AT239" i="5"/>
  <c r="AT238" i="5"/>
  <c r="AT237" i="5"/>
  <c r="AT236" i="5"/>
  <c r="AT235" i="5"/>
  <c r="AT234" i="5"/>
  <c r="AT233" i="5"/>
  <c r="AT232" i="5"/>
  <c r="AW231" i="5"/>
  <c r="AO229" i="5"/>
  <c r="AT228" i="5"/>
  <c r="AW227" i="5"/>
  <c r="AT216" i="5"/>
  <c r="AY215" i="5"/>
  <c r="AO215" i="5"/>
  <c r="AW214" i="5"/>
  <c r="AU213" i="5"/>
  <c r="AQ212" i="5"/>
  <c r="AY211" i="5"/>
  <c r="AO211" i="5"/>
  <c r="AW210" i="5"/>
  <c r="AU209" i="5"/>
  <c r="AQ208" i="5"/>
  <c r="AY207" i="5"/>
  <c r="AO207" i="5"/>
  <c r="AW206" i="5"/>
  <c r="AU205" i="5"/>
  <c r="AQ204" i="5"/>
  <c r="AY203" i="5"/>
  <c r="AO203" i="5"/>
  <c r="AW202" i="5"/>
  <c r="AU201" i="5"/>
  <c r="AQ200" i="5"/>
  <c r="AY199" i="5"/>
  <c r="AO199" i="5"/>
  <c r="AW197" i="5"/>
  <c r="AU196" i="5"/>
  <c r="AQ195" i="5"/>
  <c r="AY194" i="5"/>
  <c r="AO194" i="5"/>
  <c r="AW193" i="5"/>
  <c r="AU245" i="5"/>
  <c r="AU241" i="5"/>
  <c r="AZ241" i="5"/>
  <c r="AP240" i="5"/>
  <c r="AP239" i="5"/>
  <c r="AP238" i="5"/>
  <c r="AP237" i="5"/>
  <c r="AP236" i="5"/>
  <c r="AP235" i="5"/>
  <c r="AP234" i="5"/>
  <c r="AP233" i="5"/>
  <c r="AP232" i="5"/>
  <c r="AU231" i="5"/>
  <c r="AX230" i="5"/>
  <c r="AP228" i="5"/>
  <c r="AU227" i="5"/>
  <c r="AX226" i="5"/>
  <c r="AP216" i="5"/>
  <c r="AX215" i="5"/>
  <c r="AN215" i="5"/>
  <c r="AV214" i="5"/>
  <c r="AT213" i="5"/>
  <c r="AP212" i="5"/>
  <c r="AX211" i="5"/>
  <c r="AN211" i="5"/>
  <c r="AV210" i="5"/>
  <c r="AT209" i="5"/>
  <c r="AP208" i="5"/>
  <c r="AX207" i="5"/>
  <c r="AN207" i="5"/>
  <c r="AV206" i="5"/>
  <c r="AT205" i="5"/>
  <c r="AP204" i="5"/>
  <c r="AX203" i="5"/>
  <c r="AN203" i="5"/>
  <c r="AV202" i="5"/>
  <c r="AT201" i="5"/>
  <c r="AP200" i="5"/>
  <c r="AX199" i="5"/>
  <c r="AN199" i="5"/>
  <c r="AV197" i="5"/>
  <c r="AT196" i="5"/>
  <c r="AP195" i="5"/>
  <c r="AX194" i="5"/>
  <c r="AN194" i="5"/>
  <c r="AV193" i="5"/>
  <c r="AT192" i="5"/>
  <c r="AP191" i="5"/>
  <c r="AX190" i="5"/>
  <c r="AN190" i="5"/>
  <c r="AV189" i="5"/>
  <c r="AT188" i="5"/>
  <c r="AP187" i="5"/>
  <c r="AX186" i="5"/>
  <c r="AO186" i="5"/>
  <c r="AW185" i="5"/>
  <c r="AO185" i="5"/>
  <c r="AW184" i="5"/>
  <c r="AO184" i="5"/>
  <c r="AW183" i="5"/>
  <c r="AO183" i="5"/>
  <c r="AW182" i="5"/>
  <c r="AO182" i="5"/>
  <c r="AW181" i="5"/>
  <c r="AO181" i="5"/>
  <c r="AW180" i="5"/>
  <c r="AO180" i="5"/>
  <c r="AW179" i="5"/>
  <c r="AO179" i="5"/>
  <c r="AW178" i="5"/>
  <c r="AO178" i="5"/>
  <c r="AW177" i="5"/>
  <c r="AO177" i="5"/>
  <c r="AW176" i="5"/>
  <c r="AO176" i="5"/>
  <c r="AW175" i="5"/>
  <c r="AO175" i="5"/>
  <c r="AW174" i="5"/>
  <c r="AO174" i="5"/>
  <c r="AW173" i="5"/>
  <c r="AO173" i="5"/>
  <c r="AW172" i="5"/>
  <c r="AO172" i="5"/>
  <c r="AW171" i="5"/>
  <c r="AW199" i="5"/>
  <c r="AO195" i="5"/>
  <c r="AQ192" i="5"/>
  <c r="AY187" i="5"/>
  <c r="AN184" i="5"/>
  <c r="AU183" i="5"/>
  <c r="AN182" i="5"/>
  <c r="AU181" i="5"/>
  <c r="AN180" i="5"/>
  <c r="AU179" i="5"/>
  <c r="AN178" i="5"/>
  <c r="AU177" i="5"/>
  <c r="AN176" i="5"/>
  <c r="AU175" i="5"/>
  <c r="AQ174" i="5"/>
  <c r="AX173" i="5"/>
  <c r="AT172" i="5"/>
  <c r="AP171" i="5"/>
  <c r="AX170" i="5"/>
  <c r="AO170" i="5"/>
  <c r="AW169" i="5"/>
  <c r="AN169" i="5"/>
  <c r="AV168" i="5"/>
  <c r="AU167" i="5"/>
  <c r="AT166" i="5"/>
  <c r="AS165" i="5"/>
  <c r="AR164" i="5"/>
  <c r="AR163" i="5"/>
  <c r="AR162" i="5"/>
  <c r="AY161" i="5"/>
  <c r="AQ161" i="5"/>
  <c r="AX160" i="5"/>
  <c r="AP160" i="5"/>
  <c r="AW159" i="5"/>
  <c r="AO159" i="5"/>
  <c r="AV158" i="5"/>
  <c r="AN158" i="5"/>
  <c r="AU157" i="5"/>
  <c r="AU156" i="5"/>
  <c r="AT155" i="5"/>
  <c r="AS154" i="5"/>
  <c r="AR153" i="5"/>
  <c r="AY152" i="5"/>
  <c r="AQ152" i="5"/>
  <c r="AX151" i="5"/>
  <c r="AP151" i="5"/>
  <c r="AW150" i="5"/>
  <c r="AO150" i="5"/>
  <c r="AV149" i="5"/>
  <c r="AN149" i="5"/>
  <c r="AU148" i="5"/>
  <c r="AT147" i="5"/>
  <c r="AS146" i="5"/>
  <c r="AR145" i="5"/>
  <c r="AY144" i="5"/>
  <c r="AQ144" i="5"/>
  <c r="AX143" i="5"/>
  <c r="AP143" i="5"/>
  <c r="AW142" i="5"/>
  <c r="AO142" i="5"/>
  <c r="AV141" i="5"/>
  <c r="AN141" i="5"/>
  <c r="AV140" i="5"/>
  <c r="AN140" i="5"/>
  <c r="AV139" i="5"/>
  <c r="AN139" i="5"/>
  <c r="AV138" i="5"/>
  <c r="AN138" i="5"/>
  <c r="AV137" i="5"/>
  <c r="AN137" i="5"/>
  <c r="AV136" i="5"/>
  <c r="AN136" i="5"/>
  <c r="AW135" i="5"/>
  <c r="AO135" i="5"/>
  <c r="AU188" i="5"/>
  <c r="AX187" i="5"/>
  <c r="AY186" i="5"/>
  <c r="AT183" i="5"/>
  <c r="AY182" i="5"/>
  <c r="AT181" i="5"/>
  <c r="AY180" i="5"/>
  <c r="AT179" i="5"/>
  <c r="AY178" i="5"/>
  <c r="AT177" i="5"/>
  <c r="AY176" i="5"/>
  <c r="AT175" i="5"/>
  <c r="AP174" i="5"/>
  <c r="AV173" i="5"/>
  <c r="AS172" i="5"/>
  <c r="AY171" i="5"/>
  <c r="AO171" i="5"/>
  <c r="AW170" i="5"/>
  <c r="AN170" i="5"/>
  <c r="AV169" i="5"/>
  <c r="AU168" i="5"/>
  <c r="AT167" i="5"/>
  <c r="AS166" i="5"/>
  <c r="AQ165" i="5"/>
  <c r="AY164" i="5"/>
  <c r="AQ164" i="5"/>
  <c r="AY163" i="5"/>
  <c r="AQ163" i="5"/>
  <c r="AY162" i="5"/>
  <c r="AQ162" i="5"/>
  <c r="AX161" i="5"/>
  <c r="AP161" i="5"/>
  <c r="AW160" i="5"/>
  <c r="AO160" i="5"/>
  <c r="AV159" i="5"/>
  <c r="AN159" i="5"/>
  <c r="AU158" i="5"/>
  <c r="AT157" i="5"/>
  <c r="AT156" i="5"/>
  <c r="AS155" i="5"/>
  <c r="AR154" i="5"/>
  <c r="AY153" i="5"/>
  <c r="AQ153" i="5"/>
  <c r="AX152" i="5"/>
  <c r="AP152" i="5"/>
  <c r="AW151" i="5"/>
  <c r="AO151" i="5"/>
  <c r="AV150" i="5"/>
  <c r="AN150" i="5"/>
  <c r="AU149" i="5"/>
  <c r="AT148" i="5"/>
  <c r="AS147" i="5"/>
  <c r="AR146" i="5"/>
  <c r="AY145" i="5"/>
  <c r="AQ145" i="5"/>
  <c r="AX144" i="5"/>
  <c r="AP144" i="5"/>
  <c r="AW143" i="5"/>
  <c r="AO143" i="5"/>
  <c r="AV142" i="5"/>
  <c r="AN142" i="5"/>
  <c r="AU141" i="5"/>
  <c r="AY200" i="5"/>
  <c r="AQ196" i="5"/>
  <c r="AU193" i="5"/>
  <c r="AQ188" i="5"/>
  <c r="AQ187" i="5"/>
  <c r="AW186" i="5"/>
  <c r="AX185" i="5"/>
  <c r="AQ183" i="5"/>
  <c r="AX182" i="5"/>
  <c r="AQ181" i="5"/>
  <c r="AX180" i="5"/>
  <c r="AQ179" i="5"/>
  <c r="AX178" i="5"/>
  <c r="AQ177" i="5"/>
  <c r="AX176" i="5"/>
  <c r="AS175" i="5"/>
  <c r="AY174" i="5"/>
  <c r="AN174" i="5"/>
  <c r="AU173" i="5"/>
  <c r="AQ172" i="5"/>
  <c r="AX171" i="5"/>
  <c r="AN171" i="5"/>
  <c r="AV170" i="5"/>
  <c r="AU169" i="5"/>
  <c r="AT168" i="5"/>
  <c r="AS167" i="5"/>
  <c r="AQ166" i="5"/>
  <c r="AY165" i="5"/>
  <c r="AP165" i="5"/>
  <c r="AX164" i="5"/>
  <c r="AP164" i="5"/>
  <c r="AX163" i="5"/>
  <c r="AP163" i="5"/>
  <c r="AX162" i="5"/>
  <c r="AP162" i="5"/>
  <c r="AW161" i="5"/>
  <c r="AO161" i="5"/>
  <c r="AV160" i="5"/>
  <c r="AN160" i="5"/>
  <c r="AU159" i="5"/>
  <c r="AT158" i="5"/>
  <c r="AS157" i="5"/>
  <c r="AS156" i="5"/>
  <c r="AR155" i="5"/>
  <c r="AY154" i="5"/>
  <c r="AQ154" i="5"/>
  <c r="AX153" i="5"/>
  <c r="AP153" i="5"/>
  <c r="AW152" i="5"/>
  <c r="AO152" i="5"/>
  <c r="AV151" i="5"/>
  <c r="AN151" i="5"/>
  <c r="AO200" i="5"/>
  <c r="AW189" i="5"/>
  <c r="AP188" i="5"/>
  <c r="AO187" i="5"/>
  <c r="AV186" i="5"/>
  <c r="AV185" i="5"/>
  <c r="AX184" i="5"/>
  <c r="AP183" i="5"/>
  <c r="AV182" i="5"/>
  <c r="AP181" i="5"/>
  <c r="AV180" i="5"/>
  <c r="AP179" i="5"/>
  <c r="AV178" i="5"/>
  <c r="AP177" i="5"/>
  <c r="AV176" i="5"/>
  <c r="AQ175" i="5"/>
  <c r="AX174" i="5"/>
  <c r="AT173" i="5"/>
  <c r="AP172" i="5"/>
  <c r="AV171" i="5"/>
  <c r="AU170" i="5"/>
  <c r="AT169" i="5"/>
  <c r="AS168" i="5"/>
  <c r="AQ167" i="5"/>
  <c r="AY166" i="5"/>
  <c r="AP166" i="5"/>
  <c r="AX165" i="5"/>
  <c r="AO165" i="5"/>
  <c r="AW164" i="5"/>
  <c r="AO164" i="5"/>
  <c r="AW163" i="5"/>
  <c r="AO163" i="5"/>
  <c r="AW162" i="5"/>
  <c r="AO162" i="5"/>
  <c r="AV161" i="5"/>
  <c r="AN161" i="5"/>
  <c r="AU160" i="5"/>
  <c r="AT159" i="5"/>
  <c r="AS158" i="5"/>
  <c r="AR157" i="5"/>
  <c r="AR156" i="5"/>
  <c r="AY155" i="5"/>
  <c r="AQ155" i="5"/>
  <c r="AX154" i="5"/>
  <c r="AP154" i="5"/>
  <c r="AW153" i="5"/>
  <c r="AO153" i="5"/>
  <c r="AV152" i="5"/>
  <c r="AN152" i="5"/>
  <c r="AU151" i="5"/>
  <c r="AT150" i="5"/>
  <c r="AS149" i="5"/>
  <c r="AR148" i="5"/>
  <c r="AY147" i="5"/>
  <c r="AQ147" i="5"/>
  <c r="AX146" i="5"/>
  <c r="AP146" i="5"/>
  <c r="AW145" i="5"/>
  <c r="AO145" i="5"/>
  <c r="AV144" i="5"/>
  <c r="AN144" i="5"/>
  <c r="AU143" i="5"/>
  <c r="AT142" i="5"/>
  <c r="AS141" i="5"/>
  <c r="AS140" i="5"/>
  <c r="AS139" i="5"/>
  <c r="AS138" i="5"/>
  <c r="AS137" i="5"/>
  <c r="AS136" i="5"/>
  <c r="AT135" i="5"/>
  <c r="AY190" i="5"/>
  <c r="AU189" i="5"/>
  <c r="AN187" i="5"/>
  <c r="AP186" i="5"/>
  <c r="AU185" i="5"/>
  <c r="AV184" i="5"/>
  <c r="AN183" i="5"/>
  <c r="AU182" i="5"/>
  <c r="AN181" i="5"/>
  <c r="AU180" i="5"/>
  <c r="AN179" i="5"/>
  <c r="AU178" i="5"/>
  <c r="AN177" i="5"/>
  <c r="AU176" i="5"/>
  <c r="AP175" i="5"/>
  <c r="AV174" i="5"/>
  <c r="AS173" i="5"/>
  <c r="AY172" i="5"/>
  <c r="AN172" i="5"/>
  <c r="AU171" i="5"/>
  <c r="AT170" i="5"/>
  <c r="AS169" i="5"/>
  <c r="AQ168" i="5"/>
  <c r="AY167" i="5"/>
  <c r="AP167" i="5"/>
  <c r="AX166" i="5"/>
  <c r="AO166" i="5"/>
  <c r="AW165" i="5"/>
  <c r="AN165" i="5"/>
  <c r="AV164" i="5"/>
  <c r="AN164" i="5"/>
  <c r="AV163" i="5"/>
  <c r="AN163" i="5"/>
  <c r="AV162" i="5"/>
  <c r="AN162" i="5"/>
  <c r="AU161" i="5"/>
  <c r="AT160" i="5"/>
  <c r="AS159" i="5"/>
  <c r="AR158" i="5"/>
  <c r="AY157" i="5"/>
  <c r="AQ157" i="5"/>
  <c r="AY156" i="5"/>
  <c r="AQ156" i="5"/>
  <c r="AX155" i="5"/>
  <c r="AP155" i="5"/>
  <c r="AW154" i="5"/>
  <c r="AO154" i="5"/>
  <c r="AV153" i="5"/>
  <c r="AN153" i="5"/>
  <c r="AU152" i="5"/>
  <c r="AT151" i="5"/>
  <c r="AS150" i="5"/>
  <c r="AR149" i="5"/>
  <c r="AY148" i="5"/>
  <c r="AQ148" i="5"/>
  <c r="AX147" i="5"/>
  <c r="AP147" i="5"/>
  <c r="AW146" i="5"/>
  <c r="AO146" i="5"/>
  <c r="AV145" i="5"/>
  <c r="AN145" i="5"/>
  <c r="AU144" i="5"/>
  <c r="AT143" i="5"/>
  <c r="AS142" i="5"/>
  <c r="AR141" i="5"/>
  <c r="AR140" i="5"/>
  <c r="AR139" i="5"/>
  <c r="AR138" i="5"/>
  <c r="AR137" i="5"/>
  <c r="AR136" i="5"/>
  <c r="AS135" i="5"/>
  <c r="AU197" i="5"/>
  <c r="AW194" i="5"/>
  <c r="AY191" i="5"/>
  <c r="AW190" i="5"/>
  <c r="AN186" i="5"/>
  <c r="AP185" i="5"/>
  <c r="AU184" i="5"/>
  <c r="AY183" i="5"/>
  <c r="AT182" i="5"/>
  <c r="AY181" i="5"/>
  <c r="AT180" i="5"/>
  <c r="AY179" i="5"/>
  <c r="AT178" i="5"/>
  <c r="AY177" i="5"/>
  <c r="AT176" i="5"/>
  <c r="AY175" i="5"/>
  <c r="AN175" i="5"/>
  <c r="AU174" i="5"/>
  <c r="AQ173" i="5"/>
  <c r="AX172" i="5"/>
  <c r="AT171" i="5"/>
  <c r="AS170" i="5"/>
  <c r="AQ169" i="5"/>
  <c r="AY168" i="5"/>
  <c r="AP168" i="5"/>
  <c r="AX167" i="5"/>
  <c r="AO167" i="5"/>
  <c r="AW166" i="5"/>
  <c r="AN166" i="5"/>
  <c r="AV165" i="5"/>
  <c r="AU164" i="5"/>
  <c r="AU163" i="5"/>
  <c r="AU162" i="5"/>
  <c r="AT161" i="5"/>
  <c r="AS160" i="5"/>
  <c r="AR159" i="5"/>
  <c r="AY158" i="5"/>
  <c r="AQ158" i="5"/>
  <c r="AX157" i="5"/>
  <c r="AP157" i="5"/>
  <c r="AX156" i="5"/>
  <c r="AP156" i="5"/>
  <c r="AW155" i="5"/>
  <c r="AO155" i="5"/>
  <c r="AV154" i="5"/>
  <c r="AN154" i="5"/>
  <c r="AU153" i="5"/>
  <c r="AT152" i="5"/>
  <c r="AS151" i="5"/>
  <c r="AR150" i="5"/>
  <c r="AQ191" i="5"/>
  <c r="AO190" i="5"/>
  <c r="AN185" i="5"/>
  <c r="AT184" i="5"/>
  <c r="AX183" i="5"/>
  <c r="AQ182" i="5"/>
  <c r="AX181" i="5"/>
  <c r="AQ180" i="5"/>
  <c r="AX179" i="5"/>
  <c r="AQ178" i="5"/>
  <c r="AX177" i="5"/>
  <c r="AQ176" i="5"/>
  <c r="AX175" i="5"/>
  <c r="AT174" i="5"/>
  <c r="AP173" i="5"/>
  <c r="AV172" i="5"/>
  <c r="AS171" i="5"/>
  <c r="AQ170" i="5"/>
  <c r="AY169" i="5"/>
  <c r="AP169" i="5"/>
  <c r="AX168" i="5"/>
  <c r="AO168" i="5"/>
  <c r="AW167" i="5"/>
  <c r="AN167" i="5"/>
  <c r="AV166" i="5"/>
  <c r="AU165" i="5"/>
  <c r="AT164" i="5"/>
  <c r="AT163" i="5"/>
  <c r="AT162" i="5"/>
  <c r="AS161" i="5"/>
  <c r="AR160" i="5"/>
  <c r="AY159" i="5"/>
  <c r="AQ159" i="5"/>
  <c r="AX158" i="5"/>
  <c r="AP158" i="5"/>
  <c r="AW157" i="5"/>
  <c r="AO157" i="5"/>
  <c r="AW156" i="5"/>
  <c r="AY195" i="5"/>
  <c r="AU192" i="5"/>
  <c r="AO191" i="5"/>
  <c r="AP184" i="5"/>
  <c r="AV183" i="5"/>
  <c r="AP182" i="5"/>
  <c r="AV181" i="5"/>
  <c r="AP180" i="5"/>
  <c r="AV179" i="5"/>
  <c r="AP178" i="5"/>
  <c r="AV177" i="5"/>
  <c r="AP176" i="5"/>
  <c r="AV175" i="5"/>
  <c r="AS174" i="5"/>
  <c r="AY173" i="5"/>
  <c r="AN173" i="5"/>
  <c r="AU172" i="5"/>
  <c r="AQ171" i="5"/>
  <c r="AY170" i="5"/>
  <c r="AP170" i="5"/>
  <c r="AX169" i="5"/>
  <c r="AO169" i="5"/>
  <c r="AW168" i="5"/>
  <c r="AN168" i="5"/>
  <c r="AV167" i="5"/>
  <c r="AU166" i="5"/>
  <c r="AT165" i="5"/>
  <c r="AS164" i="5"/>
  <c r="AS163" i="5"/>
  <c r="AS162" i="5"/>
  <c r="AR161" i="5"/>
  <c r="AY160" i="5"/>
  <c r="AQ160" i="5"/>
  <c r="AX159" i="5"/>
  <c r="AP159" i="5"/>
  <c r="AW158" i="5"/>
  <c r="AO158" i="5"/>
  <c r="AV157" i="5"/>
  <c r="AN157" i="5"/>
  <c r="AV156" i="5"/>
  <c r="AN156" i="5"/>
  <c r="AU155" i="5"/>
  <c r="AT154" i="5"/>
  <c r="AS153" i="5"/>
  <c r="AR152" i="5"/>
  <c r="AY151" i="5"/>
  <c r="AQ151" i="5"/>
  <c r="AX150" i="5"/>
  <c r="AP150" i="5"/>
  <c r="AW149" i="5"/>
  <c r="AO149" i="5"/>
  <c r="AV148" i="5"/>
  <c r="AN148" i="5"/>
  <c r="AU147" i="5"/>
  <c r="AT146" i="5"/>
  <c r="AS145" i="5"/>
  <c r="AR144" i="5"/>
  <c r="AY143" i="5"/>
  <c r="AQ143" i="5"/>
  <c r="AX142" i="5"/>
  <c r="AP142" i="5"/>
  <c r="AW141" i="5"/>
  <c r="AO141" i="5"/>
  <c r="AW140" i="5"/>
  <c r="AO140" i="5"/>
  <c r="AW139" i="5"/>
  <c r="AO139" i="5"/>
  <c r="AW138" i="5"/>
  <c r="AO138" i="5"/>
  <c r="AW137" i="5"/>
  <c r="AO137" i="5"/>
  <c r="AW136" i="5"/>
  <c r="AO136" i="5"/>
  <c r="AX135" i="5"/>
  <c r="AP135" i="5"/>
  <c r="AY149" i="5"/>
  <c r="AX148" i="5"/>
  <c r="AW147" i="5"/>
  <c r="AY146" i="5"/>
  <c r="AX145" i="5"/>
  <c r="AT144" i="5"/>
  <c r="AR143" i="5"/>
  <c r="AQ142" i="5"/>
  <c r="AP141" i="5"/>
  <c r="AT140" i="5"/>
  <c r="AX139" i="5"/>
  <c r="AP137" i="5"/>
  <c r="AT136" i="5"/>
  <c r="AY135" i="5"/>
  <c r="AO156" i="5"/>
  <c r="AX149" i="5"/>
  <c r="AW148" i="5"/>
  <c r="AV147" i="5"/>
  <c r="AV146" i="5"/>
  <c r="AU145" i="5"/>
  <c r="AS144" i="5"/>
  <c r="AN143" i="5"/>
  <c r="AQ140" i="5"/>
  <c r="AU139" i="5"/>
  <c r="AY138" i="5"/>
  <c r="AQ136" i="5"/>
  <c r="AV135" i="5"/>
  <c r="AU154" i="5"/>
  <c r="AS152" i="5"/>
  <c r="AY150" i="5"/>
  <c r="AT149" i="5"/>
  <c r="AS148" i="5"/>
  <c r="AR147" i="5"/>
  <c r="AU146" i="5"/>
  <c r="AT145" i="5"/>
  <c r="AO144" i="5"/>
  <c r="AP140" i="5"/>
  <c r="AT139" i="5"/>
  <c r="AX138" i="5"/>
  <c r="AP136" i="5"/>
  <c r="AU135" i="5"/>
  <c r="AU150" i="5"/>
  <c r="AQ149" i="5"/>
  <c r="AP148" i="5"/>
  <c r="AO147" i="5"/>
  <c r="AQ146" i="5"/>
  <c r="AP145" i="5"/>
  <c r="AQ139" i="5"/>
  <c r="AU138" i="5"/>
  <c r="AY137" i="5"/>
  <c r="AR135" i="5"/>
  <c r="AQ150" i="5"/>
  <c r="AP149" i="5"/>
  <c r="AO148" i="5"/>
  <c r="AN147" i="5"/>
  <c r="AN146" i="5"/>
  <c r="AY141" i="5"/>
  <c r="AP139" i="5"/>
  <c r="AT138" i="5"/>
  <c r="AX137" i="5"/>
  <c r="AQ135" i="5"/>
  <c r="AV155" i="5"/>
  <c r="AY142" i="5"/>
  <c r="AX141" i="5"/>
  <c r="AY140" i="5"/>
  <c r="AQ138" i="5"/>
  <c r="AU137" i="5"/>
  <c r="AY136" i="5"/>
  <c r="AN135" i="5"/>
  <c r="AN155" i="5"/>
  <c r="AT153" i="5"/>
  <c r="AR151" i="5"/>
  <c r="AV143" i="5"/>
  <c r="AU142" i="5"/>
  <c r="AT141" i="5"/>
  <c r="AX140" i="5"/>
  <c r="AP138" i="5"/>
  <c r="AT137" i="5"/>
  <c r="AX136" i="5"/>
  <c r="AW144" i="5"/>
  <c r="AS143" i="5"/>
  <c r="AR142" i="5"/>
  <c r="AQ141" i="5"/>
  <c r="AU140" i="5"/>
  <c r="AY139" i="5"/>
  <c r="AQ137" i="5"/>
  <c r="AU136" i="5"/>
  <c r="S28" i="36"/>
  <c r="T28" i="11"/>
  <c r="T36" i="11"/>
  <c r="S36" i="36"/>
  <c r="S44" i="36"/>
  <c r="T44" i="11"/>
  <c r="T56" i="11"/>
  <c r="H73" i="36"/>
  <c r="AN46" i="5"/>
  <c r="AZ46" i="5"/>
  <c r="L40" i="34"/>
  <c r="AQ15" i="5"/>
  <c r="S305" i="36"/>
  <c r="T305" i="11"/>
  <c r="S402" i="36"/>
  <c r="T402" i="11"/>
  <c r="T421" i="11"/>
  <c r="S421" i="36"/>
  <c r="F6" i="21"/>
  <c r="H52" i="36"/>
  <c r="T31" i="11"/>
  <c r="S31" i="36"/>
  <c r="AN7" i="5"/>
  <c r="T39" i="11"/>
  <c r="S39" i="36"/>
  <c r="T47" i="11"/>
  <c r="S47" i="36"/>
  <c r="T52" i="11"/>
  <c r="T64" i="11"/>
  <c r="T400" i="11"/>
  <c r="S400" i="36"/>
  <c r="T419" i="11"/>
  <c r="S419" i="36"/>
  <c r="S297" i="36"/>
  <c r="T297" i="11"/>
  <c r="T26" i="11"/>
  <c r="S26" i="36"/>
  <c r="T34" i="11"/>
  <c r="S34" i="36"/>
  <c r="T42" i="11"/>
  <c r="S42" i="36"/>
  <c r="S50" i="36"/>
  <c r="T50" i="11"/>
  <c r="T59" i="11"/>
  <c r="T60" i="11"/>
  <c r="AN37" i="5"/>
  <c r="S76" i="36"/>
  <c r="T277" i="11"/>
  <c r="T279" i="11"/>
  <c r="T281" i="11"/>
  <c r="T283" i="11"/>
  <c r="T285" i="11"/>
  <c r="T287" i="11"/>
  <c r="T289" i="11"/>
  <c r="T291" i="11"/>
  <c r="T293" i="11"/>
  <c r="T295" i="11"/>
  <c r="AQ19" i="5"/>
  <c r="S303" i="36"/>
  <c r="T303" i="11"/>
  <c r="S398" i="36"/>
  <c r="T398" i="11"/>
  <c r="S414" i="36"/>
  <c r="T414" i="11"/>
  <c r="T41" i="11"/>
  <c r="S41" i="36"/>
  <c r="S29" i="36"/>
  <c r="T29" i="11"/>
  <c r="T37" i="11"/>
  <c r="S37" i="36"/>
  <c r="T45" i="11"/>
  <c r="S45" i="36"/>
  <c r="T396" i="11"/>
  <c r="S396" i="36"/>
  <c r="T431" i="11"/>
  <c r="S431" i="36"/>
  <c r="T49" i="11"/>
  <c r="S49" i="36"/>
  <c r="S404" i="36"/>
  <c r="T404" i="11"/>
  <c r="T423" i="11"/>
  <c r="S423" i="36"/>
  <c r="H10" i="15"/>
  <c r="E10" i="13"/>
  <c r="G10" i="15"/>
  <c r="D10" i="13"/>
  <c r="AX337" i="5"/>
  <c r="AP337" i="5"/>
  <c r="AX336" i="5"/>
  <c r="AP336" i="5"/>
  <c r="AX335" i="5"/>
  <c r="AP335" i="5"/>
  <c r="AX334" i="5"/>
  <c r="AP334" i="5"/>
  <c r="AX333" i="5"/>
  <c r="AP333" i="5"/>
  <c r="AX332" i="5"/>
  <c r="AP332" i="5"/>
  <c r="AX331" i="5"/>
  <c r="AP331" i="5"/>
  <c r="AX330" i="5"/>
  <c r="AP330" i="5"/>
  <c r="AX329" i="5"/>
  <c r="AP329" i="5"/>
  <c r="AX328" i="5"/>
  <c r="AP328" i="5"/>
  <c r="AX327" i="5"/>
  <c r="AP327" i="5"/>
  <c r="AX326" i="5"/>
  <c r="AP326" i="5"/>
  <c r="AX325" i="5"/>
  <c r="AP325" i="5"/>
  <c r="N10" i="15"/>
  <c r="F10" i="15"/>
  <c r="C10" i="13"/>
  <c r="AW337" i="5"/>
  <c r="AO337" i="5"/>
  <c r="AW336" i="5"/>
  <c r="AO336" i="5"/>
  <c r="AW335" i="5"/>
  <c r="AO335" i="5"/>
  <c r="AW334" i="5"/>
  <c r="AO334" i="5"/>
  <c r="AW333" i="5"/>
  <c r="AO333" i="5"/>
  <c r="AW332" i="5"/>
  <c r="AO332" i="5"/>
  <c r="AW331" i="5"/>
  <c r="AO331" i="5"/>
  <c r="AW330" i="5"/>
  <c r="AO330" i="5"/>
  <c r="AW329" i="5"/>
  <c r="AO329" i="5"/>
  <c r="AW328" i="5"/>
  <c r="AO328" i="5"/>
  <c r="AW327" i="5"/>
  <c r="AO327" i="5"/>
  <c r="AW326" i="5"/>
  <c r="AO326" i="5"/>
  <c r="AW325" i="5"/>
  <c r="AO325" i="5"/>
  <c r="AW324" i="5"/>
  <c r="AO324" i="5"/>
  <c r="AW323" i="5"/>
  <c r="AO323" i="5"/>
  <c r="AW322" i="5"/>
  <c r="AO322" i="5"/>
  <c r="AW321" i="5"/>
  <c r="AO321" i="5"/>
  <c r="AW320" i="5"/>
  <c r="AO320" i="5"/>
  <c r="AW319" i="5"/>
  <c r="AO319" i="5"/>
  <c r="AW318" i="5"/>
  <c r="AO318" i="5"/>
  <c r="AW317" i="5"/>
  <c r="AO317" i="5"/>
  <c r="AW316" i="5"/>
  <c r="AO316" i="5"/>
  <c r="AW315" i="5"/>
  <c r="AO315" i="5"/>
  <c r="AW314" i="5"/>
  <c r="AO314" i="5"/>
  <c r="AW313" i="5"/>
  <c r="AO313" i="5"/>
  <c r="AW312" i="5"/>
  <c r="AO312" i="5"/>
  <c r="AW311" i="5"/>
  <c r="AO311" i="5"/>
  <c r="AW310" i="5"/>
  <c r="AO310" i="5"/>
  <c r="AW309" i="5"/>
  <c r="AO309" i="5"/>
  <c r="AW308" i="5"/>
  <c r="M10" i="15"/>
  <c r="E10" i="15"/>
  <c r="AV337" i="5"/>
  <c r="AN337" i="5"/>
  <c r="AV336" i="5"/>
  <c r="AN336" i="5"/>
  <c r="AV335" i="5"/>
  <c r="AN335" i="5"/>
  <c r="AV334" i="5"/>
  <c r="AN334" i="5"/>
  <c r="AV333" i="5"/>
  <c r="AN333" i="5"/>
  <c r="AV332" i="5"/>
  <c r="AN332" i="5"/>
  <c r="AV331" i="5"/>
  <c r="AN331" i="5"/>
  <c r="AV330" i="5"/>
  <c r="AN330" i="5"/>
  <c r="AV329" i="5"/>
  <c r="AN329" i="5"/>
  <c r="AV328" i="5"/>
  <c r="AN328" i="5"/>
  <c r="AV327" i="5"/>
  <c r="AN327" i="5"/>
  <c r="AV326" i="5"/>
  <c r="AN326" i="5"/>
  <c r="AV325" i="5"/>
  <c r="AN325" i="5"/>
  <c r="AV324" i="5"/>
  <c r="AN324" i="5"/>
  <c r="AV323" i="5"/>
  <c r="AN323" i="5"/>
  <c r="AV322" i="5"/>
  <c r="AN322" i="5"/>
  <c r="AV321" i="5"/>
  <c r="AN321" i="5"/>
  <c r="AV320" i="5"/>
  <c r="AN320" i="5"/>
  <c r="AV319" i="5"/>
  <c r="AN319" i="5"/>
  <c r="AV318" i="5"/>
  <c r="AN318" i="5"/>
  <c r="AV317" i="5"/>
  <c r="AN317" i="5"/>
  <c r="AV316" i="5"/>
  <c r="AN316" i="5"/>
  <c r="AV315" i="5"/>
  <c r="AN315" i="5"/>
  <c r="AV314" i="5"/>
  <c r="AN314" i="5"/>
  <c r="AV313" i="5"/>
  <c r="AN313" i="5"/>
  <c r="AV312" i="5"/>
  <c r="AN312" i="5"/>
  <c r="AV311" i="5"/>
  <c r="AN311" i="5"/>
  <c r="AV310" i="5"/>
  <c r="AN310" i="5"/>
  <c r="AV309" i="5"/>
  <c r="AN309" i="5"/>
  <c r="AV308" i="5"/>
  <c r="AN308" i="5"/>
  <c r="AV307" i="5"/>
  <c r="AN307" i="5"/>
  <c r="AV306" i="5"/>
  <c r="AN306" i="5"/>
  <c r="AV305" i="5"/>
  <c r="AN305" i="5"/>
  <c r="AV304" i="5"/>
  <c r="L10" i="15"/>
  <c r="D10" i="15"/>
  <c r="AU337" i="5"/>
  <c r="AU336" i="5"/>
  <c r="AU335" i="5"/>
  <c r="AU334" i="5"/>
  <c r="AU333" i="5"/>
  <c r="AU332" i="5"/>
  <c r="K10" i="15"/>
  <c r="C10" i="15"/>
  <c r="AT337" i="5"/>
  <c r="AT336" i="5"/>
  <c r="AT335" i="5"/>
  <c r="AT334" i="5"/>
  <c r="AT333" i="5"/>
  <c r="AT332" i="5"/>
  <c r="AT331" i="5"/>
  <c r="AT330" i="5"/>
  <c r="I10" i="15"/>
  <c r="F10" i="13"/>
  <c r="AR337" i="5"/>
  <c r="AR336" i="5"/>
  <c r="AR335" i="5"/>
  <c r="AR334" i="5"/>
  <c r="AR333" i="5"/>
  <c r="AR332" i="5"/>
  <c r="AR331" i="5"/>
  <c r="AR330" i="5"/>
  <c r="AR329" i="5"/>
  <c r="AR328" i="5"/>
  <c r="AR327" i="5"/>
  <c r="AR326" i="5"/>
  <c r="AR325" i="5"/>
  <c r="AR324" i="5"/>
  <c r="AR323" i="5"/>
  <c r="AR322" i="5"/>
  <c r="AR321" i="5"/>
  <c r="AR320" i="5"/>
  <c r="AR319" i="5"/>
  <c r="AR318" i="5"/>
  <c r="AR317" i="5"/>
  <c r="AR316" i="5"/>
  <c r="AR315" i="5"/>
  <c r="AR314" i="5"/>
  <c r="AR313" i="5"/>
  <c r="AR312" i="5"/>
  <c r="AR311" i="5"/>
  <c r="AR310" i="5"/>
  <c r="AR309" i="5"/>
  <c r="AR308" i="5"/>
  <c r="AR307" i="5"/>
  <c r="AR306" i="5"/>
  <c r="AR305" i="5"/>
  <c r="AR304" i="5"/>
  <c r="AR303" i="5"/>
  <c r="AR302" i="5"/>
  <c r="AR301" i="5"/>
  <c r="AR300" i="5"/>
  <c r="AR299" i="5"/>
  <c r="AR298" i="5"/>
  <c r="AR297" i="5"/>
  <c r="AR296" i="5"/>
  <c r="AR295" i="5"/>
  <c r="AR294" i="5"/>
  <c r="AR293" i="5"/>
  <c r="AR292" i="5"/>
  <c r="AR291" i="5"/>
  <c r="AR290" i="5"/>
  <c r="AR289" i="5"/>
  <c r="AR288" i="5"/>
  <c r="AR287" i="5"/>
  <c r="AR286" i="5"/>
  <c r="AR285" i="5"/>
  <c r="AR284" i="5"/>
  <c r="AR283" i="5"/>
  <c r="AR282" i="5"/>
  <c r="AR281" i="5"/>
  <c r="AR280" i="5"/>
  <c r="AR279" i="5"/>
  <c r="AY337" i="5"/>
  <c r="AS336" i="5"/>
  <c r="AQ335" i="5"/>
  <c r="AY331" i="5"/>
  <c r="AY330" i="5"/>
  <c r="AY329" i="5"/>
  <c r="AQ325" i="5"/>
  <c r="AT324" i="5"/>
  <c r="AY323" i="5"/>
  <c r="AQ322" i="5"/>
  <c r="AU321" i="5"/>
  <c r="AS319" i="5"/>
  <c r="AX318" i="5"/>
  <c r="AP317" i="5"/>
  <c r="AT316" i="5"/>
  <c r="AY315" i="5"/>
  <c r="AQ314" i="5"/>
  <c r="AU313" i="5"/>
  <c r="AS311" i="5"/>
  <c r="AX310" i="5"/>
  <c r="AP309" i="5"/>
  <c r="AT308" i="5"/>
  <c r="AP307" i="5"/>
  <c r="AW306" i="5"/>
  <c r="AS305" i="5"/>
  <c r="AY304" i="5"/>
  <c r="AO304" i="5"/>
  <c r="AW303" i="5"/>
  <c r="AN303" i="5"/>
  <c r="AV302" i="5"/>
  <c r="AU301" i="5"/>
  <c r="AT300" i="5"/>
  <c r="AS299" i="5"/>
  <c r="AQ298" i="5"/>
  <c r="AY297" i="5"/>
  <c r="AP297" i="5"/>
  <c r="AX296" i="5"/>
  <c r="AO296" i="5"/>
  <c r="AW295" i="5"/>
  <c r="AN295" i="5"/>
  <c r="AV294" i="5"/>
  <c r="AU293" i="5"/>
  <c r="AT292" i="5"/>
  <c r="AS291" i="5"/>
  <c r="AQ290" i="5"/>
  <c r="AY289" i="5"/>
  <c r="AP289" i="5"/>
  <c r="AX288" i="5"/>
  <c r="AO288" i="5"/>
  <c r="AW287" i="5"/>
  <c r="AN287" i="5"/>
  <c r="AV286" i="5"/>
  <c r="AU285" i="5"/>
  <c r="AT284" i="5"/>
  <c r="AS283" i="5"/>
  <c r="AQ282" i="5"/>
  <c r="AY281" i="5"/>
  <c r="AP281" i="5"/>
  <c r="AX280" i="5"/>
  <c r="AO280" i="5"/>
  <c r="AW279" i="5"/>
  <c r="AN279" i="5"/>
  <c r="AS337" i="5"/>
  <c r="AQ336" i="5"/>
  <c r="AU331" i="5"/>
  <c r="AU330" i="5"/>
  <c r="AU329" i="5"/>
  <c r="AY328" i="5"/>
  <c r="AS324" i="5"/>
  <c r="AX323" i="5"/>
  <c r="AP322" i="5"/>
  <c r="AT321" i="5"/>
  <c r="AY320" i="5"/>
  <c r="AQ319" i="5"/>
  <c r="AU318" i="5"/>
  <c r="AS316" i="5"/>
  <c r="AX315" i="5"/>
  <c r="AP314" i="5"/>
  <c r="AT313" i="5"/>
  <c r="AY312" i="5"/>
  <c r="AQ311" i="5"/>
  <c r="AU310" i="5"/>
  <c r="AS308" i="5"/>
  <c r="AY307" i="5"/>
  <c r="AO307" i="5"/>
  <c r="AU306" i="5"/>
  <c r="AQ305" i="5"/>
  <c r="AX304" i="5"/>
  <c r="AN304" i="5"/>
  <c r="AV303" i="5"/>
  <c r="AU302" i="5"/>
  <c r="AT301" i="5"/>
  <c r="AS300" i="5"/>
  <c r="AQ299" i="5"/>
  <c r="AY298" i="5"/>
  <c r="AP298" i="5"/>
  <c r="AX297" i="5"/>
  <c r="AO297" i="5"/>
  <c r="AW296" i="5"/>
  <c r="AN296" i="5"/>
  <c r="AV295" i="5"/>
  <c r="AU294" i="5"/>
  <c r="AT293" i="5"/>
  <c r="AS292" i="5"/>
  <c r="AQ291" i="5"/>
  <c r="AY290" i="5"/>
  <c r="AP290" i="5"/>
  <c r="AX289" i="5"/>
  <c r="AO289" i="5"/>
  <c r="AW288" i="5"/>
  <c r="AN288" i="5"/>
  <c r="AV287" i="5"/>
  <c r="AU286" i="5"/>
  <c r="AT285" i="5"/>
  <c r="AS284" i="5"/>
  <c r="AQ283" i="5"/>
  <c r="AY282" i="5"/>
  <c r="AP282" i="5"/>
  <c r="AX281" i="5"/>
  <c r="AO281" i="5"/>
  <c r="AW280" i="5"/>
  <c r="AN280" i="5"/>
  <c r="AV279" i="5"/>
  <c r="J10" i="15"/>
  <c r="G10" i="13"/>
  <c r="AQ337" i="5"/>
  <c r="AY332" i="5"/>
  <c r="AS331" i="5"/>
  <c r="AS330" i="5"/>
  <c r="AT329" i="5"/>
  <c r="AU328" i="5"/>
  <c r="AY327" i="5"/>
  <c r="AQ324" i="5"/>
  <c r="AU323" i="5"/>
  <c r="AS321" i="5"/>
  <c r="AX320" i="5"/>
  <c r="AP319" i="5"/>
  <c r="AT318" i="5"/>
  <c r="AY317" i="5"/>
  <c r="AQ316" i="5"/>
  <c r="AU315" i="5"/>
  <c r="AS313" i="5"/>
  <c r="AX312" i="5"/>
  <c r="AP311" i="5"/>
  <c r="AT310" i="5"/>
  <c r="AY309" i="5"/>
  <c r="AQ308" i="5"/>
  <c r="AX307" i="5"/>
  <c r="AT306" i="5"/>
  <c r="AP305" i="5"/>
  <c r="AW304" i="5"/>
  <c r="AU303" i="5"/>
  <c r="AT302" i="5"/>
  <c r="AS301" i="5"/>
  <c r="AQ300" i="5"/>
  <c r="AY299" i="5"/>
  <c r="AP299" i="5"/>
  <c r="AX298" i="5"/>
  <c r="AO298" i="5"/>
  <c r="AW297" i="5"/>
  <c r="AN297" i="5"/>
  <c r="AV296" i="5"/>
  <c r="AU295" i="5"/>
  <c r="AT294" i="5"/>
  <c r="AS293" i="5"/>
  <c r="AQ292" i="5"/>
  <c r="AY291" i="5"/>
  <c r="AP291" i="5"/>
  <c r="AX290" i="5"/>
  <c r="AO290" i="5"/>
  <c r="AW289" i="5"/>
  <c r="AN289" i="5"/>
  <c r="AV288" i="5"/>
  <c r="AU287" i="5"/>
  <c r="AT286" i="5"/>
  <c r="AS285" i="5"/>
  <c r="AQ284" i="5"/>
  <c r="AY283" i="5"/>
  <c r="AP283" i="5"/>
  <c r="AX282" i="5"/>
  <c r="AO282" i="5"/>
  <c r="AW281" i="5"/>
  <c r="AN281" i="5"/>
  <c r="AV280" i="5"/>
  <c r="AU279" i="5"/>
  <c r="AS332" i="5"/>
  <c r="AQ331" i="5"/>
  <c r="AQ330" i="5"/>
  <c r="AS329" i="5"/>
  <c r="AT328" i="5"/>
  <c r="AU327" i="5"/>
  <c r="AY326" i="5"/>
  <c r="AP324" i="5"/>
  <c r="AT323" i="5"/>
  <c r="AY322" i="5"/>
  <c r="AQ321" i="5"/>
  <c r="AU320" i="5"/>
  <c r="AS318" i="5"/>
  <c r="AX317" i="5"/>
  <c r="AP316" i="5"/>
  <c r="AT315" i="5"/>
  <c r="AY314" i="5"/>
  <c r="AQ313" i="5"/>
  <c r="AU312" i="5"/>
  <c r="AS310" i="5"/>
  <c r="AX309" i="5"/>
  <c r="AP308" i="5"/>
  <c r="AW307" i="5"/>
  <c r="AS306" i="5"/>
  <c r="AY305" i="5"/>
  <c r="AO305" i="5"/>
  <c r="AU304" i="5"/>
  <c r="AT303" i="5"/>
  <c r="AS302" i="5"/>
  <c r="AQ301" i="5"/>
  <c r="AY300" i="5"/>
  <c r="AP300" i="5"/>
  <c r="AX299" i="5"/>
  <c r="AO299" i="5"/>
  <c r="AW298" i="5"/>
  <c r="AN298" i="5"/>
  <c r="AV297" i="5"/>
  <c r="AU296" i="5"/>
  <c r="AT295" i="5"/>
  <c r="AS294" i="5"/>
  <c r="AQ293" i="5"/>
  <c r="AY292" i="5"/>
  <c r="AP292" i="5"/>
  <c r="AX291" i="5"/>
  <c r="AO291" i="5"/>
  <c r="AW290" i="5"/>
  <c r="AN290" i="5"/>
  <c r="AV289" i="5"/>
  <c r="AU288" i="5"/>
  <c r="AT287" i="5"/>
  <c r="AS286" i="5"/>
  <c r="AQ285" i="5"/>
  <c r="AY284" i="5"/>
  <c r="AP284" i="5"/>
  <c r="AX283" i="5"/>
  <c r="AO283" i="5"/>
  <c r="AW282" i="5"/>
  <c r="AN282" i="5"/>
  <c r="AV281" i="5"/>
  <c r="AU280" i="5"/>
  <c r="AT279" i="5"/>
  <c r="AY333" i="5"/>
  <c r="AQ332" i="5"/>
  <c r="AQ329" i="5"/>
  <c r="AS328" i="5"/>
  <c r="AT327" i="5"/>
  <c r="AU326" i="5"/>
  <c r="AY325" i="5"/>
  <c r="AS323" i="5"/>
  <c r="AX322" i="5"/>
  <c r="AP321" i="5"/>
  <c r="AT320" i="5"/>
  <c r="AY319" i="5"/>
  <c r="AQ318" i="5"/>
  <c r="AU317" i="5"/>
  <c r="AS315" i="5"/>
  <c r="AX314" i="5"/>
  <c r="AP313" i="5"/>
  <c r="AT312" i="5"/>
  <c r="AY311" i="5"/>
  <c r="AQ310" i="5"/>
  <c r="AU309" i="5"/>
  <c r="AO308" i="5"/>
  <c r="AU307" i="5"/>
  <c r="AQ306" i="5"/>
  <c r="AX305" i="5"/>
  <c r="AT304" i="5"/>
  <c r="AS303" i="5"/>
  <c r="AQ302" i="5"/>
  <c r="AY301" i="5"/>
  <c r="AP301" i="5"/>
  <c r="AX300" i="5"/>
  <c r="AO300" i="5"/>
  <c r="AW299" i="5"/>
  <c r="AN299" i="5"/>
  <c r="AV298" i="5"/>
  <c r="AU297" i="5"/>
  <c r="AT296" i="5"/>
  <c r="AS295" i="5"/>
  <c r="AQ294" i="5"/>
  <c r="AY293" i="5"/>
  <c r="AP293" i="5"/>
  <c r="AX292" i="5"/>
  <c r="AO292" i="5"/>
  <c r="AW291" i="5"/>
  <c r="AN291" i="5"/>
  <c r="AV290" i="5"/>
  <c r="AU289" i="5"/>
  <c r="AT288" i="5"/>
  <c r="AS287" i="5"/>
  <c r="AQ286" i="5"/>
  <c r="AY285" i="5"/>
  <c r="AP285" i="5"/>
  <c r="AX284" i="5"/>
  <c r="AO284" i="5"/>
  <c r="AW283" i="5"/>
  <c r="AN283" i="5"/>
  <c r="AV282" i="5"/>
  <c r="AU281" i="5"/>
  <c r="AT280" i="5"/>
  <c r="AS279" i="5"/>
  <c r="AY334" i="5"/>
  <c r="AS333" i="5"/>
  <c r="AQ328" i="5"/>
  <c r="AS327" i="5"/>
  <c r="AT326" i="5"/>
  <c r="AU325" i="5"/>
  <c r="AY324" i="5"/>
  <c r="AQ323" i="5"/>
  <c r="AU322" i="5"/>
  <c r="AS320" i="5"/>
  <c r="AX319" i="5"/>
  <c r="AP318" i="5"/>
  <c r="AT317" i="5"/>
  <c r="AY316" i="5"/>
  <c r="AQ315" i="5"/>
  <c r="AU314" i="5"/>
  <c r="AS312" i="5"/>
  <c r="AX311" i="5"/>
  <c r="AP310" i="5"/>
  <c r="AT309" i="5"/>
  <c r="AY308" i="5"/>
  <c r="AT307" i="5"/>
  <c r="AP306" i="5"/>
  <c r="AW305" i="5"/>
  <c r="AS304" i="5"/>
  <c r="AQ303" i="5"/>
  <c r="AY302" i="5"/>
  <c r="AP302" i="5"/>
  <c r="AX301" i="5"/>
  <c r="AO301" i="5"/>
  <c r="AW300" i="5"/>
  <c r="AN300" i="5"/>
  <c r="AV299" i="5"/>
  <c r="AU298" i="5"/>
  <c r="AT297" i="5"/>
  <c r="AS296" i="5"/>
  <c r="AQ295" i="5"/>
  <c r="AY294" i="5"/>
  <c r="AP294" i="5"/>
  <c r="AX293" i="5"/>
  <c r="AO293" i="5"/>
  <c r="AW292" i="5"/>
  <c r="AN292" i="5"/>
  <c r="AV291" i="5"/>
  <c r="AU290" i="5"/>
  <c r="AT289" i="5"/>
  <c r="AS288" i="5"/>
  <c r="AQ287" i="5"/>
  <c r="AY286" i="5"/>
  <c r="AP286" i="5"/>
  <c r="AX285" i="5"/>
  <c r="AO285" i="5"/>
  <c r="AW284" i="5"/>
  <c r="AN284" i="5"/>
  <c r="AV283" i="5"/>
  <c r="AU282" i="5"/>
  <c r="AT281" i="5"/>
  <c r="AS280" i="5"/>
  <c r="AQ279" i="5"/>
  <c r="AY335" i="5"/>
  <c r="AS334" i="5"/>
  <c r="AQ333" i="5"/>
  <c r="AQ327" i="5"/>
  <c r="AS326" i="5"/>
  <c r="AT325" i="5"/>
  <c r="AX324" i="5"/>
  <c r="AP323" i="5"/>
  <c r="AT322" i="5"/>
  <c r="AY321" i="5"/>
  <c r="AQ320" i="5"/>
  <c r="AU319" i="5"/>
  <c r="AS317" i="5"/>
  <c r="AX316" i="5"/>
  <c r="AP315" i="5"/>
  <c r="AT314" i="5"/>
  <c r="AY313" i="5"/>
  <c r="AQ312" i="5"/>
  <c r="AU311" i="5"/>
  <c r="AS309" i="5"/>
  <c r="AX308" i="5"/>
  <c r="AS307" i="5"/>
  <c r="AY306" i="5"/>
  <c r="AO306" i="5"/>
  <c r="AU305" i="5"/>
  <c r="AQ304" i="5"/>
  <c r="AY303" i="5"/>
  <c r="AP303" i="5"/>
  <c r="AX302" i="5"/>
  <c r="AO302" i="5"/>
  <c r="AW301" i="5"/>
  <c r="AN301" i="5"/>
  <c r="AV300" i="5"/>
  <c r="AU299" i="5"/>
  <c r="AT298" i="5"/>
  <c r="AS297" i="5"/>
  <c r="AQ296" i="5"/>
  <c r="AY295" i="5"/>
  <c r="AP295" i="5"/>
  <c r="AY336" i="5"/>
  <c r="AS335" i="5"/>
  <c r="AQ334" i="5"/>
  <c r="AQ326" i="5"/>
  <c r="AS325" i="5"/>
  <c r="AU324" i="5"/>
  <c r="AS322" i="5"/>
  <c r="AX321" i="5"/>
  <c r="AP320" i="5"/>
  <c r="AT319" i="5"/>
  <c r="AY318" i="5"/>
  <c r="AQ317" i="5"/>
  <c r="AU316" i="5"/>
  <c r="AS314" i="5"/>
  <c r="AX313" i="5"/>
  <c r="AP312" i="5"/>
  <c r="AT311" i="5"/>
  <c r="AY310" i="5"/>
  <c r="AQ309" i="5"/>
  <c r="AU308" i="5"/>
  <c r="AQ307" i="5"/>
  <c r="AX306" i="5"/>
  <c r="AT305" i="5"/>
  <c r="AP304" i="5"/>
  <c r="AX303" i="5"/>
  <c r="AO303" i="5"/>
  <c r="AW302" i="5"/>
  <c r="AN302" i="5"/>
  <c r="AV301" i="5"/>
  <c r="AU300" i="5"/>
  <c r="AT299" i="5"/>
  <c r="AS298" i="5"/>
  <c r="AQ297" i="5"/>
  <c r="AY296" i="5"/>
  <c r="AP296" i="5"/>
  <c r="AX295" i="5"/>
  <c r="AO295" i="5"/>
  <c r="AW294" i="5"/>
  <c r="AN294" i="5"/>
  <c r="AV293" i="5"/>
  <c r="AU292" i="5"/>
  <c r="AT291" i="5"/>
  <c r="AS290" i="5"/>
  <c r="AQ289" i="5"/>
  <c r="AY288" i="5"/>
  <c r="AP288" i="5"/>
  <c r="AX287" i="5"/>
  <c r="AO287" i="5"/>
  <c r="AW286" i="5"/>
  <c r="AN286" i="5"/>
  <c r="AV285" i="5"/>
  <c r="AU284" i="5"/>
  <c r="AT283" i="5"/>
  <c r="AS282" i="5"/>
  <c r="AQ281" i="5"/>
  <c r="AY280" i="5"/>
  <c r="AP280" i="5"/>
  <c r="AX279" i="5"/>
  <c r="AO279" i="5"/>
  <c r="AW293" i="5"/>
  <c r="AT290" i="5"/>
  <c r="AP287" i="5"/>
  <c r="AS281" i="5"/>
  <c r="AN293" i="5"/>
  <c r="AV284" i="5"/>
  <c r="AX294" i="5"/>
  <c r="AQ288" i="5"/>
  <c r="AY279" i="5"/>
  <c r="AO294" i="5"/>
  <c r="AU291" i="5"/>
  <c r="AW285" i="5"/>
  <c r="AT282" i="5"/>
  <c r="AP279" i="5"/>
  <c r="AN285" i="5"/>
  <c r="AS289" i="5"/>
  <c r="AX286" i="5"/>
  <c r="AQ280" i="5"/>
  <c r="AV292" i="5"/>
  <c r="AO286" i="5"/>
  <c r="AU283" i="5"/>
  <c r="AY287" i="5"/>
  <c r="T32" i="11"/>
  <c r="S32" i="36"/>
  <c r="T48" i="11"/>
  <c r="S48" i="36"/>
  <c r="AN39" i="5"/>
  <c r="AZ39" i="5"/>
  <c r="L36" i="34"/>
  <c r="H57" i="36"/>
  <c r="H68" i="36"/>
  <c r="S68" i="36"/>
  <c r="T72" i="11"/>
  <c r="H72" i="36"/>
  <c r="L9" i="15"/>
  <c r="D9" i="15"/>
  <c r="K9" i="15"/>
  <c r="C9" i="15"/>
  <c r="J9" i="15"/>
  <c r="I9" i="15"/>
  <c r="G9" i="13"/>
  <c r="H9" i="15"/>
  <c r="F9" i="13"/>
  <c r="G9" i="15"/>
  <c r="E9" i="13"/>
  <c r="M9" i="15"/>
  <c r="E9" i="15"/>
  <c r="C9" i="13"/>
  <c r="AU277" i="5"/>
  <c r="AY277" i="5"/>
  <c r="AP277" i="5"/>
  <c r="AW276" i="5"/>
  <c r="AO276" i="5"/>
  <c r="AV275" i="5"/>
  <c r="AN275" i="5"/>
  <c r="AV274" i="5"/>
  <c r="AN274" i="5"/>
  <c r="AV273" i="5"/>
  <c r="AN273" i="5"/>
  <c r="AV272" i="5"/>
  <c r="AN272" i="5"/>
  <c r="AU271" i="5"/>
  <c r="AS270" i="5"/>
  <c r="AS269" i="5"/>
  <c r="AS268" i="5"/>
  <c r="AS267" i="5"/>
  <c r="AX277" i="5"/>
  <c r="AO277" i="5"/>
  <c r="AV276" i="5"/>
  <c r="AN276" i="5"/>
  <c r="AU275" i="5"/>
  <c r="AU274" i="5"/>
  <c r="AU273" i="5"/>
  <c r="AU272" i="5"/>
  <c r="AT271" i="5"/>
  <c r="AW277" i="5"/>
  <c r="AN277" i="5"/>
  <c r="AU276" i="5"/>
  <c r="AT275" i="5"/>
  <c r="AT274" i="5"/>
  <c r="AT273" i="5"/>
  <c r="AT272" i="5"/>
  <c r="AS271" i="5"/>
  <c r="AY270" i="5"/>
  <c r="AQ270" i="5"/>
  <c r="AY269" i="5"/>
  <c r="AQ269" i="5"/>
  <c r="AY268" i="5"/>
  <c r="AQ268" i="5"/>
  <c r="AY267" i="5"/>
  <c r="AQ267" i="5"/>
  <c r="AY266" i="5"/>
  <c r="N9" i="15"/>
  <c r="D9" i="13"/>
  <c r="AV277" i="5"/>
  <c r="AT276" i="5"/>
  <c r="AS275" i="5"/>
  <c r="AS274" i="5"/>
  <c r="AS273" i="5"/>
  <c r="AS272" i="5"/>
  <c r="AR271" i="5"/>
  <c r="AX270" i="5"/>
  <c r="AP270" i="5"/>
  <c r="AX269" i="5"/>
  <c r="AP269" i="5"/>
  <c r="AX268" i="5"/>
  <c r="AP268" i="5"/>
  <c r="AX267" i="5"/>
  <c r="AP267" i="5"/>
  <c r="AX266" i="5"/>
  <c r="AP266" i="5"/>
  <c r="AX265" i="5"/>
  <c r="AP265" i="5"/>
  <c r="AX264" i="5"/>
  <c r="AP264" i="5"/>
  <c r="F9" i="15"/>
  <c r="AT277" i="5"/>
  <c r="AS276" i="5"/>
  <c r="AR275" i="5"/>
  <c r="AR274" i="5"/>
  <c r="AR273" i="5"/>
  <c r="AR272" i="5"/>
  <c r="AY271" i="5"/>
  <c r="AQ271" i="5"/>
  <c r="AW270" i="5"/>
  <c r="AO270" i="5"/>
  <c r="AW269" i="5"/>
  <c r="AO269" i="5"/>
  <c r="AW268" i="5"/>
  <c r="AO268" i="5"/>
  <c r="AW267" i="5"/>
  <c r="AO267" i="5"/>
  <c r="AW266" i="5"/>
  <c r="AO266" i="5"/>
  <c r="AW265" i="5"/>
  <c r="AO265" i="5"/>
  <c r="AW264" i="5"/>
  <c r="AO264" i="5"/>
  <c r="AW263" i="5"/>
  <c r="AS277" i="5"/>
  <c r="AR276" i="5"/>
  <c r="AY275" i="5"/>
  <c r="AQ275" i="5"/>
  <c r="AY274" i="5"/>
  <c r="AQ274" i="5"/>
  <c r="AY273" i="5"/>
  <c r="AQ273" i="5"/>
  <c r="AY272" i="5"/>
  <c r="AQ272" i="5"/>
  <c r="AX271" i="5"/>
  <c r="AP271" i="5"/>
  <c r="AV270" i="5"/>
  <c r="AN270" i="5"/>
  <c r="AV269" i="5"/>
  <c r="AN269" i="5"/>
  <c r="AV268" i="5"/>
  <c r="AN268" i="5"/>
  <c r="AV267" i="5"/>
  <c r="AN267" i="5"/>
  <c r="AV266" i="5"/>
  <c r="AN266" i="5"/>
  <c r="AV265" i="5"/>
  <c r="AQ277" i="5"/>
  <c r="AX276" i="5"/>
  <c r="AP276" i="5"/>
  <c r="AW275" i="5"/>
  <c r="AO275" i="5"/>
  <c r="AW274" i="5"/>
  <c r="AO274" i="5"/>
  <c r="AW273" i="5"/>
  <c r="AO273" i="5"/>
  <c r="AW272" i="5"/>
  <c r="AO272" i="5"/>
  <c r="AV271" i="5"/>
  <c r="AN271" i="5"/>
  <c r="AT270" i="5"/>
  <c r="AT269" i="5"/>
  <c r="AP273" i="5"/>
  <c r="AU267" i="5"/>
  <c r="AT266" i="5"/>
  <c r="AY265" i="5"/>
  <c r="AR264" i="5"/>
  <c r="AX263" i="5"/>
  <c r="AO263" i="5"/>
  <c r="AW262" i="5"/>
  <c r="AO262" i="5"/>
  <c r="AW261" i="5"/>
  <c r="AO261" i="5"/>
  <c r="AW260" i="5"/>
  <c r="AO260" i="5"/>
  <c r="AW259" i="5"/>
  <c r="AO259" i="5"/>
  <c r="AW258" i="5"/>
  <c r="AO258" i="5"/>
  <c r="AW257" i="5"/>
  <c r="AO257" i="5"/>
  <c r="AW256" i="5"/>
  <c r="AO256" i="5"/>
  <c r="AW255" i="5"/>
  <c r="AO255" i="5"/>
  <c r="AW254" i="5"/>
  <c r="AO254" i="5"/>
  <c r="AW253" i="5"/>
  <c r="AO253" i="5"/>
  <c r="AW252" i="5"/>
  <c r="AO252" i="5"/>
  <c r="AW251" i="5"/>
  <c r="AO251" i="5"/>
  <c r="AW250" i="5"/>
  <c r="AO250" i="5"/>
  <c r="AW249" i="5"/>
  <c r="AO249" i="5"/>
  <c r="AW248" i="5"/>
  <c r="AO248" i="5"/>
  <c r="AW247" i="5"/>
  <c r="AO247" i="5"/>
  <c r="AX274" i="5"/>
  <c r="AU268" i="5"/>
  <c r="AT267" i="5"/>
  <c r="AS266" i="5"/>
  <c r="AU265" i="5"/>
  <c r="AQ264" i="5"/>
  <c r="AV263" i="5"/>
  <c r="AN263" i="5"/>
  <c r="AV262" i="5"/>
  <c r="AN262" i="5"/>
  <c r="AV261" i="5"/>
  <c r="AN261" i="5"/>
  <c r="AV260" i="5"/>
  <c r="AN260" i="5"/>
  <c r="AV259" i="5"/>
  <c r="AN259" i="5"/>
  <c r="AV258" i="5"/>
  <c r="AN258" i="5"/>
  <c r="AV257" i="5"/>
  <c r="AN257" i="5"/>
  <c r="AV256" i="5"/>
  <c r="AN256" i="5"/>
  <c r="AV255" i="5"/>
  <c r="AN255" i="5"/>
  <c r="AV254" i="5"/>
  <c r="AN254" i="5"/>
  <c r="AV253" i="5"/>
  <c r="AN253" i="5"/>
  <c r="AV252" i="5"/>
  <c r="AN252" i="5"/>
  <c r="AV251" i="5"/>
  <c r="AN251" i="5"/>
  <c r="AV250" i="5"/>
  <c r="AN250" i="5"/>
  <c r="AV249" i="5"/>
  <c r="AN249" i="5"/>
  <c r="AV248" i="5"/>
  <c r="AN248" i="5"/>
  <c r="AV247" i="5"/>
  <c r="AN247" i="5"/>
  <c r="AR277" i="5"/>
  <c r="AP274" i="5"/>
  <c r="AW271" i="5"/>
  <c r="AT268" i="5"/>
  <c r="AR267" i="5"/>
  <c r="AR266" i="5"/>
  <c r="AT265" i="5"/>
  <c r="AN264" i="5"/>
  <c r="AU263" i="5"/>
  <c r="AU262" i="5"/>
  <c r="AU261" i="5"/>
  <c r="AU260" i="5"/>
  <c r="AU259" i="5"/>
  <c r="AU258" i="5"/>
  <c r="AU257" i="5"/>
  <c r="AU256" i="5"/>
  <c r="AX275" i="5"/>
  <c r="AO271" i="5"/>
  <c r="AU269" i="5"/>
  <c r="AR268" i="5"/>
  <c r="AQ266" i="5"/>
  <c r="AS265" i="5"/>
  <c r="AY264" i="5"/>
  <c r="AT263" i="5"/>
  <c r="AT262" i="5"/>
  <c r="AT261" i="5"/>
  <c r="AT260" i="5"/>
  <c r="AT259" i="5"/>
  <c r="AT258" i="5"/>
  <c r="AT257" i="5"/>
  <c r="AT256" i="5"/>
  <c r="AT255" i="5"/>
  <c r="AT254" i="5"/>
  <c r="AT253" i="5"/>
  <c r="AT252" i="5"/>
  <c r="AP275" i="5"/>
  <c r="AR269" i="5"/>
  <c r="AR265" i="5"/>
  <c r="AV264" i="5"/>
  <c r="AS263" i="5"/>
  <c r="AS262" i="5"/>
  <c r="AS261" i="5"/>
  <c r="AS260" i="5"/>
  <c r="AS259" i="5"/>
  <c r="AS258" i="5"/>
  <c r="AS257" i="5"/>
  <c r="AS256" i="5"/>
  <c r="AS255" i="5"/>
  <c r="AS254" i="5"/>
  <c r="AS253" i="5"/>
  <c r="AS252" i="5"/>
  <c r="AS251" i="5"/>
  <c r="AS250" i="5"/>
  <c r="AS249" i="5"/>
  <c r="AS248" i="5"/>
  <c r="AS247" i="5"/>
  <c r="AX272" i="5"/>
  <c r="AU270" i="5"/>
  <c r="AQ265" i="5"/>
  <c r="AU264" i="5"/>
  <c r="AR263" i="5"/>
  <c r="AR262" i="5"/>
  <c r="AR261" i="5"/>
  <c r="AR260" i="5"/>
  <c r="AR259" i="5"/>
  <c r="AR258" i="5"/>
  <c r="AR257" i="5"/>
  <c r="AR256" i="5"/>
  <c r="AR255" i="5"/>
  <c r="AR254" i="5"/>
  <c r="AR253" i="5"/>
  <c r="AR252" i="5"/>
  <c r="AR251" i="5"/>
  <c r="AR250" i="5"/>
  <c r="AR249" i="5"/>
  <c r="AR248" i="5"/>
  <c r="AR247" i="5"/>
  <c r="AY276" i="5"/>
  <c r="AP272" i="5"/>
  <c r="AR270" i="5"/>
  <c r="AN265" i="5"/>
  <c r="AT264" i="5"/>
  <c r="AQ263" i="5"/>
  <c r="AY262" i="5"/>
  <c r="AQ262" i="5"/>
  <c r="AY261" i="5"/>
  <c r="AQ261" i="5"/>
  <c r="AY260" i="5"/>
  <c r="AQ260" i="5"/>
  <c r="AY259" i="5"/>
  <c r="AQ259" i="5"/>
  <c r="AY258" i="5"/>
  <c r="AQ258" i="5"/>
  <c r="AY257" i="5"/>
  <c r="AQ257" i="5"/>
  <c r="AY256" i="5"/>
  <c r="AQ256" i="5"/>
  <c r="AY255" i="5"/>
  <c r="AQ255" i="5"/>
  <c r="AY254" i="5"/>
  <c r="AQ254" i="5"/>
  <c r="AY253" i="5"/>
  <c r="AQ253" i="5"/>
  <c r="AY252" i="5"/>
  <c r="AQ252" i="5"/>
  <c r="AY251" i="5"/>
  <c r="AQ251" i="5"/>
  <c r="AY250" i="5"/>
  <c r="AQ250" i="5"/>
  <c r="AY249" i="5"/>
  <c r="AQ249" i="5"/>
  <c r="AY248" i="5"/>
  <c r="AQ248" i="5"/>
  <c r="AY247" i="5"/>
  <c r="AQ247" i="5"/>
  <c r="AQ276" i="5"/>
  <c r="AX273" i="5"/>
  <c r="AU266" i="5"/>
  <c r="AS264" i="5"/>
  <c r="AY263" i="5"/>
  <c r="AP263" i="5"/>
  <c r="AX262" i="5"/>
  <c r="AP262" i="5"/>
  <c r="AX261" i="5"/>
  <c r="AP261" i="5"/>
  <c r="AX260" i="5"/>
  <c r="AP260" i="5"/>
  <c r="AX259" i="5"/>
  <c r="AP259" i="5"/>
  <c r="AX258" i="5"/>
  <c r="AP258" i="5"/>
  <c r="AX257" i="5"/>
  <c r="AP257" i="5"/>
  <c r="AX256" i="5"/>
  <c r="AP256" i="5"/>
  <c r="AX255" i="5"/>
  <c r="AP255" i="5"/>
  <c r="AX254" i="5"/>
  <c r="AP254" i="5"/>
  <c r="AX253" i="5"/>
  <c r="AP253" i="5"/>
  <c r="AX252" i="5"/>
  <c r="AP252" i="5"/>
  <c r="AX251" i="5"/>
  <c r="AP251" i="5"/>
  <c r="AX250" i="5"/>
  <c r="AP250" i="5"/>
  <c r="AX249" i="5"/>
  <c r="AP249" i="5"/>
  <c r="AX248" i="5"/>
  <c r="AP248" i="5"/>
  <c r="AX247" i="5"/>
  <c r="AP247" i="5"/>
  <c r="AT250" i="5"/>
  <c r="AU251" i="5"/>
  <c r="AU247" i="5"/>
  <c r="AU254" i="5"/>
  <c r="AT251" i="5"/>
  <c r="AT247" i="5"/>
  <c r="AU248" i="5"/>
  <c r="AU252" i="5"/>
  <c r="AT248" i="5"/>
  <c r="AU255" i="5"/>
  <c r="AU249" i="5"/>
  <c r="AT249" i="5"/>
  <c r="AU253" i="5"/>
  <c r="AU250" i="5"/>
  <c r="L5" i="15"/>
  <c r="D5" i="15"/>
  <c r="K5" i="15"/>
  <c r="C5" i="15"/>
  <c r="J5" i="15"/>
  <c r="I5" i="15"/>
  <c r="G5" i="13"/>
  <c r="H5" i="15"/>
  <c r="F5" i="13"/>
  <c r="G5" i="15"/>
  <c r="E5" i="13"/>
  <c r="M5" i="15"/>
  <c r="E5" i="15"/>
  <c r="C5" i="13"/>
  <c r="N5" i="15"/>
  <c r="D5" i="13"/>
  <c r="F5" i="15"/>
  <c r="AU102" i="5"/>
  <c r="AU101" i="5"/>
  <c r="AU100" i="5"/>
  <c r="AU99" i="5"/>
  <c r="AU98" i="5"/>
  <c r="AU97" i="5"/>
  <c r="AU96" i="5"/>
  <c r="AU95" i="5"/>
  <c r="AU94" i="5"/>
  <c r="AT102" i="5"/>
  <c r="AT101" i="5"/>
  <c r="AT100" i="5"/>
  <c r="AT99" i="5"/>
  <c r="AR102" i="5"/>
  <c r="AR101" i="5"/>
  <c r="AR100" i="5"/>
  <c r="AR99" i="5"/>
  <c r="AR98" i="5"/>
  <c r="AR97" i="5"/>
  <c r="AR96" i="5"/>
  <c r="AR95" i="5"/>
  <c r="AR94" i="5"/>
  <c r="AR93" i="5"/>
  <c r="AR92" i="5"/>
  <c r="AR91" i="5"/>
  <c r="AR90" i="5"/>
  <c r="AR89" i="5"/>
  <c r="AR88" i="5"/>
  <c r="AR87" i="5"/>
  <c r="AR86" i="5"/>
  <c r="AR85" i="5"/>
  <c r="AR84" i="5"/>
  <c r="AR83" i="5"/>
  <c r="AR82" i="5"/>
  <c r="AR81" i="5"/>
  <c r="AR80" i="5"/>
  <c r="AR79" i="5"/>
  <c r="AU77" i="5"/>
  <c r="AY102" i="5"/>
  <c r="AQ102" i="5"/>
  <c r="AY101" i="5"/>
  <c r="AQ101" i="5"/>
  <c r="AY100" i="5"/>
  <c r="AQ100" i="5"/>
  <c r="AY99" i="5"/>
  <c r="AQ99" i="5"/>
  <c r="AY98" i="5"/>
  <c r="AQ98" i="5"/>
  <c r="AY97" i="5"/>
  <c r="AQ97" i="5"/>
  <c r="AY96" i="5"/>
  <c r="AQ96" i="5"/>
  <c r="AY95" i="5"/>
  <c r="AQ95" i="5"/>
  <c r="AY94" i="5"/>
  <c r="AQ94" i="5"/>
  <c r="AY93" i="5"/>
  <c r="AQ93" i="5"/>
  <c r="AY92" i="5"/>
  <c r="AQ92" i="5"/>
  <c r="AY91" i="5"/>
  <c r="AQ91" i="5"/>
  <c r="AY90" i="5"/>
  <c r="AQ90" i="5"/>
  <c r="AY89" i="5"/>
  <c r="AQ89" i="5"/>
  <c r="AY88" i="5"/>
  <c r="AQ88" i="5"/>
  <c r="AY87" i="5"/>
  <c r="AQ87" i="5"/>
  <c r="AY86" i="5"/>
  <c r="AQ86" i="5"/>
  <c r="AY85" i="5"/>
  <c r="AQ85" i="5"/>
  <c r="AY84" i="5"/>
  <c r="AQ84" i="5"/>
  <c r="AY83" i="5"/>
  <c r="AQ83" i="5"/>
  <c r="AY82" i="5"/>
  <c r="AQ82" i="5"/>
  <c r="AY81" i="5"/>
  <c r="AQ81" i="5"/>
  <c r="AY80" i="5"/>
  <c r="AQ80" i="5"/>
  <c r="AY79" i="5"/>
  <c r="AQ79" i="5"/>
  <c r="AX102" i="5"/>
  <c r="AP102" i="5"/>
  <c r="AX101" i="5"/>
  <c r="AP101" i="5"/>
  <c r="AX100" i="5"/>
  <c r="AP100" i="5"/>
  <c r="AX99" i="5"/>
  <c r="AP99" i="5"/>
  <c r="AX98" i="5"/>
  <c r="AP98" i="5"/>
  <c r="AX97" i="5"/>
  <c r="AP97" i="5"/>
  <c r="AX96" i="5"/>
  <c r="AP96" i="5"/>
  <c r="AX95" i="5"/>
  <c r="AP95" i="5"/>
  <c r="AX94" i="5"/>
  <c r="AP94" i="5"/>
  <c r="AX93" i="5"/>
  <c r="AP93" i="5"/>
  <c r="AX92" i="5"/>
  <c r="AP92" i="5"/>
  <c r="AX91" i="5"/>
  <c r="AP91" i="5"/>
  <c r="AX90" i="5"/>
  <c r="AP90" i="5"/>
  <c r="AX89" i="5"/>
  <c r="AP89" i="5"/>
  <c r="AX88" i="5"/>
  <c r="AP88" i="5"/>
  <c r="AX87" i="5"/>
  <c r="AP87" i="5"/>
  <c r="AX86" i="5"/>
  <c r="AP86" i="5"/>
  <c r="AX85" i="5"/>
  <c r="AP85" i="5"/>
  <c r="AX84" i="5"/>
  <c r="AP84" i="5"/>
  <c r="AX83" i="5"/>
  <c r="AW102" i="5"/>
  <c r="AO102" i="5"/>
  <c r="AW101" i="5"/>
  <c r="AO101" i="5"/>
  <c r="AW100" i="5"/>
  <c r="AO100" i="5"/>
  <c r="AW99" i="5"/>
  <c r="AO99" i="5"/>
  <c r="AW98" i="5"/>
  <c r="AO98" i="5"/>
  <c r="AW97" i="5"/>
  <c r="AO97" i="5"/>
  <c r="AW96" i="5"/>
  <c r="AO96" i="5"/>
  <c r="AW95" i="5"/>
  <c r="AO95" i="5"/>
  <c r="AW94" i="5"/>
  <c r="AO94" i="5"/>
  <c r="AW93" i="5"/>
  <c r="AO93" i="5"/>
  <c r="AW92" i="5"/>
  <c r="AO92" i="5"/>
  <c r="AW91" i="5"/>
  <c r="AO91" i="5"/>
  <c r="AW90" i="5"/>
  <c r="AO90" i="5"/>
  <c r="AW89" i="5"/>
  <c r="AO89" i="5"/>
  <c r="AW88" i="5"/>
  <c r="AO88" i="5"/>
  <c r="AW87" i="5"/>
  <c r="AO87" i="5"/>
  <c r="AW86" i="5"/>
  <c r="AO86" i="5"/>
  <c r="AV102" i="5"/>
  <c r="AN102" i="5"/>
  <c r="AV101" i="5"/>
  <c r="AN101" i="5"/>
  <c r="AV100" i="5"/>
  <c r="AN100" i="5"/>
  <c r="AV99" i="5"/>
  <c r="AN99" i="5"/>
  <c r="AV98" i="5"/>
  <c r="AN98" i="5"/>
  <c r="AV97" i="5"/>
  <c r="AN97" i="5"/>
  <c r="AV96" i="5"/>
  <c r="AN96" i="5"/>
  <c r="AV95" i="5"/>
  <c r="AN95" i="5"/>
  <c r="AV94" i="5"/>
  <c r="AN94" i="5"/>
  <c r="AV93" i="5"/>
  <c r="AN93" i="5"/>
  <c r="AV92" i="5"/>
  <c r="AN92" i="5"/>
  <c r="AV91" i="5"/>
  <c r="AN91" i="5"/>
  <c r="AV90" i="5"/>
  <c r="AT95" i="5"/>
  <c r="AN86" i="5"/>
  <c r="AT85" i="5"/>
  <c r="AW84" i="5"/>
  <c r="AP83" i="5"/>
  <c r="AW82" i="5"/>
  <c r="AT81" i="5"/>
  <c r="AO80" i="5"/>
  <c r="AV79" i="5"/>
  <c r="AO78" i="5"/>
  <c r="AW77" i="5"/>
  <c r="AN77" i="5"/>
  <c r="AV76" i="5"/>
  <c r="AN76" i="5"/>
  <c r="AS75" i="5"/>
  <c r="AS99" i="5"/>
  <c r="AS95" i="5"/>
  <c r="AU90" i="5"/>
  <c r="AV89" i="5"/>
  <c r="AS85" i="5"/>
  <c r="AV84" i="5"/>
  <c r="AO83" i="5"/>
  <c r="AV82" i="5"/>
  <c r="AS81" i="5"/>
  <c r="AX80" i="5"/>
  <c r="AN80" i="5"/>
  <c r="AU79" i="5"/>
  <c r="AN78" i="5"/>
  <c r="AV77" i="5"/>
  <c r="AU76" i="5"/>
  <c r="AR75" i="5"/>
  <c r="AS102" i="5"/>
  <c r="AT96" i="5"/>
  <c r="AU91" i="5"/>
  <c r="AT90" i="5"/>
  <c r="AU89" i="5"/>
  <c r="AV88" i="5"/>
  <c r="AO85" i="5"/>
  <c r="AU84" i="5"/>
  <c r="AN83" i="5"/>
  <c r="AU82" i="5"/>
  <c r="AP81" i="5"/>
  <c r="AW80" i="5"/>
  <c r="AT79" i="5"/>
  <c r="AT77" i="5"/>
  <c r="AT76" i="5"/>
  <c r="AY75" i="5"/>
  <c r="AQ75" i="5"/>
  <c r="AS96" i="5"/>
  <c r="AU92" i="5"/>
  <c r="AT91" i="5"/>
  <c r="AS90" i="5"/>
  <c r="AT89" i="5"/>
  <c r="AU88" i="5"/>
  <c r="AV87" i="5"/>
  <c r="AN85" i="5"/>
  <c r="AT84" i="5"/>
  <c r="AW83" i="5"/>
  <c r="AT82" i="5"/>
  <c r="AO81" i="5"/>
  <c r="AV80" i="5"/>
  <c r="AS79" i="5"/>
  <c r="AS77" i="5"/>
  <c r="AS76" i="5"/>
  <c r="AX75" i="5"/>
  <c r="AP75" i="5"/>
  <c r="AS100" i="5"/>
  <c r="AT97" i="5"/>
  <c r="AU93" i="5"/>
  <c r="AT92" i="5"/>
  <c r="AS91" i="5"/>
  <c r="AN90" i="5"/>
  <c r="AS89" i="5"/>
  <c r="AT88" i="5"/>
  <c r="AU87" i="5"/>
  <c r="AV86" i="5"/>
  <c r="AS84" i="5"/>
  <c r="AV83" i="5"/>
  <c r="AS82" i="5"/>
  <c r="AX81" i="5"/>
  <c r="AN81" i="5"/>
  <c r="AU80" i="5"/>
  <c r="AP79" i="5"/>
  <c r="AR77" i="5"/>
  <c r="AR76" i="5"/>
  <c r="AW75" i="5"/>
  <c r="AO75" i="5"/>
  <c r="AS97" i="5"/>
  <c r="AT93" i="5"/>
  <c r="AS92" i="5"/>
  <c r="AN89" i="5"/>
  <c r="AS88" i="5"/>
  <c r="AT87" i="5"/>
  <c r="AU86" i="5"/>
  <c r="AW85" i="5"/>
  <c r="AO84" i="5"/>
  <c r="AU83" i="5"/>
  <c r="AP82" i="5"/>
  <c r="AW81" i="5"/>
  <c r="AT80" i="5"/>
  <c r="AO79" i="5"/>
  <c r="AR78" i="5"/>
  <c r="AQ77" i="5"/>
  <c r="AY76" i="5"/>
  <c r="AQ76" i="5"/>
  <c r="AV75" i="5"/>
  <c r="AN75" i="5"/>
  <c r="AS101" i="5"/>
  <c r="AS98" i="5"/>
  <c r="AS94" i="5"/>
  <c r="AN87" i="5"/>
  <c r="AS86" i="5"/>
  <c r="AU85" i="5"/>
  <c r="AS83" i="5"/>
  <c r="AX82" i="5"/>
  <c r="AN82" i="5"/>
  <c r="AU81" i="5"/>
  <c r="AP80" i="5"/>
  <c r="AW79" i="5"/>
  <c r="AP78" i="5"/>
  <c r="AX77" i="5"/>
  <c r="AO77" i="5"/>
  <c r="AW76" i="5"/>
  <c r="AO76" i="5"/>
  <c r="AT75" i="5"/>
  <c r="AS93" i="5"/>
  <c r="AV81" i="5"/>
  <c r="AP77" i="5"/>
  <c r="AU75" i="5"/>
  <c r="AN84" i="5"/>
  <c r="AT98" i="5"/>
  <c r="AS87" i="5"/>
  <c r="AX79" i="5"/>
  <c r="AQ78" i="5"/>
  <c r="AT94" i="5"/>
  <c r="AO82" i="5"/>
  <c r="AN79" i="5"/>
  <c r="AV85" i="5"/>
  <c r="AN88" i="5"/>
  <c r="AS80" i="5"/>
  <c r="AX76" i="5"/>
  <c r="AT83" i="5"/>
  <c r="AP76" i="5"/>
  <c r="AT86" i="5"/>
  <c r="AY77" i="5"/>
  <c r="S301" i="36"/>
  <c r="T301" i="11"/>
  <c r="AQ10" i="5"/>
  <c r="S309" i="36"/>
  <c r="T309" i="11"/>
  <c r="S394" i="36"/>
  <c r="T394" i="11"/>
  <c r="T429" i="11"/>
  <c r="S429" i="36"/>
  <c r="F30" i="21"/>
  <c r="H53" i="36"/>
  <c r="H59" i="36"/>
  <c r="H67" i="36"/>
  <c r="H75" i="36"/>
  <c r="S352" i="36"/>
  <c r="S354" i="36"/>
  <c r="S356" i="36"/>
  <c r="AU5" i="5"/>
  <c r="AU6" i="5"/>
  <c r="AV7" i="5"/>
  <c r="AN8" i="5"/>
  <c r="AV8" i="5"/>
  <c r="AN9" i="5"/>
  <c r="AX9" i="5"/>
  <c r="AS11" i="5"/>
  <c r="AU12" i="5"/>
  <c r="AN13" i="5"/>
  <c r="AX13" i="5"/>
  <c r="AQ14" i="5"/>
  <c r="AS15" i="5"/>
  <c r="AY16" i="5"/>
  <c r="AU17" i="5"/>
  <c r="AQ18" i="5"/>
  <c r="AS21" i="5"/>
  <c r="AP25" i="5"/>
  <c r="F33" i="21"/>
  <c r="F34" i="21"/>
  <c r="AN40" i="5"/>
  <c r="AZ40" i="5"/>
  <c r="L37" i="34"/>
  <c r="T62" i="11"/>
  <c r="AN47" i="5"/>
  <c r="AZ47" i="5"/>
  <c r="L41" i="34"/>
  <c r="T78" i="11"/>
  <c r="AY116" i="5"/>
  <c r="H6" i="15"/>
  <c r="D6" i="13"/>
  <c r="G6" i="15"/>
  <c r="C6" i="13"/>
  <c r="N6" i="15"/>
  <c r="F6" i="15"/>
  <c r="M6" i="15"/>
  <c r="E6" i="15"/>
  <c r="L6" i="15"/>
  <c r="D6" i="15"/>
  <c r="K6" i="15"/>
  <c r="C6" i="15"/>
  <c r="G6" i="13"/>
  <c r="I6" i="15"/>
  <c r="E6" i="13"/>
  <c r="J6" i="15"/>
  <c r="F6" i="13"/>
  <c r="AV120" i="5"/>
  <c r="AN120" i="5"/>
  <c r="AV119" i="5"/>
  <c r="AN119" i="5"/>
  <c r="AV118" i="5"/>
  <c r="AN118" i="5"/>
  <c r="AU117" i="5"/>
  <c r="AR116" i="5"/>
  <c r="AW115" i="5"/>
  <c r="AO115" i="5"/>
  <c r="AW114" i="5"/>
  <c r="AO114" i="5"/>
  <c r="AW113" i="5"/>
  <c r="AO113" i="5"/>
  <c r="AW112" i="5"/>
  <c r="AO112" i="5"/>
  <c r="AW111" i="5"/>
  <c r="AO111" i="5"/>
  <c r="AW110" i="5"/>
  <c r="AO110" i="5"/>
  <c r="AW109" i="5"/>
  <c r="AO109" i="5"/>
  <c r="AW108" i="5"/>
  <c r="AO108" i="5"/>
  <c r="AW107" i="5"/>
  <c r="AO107" i="5"/>
  <c r="AW106" i="5"/>
  <c r="AO106" i="5"/>
  <c r="AW105" i="5"/>
  <c r="AO105" i="5"/>
  <c r="AW104" i="5"/>
  <c r="AO104" i="5"/>
  <c r="AU120" i="5"/>
  <c r="AU119" i="5"/>
  <c r="AU118" i="5"/>
  <c r="AT117" i="5"/>
  <c r="AQ116" i="5"/>
  <c r="AV115" i="5"/>
  <c r="AN115" i="5"/>
  <c r="AV114" i="5"/>
  <c r="AN114" i="5"/>
  <c r="AV113" i="5"/>
  <c r="AN113" i="5"/>
  <c r="AV112" i="5"/>
  <c r="AN112" i="5"/>
  <c r="AV111" i="5"/>
  <c r="AN111" i="5"/>
  <c r="AV110" i="5"/>
  <c r="AN110" i="5"/>
  <c r="AV109" i="5"/>
  <c r="AN109" i="5"/>
  <c r="AV108" i="5"/>
  <c r="AN108" i="5"/>
  <c r="AV107" i="5"/>
  <c r="AN107" i="5"/>
  <c r="AV106" i="5"/>
  <c r="AN106" i="5"/>
  <c r="AV105" i="5"/>
  <c r="AN105" i="5"/>
  <c r="AV104" i="5"/>
  <c r="AN104" i="5"/>
  <c r="AT120" i="5"/>
  <c r="AT119" i="5"/>
  <c r="AT118" i="5"/>
  <c r="AS117" i="5"/>
  <c r="AP116" i="5"/>
  <c r="AU115" i="5"/>
  <c r="AU114" i="5"/>
  <c r="AU113" i="5"/>
  <c r="AU112" i="5"/>
  <c r="AU111" i="5"/>
  <c r="AU110" i="5"/>
  <c r="AU109" i="5"/>
  <c r="AU108" i="5"/>
  <c r="AU107" i="5"/>
  <c r="AU106" i="5"/>
  <c r="AU105" i="5"/>
  <c r="AU104" i="5"/>
  <c r="AS120" i="5"/>
  <c r="AS119" i="5"/>
  <c r="AS118" i="5"/>
  <c r="AR117" i="5"/>
  <c r="AX116" i="5"/>
  <c r="AO116" i="5"/>
  <c r="AT115" i="5"/>
  <c r="AT114" i="5"/>
  <c r="AT113" i="5"/>
  <c r="AT112" i="5"/>
  <c r="AT111" i="5"/>
  <c r="AT110" i="5"/>
  <c r="AT109" i="5"/>
  <c r="AT108" i="5"/>
  <c r="AT107" i="5"/>
  <c r="AT106" i="5"/>
  <c r="AT105" i="5"/>
  <c r="AT104" i="5"/>
  <c r="AR120" i="5"/>
  <c r="AR119" i="5"/>
  <c r="AR118" i="5"/>
  <c r="AQ117" i="5"/>
  <c r="AV116" i="5"/>
  <c r="AN116" i="5"/>
  <c r="AS115" i="5"/>
  <c r="AS114" i="5"/>
  <c r="AS113" i="5"/>
  <c r="AS112" i="5"/>
  <c r="AS111" i="5"/>
  <c r="AS110" i="5"/>
  <c r="AS109" i="5"/>
  <c r="AS108" i="5"/>
  <c r="AS107" i="5"/>
  <c r="AS106" i="5"/>
  <c r="AS105" i="5"/>
  <c r="AS104" i="5"/>
  <c r="AY120" i="5"/>
  <c r="AQ120" i="5"/>
  <c r="AY119" i="5"/>
  <c r="AQ119" i="5"/>
  <c r="AY118" i="5"/>
  <c r="AQ118" i="5"/>
  <c r="AX117" i="5"/>
  <c r="AP117" i="5"/>
  <c r="AU116" i="5"/>
  <c r="AR115" i="5"/>
  <c r="AR114" i="5"/>
  <c r="AR113" i="5"/>
  <c r="AR112" i="5"/>
  <c r="AR111" i="5"/>
  <c r="AR110" i="5"/>
  <c r="AR109" i="5"/>
  <c r="AR108" i="5"/>
  <c r="AR107" i="5"/>
  <c r="AR106" i="5"/>
  <c r="AR105" i="5"/>
  <c r="AR104" i="5"/>
  <c r="AX120" i="5"/>
  <c r="AP120" i="5"/>
  <c r="AX119" i="5"/>
  <c r="AP119" i="5"/>
  <c r="AX118" i="5"/>
  <c r="AP118" i="5"/>
  <c r="AW117" i="5"/>
  <c r="AO117" i="5"/>
  <c r="AT116" i="5"/>
  <c r="AY115" i="5"/>
  <c r="AQ115" i="5"/>
  <c r="AY114" i="5"/>
  <c r="AQ114" i="5"/>
  <c r="AY113" i="5"/>
  <c r="AQ113" i="5"/>
  <c r="AY112" i="5"/>
  <c r="AQ112" i="5"/>
  <c r="AY111" i="5"/>
  <c r="AQ111" i="5"/>
  <c r="AY110" i="5"/>
  <c r="AQ110" i="5"/>
  <c r="AY109" i="5"/>
  <c r="AQ109" i="5"/>
  <c r="AY108" i="5"/>
  <c r="AQ108" i="5"/>
  <c r="AY107" i="5"/>
  <c r="AQ107" i="5"/>
  <c r="AY106" i="5"/>
  <c r="AQ106" i="5"/>
  <c r="AY105" i="5"/>
  <c r="AQ105" i="5"/>
  <c r="AY104" i="5"/>
  <c r="AQ104" i="5"/>
  <c r="AW120" i="5"/>
  <c r="AO120" i="5"/>
  <c r="AW119" i="5"/>
  <c r="AO119" i="5"/>
  <c r="AW118" i="5"/>
  <c r="AO118" i="5"/>
  <c r="AV117" i="5"/>
  <c r="AN117" i="5"/>
  <c r="AS116" i="5"/>
  <c r="AX115" i="5"/>
  <c r="AP115" i="5"/>
  <c r="AX114" i="5"/>
  <c r="AP114" i="5"/>
  <c r="AX113" i="5"/>
  <c r="AP113" i="5"/>
  <c r="AX112" i="5"/>
  <c r="AP112" i="5"/>
  <c r="AX111" i="5"/>
  <c r="AP111" i="5"/>
  <c r="AX110" i="5"/>
  <c r="AP110" i="5"/>
  <c r="AX109" i="5"/>
  <c r="AP109" i="5"/>
  <c r="AX108" i="5"/>
  <c r="AP108" i="5"/>
  <c r="AX107" i="5"/>
  <c r="AP107" i="5"/>
  <c r="AX106" i="5"/>
  <c r="AP106" i="5"/>
  <c r="AX105" i="5"/>
  <c r="AP105" i="5"/>
  <c r="AX104" i="5"/>
  <c r="AP104" i="5"/>
  <c r="S362" i="36"/>
  <c r="S366" i="36"/>
  <c r="S368" i="36"/>
  <c r="S370" i="36"/>
  <c r="S374" i="36"/>
  <c r="S376" i="36"/>
  <c r="S378" i="36"/>
  <c r="S382" i="36"/>
  <c r="S384" i="36"/>
  <c r="S386" i="36"/>
  <c r="AN5" i="5"/>
  <c r="AV5" i="5"/>
  <c r="AV6" i="5"/>
  <c r="AW7" i="5"/>
  <c r="AO8" i="5"/>
  <c r="AW8" i="5"/>
  <c r="AP9" i="5"/>
  <c r="AY9" i="5"/>
  <c r="AR10" i="5"/>
  <c r="AT11" i="5"/>
  <c r="AV12" i="5"/>
  <c r="AP13" i="5"/>
  <c r="AY13" i="5"/>
  <c r="AR14" i="5"/>
  <c r="AT15" i="5"/>
  <c r="AP16" i="5"/>
  <c r="AV17" i="5"/>
  <c r="AR18" i="5"/>
  <c r="AT21" i="5"/>
  <c r="AP22" i="5"/>
  <c r="AP24" i="5"/>
  <c r="H69" i="36"/>
  <c r="S350" i="36"/>
  <c r="S364" i="36"/>
  <c r="S372" i="36"/>
  <c r="S380" i="36"/>
  <c r="AO5" i="5"/>
  <c r="AW5" i="5"/>
  <c r="AO6" i="5"/>
  <c r="AW6" i="5"/>
  <c r="AO7" i="5"/>
  <c r="AX7" i="5"/>
  <c r="AP8" i="5"/>
  <c r="AX8" i="5"/>
  <c r="AQ9" i="5"/>
  <c r="AS10" i="5"/>
  <c r="AU11" i="5"/>
  <c r="AN12" i="5"/>
  <c r="AX12" i="5"/>
  <c r="AQ13" i="5"/>
  <c r="AS14" i="5"/>
  <c r="AU15" i="5"/>
  <c r="AQ16" i="5"/>
  <c r="AY17" i="5"/>
  <c r="AS18" i="5"/>
  <c r="AN19" i="5"/>
  <c r="O20" i="34"/>
  <c r="AU21" i="5"/>
  <c r="AS22" i="5"/>
  <c r="AP23" i="5"/>
  <c r="AS24" i="5"/>
  <c r="AX25" i="5"/>
  <c r="AM333" i="5"/>
  <c r="AM278" i="5"/>
  <c r="AM258" i="5"/>
  <c r="AM246" i="5"/>
  <c r="P9" i="43"/>
  <c r="H11" i="27"/>
  <c r="S53" i="36"/>
  <c r="S59" i="36"/>
  <c r="H66" i="36"/>
  <c r="S67" i="36"/>
  <c r="H74" i="36"/>
  <c r="S75" i="36"/>
  <c r="H82" i="36"/>
  <c r="S83" i="36"/>
  <c r="S225" i="36"/>
  <c r="S227" i="36"/>
  <c r="AP5" i="5"/>
  <c r="AX5" i="5"/>
  <c r="AP6" i="5"/>
  <c r="AX6" i="5"/>
  <c r="AP7" i="5"/>
  <c r="AY7" i="5"/>
  <c r="AQ8" i="5"/>
  <c r="AY8" i="5"/>
  <c r="AR9" i="5"/>
  <c r="AT10" i="5"/>
  <c r="AV11" i="5"/>
  <c r="AP12" i="5"/>
  <c r="AY12" i="5"/>
  <c r="AR13" i="5"/>
  <c r="AT14" i="5"/>
  <c r="AX15" i="5"/>
  <c r="AR16" i="5"/>
  <c r="AU18" i="5"/>
  <c r="AW21" i="5"/>
  <c r="AT22" i="5"/>
  <c r="AS23" i="5"/>
  <c r="F35" i="21"/>
  <c r="L3" i="15"/>
  <c r="D3" i="15"/>
  <c r="F3" i="13"/>
  <c r="K3" i="15"/>
  <c r="C3" i="15"/>
  <c r="E3" i="13"/>
  <c r="J3" i="15"/>
  <c r="D3" i="13"/>
  <c r="I3" i="15"/>
  <c r="C3" i="13"/>
  <c r="H3" i="15"/>
  <c r="G3" i="15"/>
  <c r="M3" i="15"/>
  <c r="E3" i="15"/>
  <c r="G3" i="13"/>
  <c r="N3" i="15"/>
  <c r="F3" i="15"/>
  <c r="AY25" i="5"/>
  <c r="AQ25" i="5"/>
  <c r="AY24" i="5"/>
  <c r="AQ24" i="5"/>
  <c r="AY23" i="5"/>
  <c r="AQ23" i="5"/>
  <c r="AY22" i="5"/>
  <c r="AQ22" i="5"/>
  <c r="AY21" i="5"/>
  <c r="AP21" i="5"/>
  <c r="AO19" i="5"/>
  <c r="AW18" i="5"/>
  <c r="AO18" i="5"/>
  <c r="AW17" i="5"/>
  <c r="AN17" i="5"/>
  <c r="AV16" i="5"/>
  <c r="AN16" i="5"/>
  <c r="AV15" i="5"/>
  <c r="AW25" i="5"/>
  <c r="AO25" i="5"/>
  <c r="AW24" i="5"/>
  <c r="AO24" i="5"/>
  <c r="AW23" i="5"/>
  <c r="AO23" i="5"/>
  <c r="AW22" i="5"/>
  <c r="AO22" i="5"/>
  <c r="AV25" i="5"/>
  <c r="AN25" i="5"/>
  <c r="AV24" i="5"/>
  <c r="AN24" i="5"/>
  <c r="AV23" i="5"/>
  <c r="AN23" i="5"/>
  <c r="AV22" i="5"/>
  <c r="AN22" i="5"/>
  <c r="AV21" i="5"/>
  <c r="AP20" i="5"/>
  <c r="AT18" i="5"/>
  <c r="AT17" i="5"/>
  <c r="AU25" i="5"/>
  <c r="AU24" i="5"/>
  <c r="AU23" i="5"/>
  <c r="AT25" i="5"/>
  <c r="AT24" i="5"/>
  <c r="AT23" i="5"/>
  <c r="AR25" i="5"/>
  <c r="AR24" i="5"/>
  <c r="AR23" i="5"/>
  <c r="AR22" i="5"/>
  <c r="AR21" i="5"/>
  <c r="AP19" i="5"/>
  <c r="AX18" i="5"/>
  <c r="AP18" i="5"/>
  <c r="AX17" i="5"/>
  <c r="AO17" i="5"/>
  <c r="AW16" i="5"/>
  <c r="AO16" i="5"/>
  <c r="AW15" i="5"/>
  <c r="AO15" i="5"/>
  <c r="AW14" i="5"/>
  <c r="AO14" i="5"/>
  <c r="AW13" i="5"/>
  <c r="AO13" i="5"/>
  <c r="AW12" i="5"/>
  <c r="AO12" i="5"/>
  <c r="AW11" i="5"/>
  <c r="AO11" i="5"/>
  <c r="AW10" i="5"/>
  <c r="AO10" i="5"/>
  <c r="AW9" i="5"/>
  <c r="AO9" i="5"/>
  <c r="T312" i="11"/>
  <c r="T318" i="11"/>
  <c r="T322" i="11"/>
  <c r="T326" i="11"/>
  <c r="T330" i="11"/>
  <c r="T334" i="11"/>
  <c r="T338" i="11"/>
  <c r="T342" i="11"/>
  <c r="S3" i="36"/>
  <c r="H58" i="36"/>
  <c r="H71" i="36"/>
  <c r="S85" i="36"/>
  <c r="AQ5" i="5"/>
  <c r="AY5" i="5"/>
  <c r="AQ6" i="5"/>
  <c r="AY6" i="5"/>
  <c r="AR7" i="5"/>
  <c r="AR8" i="5"/>
  <c r="AS9" i="5"/>
  <c r="AU10" i="5"/>
  <c r="AN11" i="5"/>
  <c r="AX11" i="5"/>
  <c r="AQ12" i="5"/>
  <c r="AS13" i="5"/>
  <c r="AU14" i="5"/>
  <c r="AN15" i="5"/>
  <c r="AY15" i="5"/>
  <c r="AS16" i="5"/>
  <c r="AV18" i="5"/>
  <c r="AR19" i="5"/>
  <c r="AN20" i="5"/>
  <c r="AX21" i="5"/>
  <c r="AU22" i="5"/>
  <c r="AX23" i="5"/>
  <c r="F32" i="21"/>
  <c r="T69" i="11"/>
  <c r="T314" i="11"/>
  <c r="T316" i="11"/>
  <c r="T320" i="11"/>
  <c r="T324" i="11"/>
  <c r="T328" i="11"/>
  <c r="T332" i="11"/>
  <c r="T336" i="11"/>
  <c r="T340" i="11"/>
  <c r="T358" i="11"/>
  <c r="T58" i="11"/>
  <c r="T66" i="11"/>
  <c r="T74" i="11"/>
  <c r="T82" i="11"/>
  <c r="T300" i="11"/>
  <c r="T302" i="11"/>
  <c r="T304" i="11"/>
  <c r="T306" i="11"/>
  <c r="T308" i="11"/>
  <c r="AR5" i="5"/>
  <c r="AR6" i="5"/>
  <c r="AS7" i="5"/>
  <c r="AS8" i="5"/>
  <c r="AT9" i="5"/>
  <c r="AV10" i="5"/>
  <c r="AP11" i="5"/>
  <c r="AY11" i="5"/>
  <c r="AR12" i="5"/>
  <c r="AT13" i="5"/>
  <c r="AV14" i="5"/>
  <c r="AP15" i="5"/>
  <c r="AT16" i="5"/>
  <c r="AP17" i="5"/>
  <c r="AY18" i="5"/>
  <c r="AS19" i="5"/>
  <c r="AO20" i="5"/>
  <c r="AX22" i="5"/>
  <c r="S87" i="36"/>
  <c r="AS5" i="5"/>
  <c r="AS6" i="5"/>
  <c r="AT7" i="5"/>
  <c r="AT8" i="5"/>
  <c r="AU9" i="5"/>
  <c r="AN10" i="5"/>
  <c r="AX10" i="5"/>
  <c r="AQ11" i="5"/>
  <c r="AS12" i="5"/>
  <c r="AU13" i="5"/>
  <c r="AN14" i="5"/>
  <c r="AX14" i="5"/>
  <c r="AU16" i="5"/>
  <c r="AR17" i="5"/>
  <c r="AR20" i="5"/>
  <c r="AN21" i="5"/>
  <c r="AT5" i="5"/>
  <c r="AT6" i="5"/>
  <c r="AU7" i="5"/>
  <c r="AU8" i="5"/>
  <c r="AV9" i="5"/>
  <c r="AP10" i="5"/>
  <c r="AY10" i="5"/>
  <c r="AR11" i="5"/>
  <c r="AT12" i="5"/>
  <c r="AV13" i="5"/>
  <c r="AP14" i="5"/>
  <c r="AY14" i="5"/>
  <c r="AR15" i="5"/>
  <c r="AX16" i="5"/>
  <c r="AS17" i="5"/>
  <c r="AN18" i="5"/>
  <c r="AS20" i="5"/>
  <c r="AO21" i="5"/>
  <c r="X271" i="5"/>
  <c r="X246" i="5"/>
  <c r="H161" i="34"/>
  <c r="P9" i="31"/>
  <c r="R9" i="31"/>
  <c r="E116" i="27"/>
  <c r="J271" i="5"/>
  <c r="J246" i="5"/>
  <c r="F161" i="34"/>
  <c r="H66" i="34"/>
  <c r="Y278" i="5"/>
  <c r="M8" i="34"/>
  <c r="F27" i="34"/>
  <c r="E6" i="34"/>
  <c r="F66" i="34"/>
  <c r="D338" i="5"/>
  <c r="E161" i="34"/>
  <c r="E121" i="34"/>
  <c r="D8" i="27"/>
  <c r="D14" i="27"/>
  <c r="G5" i="34"/>
  <c r="R6" i="31"/>
  <c r="E29" i="34"/>
  <c r="X116" i="5"/>
  <c r="F43" i="27"/>
  <c r="I20" i="34"/>
  <c r="G160" i="34"/>
  <c r="G121" i="34"/>
  <c r="J116" i="5"/>
  <c r="K338" i="5"/>
  <c r="G67" i="34"/>
  <c r="P6" i="4"/>
  <c r="E178" i="27"/>
  <c r="M9" i="34"/>
  <c r="M16" i="34"/>
  <c r="AM103" i="5"/>
  <c r="P6" i="43"/>
  <c r="H8" i="27"/>
  <c r="M79" i="34"/>
  <c r="M80" i="34"/>
  <c r="M82" i="34"/>
  <c r="M83" i="34"/>
  <c r="AM134" i="5"/>
  <c r="P8" i="43"/>
  <c r="H10" i="27"/>
  <c r="G1107" i="11"/>
  <c r="Y26" i="5"/>
  <c r="P4" i="9"/>
  <c r="F6" i="27"/>
  <c r="AD5" i="5"/>
  <c r="F31" i="21"/>
  <c r="AO26" i="5"/>
  <c r="AW26" i="5"/>
  <c r="AP26" i="5"/>
  <c r="AF6" i="5"/>
  <c r="AR26" i="5"/>
  <c r="AP134" i="5"/>
  <c r="AT26" i="5"/>
  <c r="AZ65" i="5"/>
  <c r="L58" i="34"/>
  <c r="AZ67" i="5"/>
  <c r="L60" i="34"/>
  <c r="AU26" i="5"/>
  <c r="AX26" i="5"/>
  <c r="AY117" i="5"/>
  <c r="AZ159" i="5"/>
  <c r="AE5" i="5"/>
  <c r="AQ26" i="5"/>
  <c r="AZ29" i="5"/>
  <c r="L68" i="34"/>
  <c r="F48" i="3"/>
  <c r="AZ30" i="5"/>
  <c r="L29" i="34"/>
  <c r="AZ31" i="5"/>
  <c r="L30" i="34"/>
  <c r="AZ32" i="5"/>
  <c r="L69" i="34"/>
  <c r="AZ33" i="5"/>
  <c r="L31" i="34"/>
  <c r="AZ34" i="5"/>
  <c r="L32" i="34"/>
  <c r="AZ41" i="5"/>
  <c r="L38" i="34"/>
  <c r="AZ42" i="5"/>
  <c r="L39" i="34"/>
  <c r="AZ43" i="5"/>
  <c r="L71" i="34"/>
  <c r="AZ69" i="5"/>
  <c r="AZ128" i="5"/>
  <c r="L83" i="34"/>
  <c r="AZ55" i="5"/>
  <c r="L48" i="34"/>
  <c r="AZ56" i="5"/>
  <c r="L49" i="34"/>
  <c r="AZ58" i="5"/>
  <c r="L51" i="34"/>
  <c r="AZ60" i="5"/>
  <c r="L53" i="34"/>
  <c r="AZ61" i="5"/>
  <c r="L54" i="34"/>
  <c r="AZ64" i="5"/>
  <c r="L57" i="34"/>
  <c r="AZ73" i="5"/>
  <c r="AZ162" i="5"/>
  <c r="AZ165" i="5"/>
  <c r="AZ166" i="5"/>
  <c r="AZ167" i="5"/>
  <c r="AZ171" i="5"/>
  <c r="AZ177" i="5"/>
  <c r="AZ178" i="5"/>
  <c r="AZ179" i="5"/>
  <c r="AZ181" i="5"/>
  <c r="AZ182" i="5"/>
  <c r="AZ186" i="5"/>
  <c r="AZ187" i="5"/>
  <c r="AZ189" i="5"/>
  <c r="AZ190" i="5"/>
  <c r="AZ191" i="5"/>
  <c r="AZ193" i="5"/>
  <c r="AZ194" i="5"/>
  <c r="AZ196" i="5"/>
  <c r="AZ201" i="5"/>
  <c r="AZ202" i="5"/>
  <c r="AZ203" i="5"/>
  <c r="AZ204" i="5"/>
  <c r="AZ206" i="5"/>
  <c r="AZ207" i="5"/>
  <c r="AZ210" i="5"/>
  <c r="AZ212" i="5"/>
  <c r="AZ213" i="5"/>
  <c r="AZ214" i="5"/>
  <c r="AZ216" i="5"/>
  <c r="AZ226" i="5"/>
  <c r="AZ228" i="5"/>
  <c r="AZ229" i="5"/>
  <c r="AZ230" i="5"/>
  <c r="AZ231" i="5"/>
  <c r="AZ232" i="5"/>
  <c r="AZ234" i="5"/>
  <c r="AZ235" i="5"/>
  <c r="AZ236" i="5"/>
  <c r="AZ237" i="5"/>
  <c r="AZ238" i="5"/>
  <c r="AZ239" i="5"/>
  <c r="AZ240" i="5"/>
  <c r="AZ242" i="5"/>
  <c r="AZ243" i="5"/>
  <c r="AZ244" i="5"/>
  <c r="AZ245" i="5"/>
  <c r="AZ66" i="5"/>
  <c r="L59" i="34"/>
  <c r="AZ144" i="5"/>
  <c r="AZ176" i="5"/>
  <c r="AZ192" i="5"/>
  <c r="Y246" i="5"/>
  <c r="P9" i="9"/>
  <c r="F11" i="27"/>
  <c r="F3" i="3"/>
  <c r="F5" i="3"/>
  <c r="F7" i="3"/>
  <c r="F9" i="3"/>
  <c r="F11" i="3"/>
  <c r="F13" i="3"/>
  <c r="F39" i="3"/>
  <c r="F41" i="3"/>
  <c r="F43" i="3"/>
  <c r="F45" i="3"/>
  <c r="F47" i="3"/>
  <c r="F49" i="3"/>
  <c r="AZ161" i="5"/>
  <c r="AZ36" i="5"/>
  <c r="L70" i="34"/>
  <c r="AZ68" i="5"/>
  <c r="L61" i="34"/>
  <c r="AS26" i="5"/>
  <c r="AZ158" i="5"/>
  <c r="AZ200" i="5"/>
  <c r="AZ208" i="5"/>
  <c r="AZ48" i="5"/>
  <c r="L42" i="34"/>
  <c r="AZ51" i="5"/>
  <c r="L73" i="34"/>
  <c r="AZ52" i="5"/>
  <c r="L45" i="34"/>
  <c r="AZ70" i="5"/>
  <c r="F4" i="3"/>
  <c r="F6" i="3"/>
  <c r="F8" i="3"/>
  <c r="F10" i="3"/>
  <c r="F12" i="3"/>
  <c r="F14" i="3"/>
  <c r="F40" i="3"/>
  <c r="F42" i="3"/>
  <c r="F44" i="3"/>
  <c r="F46" i="3"/>
  <c r="AZ71" i="5"/>
  <c r="AZ123" i="5"/>
  <c r="L78" i="34"/>
  <c r="AZ124" i="5"/>
  <c r="L79" i="34"/>
  <c r="AZ125" i="5"/>
  <c r="L80" i="34"/>
  <c r="AZ126" i="5"/>
  <c r="L81" i="34"/>
  <c r="AZ127" i="5"/>
  <c r="L82" i="34"/>
  <c r="AZ129" i="5"/>
  <c r="L84" i="34"/>
  <c r="AZ130" i="5"/>
  <c r="L85" i="34"/>
  <c r="AZ131" i="5"/>
  <c r="AZ132" i="5"/>
  <c r="AZ133" i="5"/>
  <c r="AG7" i="5"/>
  <c r="J10" i="9"/>
  <c r="H9" i="9"/>
  <c r="G8" i="9"/>
  <c r="H7" i="9"/>
  <c r="H6" i="9"/>
  <c r="I5" i="9"/>
  <c r="J4" i="9"/>
  <c r="J3" i="9"/>
  <c r="I10" i="9"/>
  <c r="G9" i="9"/>
  <c r="N8" i="9"/>
  <c r="F8" i="9"/>
  <c r="G7" i="9"/>
  <c r="G6" i="9"/>
  <c r="H5" i="9"/>
  <c r="I4" i="9"/>
  <c r="I3" i="9"/>
  <c r="H10" i="9"/>
  <c r="N9" i="9"/>
  <c r="F9" i="9"/>
  <c r="M8" i="9"/>
  <c r="E8" i="9"/>
  <c r="N7" i="9"/>
  <c r="F7" i="9"/>
  <c r="N6" i="9"/>
  <c r="F6" i="9"/>
  <c r="G5" i="9"/>
  <c r="H4" i="9"/>
  <c r="H3" i="9"/>
  <c r="G10" i="9"/>
  <c r="M9" i="9"/>
  <c r="E9" i="9"/>
  <c r="L8" i="9"/>
  <c r="D8" i="9"/>
  <c r="M7" i="9"/>
  <c r="E7" i="9"/>
  <c r="M6" i="9"/>
  <c r="E6" i="9"/>
  <c r="N5" i="9"/>
  <c r="F5" i="9"/>
  <c r="G4" i="9"/>
  <c r="G3" i="9"/>
  <c r="N10" i="9"/>
  <c r="F10" i="9"/>
  <c r="L9" i="9"/>
  <c r="D9" i="9"/>
  <c r="K8" i="9"/>
  <c r="C8" i="9"/>
  <c r="L7" i="9"/>
  <c r="D7" i="9"/>
  <c r="L6" i="9"/>
  <c r="M10" i="9"/>
  <c r="E10" i="9"/>
  <c r="K9" i="9"/>
  <c r="C9" i="9"/>
  <c r="J8" i="9"/>
  <c r="K7" i="9"/>
  <c r="C7" i="9"/>
  <c r="K6" i="9"/>
  <c r="C6" i="9"/>
  <c r="L5" i="9"/>
  <c r="D5" i="9"/>
  <c r="M4" i="9"/>
  <c r="E4" i="9"/>
  <c r="M3" i="9"/>
  <c r="E3" i="9"/>
  <c r="L10" i="9"/>
  <c r="D10" i="9"/>
  <c r="J9" i="9"/>
  <c r="I8" i="9"/>
  <c r="J7" i="9"/>
  <c r="J6" i="9"/>
  <c r="K5" i="9"/>
  <c r="C5" i="9"/>
  <c r="L4" i="9"/>
  <c r="D4" i="9"/>
  <c r="L3" i="9"/>
  <c r="D3" i="9"/>
  <c r="C10" i="9"/>
  <c r="E5" i="9"/>
  <c r="N3" i="9"/>
  <c r="I9" i="9"/>
  <c r="K3" i="9"/>
  <c r="I6" i="9"/>
  <c r="F3" i="9"/>
  <c r="H8" i="9"/>
  <c r="D6" i="9"/>
  <c r="N4" i="9"/>
  <c r="C3" i="9"/>
  <c r="K4" i="9"/>
  <c r="F4" i="9"/>
  <c r="M5" i="9"/>
  <c r="C4" i="9"/>
  <c r="K10" i="9"/>
  <c r="I7" i="9"/>
  <c r="AG337" i="5"/>
  <c r="AF336" i="5"/>
  <c r="AE335" i="5"/>
  <c r="AD334" i="5"/>
  <c r="AK333" i="5"/>
  <c r="AC333" i="5"/>
  <c r="AJ332" i="5"/>
  <c r="AB332" i="5"/>
  <c r="AI331" i="5"/>
  <c r="AA331" i="5"/>
  <c r="E34" i="21"/>
  <c r="E32" i="21"/>
  <c r="E30" i="21"/>
  <c r="E28" i="21"/>
  <c r="E12" i="21"/>
  <c r="E10" i="21"/>
  <c r="E8" i="21"/>
  <c r="E6" i="21"/>
  <c r="AF337" i="5"/>
  <c r="AE336" i="5"/>
  <c r="AD335" i="5"/>
  <c r="AK334" i="5"/>
  <c r="AC334" i="5"/>
  <c r="AJ333" i="5"/>
  <c r="AB333" i="5"/>
  <c r="AI332" i="5"/>
  <c r="AA332" i="5"/>
  <c r="AH331" i="5"/>
  <c r="Z331" i="5"/>
  <c r="AE337" i="5"/>
  <c r="AD336" i="5"/>
  <c r="AK335" i="5"/>
  <c r="AC335" i="5"/>
  <c r="AJ334" i="5"/>
  <c r="AB334" i="5"/>
  <c r="AI333" i="5"/>
  <c r="AA333" i="5"/>
  <c r="AD337" i="5"/>
  <c r="AK336" i="5"/>
  <c r="AC336" i="5"/>
  <c r="AJ335" i="5"/>
  <c r="AB335" i="5"/>
  <c r="AI334" i="5"/>
  <c r="AA334" i="5"/>
  <c r="AH333" i="5"/>
  <c r="Z333" i="5"/>
  <c r="AG332" i="5"/>
  <c r="AK337" i="5"/>
  <c r="AC337" i="5"/>
  <c r="AJ336" i="5"/>
  <c r="AB336" i="5"/>
  <c r="AI335" i="5"/>
  <c r="AA335" i="5"/>
  <c r="AH334" i="5"/>
  <c r="Z334" i="5"/>
  <c r="AG333" i="5"/>
  <c r="J5" i="9"/>
  <c r="E35" i="21"/>
  <c r="E33" i="21"/>
  <c r="E31" i="21"/>
  <c r="E29" i="21"/>
  <c r="E11" i="21"/>
  <c r="E9" i="21"/>
  <c r="E7" i="21"/>
  <c r="E5" i="21"/>
  <c r="AJ337" i="5"/>
  <c r="AB337" i="5"/>
  <c r="AI336" i="5"/>
  <c r="AA336" i="5"/>
  <c r="AH335" i="5"/>
  <c r="Z335" i="5"/>
  <c r="AG334" i="5"/>
  <c r="AF333" i="5"/>
  <c r="AI337" i="5"/>
  <c r="AA337" i="5"/>
  <c r="AH336" i="5"/>
  <c r="Z336" i="5"/>
  <c r="AG335" i="5"/>
  <c r="AH337" i="5"/>
  <c r="Z337" i="5"/>
  <c r="AG336" i="5"/>
  <c r="AF335" i="5"/>
  <c r="AE334" i="5"/>
  <c r="AD333" i="5"/>
  <c r="AD331" i="5"/>
  <c r="AI330" i="5"/>
  <c r="AA330" i="5"/>
  <c r="AH329" i="5"/>
  <c r="Z329" i="5"/>
  <c r="AG328" i="5"/>
  <c r="AF327" i="5"/>
  <c r="AE326" i="5"/>
  <c r="AD325" i="5"/>
  <c r="AK324" i="5"/>
  <c r="AC324" i="5"/>
  <c r="AJ323" i="5"/>
  <c r="AB323" i="5"/>
  <c r="AI322" i="5"/>
  <c r="AA322" i="5"/>
  <c r="AH321" i="5"/>
  <c r="Z321" i="5"/>
  <c r="AG320" i="5"/>
  <c r="AF319" i="5"/>
  <c r="AE318" i="5"/>
  <c r="AD317" i="5"/>
  <c r="AK316" i="5"/>
  <c r="AC316" i="5"/>
  <c r="AJ315" i="5"/>
  <c r="AB315" i="5"/>
  <c r="AI314" i="5"/>
  <c r="AA314" i="5"/>
  <c r="AH313" i="5"/>
  <c r="Z313" i="5"/>
  <c r="AG312" i="5"/>
  <c r="AF311" i="5"/>
  <c r="AE310" i="5"/>
  <c r="AD309" i="5"/>
  <c r="AK308" i="5"/>
  <c r="AC308" i="5"/>
  <c r="AJ307" i="5"/>
  <c r="AB307" i="5"/>
  <c r="AI306" i="5"/>
  <c r="AA306" i="5"/>
  <c r="AH305" i="5"/>
  <c r="Z305" i="5"/>
  <c r="AG304" i="5"/>
  <c r="AF303" i="5"/>
  <c r="AE302" i="5"/>
  <c r="AD301" i="5"/>
  <c r="AK300" i="5"/>
  <c r="AC300" i="5"/>
  <c r="AJ299" i="5"/>
  <c r="AB299" i="5"/>
  <c r="AI298" i="5"/>
  <c r="AA298" i="5"/>
  <c r="AH297" i="5"/>
  <c r="Z297" i="5"/>
  <c r="AG296" i="5"/>
  <c r="AF295" i="5"/>
  <c r="AE294" i="5"/>
  <c r="AD293" i="5"/>
  <c r="AK292" i="5"/>
  <c r="AC292" i="5"/>
  <c r="AJ291" i="5"/>
  <c r="AB291" i="5"/>
  <c r="AI290" i="5"/>
  <c r="AA290" i="5"/>
  <c r="AH289" i="5"/>
  <c r="Z289" i="5"/>
  <c r="AK332" i="5"/>
  <c r="AC331" i="5"/>
  <c r="AH330" i="5"/>
  <c r="Z330" i="5"/>
  <c r="AG329" i="5"/>
  <c r="AF328" i="5"/>
  <c r="AE327" i="5"/>
  <c r="AD326" i="5"/>
  <c r="AK325" i="5"/>
  <c r="AC325" i="5"/>
  <c r="AJ324" i="5"/>
  <c r="AB324" i="5"/>
  <c r="AI323" i="5"/>
  <c r="AA323" i="5"/>
  <c r="AH322" i="5"/>
  <c r="Z322" i="5"/>
  <c r="AG321" i="5"/>
  <c r="AF320" i="5"/>
  <c r="AE319" i="5"/>
  <c r="AD318" i="5"/>
  <c r="AK317" i="5"/>
  <c r="AC317" i="5"/>
  <c r="AJ316" i="5"/>
  <c r="AB316" i="5"/>
  <c r="AI315" i="5"/>
  <c r="AA315" i="5"/>
  <c r="AH314" i="5"/>
  <c r="Z314" i="5"/>
  <c r="AG313" i="5"/>
  <c r="AF312" i="5"/>
  <c r="AE311" i="5"/>
  <c r="AD310" i="5"/>
  <c r="AK309" i="5"/>
  <c r="AC309" i="5"/>
  <c r="AJ308" i="5"/>
  <c r="AB308" i="5"/>
  <c r="AI307" i="5"/>
  <c r="AA307" i="5"/>
  <c r="AH306" i="5"/>
  <c r="Z306" i="5"/>
  <c r="AG305" i="5"/>
  <c r="AF304" i="5"/>
  <c r="AE303" i="5"/>
  <c r="AD302" i="5"/>
  <c r="AK301" i="5"/>
  <c r="AC301" i="5"/>
  <c r="AJ300" i="5"/>
  <c r="AB300" i="5"/>
  <c r="AI299" i="5"/>
  <c r="AA299" i="5"/>
  <c r="AH298" i="5"/>
  <c r="Z298" i="5"/>
  <c r="AG297" i="5"/>
  <c r="AF296" i="5"/>
  <c r="AE295" i="5"/>
  <c r="AD294" i="5"/>
  <c r="AK293" i="5"/>
  <c r="AC293" i="5"/>
  <c r="AJ292" i="5"/>
  <c r="AB292" i="5"/>
  <c r="AI291" i="5"/>
  <c r="AA291" i="5"/>
  <c r="AH290" i="5"/>
  <c r="Z290" i="5"/>
  <c r="AH332" i="5"/>
  <c r="AB331" i="5"/>
  <c r="AG330" i="5"/>
  <c r="AF329" i="5"/>
  <c r="AE328" i="5"/>
  <c r="AD327" i="5"/>
  <c r="AK326" i="5"/>
  <c r="AC326" i="5"/>
  <c r="AJ325" i="5"/>
  <c r="AB325" i="5"/>
  <c r="AI324" i="5"/>
  <c r="AA324" i="5"/>
  <c r="AH323" i="5"/>
  <c r="Z323" i="5"/>
  <c r="AG322" i="5"/>
  <c r="AF321" i="5"/>
  <c r="AE320" i="5"/>
  <c r="AD319" i="5"/>
  <c r="AK318" i="5"/>
  <c r="AC318" i="5"/>
  <c r="AJ317" i="5"/>
  <c r="AB317" i="5"/>
  <c r="AI316" i="5"/>
  <c r="AA316" i="5"/>
  <c r="AH315" i="5"/>
  <c r="Z315" i="5"/>
  <c r="AG314" i="5"/>
  <c r="AF313" i="5"/>
  <c r="AE312" i="5"/>
  <c r="AD311" i="5"/>
  <c r="AK310" i="5"/>
  <c r="AC310" i="5"/>
  <c r="AJ309" i="5"/>
  <c r="AB309" i="5"/>
  <c r="AI308" i="5"/>
  <c r="AA308" i="5"/>
  <c r="AH307" i="5"/>
  <c r="Z307" i="5"/>
  <c r="AG306" i="5"/>
  <c r="AF305" i="5"/>
  <c r="AE304" i="5"/>
  <c r="AD303" i="5"/>
  <c r="AK302" i="5"/>
  <c r="AC302" i="5"/>
  <c r="AJ301" i="5"/>
  <c r="AB301" i="5"/>
  <c r="AI300" i="5"/>
  <c r="AA300" i="5"/>
  <c r="AH299" i="5"/>
  <c r="Z299" i="5"/>
  <c r="AG298" i="5"/>
  <c r="AF297" i="5"/>
  <c r="AE296" i="5"/>
  <c r="AD295" i="5"/>
  <c r="AK294" i="5"/>
  <c r="AC294" i="5"/>
  <c r="AJ293" i="5"/>
  <c r="AB293" i="5"/>
  <c r="AI292" i="5"/>
  <c r="AA292" i="5"/>
  <c r="AH291" i="5"/>
  <c r="Z291" i="5"/>
  <c r="AG290" i="5"/>
  <c r="AF289" i="5"/>
  <c r="AF332" i="5"/>
  <c r="AK331" i="5"/>
  <c r="AF330" i="5"/>
  <c r="AE329" i="5"/>
  <c r="AD328" i="5"/>
  <c r="AK327" i="5"/>
  <c r="AC327" i="5"/>
  <c r="AJ326" i="5"/>
  <c r="AB326" i="5"/>
  <c r="AI325" i="5"/>
  <c r="AA325" i="5"/>
  <c r="AH324" i="5"/>
  <c r="Z324" i="5"/>
  <c r="AG323" i="5"/>
  <c r="AF322" i="5"/>
  <c r="AE321" i="5"/>
  <c r="AD320" i="5"/>
  <c r="AK319" i="5"/>
  <c r="AC319" i="5"/>
  <c r="AJ318" i="5"/>
  <c r="AB318" i="5"/>
  <c r="AI317" i="5"/>
  <c r="AA317" i="5"/>
  <c r="AH316" i="5"/>
  <c r="Z316" i="5"/>
  <c r="AG315" i="5"/>
  <c r="AF314" i="5"/>
  <c r="AE313" i="5"/>
  <c r="AD312" i="5"/>
  <c r="AK311" i="5"/>
  <c r="AC311" i="5"/>
  <c r="AJ310" i="5"/>
  <c r="AB310" i="5"/>
  <c r="AI309" i="5"/>
  <c r="AA309" i="5"/>
  <c r="AH308" i="5"/>
  <c r="Z308" i="5"/>
  <c r="AG307" i="5"/>
  <c r="AF306" i="5"/>
  <c r="AE305" i="5"/>
  <c r="AD304" i="5"/>
  <c r="AK303" i="5"/>
  <c r="AC303" i="5"/>
  <c r="AJ302" i="5"/>
  <c r="AB302" i="5"/>
  <c r="AI301" i="5"/>
  <c r="AA301" i="5"/>
  <c r="AH300" i="5"/>
  <c r="Z300" i="5"/>
  <c r="AG299" i="5"/>
  <c r="AF298" i="5"/>
  <c r="AE297" i="5"/>
  <c r="AD296" i="5"/>
  <c r="AK295" i="5"/>
  <c r="AC295" i="5"/>
  <c r="AJ294" i="5"/>
  <c r="AB294" i="5"/>
  <c r="AI293" i="5"/>
  <c r="AA293" i="5"/>
  <c r="AH292" i="5"/>
  <c r="Z292" i="5"/>
  <c r="AG291" i="5"/>
  <c r="AF290" i="5"/>
  <c r="AE289" i="5"/>
  <c r="AE332" i="5"/>
  <c r="AJ331" i="5"/>
  <c r="AE330" i="5"/>
  <c r="AD329" i="5"/>
  <c r="AK328" i="5"/>
  <c r="AC328" i="5"/>
  <c r="AJ327" i="5"/>
  <c r="AB327" i="5"/>
  <c r="AI326" i="5"/>
  <c r="AA326" i="5"/>
  <c r="AH325" i="5"/>
  <c r="Z325" i="5"/>
  <c r="AG324" i="5"/>
  <c r="AF323" i="5"/>
  <c r="AE322" i="5"/>
  <c r="AD321" i="5"/>
  <c r="AK320" i="5"/>
  <c r="AC320" i="5"/>
  <c r="AJ319" i="5"/>
  <c r="AB319" i="5"/>
  <c r="AI318" i="5"/>
  <c r="AA318" i="5"/>
  <c r="AH317" i="5"/>
  <c r="Z317" i="5"/>
  <c r="AG316" i="5"/>
  <c r="AF315" i="5"/>
  <c r="AE314" i="5"/>
  <c r="AD313" i="5"/>
  <c r="AK312" i="5"/>
  <c r="AC312" i="5"/>
  <c r="AJ311" i="5"/>
  <c r="AB311" i="5"/>
  <c r="AI310" i="5"/>
  <c r="AA310" i="5"/>
  <c r="AH309" i="5"/>
  <c r="Z309" i="5"/>
  <c r="AG308" i="5"/>
  <c r="AF307" i="5"/>
  <c r="AE306" i="5"/>
  <c r="AD305" i="5"/>
  <c r="AK304" i="5"/>
  <c r="AC304" i="5"/>
  <c r="AJ303" i="5"/>
  <c r="AB303" i="5"/>
  <c r="AI302" i="5"/>
  <c r="AA302" i="5"/>
  <c r="AH301" i="5"/>
  <c r="Z301" i="5"/>
  <c r="AG300" i="5"/>
  <c r="AF299" i="5"/>
  <c r="AE298" i="5"/>
  <c r="AD297" i="5"/>
  <c r="AK296" i="5"/>
  <c r="AC296" i="5"/>
  <c r="AJ295" i="5"/>
  <c r="AB295" i="5"/>
  <c r="AI294" i="5"/>
  <c r="AA294" i="5"/>
  <c r="AH293" i="5"/>
  <c r="Z293" i="5"/>
  <c r="AG292" i="5"/>
  <c r="AF291" i="5"/>
  <c r="AE290" i="5"/>
  <c r="AD289" i="5"/>
  <c r="AK288" i="5"/>
  <c r="AC288" i="5"/>
  <c r="AD332" i="5"/>
  <c r="AG331" i="5"/>
  <c r="AD330" i="5"/>
  <c r="AK329" i="5"/>
  <c r="AC329" i="5"/>
  <c r="AJ328" i="5"/>
  <c r="AB328" i="5"/>
  <c r="AI327" i="5"/>
  <c r="AA327" i="5"/>
  <c r="AH326" i="5"/>
  <c r="Z326" i="5"/>
  <c r="AG325" i="5"/>
  <c r="AF324" i="5"/>
  <c r="AE323" i="5"/>
  <c r="AD322" i="5"/>
  <c r="AK321" i="5"/>
  <c r="AC321" i="5"/>
  <c r="AJ320" i="5"/>
  <c r="AB320" i="5"/>
  <c r="AI319" i="5"/>
  <c r="AA319" i="5"/>
  <c r="AH318" i="5"/>
  <c r="Z318" i="5"/>
  <c r="AG317" i="5"/>
  <c r="AF316" i="5"/>
  <c r="AE315" i="5"/>
  <c r="AD314" i="5"/>
  <c r="AK313" i="5"/>
  <c r="AC313" i="5"/>
  <c r="AJ312" i="5"/>
  <c r="AB312" i="5"/>
  <c r="AI311" i="5"/>
  <c r="AA311" i="5"/>
  <c r="AH310" i="5"/>
  <c r="Z310" i="5"/>
  <c r="AG309" i="5"/>
  <c r="AF308" i="5"/>
  <c r="AE307" i="5"/>
  <c r="AD306" i="5"/>
  <c r="AK305" i="5"/>
  <c r="AC305" i="5"/>
  <c r="AJ304" i="5"/>
  <c r="AB304" i="5"/>
  <c r="AI303" i="5"/>
  <c r="AA303" i="5"/>
  <c r="AH302" i="5"/>
  <c r="Z302" i="5"/>
  <c r="AG301" i="5"/>
  <c r="AF300" i="5"/>
  <c r="AE299" i="5"/>
  <c r="AD298" i="5"/>
  <c r="AK297" i="5"/>
  <c r="AC297" i="5"/>
  <c r="AJ296" i="5"/>
  <c r="AB296" i="5"/>
  <c r="AI295" i="5"/>
  <c r="AA295" i="5"/>
  <c r="AH294" i="5"/>
  <c r="Z294" i="5"/>
  <c r="AG293" i="5"/>
  <c r="AF292" i="5"/>
  <c r="AE291" i="5"/>
  <c r="AD290" i="5"/>
  <c r="AK289" i="5"/>
  <c r="AC289" i="5"/>
  <c r="AJ288" i="5"/>
  <c r="AB288" i="5"/>
  <c r="AF334" i="5"/>
  <c r="AC332" i="5"/>
  <c r="AF331" i="5"/>
  <c r="AK330" i="5"/>
  <c r="AC330" i="5"/>
  <c r="AJ329" i="5"/>
  <c r="AB329" i="5"/>
  <c r="AI328" i="5"/>
  <c r="AA328" i="5"/>
  <c r="AH327" i="5"/>
  <c r="Z327" i="5"/>
  <c r="AG326" i="5"/>
  <c r="AF325" i="5"/>
  <c r="AE324" i="5"/>
  <c r="AD323" i="5"/>
  <c r="AK322" i="5"/>
  <c r="AC322" i="5"/>
  <c r="AJ321" i="5"/>
  <c r="AB321" i="5"/>
  <c r="AI320" i="5"/>
  <c r="AA320" i="5"/>
  <c r="AH319" i="5"/>
  <c r="Z319" i="5"/>
  <c r="AG318" i="5"/>
  <c r="AF317" i="5"/>
  <c r="AE316" i="5"/>
  <c r="AD315" i="5"/>
  <c r="AK314" i="5"/>
  <c r="AC314" i="5"/>
  <c r="AJ313" i="5"/>
  <c r="AB313" i="5"/>
  <c r="AI312" i="5"/>
  <c r="AA312" i="5"/>
  <c r="AH311" i="5"/>
  <c r="Z311" i="5"/>
  <c r="AG310" i="5"/>
  <c r="AF309" i="5"/>
  <c r="AE308" i="5"/>
  <c r="AD307" i="5"/>
  <c r="AK306" i="5"/>
  <c r="AC306" i="5"/>
  <c r="AJ305" i="5"/>
  <c r="AB305" i="5"/>
  <c r="AI304" i="5"/>
  <c r="AA304" i="5"/>
  <c r="AH303" i="5"/>
  <c r="Z303" i="5"/>
  <c r="AG302" i="5"/>
  <c r="AF301" i="5"/>
  <c r="AE300" i="5"/>
  <c r="AD299" i="5"/>
  <c r="AK298" i="5"/>
  <c r="AC298" i="5"/>
  <c r="AJ297" i="5"/>
  <c r="AB297" i="5"/>
  <c r="AI296" i="5"/>
  <c r="AA296" i="5"/>
  <c r="AH295" i="5"/>
  <c r="AE333" i="5"/>
  <c r="Z332" i="5"/>
  <c r="AE331" i="5"/>
  <c r="AJ330" i="5"/>
  <c r="AB330" i="5"/>
  <c r="AI329" i="5"/>
  <c r="AA329" i="5"/>
  <c r="AH328" i="5"/>
  <c r="Z328" i="5"/>
  <c r="AG327" i="5"/>
  <c r="AF326" i="5"/>
  <c r="AE325" i="5"/>
  <c r="AD324" i="5"/>
  <c r="AK323" i="5"/>
  <c r="AC323" i="5"/>
  <c r="AJ322" i="5"/>
  <c r="AB322" i="5"/>
  <c r="AI321" i="5"/>
  <c r="AA321" i="5"/>
  <c r="AH320" i="5"/>
  <c r="Z320" i="5"/>
  <c r="AG319" i="5"/>
  <c r="AF318" i="5"/>
  <c r="AE317" i="5"/>
  <c r="AH312" i="5"/>
  <c r="AK307" i="5"/>
  <c r="Z304" i="5"/>
  <c r="AC299" i="5"/>
  <c r="AG295" i="5"/>
  <c r="AD292" i="5"/>
  <c r="AK290" i="5"/>
  <c r="AB289" i="5"/>
  <c r="AD288" i="5"/>
  <c r="AH287" i="5"/>
  <c r="Z287" i="5"/>
  <c r="AG286" i="5"/>
  <c r="AF285" i="5"/>
  <c r="AE284" i="5"/>
  <c r="AD283" i="5"/>
  <c r="AK282" i="5"/>
  <c r="AC282" i="5"/>
  <c r="AJ281" i="5"/>
  <c r="AB281" i="5"/>
  <c r="AI280" i="5"/>
  <c r="AA280" i="5"/>
  <c r="AH279" i="5"/>
  <c r="Z279" i="5"/>
  <c r="AF277" i="5"/>
  <c r="AD276" i="5"/>
  <c r="AJ275" i="5"/>
  <c r="AB275" i="5"/>
  <c r="AI274" i="5"/>
  <c r="AA274" i="5"/>
  <c r="AH273" i="5"/>
  <c r="Z273" i="5"/>
  <c r="AG272" i="5"/>
  <c r="AF271" i="5"/>
  <c r="AE270" i="5"/>
  <c r="AD269" i="5"/>
  <c r="AK268" i="5"/>
  <c r="AC268" i="5"/>
  <c r="AJ267" i="5"/>
  <c r="AB267" i="5"/>
  <c r="AI266" i="5"/>
  <c r="AA266" i="5"/>
  <c r="AH265" i="5"/>
  <c r="Z265" i="5"/>
  <c r="AG264" i="5"/>
  <c r="AF263" i="5"/>
  <c r="AE262" i="5"/>
  <c r="AD261" i="5"/>
  <c r="AK260" i="5"/>
  <c r="AC260" i="5"/>
  <c r="AJ259" i="5"/>
  <c r="AB259" i="5"/>
  <c r="AI258" i="5"/>
  <c r="AA258" i="5"/>
  <c r="AH257" i="5"/>
  <c r="Z257" i="5"/>
  <c r="AG256" i="5"/>
  <c r="AK315" i="5"/>
  <c r="Z312" i="5"/>
  <c r="AC307" i="5"/>
  <c r="AG303" i="5"/>
  <c r="Z295" i="5"/>
  <c r="AJ290" i="5"/>
  <c r="AA289" i="5"/>
  <c r="AA288" i="5"/>
  <c r="AG287" i="5"/>
  <c r="AF286" i="5"/>
  <c r="AE285" i="5"/>
  <c r="AD284" i="5"/>
  <c r="AK283" i="5"/>
  <c r="AC283" i="5"/>
  <c r="AJ282" i="5"/>
  <c r="AB282" i="5"/>
  <c r="AI281" i="5"/>
  <c r="AA281" i="5"/>
  <c r="AH280" i="5"/>
  <c r="Z280" i="5"/>
  <c r="AG279" i="5"/>
  <c r="AE277" i="5"/>
  <c r="AK276" i="5"/>
  <c r="AC276" i="5"/>
  <c r="AI275" i="5"/>
  <c r="AA275" i="5"/>
  <c r="AH274" i="5"/>
  <c r="Z274" i="5"/>
  <c r="AG273" i="5"/>
  <c r="AF272" i="5"/>
  <c r="AE271" i="5"/>
  <c r="AD270" i="5"/>
  <c r="AK269" i="5"/>
  <c r="AC269" i="5"/>
  <c r="AJ268" i="5"/>
  <c r="AB268" i="5"/>
  <c r="AI267" i="5"/>
  <c r="AA267" i="5"/>
  <c r="AH266" i="5"/>
  <c r="Z266" i="5"/>
  <c r="AG265" i="5"/>
  <c r="AF264" i="5"/>
  <c r="AE263" i="5"/>
  <c r="AD262" i="5"/>
  <c r="AK261" i="5"/>
  <c r="AC261" i="5"/>
  <c r="AJ260" i="5"/>
  <c r="AB260" i="5"/>
  <c r="AI259" i="5"/>
  <c r="AA259" i="5"/>
  <c r="AH258" i="5"/>
  <c r="Z258" i="5"/>
  <c r="AG257" i="5"/>
  <c r="AF256" i="5"/>
  <c r="AE255" i="5"/>
  <c r="AD254" i="5"/>
  <c r="AK253" i="5"/>
  <c r="AC253" i="5"/>
  <c r="AJ252" i="5"/>
  <c r="AB252" i="5"/>
  <c r="AC315" i="5"/>
  <c r="AG311" i="5"/>
  <c r="AF302" i="5"/>
  <c r="AJ298" i="5"/>
  <c r="AG294" i="5"/>
  <c r="AC290" i="5"/>
  <c r="Z288" i="5"/>
  <c r="AF287" i="5"/>
  <c r="AE286" i="5"/>
  <c r="AD285" i="5"/>
  <c r="AK284" i="5"/>
  <c r="AC284" i="5"/>
  <c r="AJ283" i="5"/>
  <c r="AB283" i="5"/>
  <c r="AI282" i="5"/>
  <c r="AA282" i="5"/>
  <c r="AH281" i="5"/>
  <c r="Z281" i="5"/>
  <c r="AG280" i="5"/>
  <c r="AF279" i="5"/>
  <c r="AD277" i="5"/>
  <c r="AJ276" i="5"/>
  <c r="AB276" i="5"/>
  <c r="AH275" i="5"/>
  <c r="Z275" i="5"/>
  <c r="AG274" i="5"/>
  <c r="AF273" i="5"/>
  <c r="AE272" i="5"/>
  <c r="AD271" i="5"/>
  <c r="AK270" i="5"/>
  <c r="AC270" i="5"/>
  <c r="AJ269" i="5"/>
  <c r="AB269" i="5"/>
  <c r="AI268" i="5"/>
  <c r="AA268" i="5"/>
  <c r="AH267" i="5"/>
  <c r="Z267" i="5"/>
  <c r="AG266" i="5"/>
  <c r="AF265" i="5"/>
  <c r="AE264" i="5"/>
  <c r="AD263" i="5"/>
  <c r="AK262" i="5"/>
  <c r="AC262" i="5"/>
  <c r="AJ261" i="5"/>
  <c r="AB261" i="5"/>
  <c r="AI260" i="5"/>
  <c r="AA260" i="5"/>
  <c r="AH259" i="5"/>
  <c r="Z259" i="5"/>
  <c r="AG258" i="5"/>
  <c r="AF257" i="5"/>
  <c r="AE256" i="5"/>
  <c r="AD255" i="5"/>
  <c r="AK254" i="5"/>
  <c r="AC254" i="5"/>
  <c r="AJ253" i="5"/>
  <c r="AB253" i="5"/>
  <c r="AI252" i="5"/>
  <c r="AA252" i="5"/>
  <c r="AF310" i="5"/>
  <c r="AJ306" i="5"/>
  <c r="AE301" i="5"/>
  <c r="AB298" i="5"/>
  <c r="AF294" i="5"/>
  <c r="AK291" i="5"/>
  <c r="AB290" i="5"/>
  <c r="AI288" i="5"/>
  <c r="AE287" i="5"/>
  <c r="AD286" i="5"/>
  <c r="AK285" i="5"/>
  <c r="AC285" i="5"/>
  <c r="AJ284" i="5"/>
  <c r="AB284" i="5"/>
  <c r="AI283" i="5"/>
  <c r="AA283" i="5"/>
  <c r="AH282" i="5"/>
  <c r="Z282" i="5"/>
  <c r="AG281" i="5"/>
  <c r="AF280" i="5"/>
  <c r="AE279" i="5"/>
  <c r="AK277" i="5"/>
  <c r="AC277" i="5"/>
  <c r="AI276" i="5"/>
  <c r="AA276" i="5"/>
  <c r="AG275" i="5"/>
  <c r="AF274" i="5"/>
  <c r="AE273" i="5"/>
  <c r="AD272" i="5"/>
  <c r="AK271" i="5"/>
  <c r="AC271" i="5"/>
  <c r="AJ270" i="5"/>
  <c r="AB270" i="5"/>
  <c r="AI269" i="5"/>
  <c r="AA269" i="5"/>
  <c r="AH268" i="5"/>
  <c r="Z268" i="5"/>
  <c r="AG267" i="5"/>
  <c r="AF266" i="5"/>
  <c r="AE265" i="5"/>
  <c r="AD264" i="5"/>
  <c r="AK263" i="5"/>
  <c r="AC263" i="5"/>
  <c r="AJ262" i="5"/>
  <c r="AB262" i="5"/>
  <c r="AI261" i="5"/>
  <c r="AA261" i="5"/>
  <c r="AH260" i="5"/>
  <c r="Z260" i="5"/>
  <c r="AG259" i="5"/>
  <c r="AF258" i="5"/>
  <c r="AE257" i="5"/>
  <c r="AD256" i="5"/>
  <c r="AK255" i="5"/>
  <c r="AC255" i="5"/>
  <c r="AJ254" i="5"/>
  <c r="AB254" i="5"/>
  <c r="AI253" i="5"/>
  <c r="AA253" i="5"/>
  <c r="AH252" i="5"/>
  <c r="Z252" i="5"/>
  <c r="AJ314" i="5"/>
  <c r="AE309" i="5"/>
  <c r="AB306" i="5"/>
  <c r="AI297" i="5"/>
  <c r="AF293" i="5"/>
  <c r="AD291" i="5"/>
  <c r="AH288" i="5"/>
  <c r="AD287" i="5"/>
  <c r="AK286" i="5"/>
  <c r="AC286" i="5"/>
  <c r="AJ285" i="5"/>
  <c r="AB285" i="5"/>
  <c r="AI284" i="5"/>
  <c r="AA284" i="5"/>
  <c r="AH283" i="5"/>
  <c r="Z283" i="5"/>
  <c r="AG282" i="5"/>
  <c r="AF281" i="5"/>
  <c r="AE280" i="5"/>
  <c r="AD279" i="5"/>
  <c r="AJ277" i="5"/>
  <c r="AB277" i="5"/>
  <c r="AH276" i="5"/>
  <c r="Z276" i="5"/>
  <c r="AF275" i="5"/>
  <c r="AE274" i="5"/>
  <c r="AD273" i="5"/>
  <c r="AK272" i="5"/>
  <c r="AC272" i="5"/>
  <c r="AJ271" i="5"/>
  <c r="AB271" i="5"/>
  <c r="AI270" i="5"/>
  <c r="AA270" i="5"/>
  <c r="AH269" i="5"/>
  <c r="Z269" i="5"/>
  <c r="AG268" i="5"/>
  <c r="AF267" i="5"/>
  <c r="AE266" i="5"/>
  <c r="AD265" i="5"/>
  <c r="AK264" i="5"/>
  <c r="AC264" i="5"/>
  <c r="AJ263" i="5"/>
  <c r="AB263" i="5"/>
  <c r="AI262" i="5"/>
  <c r="AA262" i="5"/>
  <c r="AH261" i="5"/>
  <c r="Z261" i="5"/>
  <c r="AG260" i="5"/>
  <c r="AF259" i="5"/>
  <c r="AE258" i="5"/>
  <c r="AD257" i="5"/>
  <c r="AK256" i="5"/>
  <c r="AC256" i="5"/>
  <c r="AJ255" i="5"/>
  <c r="AB255" i="5"/>
  <c r="AI254" i="5"/>
  <c r="AA254" i="5"/>
  <c r="AH253" i="5"/>
  <c r="Z253" i="5"/>
  <c r="AG252" i="5"/>
  <c r="AF251" i="5"/>
  <c r="AE250" i="5"/>
  <c r="AB314" i="5"/>
  <c r="AI305" i="5"/>
  <c r="AD300" i="5"/>
  <c r="AA297" i="5"/>
  <c r="AE293" i="5"/>
  <c r="AC291" i="5"/>
  <c r="AJ289" i="5"/>
  <c r="AG288" i="5"/>
  <c r="AK287" i="5"/>
  <c r="AC287" i="5"/>
  <c r="AJ286" i="5"/>
  <c r="AB286" i="5"/>
  <c r="AI285" i="5"/>
  <c r="AA285" i="5"/>
  <c r="AH284" i="5"/>
  <c r="Z284" i="5"/>
  <c r="AG283" i="5"/>
  <c r="AF282" i="5"/>
  <c r="AE281" i="5"/>
  <c r="AD280" i="5"/>
  <c r="AK279" i="5"/>
  <c r="AC279" i="5"/>
  <c r="AI277" i="5"/>
  <c r="AA277" i="5"/>
  <c r="AG276" i="5"/>
  <c r="AE275" i="5"/>
  <c r="AD274" i="5"/>
  <c r="AK273" i="5"/>
  <c r="AC273" i="5"/>
  <c r="AJ272" i="5"/>
  <c r="AB272" i="5"/>
  <c r="AI271" i="5"/>
  <c r="AA271" i="5"/>
  <c r="AH270" i="5"/>
  <c r="Z270" i="5"/>
  <c r="AG269" i="5"/>
  <c r="AF268" i="5"/>
  <c r="AE267" i="5"/>
  <c r="AD266" i="5"/>
  <c r="AK265" i="5"/>
  <c r="AC265" i="5"/>
  <c r="AJ264" i="5"/>
  <c r="AB264" i="5"/>
  <c r="AI263" i="5"/>
  <c r="AA263" i="5"/>
  <c r="AH262" i="5"/>
  <c r="Z262" i="5"/>
  <c r="AG261" i="5"/>
  <c r="AF260" i="5"/>
  <c r="AE259" i="5"/>
  <c r="AD258" i="5"/>
  <c r="AK257" i="5"/>
  <c r="AC257" i="5"/>
  <c r="AJ256" i="5"/>
  <c r="AB256" i="5"/>
  <c r="AI255" i="5"/>
  <c r="AA255" i="5"/>
  <c r="AH254" i="5"/>
  <c r="Z254" i="5"/>
  <c r="AG253" i="5"/>
  <c r="AF252" i="5"/>
  <c r="AI313" i="5"/>
  <c r="AD308" i="5"/>
  <c r="AA305" i="5"/>
  <c r="AH296" i="5"/>
  <c r="AI289" i="5"/>
  <c r="AF288" i="5"/>
  <c r="AJ287" i="5"/>
  <c r="AB287" i="5"/>
  <c r="AI286" i="5"/>
  <c r="AA286" i="5"/>
  <c r="AH285" i="5"/>
  <c r="Z285" i="5"/>
  <c r="AG284" i="5"/>
  <c r="AF283" i="5"/>
  <c r="AE282" i="5"/>
  <c r="AD281" i="5"/>
  <c r="AK280" i="5"/>
  <c r="AC280" i="5"/>
  <c r="AJ279" i="5"/>
  <c r="AB279" i="5"/>
  <c r="AH277" i="5"/>
  <c r="Z277" i="5"/>
  <c r="AF276" i="5"/>
  <c r="AD275" i="5"/>
  <c r="AK274" i="5"/>
  <c r="AC274" i="5"/>
  <c r="AJ273" i="5"/>
  <c r="AB273" i="5"/>
  <c r="AI272" i="5"/>
  <c r="AA272" i="5"/>
  <c r="AH271" i="5"/>
  <c r="Z271" i="5"/>
  <c r="AG270" i="5"/>
  <c r="AF269" i="5"/>
  <c r="AE268" i="5"/>
  <c r="AD267" i="5"/>
  <c r="AK266" i="5"/>
  <c r="AC266" i="5"/>
  <c r="AJ265" i="5"/>
  <c r="AB265" i="5"/>
  <c r="AI264" i="5"/>
  <c r="AA264" i="5"/>
  <c r="AH263" i="5"/>
  <c r="Z263" i="5"/>
  <c r="AG262" i="5"/>
  <c r="AF261" i="5"/>
  <c r="AE260" i="5"/>
  <c r="AD259" i="5"/>
  <c r="AK258" i="5"/>
  <c r="AC258" i="5"/>
  <c r="AJ257" i="5"/>
  <c r="AB257" i="5"/>
  <c r="AI256" i="5"/>
  <c r="AA256" i="5"/>
  <c r="AH255" i="5"/>
  <c r="Z255" i="5"/>
  <c r="AG254" i="5"/>
  <c r="AF253" i="5"/>
  <c r="AE252" i="5"/>
  <c r="AD251" i="5"/>
  <c r="AD316" i="5"/>
  <c r="AA313" i="5"/>
  <c r="AH304" i="5"/>
  <c r="AK299" i="5"/>
  <c r="Z296" i="5"/>
  <c r="AE292" i="5"/>
  <c r="AG289" i="5"/>
  <c r="AE288" i="5"/>
  <c r="AI287" i="5"/>
  <c r="AA287" i="5"/>
  <c r="AH286" i="5"/>
  <c r="Z286" i="5"/>
  <c r="AG285" i="5"/>
  <c r="AF284" i="5"/>
  <c r="AE283" i="5"/>
  <c r="AD282" i="5"/>
  <c r="AK281" i="5"/>
  <c r="AC281" i="5"/>
  <c r="AJ280" i="5"/>
  <c r="AB280" i="5"/>
  <c r="AI279" i="5"/>
  <c r="AA279" i="5"/>
  <c r="AG277" i="5"/>
  <c r="AE276" i="5"/>
  <c r="AK275" i="5"/>
  <c r="AC275" i="5"/>
  <c r="AJ274" i="5"/>
  <c r="AB274" i="5"/>
  <c r="AI273" i="5"/>
  <c r="AA273" i="5"/>
  <c r="AH272" i="5"/>
  <c r="Z272" i="5"/>
  <c r="AG271" i="5"/>
  <c r="AF270" i="5"/>
  <c r="AE269" i="5"/>
  <c r="AD268" i="5"/>
  <c r="AK267" i="5"/>
  <c r="AC267" i="5"/>
  <c r="AJ266" i="5"/>
  <c r="AB266" i="5"/>
  <c r="AI265" i="5"/>
  <c r="AA265" i="5"/>
  <c r="AH264" i="5"/>
  <c r="Z264" i="5"/>
  <c r="AG263" i="5"/>
  <c r="AF262" i="5"/>
  <c r="AE261" i="5"/>
  <c r="AD260" i="5"/>
  <c r="AK259" i="5"/>
  <c r="AC259" i="5"/>
  <c r="AJ258" i="5"/>
  <c r="AB258" i="5"/>
  <c r="AI257" i="5"/>
  <c r="AA257" i="5"/>
  <c r="AF255" i="5"/>
  <c r="AK252" i="5"/>
  <c r="AH251" i="5"/>
  <c r="AC250" i="5"/>
  <c r="AJ249" i="5"/>
  <c r="AB249" i="5"/>
  <c r="AI248" i="5"/>
  <c r="AA248" i="5"/>
  <c r="AH247" i="5"/>
  <c r="Z247" i="5"/>
  <c r="AF245" i="5"/>
  <c r="AE244" i="5"/>
  <c r="BA244" i="5"/>
  <c r="AD243" i="5"/>
  <c r="AK242" i="5"/>
  <c r="AC242" i="5"/>
  <c r="AJ241" i="5"/>
  <c r="AB241" i="5"/>
  <c r="AI240" i="5"/>
  <c r="AA240" i="5"/>
  <c r="AH239" i="5"/>
  <c r="Z239" i="5"/>
  <c r="AG238" i="5"/>
  <c r="AF237" i="5"/>
  <c r="AE236" i="5"/>
  <c r="BA236" i="5"/>
  <c r="AD235" i="5"/>
  <c r="AK234" i="5"/>
  <c r="AC234" i="5"/>
  <c r="AJ233" i="5"/>
  <c r="AB233" i="5"/>
  <c r="AI232" i="5"/>
  <c r="AA232" i="5"/>
  <c r="AH231" i="5"/>
  <c r="Z231" i="5"/>
  <c r="AG230" i="5"/>
  <c r="AF229" i="5"/>
  <c r="AE228" i="5"/>
  <c r="BA228" i="5"/>
  <c r="AD227" i="5"/>
  <c r="AK226" i="5"/>
  <c r="AC226" i="5"/>
  <c r="AI216" i="5"/>
  <c r="AA216" i="5"/>
  <c r="AH215" i="5"/>
  <c r="Z215" i="5"/>
  <c r="AG214" i="5"/>
  <c r="AF213" i="5"/>
  <c r="AE212" i="5"/>
  <c r="AD211" i="5"/>
  <c r="AK210" i="5"/>
  <c r="AC210" i="5"/>
  <c r="AJ209" i="5"/>
  <c r="AB209" i="5"/>
  <c r="AI208" i="5"/>
  <c r="AA208" i="5"/>
  <c r="AH207" i="5"/>
  <c r="Z207" i="5"/>
  <c r="AG206" i="5"/>
  <c r="AF205" i="5"/>
  <c r="AE204" i="5"/>
  <c r="AD203" i="5"/>
  <c r="AK202" i="5"/>
  <c r="AC202" i="5"/>
  <c r="AJ201" i="5"/>
  <c r="AB201" i="5"/>
  <c r="AI200" i="5"/>
  <c r="AA200" i="5"/>
  <c r="AF254" i="5"/>
  <c r="AD252" i="5"/>
  <c r="AG251" i="5"/>
  <c r="AK250" i="5"/>
  <c r="AB250" i="5"/>
  <c r="AI249" i="5"/>
  <c r="AA249" i="5"/>
  <c r="AH248" i="5"/>
  <c r="Z248" i="5"/>
  <c r="AG247" i="5"/>
  <c r="AE245" i="5"/>
  <c r="BA245" i="5"/>
  <c r="AD244" i="5"/>
  <c r="AK243" i="5"/>
  <c r="AC243" i="5"/>
  <c r="AJ242" i="5"/>
  <c r="AB242" i="5"/>
  <c r="AI241" i="5"/>
  <c r="AA241" i="5"/>
  <c r="AH240" i="5"/>
  <c r="Z240" i="5"/>
  <c r="AG239" i="5"/>
  <c r="AF238" i="5"/>
  <c r="AE237" i="5"/>
  <c r="BA237" i="5"/>
  <c r="AD236" i="5"/>
  <c r="AK235" i="5"/>
  <c r="AC235" i="5"/>
  <c r="AJ234" i="5"/>
  <c r="AB234" i="5"/>
  <c r="AI233" i="5"/>
  <c r="AA233" i="5"/>
  <c r="AH232" i="5"/>
  <c r="Z232" i="5"/>
  <c r="AG231" i="5"/>
  <c r="AF230" i="5"/>
  <c r="AE229" i="5"/>
  <c r="BA229" i="5"/>
  <c r="AD228" i="5"/>
  <c r="AK227" i="5"/>
  <c r="AC227" i="5"/>
  <c r="AJ226" i="5"/>
  <c r="AB226" i="5"/>
  <c r="AH216" i="5"/>
  <c r="Z216" i="5"/>
  <c r="AG215" i="5"/>
  <c r="AF214" i="5"/>
  <c r="AE213" i="5"/>
  <c r="AD212" i="5"/>
  <c r="AK211" i="5"/>
  <c r="AC211" i="5"/>
  <c r="AJ210" i="5"/>
  <c r="AB210" i="5"/>
  <c r="AI209" i="5"/>
  <c r="AA209" i="5"/>
  <c r="AH208" i="5"/>
  <c r="Z208" i="5"/>
  <c r="AG207" i="5"/>
  <c r="AF206" i="5"/>
  <c r="AE205" i="5"/>
  <c r="AD204" i="5"/>
  <c r="AK203" i="5"/>
  <c r="AC203" i="5"/>
  <c r="AJ202" i="5"/>
  <c r="AB202" i="5"/>
  <c r="AI201" i="5"/>
  <c r="AA201" i="5"/>
  <c r="AH200" i="5"/>
  <c r="Z200" i="5"/>
  <c r="AG199" i="5"/>
  <c r="AE254" i="5"/>
  <c r="AC252" i="5"/>
  <c r="AE251" i="5"/>
  <c r="AJ250" i="5"/>
  <c r="AA250" i="5"/>
  <c r="AH249" i="5"/>
  <c r="Z249" i="5"/>
  <c r="AG248" i="5"/>
  <c r="AF247" i="5"/>
  <c r="AD245" i="5"/>
  <c r="AK244" i="5"/>
  <c r="AC244" i="5"/>
  <c r="AJ243" i="5"/>
  <c r="AB243" i="5"/>
  <c r="AI242" i="5"/>
  <c r="AA242" i="5"/>
  <c r="AH241" i="5"/>
  <c r="Z241" i="5"/>
  <c r="AG240" i="5"/>
  <c r="AF239" i="5"/>
  <c r="AE238" i="5"/>
  <c r="BA238" i="5"/>
  <c r="AD237" i="5"/>
  <c r="AK236" i="5"/>
  <c r="AC236" i="5"/>
  <c r="AJ235" i="5"/>
  <c r="AB235" i="5"/>
  <c r="AI234" i="5"/>
  <c r="AA234" i="5"/>
  <c r="AH233" i="5"/>
  <c r="Z233" i="5"/>
  <c r="AG232" i="5"/>
  <c r="AF231" i="5"/>
  <c r="AE230" i="5"/>
  <c r="BA230" i="5"/>
  <c r="AD229" i="5"/>
  <c r="AK228" i="5"/>
  <c r="AC228" i="5"/>
  <c r="AJ227" i="5"/>
  <c r="AB227" i="5"/>
  <c r="AI226" i="5"/>
  <c r="AA226" i="5"/>
  <c r="AG216" i="5"/>
  <c r="AF215" i="5"/>
  <c r="AE214" i="5"/>
  <c r="AD213" i="5"/>
  <c r="AK212" i="5"/>
  <c r="AC212" i="5"/>
  <c r="AJ211" i="5"/>
  <c r="AB211" i="5"/>
  <c r="AI210" i="5"/>
  <c r="AA210" i="5"/>
  <c r="AH209" i="5"/>
  <c r="Z209" i="5"/>
  <c r="AG208" i="5"/>
  <c r="AF207" i="5"/>
  <c r="AE206" i="5"/>
  <c r="AD205" i="5"/>
  <c r="AK204" i="5"/>
  <c r="AC204" i="5"/>
  <c r="AJ203" i="5"/>
  <c r="AB203" i="5"/>
  <c r="AI202" i="5"/>
  <c r="AA202" i="5"/>
  <c r="AH201" i="5"/>
  <c r="Z201" i="5"/>
  <c r="AG200" i="5"/>
  <c r="AF199" i="5"/>
  <c r="AC251" i="5"/>
  <c r="AI250" i="5"/>
  <c r="Z250" i="5"/>
  <c r="AG249" i="5"/>
  <c r="AF248" i="5"/>
  <c r="AE247" i="5"/>
  <c r="AK245" i="5"/>
  <c r="AC245" i="5"/>
  <c r="AJ244" i="5"/>
  <c r="AB244" i="5"/>
  <c r="AI243" i="5"/>
  <c r="AA243" i="5"/>
  <c r="AH242" i="5"/>
  <c r="Z242" i="5"/>
  <c r="AG241" i="5"/>
  <c r="AF240" i="5"/>
  <c r="AE239" i="5"/>
  <c r="BA239" i="5"/>
  <c r="AD238" i="5"/>
  <c r="AK237" i="5"/>
  <c r="AC237" i="5"/>
  <c r="AJ236" i="5"/>
  <c r="AB236" i="5"/>
  <c r="AI235" i="5"/>
  <c r="AA235" i="5"/>
  <c r="AH234" i="5"/>
  <c r="Z234" i="5"/>
  <c r="AG233" i="5"/>
  <c r="AF232" i="5"/>
  <c r="AE231" i="5"/>
  <c r="BA231" i="5"/>
  <c r="AD230" i="5"/>
  <c r="AK229" i="5"/>
  <c r="AC229" i="5"/>
  <c r="AJ228" i="5"/>
  <c r="AB228" i="5"/>
  <c r="AI227" i="5"/>
  <c r="AA227" i="5"/>
  <c r="AH226" i="5"/>
  <c r="Z226" i="5"/>
  <c r="AF216" i="5"/>
  <c r="AE215" i="5"/>
  <c r="AD214" i="5"/>
  <c r="AK213" i="5"/>
  <c r="AC213" i="5"/>
  <c r="AJ212" i="5"/>
  <c r="AB212" i="5"/>
  <c r="AI211" i="5"/>
  <c r="AA211" i="5"/>
  <c r="AH210" i="5"/>
  <c r="Z210" i="5"/>
  <c r="AG209" i="5"/>
  <c r="AF208" i="5"/>
  <c r="AE207" i="5"/>
  <c r="AD206" i="5"/>
  <c r="AK205" i="5"/>
  <c r="AC205" i="5"/>
  <c r="AJ204" i="5"/>
  <c r="AB204" i="5"/>
  <c r="AI203" i="5"/>
  <c r="AA203" i="5"/>
  <c r="AH202" i="5"/>
  <c r="Z202" i="5"/>
  <c r="AG201" i="5"/>
  <c r="AF200" i="5"/>
  <c r="AE199" i="5"/>
  <c r="AD197" i="5"/>
  <c r="AE253" i="5"/>
  <c r="AB251" i="5"/>
  <c r="AH250" i="5"/>
  <c r="AF249" i="5"/>
  <c r="AE248" i="5"/>
  <c r="AD247" i="5"/>
  <c r="AJ245" i="5"/>
  <c r="AB245" i="5"/>
  <c r="AI244" i="5"/>
  <c r="AA244" i="5"/>
  <c r="AH243" i="5"/>
  <c r="Z243" i="5"/>
  <c r="AG242" i="5"/>
  <c r="AF241" i="5"/>
  <c r="AE240" i="5"/>
  <c r="BA240" i="5"/>
  <c r="AD239" i="5"/>
  <c r="AK238" i="5"/>
  <c r="AC238" i="5"/>
  <c r="AJ237" i="5"/>
  <c r="AB237" i="5"/>
  <c r="AI236" i="5"/>
  <c r="AA236" i="5"/>
  <c r="AH235" i="5"/>
  <c r="Z235" i="5"/>
  <c r="AG234" i="5"/>
  <c r="AF233" i="5"/>
  <c r="AE232" i="5"/>
  <c r="BA232" i="5"/>
  <c r="AD231" i="5"/>
  <c r="AK230" i="5"/>
  <c r="AC230" i="5"/>
  <c r="AJ229" i="5"/>
  <c r="AB229" i="5"/>
  <c r="AI228" i="5"/>
  <c r="AA228" i="5"/>
  <c r="AH227" i="5"/>
  <c r="Z227" i="5"/>
  <c r="AG226" i="5"/>
  <c r="AE216" i="5"/>
  <c r="AD215" i="5"/>
  <c r="AK214" i="5"/>
  <c r="AC214" i="5"/>
  <c r="AJ213" i="5"/>
  <c r="AB213" i="5"/>
  <c r="AI212" i="5"/>
  <c r="AA212" i="5"/>
  <c r="AH211" i="5"/>
  <c r="Z211" i="5"/>
  <c r="AG210" i="5"/>
  <c r="AF209" i="5"/>
  <c r="AE208" i="5"/>
  <c r="AD207" i="5"/>
  <c r="AK206" i="5"/>
  <c r="AC206" i="5"/>
  <c r="AJ205" i="5"/>
  <c r="AB205" i="5"/>
  <c r="AI204" i="5"/>
  <c r="AA204" i="5"/>
  <c r="AH203" i="5"/>
  <c r="Z203" i="5"/>
  <c r="AG202" i="5"/>
  <c r="AF201" i="5"/>
  <c r="AE200" i="5"/>
  <c r="AD199" i="5"/>
  <c r="AK197" i="5"/>
  <c r="AC197" i="5"/>
  <c r="AH256" i="5"/>
  <c r="AD253" i="5"/>
  <c r="AK251" i="5"/>
  <c r="AA251" i="5"/>
  <c r="AG250" i="5"/>
  <c r="AE249" i="5"/>
  <c r="AD248" i="5"/>
  <c r="AK247" i="5"/>
  <c r="AC247" i="5"/>
  <c r="AI245" i="5"/>
  <c r="AA245" i="5"/>
  <c r="AH244" i="5"/>
  <c r="Z244" i="5"/>
  <c r="AG243" i="5"/>
  <c r="AF242" i="5"/>
  <c r="AE241" i="5"/>
  <c r="BA241" i="5"/>
  <c r="AD240" i="5"/>
  <c r="AK239" i="5"/>
  <c r="AC239" i="5"/>
  <c r="AJ238" i="5"/>
  <c r="AB238" i="5"/>
  <c r="AI237" i="5"/>
  <c r="AA237" i="5"/>
  <c r="AH236" i="5"/>
  <c r="Z236" i="5"/>
  <c r="AG235" i="5"/>
  <c r="AF234" i="5"/>
  <c r="AE233" i="5"/>
  <c r="BA233" i="5"/>
  <c r="AD232" i="5"/>
  <c r="AK231" i="5"/>
  <c r="AC231" i="5"/>
  <c r="AJ230" i="5"/>
  <c r="AB230" i="5"/>
  <c r="AI229" i="5"/>
  <c r="AA229" i="5"/>
  <c r="AH228" i="5"/>
  <c r="Z228" i="5"/>
  <c r="AG227" i="5"/>
  <c r="AF226" i="5"/>
  <c r="AD216" i="5"/>
  <c r="AK215" i="5"/>
  <c r="AC215" i="5"/>
  <c r="AJ214" i="5"/>
  <c r="AB214" i="5"/>
  <c r="AI213" i="5"/>
  <c r="AA213" i="5"/>
  <c r="AH212" i="5"/>
  <c r="Z212" i="5"/>
  <c r="AG211" i="5"/>
  <c r="AF210" i="5"/>
  <c r="AE209" i="5"/>
  <c r="AD208" i="5"/>
  <c r="AK207" i="5"/>
  <c r="AC207" i="5"/>
  <c r="AJ206" i="5"/>
  <c r="AB206" i="5"/>
  <c r="AI205" i="5"/>
  <c r="AA205" i="5"/>
  <c r="AH204" i="5"/>
  <c r="Z204" i="5"/>
  <c r="AG203" i="5"/>
  <c r="AF202" i="5"/>
  <c r="AE201" i="5"/>
  <c r="AD200" i="5"/>
  <c r="AK199" i="5"/>
  <c r="AC199" i="5"/>
  <c r="AJ197" i="5"/>
  <c r="AB197" i="5"/>
  <c r="Z256" i="5"/>
  <c r="AJ251" i="5"/>
  <c r="Z251" i="5"/>
  <c r="AF250" i="5"/>
  <c r="AD249" i="5"/>
  <c r="AK248" i="5"/>
  <c r="AC248" i="5"/>
  <c r="AJ247" i="5"/>
  <c r="AB247" i="5"/>
  <c r="AH245" i="5"/>
  <c r="Z245" i="5"/>
  <c r="AG244" i="5"/>
  <c r="AF243" i="5"/>
  <c r="AE242" i="5"/>
  <c r="BA242" i="5"/>
  <c r="AD241" i="5"/>
  <c r="AK240" i="5"/>
  <c r="AC240" i="5"/>
  <c r="AJ239" i="5"/>
  <c r="AB239" i="5"/>
  <c r="AI238" i="5"/>
  <c r="AA238" i="5"/>
  <c r="AH237" i="5"/>
  <c r="Z237" i="5"/>
  <c r="AG236" i="5"/>
  <c r="AF235" i="5"/>
  <c r="AE234" i="5"/>
  <c r="BA234" i="5"/>
  <c r="AD233" i="5"/>
  <c r="AK232" i="5"/>
  <c r="AC232" i="5"/>
  <c r="AJ231" i="5"/>
  <c r="AB231" i="5"/>
  <c r="AI230" i="5"/>
  <c r="AA230" i="5"/>
  <c r="AH229" i="5"/>
  <c r="Z229" i="5"/>
  <c r="AG228" i="5"/>
  <c r="AF227" i="5"/>
  <c r="AE226" i="5"/>
  <c r="BA226" i="5"/>
  <c r="AK216" i="5"/>
  <c r="AC216" i="5"/>
  <c r="AJ215" i="5"/>
  <c r="AB215" i="5"/>
  <c r="AI214" i="5"/>
  <c r="AA214" i="5"/>
  <c r="AH213" i="5"/>
  <c r="Z213" i="5"/>
  <c r="AG212" i="5"/>
  <c r="AF211" i="5"/>
  <c r="AE210" i="5"/>
  <c r="AD209" i="5"/>
  <c r="AK208" i="5"/>
  <c r="AC208" i="5"/>
  <c r="AJ207" i="5"/>
  <c r="AB207" i="5"/>
  <c r="AI206" i="5"/>
  <c r="AA206" i="5"/>
  <c r="AH205" i="5"/>
  <c r="Z205" i="5"/>
  <c r="AG204" i="5"/>
  <c r="AF203" i="5"/>
  <c r="AE202" i="5"/>
  <c r="AD201" i="5"/>
  <c r="AK200" i="5"/>
  <c r="AC200" i="5"/>
  <c r="AJ199" i="5"/>
  <c r="AB199" i="5"/>
  <c r="AI197" i="5"/>
  <c r="AA197" i="5"/>
  <c r="AG255" i="5"/>
  <c r="AI251" i="5"/>
  <c r="AD250" i="5"/>
  <c r="AK249" i="5"/>
  <c r="AC249" i="5"/>
  <c r="AJ248" i="5"/>
  <c r="AB248" i="5"/>
  <c r="AI247" i="5"/>
  <c r="AA247" i="5"/>
  <c r="AG245" i="5"/>
  <c r="AF244" i="5"/>
  <c r="AE243" i="5"/>
  <c r="BA243" i="5"/>
  <c r="AD242" i="5"/>
  <c r="AK241" i="5"/>
  <c r="AC241" i="5"/>
  <c r="AJ240" i="5"/>
  <c r="AB240" i="5"/>
  <c r="AI239" i="5"/>
  <c r="AA239" i="5"/>
  <c r="AH238" i="5"/>
  <c r="Z238" i="5"/>
  <c r="AG237" i="5"/>
  <c r="AF236" i="5"/>
  <c r="AE235" i="5"/>
  <c r="BA235" i="5"/>
  <c r="AD234" i="5"/>
  <c r="AK233" i="5"/>
  <c r="AC233" i="5"/>
  <c r="AJ232" i="5"/>
  <c r="AB232" i="5"/>
  <c r="AI231" i="5"/>
  <c r="AA231" i="5"/>
  <c r="AH230" i="5"/>
  <c r="Z230" i="5"/>
  <c r="AG229" i="5"/>
  <c r="AF228" i="5"/>
  <c r="AE227" i="5"/>
  <c r="BA227" i="5"/>
  <c r="AD226" i="5"/>
  <c r="AJ216" i="5"/>
  <c r="AB216" i="5"/>
  <c r="AI215" i="5"/>
  <c r="AA215" i="5"/>
  <c r="AH214" i="5"/>
  <c r="Z214" i="5"/>
  <c r="AG213" i="5"/>
  <c r="AF212" i="5"/>
  <c r="AE211" i="5"/>
  <c r="AD210" i="5"/>
  <c r="AK209" i="5"/>
  <c r="AC209" i="5"/>
  <c r="AJ208" i="5"/>
  <c r="AB208" i="5"/>
  <c r="AI207" i="5"/>
  <c r="AA207" i="5"/>
  <c r="AH206" i="5"/>
  <c r="Z206" i="5"/>
  <c r="AG205" i="5"/>
  <c r="AF204" i="5"/>
  <c r="AE203" i="5"/>
  <c r="AD202" i="5"/>
  <c r="AK201" i="5"/>
  <c r="AC201" i="5"/>
  <c r="AJ200" i="5"/>
  <c r="AB200" i="5"/>
  <c r="AE197" i="5"/>
  <c r="AG196" i="5"/>
  <c r="AF195" i="5"/>
  <c r="AE194" i="5"/>
  <c r="AD193" i="5"/>
  <c r="AK192" i="5"/>
  <c r="AC192" i="5"/>
  <c r="AJ191" i="5"/>
  <c r="AB191" i="5"/>
  <c r="AI190" i="5"/>
  <c r="AA190" i="5"/>
  <c r="AH189" i="5"/>
  <c r="Z189" i="5"/>
  <c r="AG188" i="5"/>
  <c r="AF187" i="5"/>
  <c r="AE186" i="5"/>
  <c r="AD185" i="5"/>
  <c r="AK184" i="5"/>
  <c r="AC184" i="5"/>
  <c r="AJ183" i="5"/>
  <c r="AB183" i="5"/>
  <c r="AI182" i="5"/>
  <c r="AA182" i="5"/>
  <c r="AH181" i="5"/>
  <c r="Z181" i="5"/>
  <c r="AG180" i="5"/>
  <c r="AF179" i="5"/>
  <c r="AE178" i="5"/>
  <c r="AD177" i="5"/>
  <c r="AK176" i="5"/>
  <c r="AC176" i="5"/>
  <c r="AJ175" i="5"/>
  <c r="AB175" i="5"/>
  <c r="AI174" i="5"/>
  <c r="AA174" i="5"/>
  <c r="AH173" i="5"/>
  <c r="Z173" i="5"/>
  <c r="AG172" i="5"/>
  <c r="AF171" i="5"/>
  <c r="AE170" i="5"/>
  <c r="AD169" i="5"/>
  <c r="AK168" i="5"/>
  <c r="AC168" i="5"/>
  <c r="AJ167" i="5"/>
  <c r="AB167" i="5"/>
  <c r="AI166" i="5"/>
  <c r="AA166" i="5"/>
  <c r="AH165" i="5"/>
  <c r="Z165" i="5"/>
  <c r="AG164" i="5"/>
  <c r="AF163" i="5"/>
  <c r="AE162" i="5"/>
  <c r="AK161" i="5"/>
  <c r="AC161" i="5"/>
  <c r="AI160" i="5"/>
  <c r="AA160" i="5"/>
  <c r="AG159" i="5"/>
  <c r="AD158" i="5"/>
  <c r="AJ157" i="5"/>
  <c r="AB157" i="5"/>
  <c r="AI156" i="5"/>
  <c r="AI199" i="5"/>
  <c r="Z197" i="5"/>
  <c r="AF196" i="5"/>
  <c r="AE195" i="5"/>
  <c r="AD194" i="5"/>
  <c r="AK193" i="5"/>
  <c r="AC193" i="5"/>
  <c r="AJ192" i="5"/>
  <c r="AB192" i="5"/>
  <c r="AI191" i="5"/>
  <c r="AA191" i="5"/>
  <c r="AH190" i="5"/>
  <c r="Z190" i="5"/>
  <c r="AG189" i="5"/>
  <c r="AF188" i="5"/>
  <c r="AE187" i="5"/>
  <c r="AD186" i="5"/>
  <c r="AK185" i="5"/>
  <c r="AC185" i="5"/>
  <c r="AJ184" i="5"/>
  <c r="AB184" i="5"/>
  <c r="AI183" i="5"/>
  <c r="AA183" i="5"/>
  <c r="AH182" i="5"/>
  <c r="Z182" i="5"/>
  <c r="AG181" i="5"/>
  <c r="AF180" i="5"/>
  <c r="AE179" i="5"/>
  <c r="AD178" i="5"/>
  <c r="AK177" i="5"/>
  <c r="AC177" i="5"/>
  <c r="AJ176" i="5"/>
  <c r="AB176" i="5"/>
  <c r="AI175" i="5"/>
  <c r="AA175" i="5"/>
  <c r="AH174" i="5"/>
  <c r="Z174" i="5"/>
  <c r="AG173" i="5"/>
  <c r="AF172" i="5"/>
  <c r="AE171" i="5"/>
  <c r="AD170" i="5"/>
  <c r="AK169" i="5"/>
  <c r="AC169" i="5"/>
  <c r="AJ168" i="5"/>
  <c r="AB168" i="5"/>
  <c r="AI167" i="5"/>
  <c r="AA167" i="5"/>
  <c r="AH166" i="5"/>
  <c r="Z166" i="5"/>
  <c r="AG165" i="5"/>
  <c r="AF164" i="5"/>
  <c r="AE163" i="5"/>
  <c r="AD162" i="5"/>
  <c r="AJ161" i="5"/>
  <c r="AB161" i="5"/>
  <c r="AH160" i="5"/>
  <c r="Z160" i="5"/>
  <c r="AF159" i="5"/>
  <c r="AK158" i="5"/>
  <c r="AC158" i="5"/>
  <c r="AI157" i="5"/>
  <c r="AA157" i="5"/>
  <c r="AH199" i="5"/>
  <c r="AE196" i="5"/>
  <c r="AD195" i="5"/>
  <c r="AK194" i="5"/>
  <c r="AC194" i="5"/>
  <c r="AJ193" i="5"/>
  <c r="AB193" i="5"/>
  <c r="AI192" i="5"/>
  <c r="AA192" i="5"/>
  <c r="AH191" i="5"/>
  <c r="Z191" i="5"/>
  <c r="AG190" i="5"/>
  <c r="AF189" i="5"/>
  <c r="AE188" i="5"/>
  <c r="AD187" i="5"/>
  <c r="AK186" i="5"/>
  <c r="AC186" i="5"/>
  <c r="AJ185" i="5"/>
  <c r="AB185" i="5"/>
  <c r="AI184" i="5"/>
  <c r="AA184" i="5"/>
  <c r="AH183" i="5"/>
  <c r="Z183" i="5"/>
  <c r="AG182" i="5"/>
  <c r="AF181" i="5"/>
  <c r="AE180" i="5"/>
  <c r="AD179" i="5"/>
  <c r="AK178" i="5"/>
  <c r="AC178" i="5"/>
  <c r="AJ177" i="5"/>
  <c r="AB177" i="5"/>
  <c r="AI176" i="5"/>
  <c r="AA176" i="5"/>
  <c r="AH175" i="5"/>
  <c r="Z175" i="5"/>
  <c r="AG174" i="5"/>
  <c r="AF173" i="5"/>
  <c r="AE172" i="5"/>
  <c r="AD171" i="5"/>
  <c r="AK170" i="5"/>
  <c r="AC170" i="5"/>
  <c r="AJ169" i="5"/>
  <c r="AB169" i="5"/>
  <c r="AI168" i="5"/>
  <c r="AA168" i="5"/>
  <c r="AH167" i="5"/>
  <c r="Z167" i="5"/>
  <c r="AG166" i="5"/>
  <c r="AF165" i="5"/>
  <c r="AE164" i="5"/>
  <c r="AD163" i="5"/>
  <c r="AK162" i="5"/>
  <c r="AC162" i="5"/>
  <c r="AI161" i="5"/>
  <c r="AA161" i="5"/>
  <c r="AG160" i="5"/>
  <c r="AE159" i="5"/>
  <c r="AJ158" i="5"/>
  <c r="AB158" i="5"/>
  <c r="AH157" i="5"/>
  <c r="Z157" i="5"/>
  <c r="AG156" i="5"/>
  <c r="AA199" i="5"/>
  <c r="AD196" i="5"/>
  <c r="AK195" i="5"/>
  <c r="AC195" i="5"/>
  <c r="AJ194" i="5"/>
  <c r="AB194" i="5"/>
  <c r="AI193" i="5"/>
  <c r="AA193" i="5"/>
  <c r="AH192" i="5"/>
  <c r="Z192" i="5"/>
  <c r="AG191" i="5"/>
  <c r="AF190" i="5"/>
  <c r="AE189" i="5"/>
  <c r="AD188" i="5"/>
  <c r="AK187" i="5"/>
  <c r="AC187" i="5"/>
  <c r="AJ186" i="5"/>
  <c r="AB186" i="5"/>
  <c r="AI185" i="5"/>
  <c r="AA185" i="5"/>
  <c r="AH184" i="5"/>
  <c r="Z184" i="5"/>
  <c r="AG183" i="5"/>
  <c r="AF182" i="5"/>
  <c r="AE181" i="5"/>
  <c r="AD180" i="5"/>
  <c r="AK179" i="5"/>
  <c r="AC179" i="5"/>
  <c r="AJ178" i="5"/>
  <c r="AB178" i="5"/>
  <c r="AI177" i="5"/>
  <c r="AA177" i="5"/>
  <c r="AH176" i="5"/>
  <c r="Z176" i="5"/>
  <c r="AG175" i="5"/>
  <c r="AF174" i="5"/>
  <c r="AE173" i="5"/>
  <c r="AD172" i="5"/>
  <c r="AK171" i="5"/>
  <c r="AC171" i="5"/>
  <c r="AJ170" i="5"/>
  <c r="AB170" i="5"/>
  <c r="AI169" i="5"/>
  <c r="AA169" i="5"/>
  <c r="AH168" i="5"/>
  <c r="Z168" i="5"/>
  <c r="AG167" i="5"/>
  <c r="AF166" i="5"/>
  <c r="AE165" i="5"/>
  <c r="AD164" i="5"/>
  <c r="AK163" i="5"/>
  <c r="AC163" i="5"/>
  <c r="AJ162" i="5"/>
  <c r="AB162" i="5"/>
  <c r="AH161" i="5"/>
  <c r="Z161" i="5"/>
  <c r="AF160" i="5"/>
  <c r="AD159" i="5"/>
  <c r="AI158" i="5"/>
  <c r="AA158" i="5"/>
  <c r="AG157" i="5"/>
  <c r="AF156" i="5"/>
  <c r="AD155" i="5"/>
  <c r="AJ154" i="5"/>
  <c r="Z199" i="5"/>
  <c r="AK196" i="5"/>
  <c r="AC196" i="5"/>
  <c r="AJ195" i="5"/>
  <c r="AB195" i="5"/>
  <c r="AI194" i="5"/>
  <c r="AA194" i="5"/>
  <c r="AH193" i="5"/>
  <c r="Z193" i="5"/>
  <c r="AG192" i="5"/>
  <c r="AF191" i="5"/>
  <c r="AE190" i="5"/>
  <c r="AD189" i="5"/>
  <c r="AK188" i="5"/>
  <c r="AC188" i="5"/>
  <c r="AJ187" i="5"/>
  <c r="AB187" i="5"/>
  <c r="AI186" i="5"/>
  <c r="AA186" i="5"/>
  <c r="AH185" i="5"/>
  <c r="Z185" i="5"/>
  <c r="AG184" i="5"/>
  <c r="AF183" i="5"/>
  <c r="AE182" i="5"/>
  <c r="AD181" i="5"/>
  <c r="AK180" i="5"/>
  <c r="AC180" i="5"/>
  <c r="AJ179" i="5"/>
  <c r="AB179" i="5"/>
  <c r="AI178" i="5"/>
  <c r="AA178" i="5"/>
  <c r="AH177" i="5"/>
  <c r="Z177" i="5"/>
  <c r="AG176" i="5"/>
  <c r="AF175" i="5"/>
  <c r="AE174" i="5"/>
  <c r="AD173" i="5"/>
  <c r="AK172" i="5"/>
  <c r="AC172" i="5"/>
  <c r="AJ171" i="5"/>
  <c r="AB171" i="5"/>
  <c r="AI170" i="5"/>
  <c r="AA170" i="5"/>
  <c r="AH169" i="5"/>
  <c r="Z169" i="5"/>
  <c r="AG168" i="5"/>
  <c r="AF167" i="5"/>
  <c r="AE166" i="5"/>
  <c r="AD165" i="5"/>
  <c r="AK164" i="5"/>
  <c r="AC164" i="5"/>
  <c r="AJ163" i="5"/>
  <c r="AB163" i="5"/>
  <c r="AI162" i="5"/>
  <c r="AA162" i="5"/>
  <c r="AG161" i="5"/>
  <c r="AE160" i="5"/>
  <c r="AK159" i="5"/>
  <c r="AC159" i="5"/>
  <c r="AH158" i="5"/>
  <c r="Z158" i="5"/>
  <c r="AF157" i="5"/>
  <c r="AH197" i="5"/>
  <c r="AJ196" i="5"/>
  <c r="AB196" i="5"/>
  <c r="AI195" i="5"/>
  <c r="AA195" i="5"/>
  <c r="AH194" i="5"/>
  <c r="Z194" i="5"/>
  <c r="AG193" i="5"/>
  <c r="AF192" i="5"/>
  <c r="AE191" i="5"/>
  <c r="AD190" i="5"/>
  <c r="AK189" i="5"/>
  <c r="AC189" i="5"/>
  <c r="AJ188" i="5"/>
  <c r="AB188" i="5"/>
  <c r="AI187" i="5"/>
  <c r="AA187" i="5"/>
  <c r="AH186" i="5"/>
  <c r="Z186" i="5"/>
  <c r="AG185" i="5"/>
  <c r="AF184" i="5"/>
  <c r="AE183" i="5"/>
  <c r="AD182" i="5"/>
  <c r="AK181" i="5"/>
  <c r="AC181" i="5"/>
  <c r="AJ180" i="5"/>
  <c r="AB180" i="5"/>
  <c r="AI179" i="5"/>
  <c r="AA179" i="5"/>
  <c r="AH178" i="5"/>
  <c r="Z178" i="5"/>
  <c r="AG177" i="5"/>
  <c r="AF176" i="5"/>
  <c r="AE175" i="5"/>
  <c r="AD174" i="5"/>
  <c r="AK173" i="5"/>
  <c r="AC173" i="5"/>
  <c r="AJ172" i="5"/>
  <c r="AB172" i="5"/>
  <c r="AI171" i="5"/>
  <c r="AA171" i="5"/>
  <c r="AH170" i="5"/>
  <c r="Z170" i="5"/>
  <c r="AG169" i="5"/>
  <c r="AF168" i="5"/>
  <c r="AE167" i="5"/>
  <c r="AD166" i="5"/>
  <c r="AK165" i="5"/>
  <c r="AC165" i="5"/>
  <c r="AJ164" i="5"/>
  <c r="AB164" i="5"/>
  <c r="AI163" i="5"/>
  <c r="AA163" i="5"/>
  <c r="AH162" i="5"/>
  <c r="Z162" i="5"/>
  <c r="AF161" i="5"/>
  <c r="AD160" i="5"/>
  <c r="AJ159" i="5"/>
  <c r="AB159" i="5"/>
  <c r="AG158" i="5"/>
  <c r="AE157" i="5"/>
  <c r="AD156" i="5"/>
  <c r="AJ155" i="5"/>
  <c r="AB155" i="5"/>
  <c r="AH154" i="5"/>
  <c r="AG197" i="5"/>
  <c r="AI196" i="5"/>
  <c r="AA196" i="5"/>
  <c r="AH195" i="5"/>
  <c r="Z195" i="5"/>
  <c r="AG194" i="5"/>
  <c r="AF193" i="5"/>
  <c r="AE192" i="5"/>
  <c r="AD191" i="5"/>
  <c r="AK190" i="5"/>
  <c r="AC190" i="5"/>
  <c r="AJ189" i="5"/>
  <c r="AB189" i="5"/>
  <c r="AI188" i="5"/>
  <c r="AA188" i="5"/>
  <c r="AH187" i="5"/>
  <c r="Z187" i="5"/>
  <c r="AG186" i="5"/>
  <c r="AF185" i="5"/>
  <c r="AE184" i="5"/>
  <c r="AD183" i="5"/>
  <c r="AK182" i="5"/>
  <c r="AC182" i="5"/>
  <c r="AJ181" i="5"/>
  <c r="AB181" i="5"/>
  <c r="AI180" i="5"/>
  <c r="AA180" i="5"/>
  <c r="AH179" i="5"/>
  <c r="Z179" i="5"/>
  <c r="AG178" i="5"/>
  <c r="AF177" i="5"/>
  <c r="AE176" i="5"/>
  <c r="AD175" i="5"/>
  <c r="AK174" i="5"/>
  <c r="AC174" i="5"/>
  <c r="AJ173" i="5"/>
  <c r="AB173" i="5"/>
  <c r="AI172" i="5"/>
  <c r="AA172" i="5"/>
  <c r="AH171" i="5"/>
  <c r="Z171" i="5"/>
  <c r="AG170" i="5"/>
  <c r="AF169" i="5"/>
  <c r="AE168" i="5"/>
  <c r="AD167" i="5"/>
  <c r="AK166" i="5"/>
  <c r="AC166" i="5"/>
  <c r="AJ165" i="5"/>
  <c r="AB165" i="5"/>
  <c r="AI164" i="5"/>
  <c r="AA164" i="5"/>
  <c r="AH163" i="5"/>
  <c r="Z163" i="5"/>
  <c r="AG162" i="5"/>
  <c r="AE161" i="5"/>
  <c r="AK160" i="5"/>
  <c r="AC160" i="5"/>
  <c r="AI159" i="5"/>
  <c r="AA159" i="5"/>
  <c r="AF158" i="5"/>
  <c r="AD157" i="5"/>
  <c r="AK156" i="5"/>
  <c r="AC156" i="5"/>
  <c r="AI155" i="5"/>
  <c r="AF197" i="5"/>
  <c r="AH196" i="5"/>
  <c r="Z196" i="5"/>
  <c r="AG195" i="5"/>
  <c r="AF194" i="5"/>
  <c r="AE193" i="5"/>
  <c r="AD192" i="5"/>
  <c r="AK191" i="5"/>
  <c r="AC191" i="5"/>
  <c r="AJ190" i="5"/>
  <c r="AB190" i="5"/>
  <c r="AI189" i="5"/>
  <c r="AA189" i="5"/>
  <c r="AH188" i="5"/>
  <c r="Z188" i="5"/>
  <c r="AG187" i="5"/>
  <c r="AF186" i="5"/>
  <c r="AE185" i="5"/>
  <c r="AD184" i="5"/>
  <c r="AK183" i="5"/>
  <c r="AC183" i="5"/>
  <c r="AJ182" i="5"/>
  <c r="AB182" i="5"/>
  <c r="AI181" i="5"/>
  <c r="AA181" i="5"/>
  <c r="AH180" i="5"/>
  <c r="Z180" i="5"/>
  <c r="AG179" i="5"/>
  <c r="AF178" i="5"/>
  <c r="AE177" i="5"/>
  <c r="AD176" i="5"/>
  <c r="AK175" i="5"/>
  <c r="AC175" i="5"/>
  <c r="AJ174" i="5"/>
  <c r="AB174" i="5"/>
  <c r="AI173" i="5"/>
  <c r="AA173" i="5"/>
  <c r="AH172" i="5"/>
  <c r="Z172" i="5"/>
  <c r="AG171" i="5"/>
  <c r="AF170" i="5"/>
  <c r="AE169" i="5"/>
  <c r="AD168" i="5"/>
  <c r="AK167" i="5"/>
  <c r="AC167" i="5"/>
  <c r="AJ166" i="5"/>
  <c r="AB166" i="5"/>
  <c r="AI165" i="5"/>
  <c r="AA165" i="5"/>
  <c r="AH164" i="5"/>
  <c r="Z164" i="5"/>
  <c r="AG163" i="5"/>
  <c r="AF162" i="5"/>
  <c r="AD161" i="5"/>
  <c r="AJ160" i="5"/>
  <c r="AB160" i="5"/>
  <c r="AH159" i="5"/>
  <c r="Z159" i="5"/>
  <c r="AE158" i="5"/>
  <c r="AK157" i="5"/>
  <c r="AC157" i="5"/>
  <c r="AJ156" i="5"/>
  <c r="AB156" i="5"/>
  <c r="AH155" i="5"/>
  <c r="AK154" i="5"/>
  <c r="AA154" i="5"/>
  <c r="AG153" i="5"/>
  <c r="AE152" i="5"/>
  <c r="AK151" i="5"/>
  <c r="AC151" i="5"/>
  <c r="AI150" i="5"/>
  <c r="AA150" i="5"/>
  <c r="AG149" i="5"/>
  <c r="AE148" i="5"/>
  <c r="AK147" i="5"/>
  <c r="AC147" i="5"/>
  <c r="AI146" i="5"/>
  <c r="AA146" i="5"/>
  <c r="AG145" i="5"/>
  <c r="AE144" i="5"/>
  <c r="AK143" i="5"/>
  <c r="AC143" i="5"/>
  <c r="AI142" i="5"/>
  <c r="AA142" i="5"/>
  <c r="AG141" i="5"/>
  <c r="AF140" i="5"/>
  <c r="AE139" i="5"/>
  <c r="AD138" i="5"/>
  <c r="AK137" i="5"/>
  <c r="AC137" i="5"/>
  <c r="AJ136" i="5"/>
  <c r="AB136" i="5"/>
  <c r="AH135" i="5"/>
  <c r="Z135" i="5"/>
  <c r="AD133" i="5"/>
  <c r="AK132" i="5"/>
  <c r="AC132" i="5"/>
  <c r="AJ131" i="5"/>
  <c r="AB131" i="5"/>
  <c r="AI130" i="5"/>
  <c r="AA130" i="5"/>
  <c r="AH129" i="5"/>
  <c r="Z129" i="5"/>
  <c r="AG128" i="5"/>
  <c r="AF127" i="5"/>
  <c r="AE126" i="5"/>
  <c r="H133" i="27"/>
  <c r="O81" i="34"/>
  <c r="AD125" i="5"/>
  <c r="AK124" i="5"/>
  <c r="AC124" i="5"/>
  <c r="AJ123" i="5"/>
  <c r="AB123" i="5"/>
  <c r="AI122" i="5"/>
  <c r="AA122" i="5"/>
  <c r="AH120" i="5"/>
  <c r="Z120" i="5"/>
  <c r="AG119" i="5"/>
  <c r="AF118" i="5"/>
  <c r="AE117" i="5"/>
  <c r="AD116" i="5"/>
  <c r="AK115" i="5"/>
  <c r="AC115" i="5"/>
  <c r="AJ114" i="5"/>
  <c r="AB114" i="5"/>
  <c r="AI113" i="5"/>
  <c r="AA113" i="5"/>
  <c r="AH112" i="5"/>
  <c r="Z112" i="5"/>
  <c r="AG111" i="5"/>
  <c r="AF110" i="5"/>
  <c r="AE109" i="5"/>
  <c r="AD108" i="5"/>
  <c r="AK107" i="5"/>
  <c r="AC107" i="5"/>
  <c r="AJ106" i="5"/>
  <c r="AB106" i="5"/>
  <c r="AI105" i="5"/>
  <c r="AA105" i="5"/>
  <c r="AH104" i="5"/>
  <c r="Z104" i="5"/>
  <c r="AH102" i="5"/>
  <c r="Z102" i="5"/>
  <c r="AG101" i="5"/>
  <c r="AF100" i="5"/>
  <c r="AE99" i="5"/>
  <c r="AD98" i="5"/>
  <c r="AK97" i="5"/>
  <c r="AC97" i="5"/>
  <c r="AJ96" i="5"/>
  <c r="AB96" i="5"/>
  <c r="AI95" i="5"/>
  <c r="AA95" i="5"/>
  <c r="AH94" i="5"/>
  <c r="Z94" i="5"/>
  <c r="AG93" i="5"/>
  <c r="AF92" i="5"/>
  <c r="AE91" i="5"/>
  <c r="H169" i="27"/>
  <c r="O101" i="34"/>
  <c r="AD90" i="5"/>
  <c r="AK89" i="5"/>
  <c r="AC89" i="5"/>
  <c r="AJ88" i="5"/>
  <c r="AB88" i="5"/>
  <c r="AI87" i="5"/>
  <c r="AA87" i="5"/>
  <c r="AH86" i="5"/>
  <c r="Z86" i="5"/>
  <c r="AG85" i="5"/>
  <c r="AF84" i="5"/>
  <c r="AE83" i="5"/>
  <c r="H161" i="27"/>
  <c r="O93" i="34"/>
  <c r="AD82" i="5"/>
  <c r="AK81" i="5"/>
  <c r="AC81" i="5"/>
  <c r="AJ80" i="5"/>
  <c r="AB80" i="5"/>
  <c r="AI79" i="5"/>
  <c r="AA79" i="5"/>
  <c r="AC78" i="5"/>
  <c r="AJ77" i="5"/>
  <c r="AB77" i="5"/>
  <c r="AI76" i="5"/>
  <c r="AA76" i="5"/>
  <c r="AK75" i="5"/>
  <c r="AC75" i="5"/>
  <c r="AJ73" i="5"/>
  <c r="AG155" i="5"/>
  <c r="AI154" i="5"/>
  <c r="Z154" i="5"/>
  <c r="AF153" i="5"/>
  <c r="AD152" i="5"/>
  <c r="AJ151" i="5"/>
  <c r="AB151" i="5"/>
  <c r="AH150" i="5"/>
  <c r="Z150" i="5"/>
  <c r="AF149" i="5"/>
  <c r="AD148" i="5"/>
  <c r="AJ147" i="5"/>
  <c r="AB147" i="5"/>
  <c r="AH146" i="5"/>
  <c r="Z146" i="5"/>
  <c r="AF145" i="5"/>
  <c r="AD144" i="5"/>
  <c r="AJ143" i="5"/>
  <c r="AB143" i="5"/>
  <c r="AH142" i="5"/>
  <c r="Z142" i="5"/>
  <c r="AF141" i="5"/>
  <c r="AE140" i="5"/>
  <c r="AD139" i="5"/>
  <c r="AK138" i="5"/>
  <c r="AC138" i="5"/>
  <c r="AJ137" i="5"/>
  <c r="AB137" i="5"/>
  <c r="AI136" i="5"/>
  <c r="AA136" i="5"/>
  <c r="AG135" i="5"/>
  <c r="AK133" i="5"/>
  <c r="AC133" i="5"/>
  <c r="AJ132" i="5"/>
  <c r="AB132" i="5"/>
  <c r="AI131" i="5"/>
  <c r="AA131" i="5"/>
  <c r="AH130" i="5"/>
  <c r="Z130" i="5"/>
  <c r="AG129" i="5"/>
  <c r="AF128" i="5"/>
  <c r="AE127" i="5"/>
  <c r="H134" i="27"/>
  <c r="O82" i="34"/>
  <c r="AD126" i="5"/>
  <c r="AK125" i="5"/>
  <c r="AC125" i="5"/>
  <c r="AJ124" i="5"/>
  <c r="AB124" i="5"/>
  <c r="AI123" i="5"/>
  <c r="AA123" i="5"/>
  <c r="AH122" i="5"/>
  <c r="Z122" i="5"/>
  <c r="AG120" i="5"/>
  <c r="AF119" i="5"/>
  <c r="AE118" i="5"/>
  <c r="AD117" i="5"/>
  <c r="AK116" i="5"/>
  <c r="AC116" i="5"/>
  <c r="AJ115" i="5"/>
  <c r="AB115" i="5"/>
  <c r="AI114" i="5"/>
  <c r="AA114" i="5"/>
  <c r="AH113" i="5"/>
  <c r="Z113" i="5"/>
  <c r="AG112" i="5"/>
  <c r="AF111" i="5"/>
  <c r="AE110" i="5"/>
  <c r="AD109" i="5"/>
  <c r="AK108" i="5"/>
  <c r="AC108" i="5"/>
  <c r="AJ107" i="5"/>
  <c r="AB107" i="5"/>
  <c r="AI106" i="5"/>
  <c r="AA106" i="5"/>
  <c r="AH105" i="5"/>
  <c r="Z105" i="5"/>
  <c r="AG104" i="5"/>
  <c r="AG102" i="5"/>
  <c r="AF101" i="5"/>
  <c r="AE100" i="5"/>
  <c r="AD99" i="5"/>
  <c r="AK98" i="5"/>
  <c r="AC98" i="5"/>
  <c r="AJ97" i="5"/>
  <c r="AB97" i="5"/>
  <c r="AI96" i="5"/>
  <c r="AA96" i="5"/>
  <c r="AH95" i="5"/>
  <c r="Z95" i="5"/>
  <c r="AG94" i="5"/>
  <c r="AF93" i="5"/>
  <c r="AE92" i="5"/>
  <c r="AD91" i="5"/>
  <c r="AK90" i="5"/>
  <c r="AC90" i="5"/>
  <c r="AJ89" i="5"/>
  <c r="AB89" i="5"/>
  <c r="AI88" i="5"/>
  <c r="AA88" i="5"/>
  <c r="AH87" i="5"/>
  <c r="Z87" i="5"/>
  <c r="AG86" i="5"/>
  <c r="AF85" i="5"/>
  <c r="AE84" i="5"/>
  <c r="H162" i="27"/>
  <c r="O94" i="34"/>
  <c r="AD83" i="5"/>
  <c r="AK82" i="5"/>
  <c r="AC82" i="5"/>
  <c r="AJ81" i="5"/>
  <c r="AB81" i="5"/>
  <c r="AI80" i="5"/>
  <c r="AA80" i="5"/>
  <c r="AH79" i="5"/>
  <c r="Z79" i="5"/>
  <c r="AB78" i="5"/>
  <c r="AI77" i="5"/>
  <c r="AA77" i="5"/>
  <c r="AH76" i="5"/>
  <c r="Z76" i="5"/>
  <c r="AJ75" i="5"/>
  <c r="AB75" i="5"/>
  <c r="AG73" i="5"/>
  <c r="AK72" i="5"/>
  <c r="Z71" i="5"/>
  <c r="AF155" i="5"/>
  <c r="AG154" i="5"/>
  <c r="AE153" i="5"/>
  <c r="AK152" i="5"/>
  <c r="AC152" i="5"/>
  <c r="AI151" i="5"/>
  <c r="AA151" i="5"/>
  <c r="AG150" i="5"/>
  <c r="AE149" i="5"/>
  <c r="AK148" i="5"/>
  <c r="AC148" i="5"/>
  <c r="AI147" i="5"/>
  <c r="AA147" i="5"/>
  <c r="AG146" i="5"/>
  <c r="AE145" i="5"/>
  <c r="AK144" i="5"/>
  <c r="AC144" i="5"/>
  <c r="AI143" i="5"/>
  <c r="AA143" i="5"/>
  <c r="AG142" i="5"/>
  <c r="AE141" i="5"/>
  <c r="AD140" i="5"/>
  <c r="AK139" i="5"/>
  <c r="AC139" i="5"/>
  <c r="AJ138" i="5"/>
  <c r="AB138" i="5"/>
  <c r="AI137" i="5"/>
  <c r="AA137" i="5"/>
  <c r="AH136" i="5"/>
  <c r="Z136" i="5"/>
  <c r="AF135" i="5"/>
  <c r="AJ133" i="5"/>
  <c r="AB133" i="5"/>
  <c r="AI132" i="5"/>
  <c r="AA132" i="5"/>
  <c r="AH131" i="5"/>
  <c r="Z131" i="5"/>
  <c r="AG130" i="5"/>
  <c r="AF129" i="5"/>
  <c r="AE128" i="5"/>
  <c r="H135" i="27"/>
  <c r="O83" i="34"/>
  <c r="AD127" i="5"/>
  <c r="AK126" i="5"/>
  <c r="AC126" i="5"/>
  <c r="AJ125" i="5"/>
  <c r="AB125" i="5"/>
  <c r="AI124" i="5"/>
  <c r="AA124" i="5"/>
  <c r="AH123" i="5"/>
  <c r="Z123" i="5"/>
  <c r="AG122" i="5"/>
  <c r="AF120" i="5"/>
  <c r="AE119" i="5"/>
  <c r="AD118" i="5"/>
  <c r="AK117" i="5"/>
  <c r="AC117" i="5"/>
  <c r="AJ116" i="5"/>
  <c r="AB116" i="5"/>
  <c r="AI115" i="5"/>
  <c r="AA115" i="5"/>
  <c r="AH114" i="5"/>
  <c r="Z114" i="5"/>
  <c r="AG113" i="5"/>
  <c r="AF112" i="5"/>
  <c r="AE111" i="5"/>
  <c r="AD110" i="5"/>
  <c r="AK109" i="5"/>
  <c r="AC109" i="5"/>
  <c r="AJ108" i="5"/>
  <c r="AB108" i="5"/>
  <c r="AI107" i="5"/>
  <c r="AA107" i="5"/>
  <c r="AH106" i="5"/>
  <c r="Z106" i="5"/>
  <c r="AG105" i="5"/>
  <c r="AF104" i="5"/>
  <c r="AF102" i="5"/>
  <c r="AE101" i="5"/>
  <c r="AD100" i="5"/>
  <c r="AK99" i="5"/>
  <c r="AC99" i="5"/>
  <c r="AJ98" i="5"/>
  <c r="AB98" i="5"/>
  <c r="AI97" i="5"/>
  <c r="AA97" i="5"/>
  <c r="AH96" i="5"/>
  <c r="Z96" i="5"/>
  <c r="AG95" i="5"/>
  <c r="AF94" i="5"/>
  <c r="AE93" i="5"/>
  <c r="AD92" i="5"/>
  <c r="AK91" i="5"/>
  <c r="AC91" i="5"/>
  <c r="AJ90" i="5"/>
  <c r="AB90" i="5"/>
  <c r="AI89" i="5"/>
  <c r="AA89" i="5"/>
  <c r="AH88" i="5"/>
  <c r="Z88" i="5"/>
  <c r="AG87" i="5"/>
  <c r="AF86" i="5"/>
  <c r="AE85" i="5"/>
  <c r="H163" i="27"/>
  <c r="O95" i="34"/>
  <c r="AD84" i="5"/>
  <c r="AK83" i="5"/>
  <c r="AC83" i="5"/>
  <c r="AJ82" i="5"/>
  <c r="AB82" i="5"/>
  <c r="AI81" i="5"/>
  <c r="AA81" i="5"/>
  <c r="AH80" i="5"/>
  <c r="Z80" i="5"/>
  <c r="AG79" i="5"/>
  <c r="AA78" i="5"/>
  <c r="AH77" i="5"/>
  <c r="Z77" i="5"/>
  <c r="AG76" i="5"/>
  <c r="AI75" i="5"/>
  <c r="AA75" i="5"/>
  <c r="AF73" i="5"/>
  <c r="AJ72" i="5"/>
  <c r="AH156" i="5"/>
  <c r="AE155" i="5"/>
  <c r="AF154" i="5"/>
  <c r="AD153" i="5"/>
  <c r="AJ152" i="5"/>
  <c r="AB152" i="5"/>
  <c r="AH151" i="5"/>
  <c r="Z151" i="5"/>
  <c r="AF150" i="5"/>
  <c r="AD149" i="5"/>
  <c r="AJ148" i="5"/>
  <c r="AB148" i="5"/>
  <c r="AH147" i="5"/>
  <c r="Z147" i="5"/>
  <c r="AF146" i="5"/>
  <c r="AD145" i="5"/>
  <c r="AJ144" i="5"/>
  <c r="AB144" i="5"/>
  <c r="AH143" i="5"/>
  <c r="Z143" i="5"/>
  <c r="AF142" i="5"/>
  <c r="AD141" i="5"/>
  <c r="AK140" i="5"/>
  <c r="AC140" i="5"/>
  <c r="AJ139" i="5"/>
  <c r="AB139" i="5"/>
  <c r="AI138" i="5"/>
  <c r="AA138" i="5"/>
  <c r="AH137" i="5"/>
  <c r="Z137" i="5"/>
  <c r="AG136" i="5"/>
  <c r="AE135" i="5"/>
  <c r="AI133" i="5"/>
  <c r="AA133" i="5"/>
  <c r="AH132" i="5"/>
  <c r="Z132" i="5"/>
  <c r="AG131" i="5"/>
  <c r="AF130" i="5"/>
  <c r="AE129" i="5"/>
  <c r="H136" i="27"/>
  <c r="O84" i="34"/>
  <c r="AD128" i="5"/>
  <c r="AK127" i="5"/>
  <c r="AC127" i="5"/>
  <c r="AJ126" i="5"/>
  <c r="AB126" i="5"/>
  <c r="AI125" i="5"/>
  <c r="AA125" i="5"/>
  <c r="AH124" i="5"/>
  <c r="Z124" i="5"/>
  <c r="AG123" i="5"/>
  <c r="AF122" i="5"/>
  <c r="AE120" i="5"/>
  <c r="AD119" i="5"/>
  <c r="AK118" i="5"/>
  <c r="AC118" i="5"/>
  <c r="AJ117" i="5"/>
  <c r="AB117" i="5"/>
  <c r="AI116" i="5"/>
  <c r="AA116" i="5"/>
  <c r="AH115" i="5"/>
  <c r="Z115" i="5"/>
  <c r="AG114" i="5"/>
  <c r="AF113" i="5"/>
  <c r="AE112" i="5"/>
  <c r="AD111" i="5"/>
  <c r="AK110" i="5"/>
  <c r="AC110" i="5"/>
  <c r="AJ109" i="5"/>
  <c r="AB109" i="5"/>
  <c r="AI108" i="5"/>
  <c r="AA108" i="5"/>
  <c r="AH107" i="5"/>
  <c r="Z107" i="5"/>
  <c r="AG106" i="5"/>
  <c r="AF105" i="5"/>
  <c r="AE104" i="5"/>
  <c r="AE102" i="5"/>
  <c r="AD101" i="5"/>
  <c r="AK100" i="5"/>
  <c r="AC100" i="5"/>
  <c r="AJ99" i="5"/>
  <c r="AB99" i="5"/>
  <c r="AI98" i="5"/>
  <c r="AA98" i="5"/>
  <c r="AH97" i="5"/>
  <c r="Z97" i="5"/>
  <c r="AG96" i="5"/>
  <c r="AF95" i="5"/>
  <c r="AE94" i="5"/>
  <c r="AD93" i="5"/>
  <c r="AK92" i="5"/>
  <c r="AC92" i="5"/>
  <c r="AJ91" i="5"/>
  <c r="AB91" i="5"/>
  <c r="AI90" i="5"/>
  <c r="AA90" i="5"/>
  <c r="AH89" i="5"/>
  <c r="Z89" i="5"/>
  <c r="AG88" i="5"/>
  <c r="AF87" i="5"/>
  <c r="AE86" i="5"/>
  <c r="H164" i="27"/>
  <c r="O96" i="34"/>
  <c r="AD85" i="5"/>
  <c r="AK84" i="5"/>
  <c r="AC84" i="5"/>
  <c r="AJ83" i="5"/>
  <c r="AB83" i="5"/>
  <c r="AI82" i="5"/>
  <c r="AA82" i="5"/>
  <c r="AH81" i="5"/>
  <c r="Z81" i="5"/>
  <c r="AG80" i="5"/>
  <c r="AF79" i="5"/>
  <c r="Z78" i="5"/>
  <c r="AG77" i="5"/>
  <c r="AF76" i="5"/>
  <c r="AH75" i="5"/>
  <c r="Z75" i="5"/>
  <c r="AB73" i="5"/>
  <c r="AE156" i="5"/>
  <c r="AC155" i="5"/>
  <c r="AE154" i="5"/>
  <c r="AK153" i="5"/>
  <c r="AC153" i="5"/>
  <c r="AI152" i="5"/>
  <c r="AA152" i="5"/>
  <c r="AG151" i="5"/>
  <c r="AE150" i="5"/>
  <c r="AK149" i="5"/>
  <c r="AC149" i="5"/>
  <c r="AI148" i="5"/>
  <c r="AA148" i="5"/>
  <c r="AG147" i="5"/>
  <c r="AE146" i="5"/>
  <c r="AK145" i="5"/>
  <c r="AC145" i="5"/>
  <c r="AI144" i="5"/>
  <c r="AA144" i="5"/>
  <c r="AG143" i="5"/>
  <c r="AE142" i="5"/>
  <c r="AK141" i="5"/>
  <c r="AC141" i="5"/>
  <c r="AJ140" i="5"/>
  <c r="AB140" i="5"/>
  <c r="AI139" i="5"/>
  <c r="AA139" i="5"/>
  <c r="AH138" i="5"/>
  <c r="Z138" i="5"/>
  <c r="AG137" i="5"/>
  <c r="AF136" i="5"/>
  <c r="AD135" i="5"/>
  <c r="AH133" i="5"/>
  <c r="Z133" i="5"/>
  <c r="AG132" i="5"/>
  <c r="AF131" i="5"/>
  <c r="AE130" i="5"/>
  <c r="H137" i="27"/>
  <c r="O85" i="34"/>
  <c r="AD129" i="5"/>
  <c r="AK128" i="5"/>
  <c r="AC128" i="5"/>
  <c r="AJ127" i="5"/>
  <c r="AB127" i="5"/>
  <c r="AI126" i="5"/>
  <c r="AA126" i="5"/>
  <c r="AH125" i="5"/>
  <c r="Z125" i="5"/>
  <c r="AG124" i="5"/>
  <c r="AF123" i="5"/>
  <c r="AE122" i="5"/>
  <c r="AD120" i="5"/>
  <c r="AK119" i="5"/>
  <c r="AC119" i="5"/>
  <c r="AJ118" i="5"/>
  <c r="AB118" i="5"/>
  <c r="AI117" i="5"/>
  <c r="AA117" i="5"/>
  <c r="AH116" i="5"/>
  <c r="Z116" i="5"/>
  <c r="AG115" i="5"/>
  <c r="AF114" i="5"/>
  <c r="AE113" i="5"/>
  <c r="AD112" i="5"/>
  <c r="AK111" i="5"/>
  <c r="AC111" i="5"/>
  <c r="AJ110" i="5"/>
  <c r="AB110" i="5"/>
  <c r="AI109" i="5"/>
  <c r="AA109" i="5"/>
  <c r="AH108" i="5"/>
  <c r="Z108" i="5"/>
  <c r="AG107" i="5"/>
  <c r="AF106" i="5"/>
  <c r="AE105" i="5"/>
  <c r="AD104" i="5"/>
  <c r="AD102" i="5"/>
  <c r="AK101" i="5"/>
  <c r="AC101" i="5"/>
  <c r="AJ100" i="5"/>
  <c r="AB100" i="5"/>
  <c r="AI99" i="5"/>
  <c r="AA99" i="5"/>
  <c r="AH98" i="5"/>
  <c r="Z98" i="5"/>
  <c r="AG97" i="5"/>
  <c r="AF96" i="5"/>
  <c r="AE95" i="5"/>
  <c r="AD94" i="5"/>
  <c r="AK93" i="5"/>
  <c r="AC93" i="5"/>
  <c r="AJ92" i="5"/>
  <c r="AB92" i="5"/>
  <c r="AI91" i="5"/>
  <c r="AA91" i="5"/>
  <c r="AH90" i="5"/>
  <c r="Z90" i="5"/>
  <c r="AG89" i="5"/>
  <c r="AF88" i="5"/>
  <c r="AE87" i="5"/>
  <c r="H165" i="27"/>
  <c r="O97" i="34"/>
  <c r="AD86" i="5"/>
  <c r="AK85" i="5"/>
  <c r="AC85" i="5"/>
  <c r="AJ84" i="5"/>
  <c r="AB84" i="5"/>
  <c r="AI83" i="5"/>
  <c r="AA83" i="5"/>
  <c r="AH82" i="5"/>
  <c r="Z82" i="5"/>
  <c r="AG81" i="5"/>
  <c r="AF80" i="5"/>
  <c r="AE79" i="5"/>
  <c r="H157" i="27"/>
  <c r="AF77" i="5"/>
  <c r="AE76" i="5"/>
  <c r="H154" i="27"/>
  <c r="AG75" i="5"/>
  <c r="AA156" i="5"/>
  <c r="AA155" i="5"/>
  <c r="AD154" i="5"/>
  <c r="AJ153" i="5"/>
  <c r="AB153" i="5"/>
  <c r="AH152" i="5"/>
  <c r="Z152" i="5"/>
  <c r="AF151" i="5"/>
  <c r="AD150" i="5"/>
  <c r="AJ149" i="5"/>
  <c r="AB149" i="5"/>
  <c r="AH148" i="5"/>
  <c r="Z148" i="5"/>
  <c r="AF147" i="5"/>
  <c r="AD146" i="5"/>
  <c r="AJ145" i="5"/>
  <c r="AB145" i="5"/>
  <c r="AH144" i="5"/>
  <c r="Z144" i="5"/>
  <c r="AF143" i="5"/>
  <c r="AD142" i="5"/>
  <c r="AJ141" i="5"/>
  <c r="AB141" i="5"/>
  <c r="AI140" i="5"/>
  <c r="AA140" i="5"/>
  <c r="AH139" i="5"/>
  <c r="Z139" i="5"/>
  <c r="AG138" i="5"/>
  <c r="AF137" i="5"/>
  <c r="AE136" i="5"/>
  <c r="AK135" i="5"/>
  <c r="AC135" i="5"/>
  <c r="AG133" i="5"/>
  <c r="AF132" i="5"/>
  <c r="AE131" i="5"/>
  <c r="AD130" i="5"/>
  <c r="AK129" i="5"/>
  <c r="AC129" i="5"/>
  <c r="AJ128" i="5"/>
  <c r="AB128" i="5"/>
  <c r="AI127" i="5"/>
  <c r="AA127" i="5"/>
  <c r="AH126" i="5"/>
  <c r="Z126" i="5"/>
  <c r="AG125" i="5"/>
  <c r="AF124" i="5"/>
  <c r="AE123" i="5"/>
  <c r="H130" i="27"/>
  <c r="O78" i="34"/>
  <c r="AD122" i="5"/>
  <c r="AK120" i="5"/>
  <c r="AC120" i="5"/>
  <c r="AJ119" i="5"/>
  <c r="AB119" i="5"/>
  <c r="AI118" i="5"/>
  <c r="AA118" i="5"/>
  <c r="AH117" i="5"/>
  <c r="Z117" i="5"/>
  <c r="AG116" i="5"/>
  <c r="AF115" i="5"/>
  <c r="AE114" i="5"/>
  <c r="AD113" i="5"/>
  <c r="AK112" i="5"/>
  <c r="AC112" i="5"/>
  <c r="AJ111" i="5"/>
  <c r="AB111" i="5"/>
  <c r="AI110" i="5"/>
  <c r="AA110" i="5"/>
  <c r="AH109" i="5"/>
  <c r="Z109" i="5"/>
  <c r="AG108" i="5"/>
  <c r="AF107" i="5"/>
  <c r="AE106" i="5"/>
  <c r="AD105" i="5"/>
  <c r="AK104" i="5"/>
  <c r="AC104" i="5"/>
  <c r="AK102" i="5"/>
  <c r="AC102" i="5"/>
  <c r="AJ101" i="5"/>
  <c r="AB101" i="5"/>
  <c r="AI100" i="5"/>
  <c r="AA100" i="5"/>
  <c r="AH99" i="5"/>
  <c r="Z99" i="5"/>
  <c r="AG98" i="5"/>
  <c r="AF97" i="5"/>
  <c r="AE96" i="5"/>
  <c r="AD95" i="5"/>
  <c r="AK94" i="5"/>
  <c r="AC94" i="5"/>
  <c r="AJ93" i="5"/>
  <c r="AB93" i="5"/>
  <c r="AI92" i="5"/>
  <c r="AA92" i="5"/>
  <c r="AH91" i="5"/>
  <c r="Z91" i="5"/>
  <c r="AG90" i="5"/>
  <c r="AF89" i="5"/>
  <c r="AE88" i="5"/>
  <c r="H166" i="27"/>
  <c r="O98" i="34"/>
  <c r="AD87" i="5"/>
  <c r="AK86" i="5"/>
  <c r="AC86" i="5"/>
  <c r="AJ85" i="5"/>
  <c r="AB85" i="5"/>
  <c r="AI84" i="5"/>
  <c r="AA84" i="5"/>
  <c r="AH83" i="5"/>
  <c r="Z83" i="5"/>
  <c r="AG82" i="5"/>
  <c r="AF81" i="5"/>
  <c r="AE80" i="5"/>
  <c r="H158" i="27"/>
  <c r="O90" i="34"/>
  <c r="AD79" i="5"/>
  <c r="AE77" i="5"/>
  <c r="H155" i="27"/>
  <c r="AD76" i="5"/>
  <c r="AF75" i="5"/>
  <c r="Z73" i="5"/>
  <c r="AB72" i="5"/>
  <c r="Z156" i="5"/>
  <c r="Z155" i="5"/>
  <c r="AC154" i="5"/>
  <c r="AI153" i="5"/>
  <c r="AA153" i="5"/>
  <c r="AG152" i="5"/>
  <c r="AE151" i="5"/>
  <c r="AK150" i="5"/>
  <c r="AC150" i="5"/>
  <c r="AI149" i="5"/>
  <c r="AA149" i="5"/>
  <c r="AG148" i="5"/>
  <c r="AE147" i="5"/>
  <c r="AK146" i="5"/>
  <c r="AC146" i="5"/>
  <c r="AI145" i="5"/>
  <c r="AA145" i="5"/>
  <c r="AG144" i="5"/>
  <c r="AE143" i="5"/>
  <c r="AK142" i="5"/>
  <c r="AC142" i="5"/>
  <c r="AI141" i="5"/>
  <c r="AA141" i="5"/>
  <c r="AH140" i="5"/>
  <c r="Z140" i="5"/>
  <c r="AG139" i="5"/>
  <c r="AF138" i="5"/>
  <c r="AE137" i="5"/>
  <c r="AD136" i="5"/>
  <c r="AJ135" i="5"/>
  <c r="AB135" i="5"/>
  <c r="AF133" i="5"/>
  <c r="AE132" i="5"/>
  <c r="AD131" i="5"/>
  <c r="AK130" i="5"/>
  <c r="AC130" i="5"/>
  <c r="AJ129" i="5"/>
  <c r="AB129" i="5"/>
  <c r="AI128" i="5"/>
  <c r="AA128" i="5"/>
  <c r="AH127" i="5"/>
  <c r="Z127" i="5"/>
  <c r="AG126" i="5"/>
  <c r="AF125" i="5"/>
  <c r="AE124" i="5"/>
  <c r="H131" i="27"/>
  <c r="O79" i="34"/>
  <c r="AD123" i="5"/>
  <c r="AK122" i="5"/>
  <c r="AC122" i="5"/>
  <c r="AJ120" i="5"/>
  <c r="AB120" i="5"/>
  <c r="AI119" i="5"/>
  <c r="AA119" i="5"/>
  <c r="AH118" i="5"/>
  <c r="Z118" i="5"/>
  <c r="AG117" i="5"/>
  <c r="AF116" i="5"/>
  <c r="AE115" i="5"/>
  <c r="AD114" i="5"/>
  <c r="AK113" i="5"/>
  <c r="AC113" i="5"/>
  <c r="AJ112" i="5"/>
  <c r="AB112" i="5"/>
  <c r="AI111" i="5"/>
  <c r="AA111" i="5"/>
  <c r="AH110" i="5"/>
  <c r="Z110" i="5"/>
  <c r="AG109" i="5"/>
  <c r="AF108" i="5"/>
  <c r="AE107" i="5"/>
  <c r="AD106" i="5"/>
  <c r="AK105" i="5"/>
  <c r="AC105" i="5"/>
  <c r="AJ104" i="5"/>
  <c r="AB104" i="5"/>
  <c r="AJ102" i="5"/>
  <c r="AB102" i="5"/>
  <c r="AI101" i="5"/>
  <c r="AA101" i="5"/>
  <c r="AH100" i="5"/>
  <c r="Z100" i="5"/>
  <c r="AG99" i="5"/>
  <c r="AF98" i="5"/>
  <c r="AE97" i="5"/>
  <c r="AD96" i="5"/>
  <c r="AK95" i="5"/>
  <c r="AC95" i="5"/>
  <c r="AJ94" i="5"/>
  <c r="AB94" i="5"/>
  <c r="AI93" i="5"/>
  <c r="AA93" i="5"/>
  <c r="AH92" i="5"/>
  <c r="Z92" i="5"/>
  <c r="AG91" i="5"/>
  <c r="AF90" i="5"/>
  <c r="AE89" i="5"/>
  <c r="H167" i="27"/>
  <c r="O99" i="34"/>
  <c r="AD88" i="5"/>
  <c r="AK87" i="5"/>
  <c r="AC87" i="5"/>
  <c r="AJ86" i="5"/>
  <c r="AB86" i="5"/>
  <c r="AI85" i="5"/>
  <c r="AA85" i="5"/>
  <c r="AH84" i="5"/>
  <c r="Z84" i="5"/>
  <c r="AG83" i="5"/>
  <c r="AF82" i="5"/>
  <c r="AE81" i="5"/>
  <c r="H159" i="27"/>
  <c r="O91" i="34"/>
  <c r="AD80" i="5"/>
  <c r="AK79" i="5"/>
  <c r="AC79" i="5"/>
  <c r="AK78" i="5"/>
  <c r="AD77" i="5"/>
  <c r="AK76" i="5"/>
  <c r="AC76" i="5"/>
  <c r="AE75" i="5"/>
  <c r="AA72" i="5"/>
  <c r="AF71" i="5"/>
  <c r="AK155" i="5"/>
  <c r="AB154" i="5"/>
  <c r="AH153" i="5"/>
  <c r="Z153" i="5"/>
  <c r="AF152" i="5"/>
  <c r="AD151" i="5"/>
  <c r="AJ150" i="5"/>
  <c r="AB150" i="5"/>
  <c r="AH149" i="5"/>
  <c r="Z149" i="5"/>
  <c r="AF148" i="5"/>
  <c r="AD147" i="5"/>
  <c r="AJ146" i="5"/>
  <c r="AB146" i="5"/>
  <c r="AH145" i="5"/>
  <c r="Z145" i="5"/>
  <c r="AF144" i="5"/>
  <c r="AD143" i="5"/>
  <c r="AJ142" i="5"/>
  <c r="AB142" i="5"/>
  <c r="AH141" i="5"/>
  <c r="Z141" i="5"/>
  <c r="AG140" i="5"/>
  <c r="AF139" i="5"/>
  <c r="AE138" i="5"/>
  <c r="AD137" i="5"/>
  <c r="AK136" i="5"/>
  <c r="AC136" i="5"/>
  <c r="AI135" i="5"/>
  <c r="AA135" i="5"/>
  <c r="AE133" i="5"/>
  <c r="AD132" i="5"/>
  <c r="AK131" i="5"/>
  <c r="AC131" i="5"/>
  <c r="AJ130" i="5"/>
  <c r="AB130" i="5"/>
  <c r="AI129" i="5"/>
  <c r="AA129" i="5"/>
  <c r="AH128" i="5"/>
  <c r="Z128" i="5"/>
  <c r="AG127" i="5"/>
  <c r="AF126" i="5"/>
  <c r="AE125" i="5"/>
  <c r="H132" i="27"/>
  <c r="O80" i="34"/>
  <c r="AD124" i="5"/>
  <c r="AK123" i="5"/>
  <c r="AC123" i="5"/>
  <c r="AJ122" i="5"/>
  <c r="AB122" i="5"/>
  <c r="AI120" i="5"/>
  <c r="AA120" i="5"/>
  <c r="AH119" i="5"/>
  <c r="Z119" i="5"/>
  <c r="AG118" i="5"/>
  <c r="AF117" i="5"/>
  <c r="AE116" i="5"/>
  <c r="AD115" i="5"/>
  <c r="AK114" i="5"/>
  <c r="AC114" i="5"/>
  <c r="AJ113" i="5"/>
  <c r="AB113" i="5"/>
  <c r="AI112" i="5"/>
  <c r="AA112" i="5"/>
  <c r="AH111" i="5"/>
  <c r="Z111" i="5"/>
  <c r="AG110" i="5"/>
  <c r="AF109" i="5"/>
  <c r="AE108" i="5"/>
  <c r="AD107" i="5"/>
  <c r="AK106" i="5"/>
  <c r="AC106" i="5"/>
  <c r="AJ105" i="5"/>
  <c r="AB105" i="5"/>
  <c r="AI104" i="5"/>
  <c r="AA104" i="5"/>
  <c r="AI102" i="5"/>
  <c r="AA102" i="5"/>
  <c r="AH101" i="5"/>
  <c r="Z101" i="5"/>
  <c r="AG100" i="5"/>
  <c r="AF99" i="5"/>
  <c r="AE98" i="5"/>
  <c r="AD97" i="5"/>
  <c r="AK96" i="5"/>
  <c r="AC96" i="5"/>
  <c r="AJ95" i="5"/>
  <c r="AB95" i="5"/>
  <c r="AI94" i="5"/>
  <c r="AA94" i="5"/>
  <c r="AH93" i="5"/>
  <c r="Z93" i="5"/>
  <c r="AG92" i="5"/>
  <c r="AF91" i="5"/>
  <c r="AE90" i="5"/>
  <c r="H168" i="27"/>
  <c r="O100" i="34"/>
  <c r="AD89" i="5"/>
  <c r="AK88" i="5"/>
  <c r="AC88" i="5"/>
  <c r="AJ87" i="5"/>
  <c r="AB87" i="5"/>
  <c r="AI86" i="5"/>
  <c r="AA86" i="5"/>
  <c r="AH85" i="5"/>
  <c r="Z85" i="5"/>
  <c r="AG84" i="5"/>
  <c r="AF83" i="5"/>
  <c r="AE82" i="5"/>
  <c r="H160" i="27"/>
  <c r="O92" i="34"/>
  <c r="AD81" i="5"/>
  <c r="AK80" i="5"/>
  <c r="AC80" i="5"/>
  <c r="AJ79" i="5"/>
  <c r="AB79" i="5"/>
  <c r="AD78" i="5"/>
  <c r="AK77" i="5"/>
  <c r="AC77" i="5"/>
  <c r="AJ76" i="5"/>
  <c r="AB76" i="5"/>
  <c r="AD75" i="5"/>
  <c r="AK73" i="5"/>
  <c r="Z72" i="5"/>
  <c r="AB71" i="5"/>
  <c r="AM4" i="5"/>
  <c r="AF5" i="5"/>
  <c r="AG6" i="5"/>
  <c r="Z7" i="5"/>
  <c r="AH7" i="5"/>
  <c r="AB8" i="5"/>
  <c r="AJ8" i="5"/>
  <c r="AC9" i="5"/>
  <c r="AK9" i="5"/>
  <c r="AD10" i="5"/>
  <c r="AE11" i="5"/>
  <c r="O12" i="34"/>
  <c r="AF12" i="5"/>
  <c r="AG13" i="5"/>
  <c r="Z14" i="5"/>
  <c r="AH14" i="5"/>
  <c r="AA15" i="5"/>
  <c r="AI15" i="5"/>
  <c r="AB16" i="5"/>
  <c r="AJ16" i="5"/>
  <c r="AC17" i="5"/>
  <c r="AK17" i="5"/>
  <c r="AE18" i="5"/>
  <c r="AF19" i="5"/>
  <c r="Z20" i="5"/>
  <c r="AC21" i="5"/>
  <c r="AK21" i="5"/>
  <c r="AE22" i="5"/>
  <c r="AB23" i="5"/>
  <c r="AG24" i="5"/>
  <c r="Z25" i="5"/>
  <c r="AH25" i="5"/>
  <c r="AB27" i="5"/>
  <c r="AJ27" i="5"/>
  <c r="AC28" i="5"/>
  <c r="AK28" i="5"/>
  <c r="AD29" i="5"/>
  <c r="AE30" i="5"/>
  <c r="O29" i="34"/>
  <c r="K29" i="34"/>
  <c r="G61" i="27"/>
  <c r="AF31" i="5"/>
  <c r="AG32" i="5"/>
  <c r="Z33" i="5"/>
  <c r="AH33" i="5"/>
  <c r="AA34" i="5"/>
  <c r="AI34" i="5"/>
  <c r="AB35" i="5"/>
  <c r="AJ35" i="5"/>
  <c r="AC36" i="5"/>
  <c r="AK36" i="5"/>
  <c r="AD37" i="5"/>
  <c r="AE38" i="5"/>
  <c r="O35" i="34"/>
  <c r="K35" i="34"/>
  <c r="G67" i="27"/>
  <c r="AF39" i="5"/>
  <c r="F69" i="27"/>
  <c r="I37" i="34"/>
  <c r="AG40" i="5"/>
  <c r="Z41" i="5"/>
  <c r="AH41" i="5"/>
  <c r="AA42" i="5"/>
  <c r="AI42" i="5"/>
  <c r="AB43" i="5"/>
  <c r="AJ43" i="5"/>
  <c r="AA45" i="5"/>
  <c r="AI45" i="5"/>
  <c r="AB46" i="5"/>
  <c r="AJ46" i="5"/>
  <c r="AC47" i="5"/>
  <c r="AK47" i="5"/>
  <c r="AD48" i="5"/>
  <c r="AE49" i="5"/>
  <c r="O43" i="34"/>
  <c r="K43" i="34"/>
  <c r="G75" i="27"/>
  <c r="AF50" i="5"/>
  <c r="AG51" i="5"/>
  <c r="Z52" i="5"/>
  <c r="AH52" i="5"/>
  <c r="AA53" i="5"/>
  <c r="AI53" i="5"/>
  <c r="AB54" i="5"/>
  <c r="AJ54" i="5"/>
  <c r="AC55" i="5"/>
  <c r="AD56" i="5"/>
  <c r="AE57" i="5"/>
  <c r="O50" i="34"/>
  <c r="K50" i="34"/>
  <c r="G82" i="27"/>
  <c r="AF58" i="5"/>
  <c r="I52" i="34"/>
  <c r="F84" i="27"/>
  <c r="AG59" i="5"/>
  <c r="Z60" i="5"/>
  <c r="AH60" i="5"/>
  <c r="AA61" i="5"/>
  <c r="AI61" i="5"/>
  <c r="AB62" i="5"/>
  <c r="AJ62" i="5"/>
  <c r="AC63" i="5"/>
  <c r="AK63" i="5"/>
  <c r="AD64" i="5"/>
  <c r="I58" i="34"/>
  <c r="F90" i="27"/>
  <c r="AJ66" i="5"/>
  <c r="AF67" i="5"/>
  <c r="AA68" i="5"/>
  <c r="AJ70" i="5"/>
  <c r="AK71" i="5"/>
  <c r="AZ72" i="5"/>
  <c r="I6" i="34"/>
  <c r="AG5" i="5"/>
  <c r="Z6" i="5"/>
  <c r="AH6" i="5"/>
  <c r="AA7" i="5"/>
  <c r="AI7" i="5"/>
  <c r="AC8" i="5"/>
  <c r="AK8" i="5"/>
  <c r="AD9" i="5"/>
  <c r="AE10" i="5"/>
  <c r="O11" i="34"/>
  <c r="AF11" i="5"/>
  <c r="AG12" i="5"/>
  <c r="Z13" i="5"/>
  <c r="AH13" i="5"/>
  <c r="AA14" i="5"/>
  <c r="AI14" i="5"/>
  <c r="AB15" i="5"/>
  <c r="AJ15" i="5"/>
  <c r="AC16" i="5"/>
  <c r="AK16" i="5"/>
  <c r="AD17" i="5"/>
  <c r="AF18" i="5"/>
  <c r="AK19" i="5"/>
  <c r="AA20" i="5"/>
  <c r="AD21" i="5"/>
  <c r="AF22" i="5"/>
  <c r="AC23" i="5"/>
  <c r="Z24" i="5"/>
  <c r="AH24" i="5"/>
  <c r="AA25" i="5"/>
  <c r="AI25" i="5"/>
  <c r="AC27" i="5"/>
  <c r="AK27" i="5"/>
  <c r="AD28" i="5"/>
  <c r="AE29" i="5"/>
  <c r="AF30" i="5"/>
  <c r="F62" i="27"/>
  <c r="I30" i="34"/>
  <c r="AG31" i="5"/>
  <c r="Z32" i="5"/>
  <c r="AH32" i="5"/>
  <c r="AA33" i="5"/>
  <c r="AI33" i="5"/>
  <c r="AB34" i="5"/>
  <c r="AJ34" i="5"/>
  <c r="AC35" i="5"/>
  <c r="AK35" i="5"/>
  <c r="AD36" i="5"/>
  <c r="AE37" i="5"/>
  <c r="O34" i="34"/>
  <c r="K34" i="34"/>
  <c r="G66" i="27"/>
  <c r="AF38" i="5"/>
  <c r="I36" i="34"/>
  <c r="F68" i="27"/>
  <c r="AG39" i="5"/>
  <c r="Z40" i="5"/>
  <c r="AH40" i="5"/>
  <c r="AA41" i="5"/>
  <c r="AI41" i="5"/>
  <c r="AB42" i="5"/>
  <c r="AJ42" i="5"/>
  <c r="AC43" i="5"/>
  <c r="AK43" i="5"/>
  <c r="AB45" i="5"/>
  <c r="AJ45" i="5"/>
  <c r="AC46" i="5"/>
  <c r="AK46" i="5"/>
  <c r="AD47" i="5"/>
  <c r="AE48" i="5"/>
  <c r="O42" i="34"/>
  <c r="K42" i="34"/>
  <c r="G74" i="27"/>
  <c r="AF49" i="5"/>
  <c r="I44" i="34"/>
  <c r="F76" i="27"/>
  <c r="AG50" i="5"/>
  <c r="Z51" i="5"/>
  <c r="AH51" i="5"/>
  <c r="AA52" i="5"/>
  <c r="AI52" i="5"/>
  <c r="AB53" i="5"/>
  <c r="AJ53" i="5"/>
  <c r="AC54" i="5"/>
  <c r="AK54" i="5"/>
  <c r="AD55" i="5"/>
  <c r="AE56" i="5"/>
  <c r="O49" i="34"/>
  <c r="K49" i="34"/>
  <c r="G81" i="27"/>
  <c r="AF57" i="5"/>
  <c r="F83" i="27"/>
  <c r="I51" i="34"/>
  <c r="AG58" i="5"/>
  <c r="Z59" i="5"/>
  <c r="AH59" i="5"/>
  <c r="AA60" i="5"/>
  <c r="AI60" i="5"/>
  <c r="AB61" i="5"/>
  <c r="AJ61" i="5"/>
  <c r="AC62" i="5"/>
  <c r="AK62" i="5"/>
  <c r="AD63" i="5"/>
  <c r="AE64" i="5"/>
  <c r="O57" i="34"/>
  <c r="Z65" i="5"/>
  <c r="G90" i="27"/>
  <c r="K58" i="34"/>
  <c r="AK66" i="5"/>
  <c r="AG67" i="5"/>
  <c r="AB68" i="5"/>
  <c r="Z69" i="5"/>
  <c r="AK70" i="5"/>
  <c r="Y4" i="5"/>
  <c r="P3" i="9"/>
  <c r="Z5" i="5"/>
  <c r="AH5" i="5"/>
  <c r="AA6" i="5"/>
  <c r="AI6" i="5"/>
  <c r="AB7" i="5"/>
  <c r="AJ7" i="5"/>
  <c r="AD8" i="5"/>
  <c r="AE9" i="5"/>
  <c r="O10" i="34"/>
  <c r="AF10" i="5"/>
  <c r="M12" i="34"/>
  <c r="AG11" i="5"/>
  <c r="Z12" i="5"/>
  <c r="AH12" i="5"/>
  <c r="AA13" i="5"/>
  <c r="AI13" i="5"/>
  <c r="AB14" i="5"/>
  <c r="AJ14" i="5"/>
  <c r="AC15" i="5"/>
  <c r="AK15" i="5"/>
  <c r="AD16" i="5"/>
  <c r="AE17" i="5"/>
  <c r="AG18" i="5"/>
  <c r="Z19" i="5"/>
  <c r="AB20" i="5"/>
  <c r="AE21" i="5"/>
  <c r="AK22" i="5"/>
  <c r="AD23" i="5"/>
  <c r="AA24" i="5"/>
  <c r="AI24" i="5"/>
  <c r="AB25" i="5"/>
  <c r="AJ25" i="5"/>
  <c r="AD27" i="5"/>
  <c r="AE28" i="5"/>
  <c r="K67" i="34"/>
  <c r="K66" i="34"/>
  <c r="G116" i="27"/>
  <c r="AF29" i="5"/>
  <c r="I29" i="34"/>
  <c r="F61" i="27"/>
  <c r="AG30" i="5"/>
  <c r="Z31" i="5"/>
  <c r="AH31" i="5"/>
  <c r="AA32" i="5"/>
  <c r="AI32" i="5"/>
  <c r="AB33" i="5"/>
  <c r="AJ33" i="5"/>
  <c r="AC34" i="5"/>
  <c r="AK34" i="5"/>
  <c r="AD35" i="5"/>
  <c r="AE36" i="5"/>
  <c r="AF37" i="5"/>
  <c r="I35" i="34"/>
  <c r="F67" i="27"/>
  <c r="AG38" i="5"/>
  <c r="Z39" i="5"/>
  <c r="AH39" i="5"/>
  <c r="AA40" i="5"/>
  <c r="AI40" i="5"/>
  <c r="AB41" i="5"/>
  <c r="AJ41" i="5"/>
  <c r="AC42" i="5"/>
  <c r="AK42" i="5"/>
  <c r="AD43" i="5"/>
  <c r="AC45" i="5"/>
  <c r="AK45" i="5"/>
  <c r="AD46" i="5"/>
  <c r="AE47" i="5"/>
  <c r="O41" i="34"/>
  <c r="K41" i="34"/>
  <c r="G73" i="27"/>
  <c r="AF48" i="5"/>
  <c r="F75" i="27"/>
  <c r="I43" i="34"/>
  <c r="AG49" i="5"/>
  <c r="Z50" i="5"/>
  <c r="AH50" i="5"/>
  <c r="AA51" i="5"/>
  <c r="AI51" i="5"/>
  <c r="AB52" i="5"/>
  <c r="AJ52" i="5"/>
  <c r="AC53" i="5"/>
  <c r="AK53" i="5"/>
  <c r="AD54" i="5"/>
  <c r="AE55" i="5"/>
  <c r="O48" i="34"/>
  <c r="G80" i="27"/>
  <c r="K48" i="34"/>
  <c r="AF56" i="5"/>
  <c r="I50" i="34"/>
  <c r="F82" i="27"/>
  <c r="AG57" i="5"/>
  <c r="Z58" i="5"/>
  <c r="AH58" i="5"/>
  <c r="AA59" i="5"/>
  <c r="AI59" i="5"/>
  <c r="AB60" i="5"/>
  <c r="AJ60" i="5"/>
  <c r="AC61" i="5"/>
  <c r="AK61" i="5"/>
  <c r="AD62" i="5"/>
  <c r="AE63" i="5"/>
  <c r="O56" i="34"/>
  <c r="G88" i="27"/>
  <c r="K56" i="34"/>
  <c r="AF64" i="5"/>
  <c r="AA65" i="5"/>
  <c r="AJ67" i="5"/>
  <c r="AF68" i="5"/>
  <c r="AA69" i="5"/>
  <c r="AA5" i="5"/>
  <c r="AI5" i="5"/>
  <c r="AB6" i="5"/>
  <c r="AJ6" i="5"/>
  <c r="AC7" i="5"/>
  <c r="AK7" i="5"/>
  <c r="AE8" i="5"/>
  <c r="O9" i="34"/>
  <c r="AF9" i="5"/>
  <c r="M11" i="34"/>
  <c r="AG10" i="5"/>
  <c r="Z11" i="5"/>
  <c r="AH11" i="5"/>
  <c r="AA12" i="5"/>
  <c r="AI12" i="5"/>
  <c r="AB13" i="5"/>
  <c r="AJ13" i="5"/>
  <c r="AC14" i="5"/>
  <c r="AK14" i="5"/>
  <c r="AD15" i="5"/>
  <c r="AE16" i="5"/>
  <c r="O17" i="34"/>
  <c r="AF17" i="5"/>
  <c r="Z18" i="5"/>
  <c r="AH18" i="5"/>
  <c r="AA19" i="5"/>
  <c r="AC20" i="5"/>
  <c r="AF21" i="5"/>
  <c r="Z22" i="5"/>
  <c r="AE23" i="5"/>
  <c r="AB24" i="5"/>
  <c r="AJ24" i="5"/>
  <c r="AC25" i="5"/>
  <c r="AK25" i="5"/>
  <c r="AE27" i="5"/>
  <c r="K28" i="34"/>
  <c r="G60" i="27"/>
  <c r="AF28" i="5"/>
  <c r="AG29" i="5"/>
  <c r="Z30" i="5"/>
  <c r="AH30" i="5"/>
  <c r="AA31" i="5"/>
  <c r="AI31" i="5"/>
  <c r="AB32" i="5"/>
  <c r="AJ32" i="5"/>
  <c r="AC33" i="5"/>
  <c r="AK33" i="5"/>
  <c r="AD34" i="5"/>
  <c r="AE35" i="5"/>
  <c r="O33" i="34"/>
  <c r="K33" i="34"/>
  <c r="G65" i="27"/>
  <c r="AF36" i="5"/>
  <c r="F66" i="27"/>
  <c r="I34" i="34"/>
  <c r="AG37" i="5"/>
  <c r="Z38" i="5"/>
  <c r="AH38" i="5"/>
  <c r="AA39" i="5"/>
  <c r="AI39" i="5"/>
  <c r="AB40" i="5"/>
  <c r="AJ40" i="5"/>
  <c r="AC41" i="5"/>
  <c r="AK41" i="5"/>
  <c r="AD42" i="5"/>
  <c r="AE43" i="5"/>
  <c r="AA44" i="5"/>
  <c r="AD45" i="5"/>
  <c r="AE46" i="5"/>
  <c r="O40" i="34"/>
  <c r="K40" i="34"/>
  <c r="G72" i="27"/>
  <c r="AF47" i="5"/>
  <c r="I42" i="34"/>
  <c r="F74" i="27"/>
  <c r="AG48" i="5"/>
  <c r="Z49" i="5"/>
  <c r="AH49" i="5"/>
  <c r="AA50" i="5"/>
  <c r="AI50" i="5"/>
  <c r="AB51" i="5"/>
  <c r="AJ51" i="5"/>
  <c r="AC52" i="5"/>
  <c r="AK52" i="5"/>
  <c r="AD53" i="5"/>
  <c r="AE54" i="5"/>
  <c r="O47" i="34"/>
  <c r="K47" i="34"/>
  <c r="G79" i="27"/>
  <c r="AF55" i="5"/>
  <c r="I49" i="34"/>
  <c r="F81" i="27"/>
  <c r="AG56" i="5"/>
  <c r="Z57" i="5"/>
  <c r="AH57" i="5"/>
  <c r="AA58" i="5"/>
  <c r="AI58" i="5"/>
  <c r="AB59" i="5"/>
  <c r="AJ59" i="5"/>
  <c r="AC60" i="5"/>
  <c r="AK60" i="5"/>
  <c r="AD61" i="5"/>
  <c r="AE62" i="5"/>
  <c r="O55" i="34"/>
  <c r="K55" i="34"/>
  <c r="G87" i="27"/>
  <c r="AF63" i="5"/>
  <c r="I57" i="34"/>
  <c r="F89" i="27"/>
  <c r="AG64" i="5"/>
  <c r="AB65" i="5"/>
  <c r="Z66" i="5"/>
  <c r="K59" i="34"/>
  <c r="G91" i="27"/>
  <c r="AK67" i="5"/>
  <c r="AG68" i="5"/>
  <c r="AB69" i="5"/>
  <c r="Z70" i="5"/>
  <c r="AB5" i="5"/>
  <c r="AJ5" i="5"/>
  <c r="AC6" i="5"/>
  <c r="AK6" i="5"/>
  <c r="AD7" i="5"/>
  <c r="AF8" i="5"/>
  <c r="AG9" i="5"/>
  <c r="Z10" i="5"/>
  <c r="AH10" i="5"/>
  <c r="AA11" i="5"/>
  <c r="AI11" i="5"/>
  <c r="AB12" i="5"/>
  <c r="AJ12" i="5"/>
  <c r="AC13" i="5"/>
  <c r="AK13" i="5"/>
  <c r="AD14" i="5"/>
  <c r="AE15" i="5"/>
  <c r="O16" i="34"/>
  <c r="AF16" i="5"/>
  <c r="AG17" i="5"/>
  <c r="AA18" i="5"/>
  <c r="AI18" i="5"/>
  <c r="AB19" i="5"/>
  <c r="AD20" i="5"/>
  <c r="AG21" i="5"/>
  <c r="AA22" i="5"/>
  <c r="AF23" i="5"/>
  <c r="AC24" i="5"/>
  <c r="AK24" i="5"/>
  <c r="AD25" i="5"/>
  <c r="AF27" i="5"/>
  <c r="F116" i="27"/>
  <c r="I67" i="34"/>
  <c r="AG28" i="5"/>
  <c r="Z29" i="5"/>
  <c r="AH29" i="5"/>
  <c r="AA30" i="5"/>
  <c r="AI30" i="5"/>
  <c r="AB31" i="5"/>
  <c r="AJ31" i="5"/>
  <c r="AC32" i="5"/>
  <c r="AK32" i="5"/>
  <c r="AD33" i="5"/>
  <c r="AE34" i="5"/>
  <c r="O32" i="34"/>
  <c r="G64" i="27"/>
  <c r="K32" i="34"/>
  <c r="AF35" i="5"/>
  <c r="AG36" i="5"/>
  <c r="Z37" i="5"/>
  <c r="AH37" i="5"/>
  <c r="AA38" i="5"/>
  <c r="AI38" i="5"/>
  <c r="AB39" i="5"/>
  <c r="AJ39" i="5"/>
  <c r="AC40" i="5"/>
  <c r="AK40" i="5"/>
  <c r="AD41" i="5"/>
  <c r="AE42" i="5"/>
  <c r="O39" i="34"/>
  <c r="K39" i="34"/>
  <c r="G71" i="27"/>
  <c r="AF43" i="5"/>
  <c r="AD44" i="5"/>
  <c r="AE45" i="5"/>
  <c r="AF46" i="5"/>
  <c r="I41" i="34"/>
  <c r="F73" i="27"/>
  <c r="AG47" i="5"/>
  <c r="Z48" i="5"/>
  <c r="AH48" i="5"/>
  <c r="AA49" i="5"/>
  <c r="AI49" i="5"/>
  <c r="AB50" i="5"/>
  <c r="AJ50" i="5"/>
  <c r="AC51" i="5"/>
  <c r="AK51" i="5"/>
  <c r="AD52" i="5"/>
  <c r="AE53" i="5"/>
  <c r="O46" i="34"/>
  <c r="K46" i="34"/>
  <c r="G78" i="27"/>
  <c r="AF54" i="5"/>
  <c r="I48" i="34"/>
  <c r="F80" i="27"/>
  <c r="AG55" i="5"/>
  <c r="Z56" i="5"/>
  <c r="AH56" i="5"/>
  <c r="AA57" i="5"/>
  <c r="AI57" i="5"/>
  <c r="AB58" i="5"/>
  <c r="AJ58" i="5"/>
  <c r="AC59" i="5"/>
  <c r="AK59" i="5"/>
  <c r="AD60" i="5"/>
  <c r="AE61" i="5"/>
  <c r="O54" i="34"/>
  <c r="G86" i="27"/>
  <c r="K54" i="34"/>
  <c r="AF62" i="5"/>
  <c r="I56" i="34"/>
  <c r="F88" i="27"/>
  <c r="AG63" i="5"/>
  <c r="Z64" i="5"/>
  <c r="AJ64" i="5"/>
  <c r="AF65" i="5"/>
  <c r="AA66" i="5"/>
  <c r="AJ68" i="5"/>
  <c r="AF69" i="5"/>
  <c r="AA70" i="5"/>
  <c r="AF72" i="5"/>
  <c r="P8" i="15"/>
  <c r="G10" i="27"/>
  <c r="AC5" i="5"/>
  <c r="AK5" i="5"/>
  <c r="AD6" i="5"/>
  <c r="AE7" i="5"/>
  <c r="O8" i="34"/>
  <c r="AG8" i="5"/>
  <c r="Z9" i="5"/>
  <c r="AH9" i="5"/>
  <c r="AA10" i="5"/>
  <c r="AI10" i="5"/>
  <c r="AB11" i="5"/>
  <c r="AJ11" i="5"/>
  <c r="AC12" i="5"/>
  <c r="AK12" i="5"/>
  <c r="AD13" i="5"/>
  <c r="AE14" i="5"/>
  <c r="O15" i="34"/>
  <c r="AF15" i="5"/>
  <c r="AG16" i="5"/>
  <c r="Z17" i="5"/>
  <c r="AH17" i="5"/>
  <c r="AB18" i="5"/>
  <c r="AJ18" i="5"/>
  <c r="AC19" i="5"/>
  <c r="AE20" i="5"/>
  <c r="Z21" i="5"/>
  <c r="AH21" i="5"/>
  <c r="AB22" i="5"/>
  <c r="AK23" i="5"/>
  <c r="AD24" i="5"/>
  <c r="AE25" i="5"/>
  <c r="I28" i="34"/>
  <c r="F60" i="27"/>
  <c r="AG27" i="5"/>
  <c r="Z28" i="5"/>
  <c r="AH28" i="5"/>
  <c r="AA29" i="5"/>
  <c r="AI29" i="5"/>
  <c r="AB30" i="5"/>
  <c r="AJ30" i="5"/>
  <c r="AC31" i="5"/>
  <c r="AK31" i="5"/>
  <c r="AD32" i="5"/>
  <c r="AE33" i="5"/>
  <c r="O31" i="34"/>
  <c r="K31" i="34"/>
  <c r="G63" i="27"/>
  <c r="AF34" i="5"/>
  <c r="F65" i="27"/>
  <c r="I33" i="34"/>
  <c r="AG35" i="5"/>
  <c r="Z36" i="5"/>
  <c r="AH36" i="5"/>
  <c r="AA37" i="5"/>
  <c r="AI37" i="5"/>
  <c r="AB38" i="5"/>
  <c r="AJ38" i="5"/>
  <c r="AC39" i="5"/>
  <c r="AK39" i="5"/>
  <c r="AD40" i="5"/>
  <c r="AE41" i="5"/>
  <c r="O38" i="34"/>
  <c r="K38" i="34"/>
  <c r="G70" i="27"/>
  <c r="AF42" i="5"/>
  <c r="AG43" i="5"/>
  <c r="AG44" i="5"/>
  <c r="AF45" i="5"/>
  <c r="I40" i="34"/>
  <c r="F72" i="27"/>
  <c r="AG46" i="5"/>
  <c r="Z47" i="5"/>
  <c r="AH47" i="5"/>
  <c r="AA48" i="5"/>
  <c r="AI48" i="5"/>
  <c r="AB49" i="5"/>
  <c r="AJ49" i="5"/>
  <c r="AC50" i="5"/>
  <c r="AK50" i="5"/>
  <c r="AD51" i="5"/>
  <c r="AE52" i="5"/>
  <c r="O45" i="34"/>
  <c r="K45" i="34"/>
  <c r="G77" i="27"/>
  <c r="AF53" i="5"/>
  <c r="F79" i="27"/>
  <c r="I47" i="34"/>
  <c r="AG54" i="5"/>
  <c r="Z55" i="5"/>
  <c r="AA56" i="5"/>
  <c r="AI56" i="5"/>
  <c r="AB57" i="5"/>
  <c r="AJ57" i="5"/>
  <c r="AC58" i="5"/>
  <c r="AK58" i="5"/>
  <c r="AD59" i="5"/>
  <c r="AE60" i="5"/>
  <c r="O53" i="34"/>
  <c r="K53" i="34"/>
  <c r="G85" i="27"/>
  <c r="AF61" i="5"/>
  <c r="I55" i="34"/>
  <c r="F87" i="27"/>
  <c r="AG62" i="5"/>
  <c r="Z63" i="5"/>
  <c r="AH63" i="5"/>
  <c r="AA64" i="5"/>
  <c r="AK64" i="5"/>
  <c r="AG65" i="5"/>
  <c r="AB66" i="5"/>
  <c r="Z67" i="5"/>
  <c r="K60" i="34"/>
  <c r="G92" i="27"/>
  <c r="AK68" i="5"/>
  <c r="AG69" i="5"/>
  <c r="AB70" i="5"/>
  <c r="AA71" i="5"/>
  <c r="AG72" i="5"/>
  <c r="AE6" i="5"/>
  <c r="AF7" i="5"/>
  <c r="Z8" i="5"/>
  <c r="AH8" i="5"/>
  <c r="AA9" i="5"/>
  <c r="AI9" i="5"/>
  <c r="AB10" i="5"/>
  <c r="AJ10" i="5"/>
  <c r="AC11" i="5"/>
  <c r="AK11" i="5"/>
  <c r="AD12" i="5"/>
  <c r="AE13" i="5"/>
  <c r="O14" i="34"/>
  <c r="AF14" i="5"/>
  <c r="AG15" i="5"/>
  <c r="Z16" i="5"/>
  <c r="AH16" i="5"/>
  <c r="AA17" i="5"/>
  <c r="AI17" i="5"/>
  <c r="AC18" i="5"/>
  <c r="AK18" i="5"/>
  <c r="AD19" i="5"/>
  <c r="AF20" i="5"/>
  <c r="AA21" i="5"/>
  <c r="AI21" i="5"/>
  <c r="AC22" i="5"/>
  <c r="Z23" i="5"/>
  <c r="AE24" i="5"/>
  <c r="AF25" i="5"/>
  <c r="Z27" i="5"/>
  <c r="AH27" i="5"/>
  <c r="AA28" i="5"/>
  <c r="AI28" i="5"/>
  <c r="AB29" i="5"/>
  <c r="AJ29" i="5"/>
  <c r="AC30" i="5"/>
  <c r="AK30" i="5"/>
  <c r="AD31" i="5"/>
  <c r="AE32" i="5"/>
  <c r="O69" i="34"/>
  <c r="AF33" i="5"/>
  <c r="I32" i="34"/>
  <c r="F64" i="27"/>
  <c r="AG34" i="5"/>
  <c r="Z35" i="5"/>
  <c r="AH35" i="5"/>
  <c r="AA36" i="5"/>
  <c r="AI36" i="5"/>
  <c r="AB37" i="5"/>
  <c r="AJ37" i="5"/>
  <c r="AC38" i="5"/>
  <c r="AK38" i="5"/>
  <c r="AD39" i="5"/>
  <c r="AE40" i="5"/>
  <c r="O37" i="34"/>
  <c r="K37" i="34"/>
  <c r="G69" i="27"/>
  <c r="AF41" i="5"/>
  <c r="I39" i="34"/>
  <c r="F71" i="27"/>
  <c r="AG42" i="5"/>
  <c r="Z43" i="5"/>
  <c r="AH43" i="5"/>
  <c r="AG45" i="5"/>
  <c r="Z46" i="5"/>
  <c r="AH46" i="5"/>
  <c r="AA47" i="5"/>
  <c r="AI47" i="5"/>
  <c r="AB48" i="5"/>
  <c r="AJ48" i="5"/>
  <c r="AC49" i="5"/>
  <c r="AK49" i="5"/>
  <c r="AD50" i="5"/>
  <c r="AE51" i="5"/>
  <c r="AF52" i="5"/>
  <c r="F78" i="27"/>
  <c r="I46" i="34"/>
  <c r="AG53" i="5"/>
  <c r="Z54" i="5"/>
  <c r="AH54" i="5"/>
  <c r="AA55" i="5"/>
  <c r="AB56" i="5"/>
  <c r="AJ56" i="5"/>
  <c r="AC57" i="5"/>
  <c r="AK57" i="5"/>
  <c r="AD58" i="5"/>
  <c r="AE59" i="5"/>
  <c r="O52" i="34"/>
  <c r="G84" i="27"/>
  <c r="K52" i="34"/>
  <c r="AF60" i="5"/>
  <c r="I54" i="34"/>
  <c r="F86" i="27"/>
  <c r="AG61" i="5"/>
  <c r="Z62" i="5"/>
  <c r="AH62" i="5"/>
  <c r="AA63" i="5"/>
  <c r="AI63" i="5"/>
  <c r="AB64" i="5"/>
  <c r="AJ65" i="5"/>
  <c r="AF66" i="5"/>
  <c r="AA67" i="5"/>
  <c r="AJ69" i="5"/>
  <c r="AF70" i="5"/>
  <c r="AG71" i="5"/>
  <c r="K160" i="34"/>
  <c r="P6" i="15"/>
  <c r="G8" i="27"/>
  <c r="K105" i="34"/>
  <c r="G51" i="27"/>
  <c r="K6" i="34"/>
  <c r="AA8" i="5"/>
  <c r="AI8" i="5"/>
  <c r="AB9" i="5"/>
  <c r="AJ9" i="5"/>
  <c r="AC10" i="5"/>
  <c r="AK10" i="5"/>
  <c r="AD11" i="5"/>
  <c r="AE12" i="5"/>
  <c r="O13" i="34"/>
  <c r="AF13" i="5"/>
  <c r="AG14" i="5"/>
  <c r="Z15" i="5"/>
  <c r="AH15" i="5"/>
  <c r="AA16" i="5"/>
  <c r="AI16" i="5"/>
  <c r="AB17" i="5"/>
  <c r="AJ17" i="5"/>
  <c r="AD18" i="5"/>
  <c r="AE19" i="5"/>
  <c r="AK20" i="5"/>
  <c r="AB21" i="5"/>
  <c r="AJ21" i="5"/>
  <c r="AD22" i="5"/>
  <c r="AA23" i="5"/>
  <c r="AF24" i="5"/>
  <c r="AG25" i="5"/>
  <c r="AA27" i="5"/>
  <c r="AI27" i="5"/>
  <c r="AB28" i="5"/>
  <c r="AJ28" i="5"/>
  <c r="AC29" i="5"/>
  <c r="AK29" i="5"/>
  <c r="AD30" i="5"/>
  <c r="AE31" i="5"/>
  <c r="O30" i="34"/>
  <c r="K30" i="34"/>
  <c r="G62" i="27"/>
  <c r="AF32" i="5"/>
  <c r="I31" i="34"/>
  <c r="F63" i="27"/>
  <c r="AG33" i="5"/>
  <c r="Z34" i="5"/>
  <c r="AH34" i="5"/>
  <c r="AA35" i="5"/>
  <c r="AI35" i="5"/>
  <c r="AB36" i="5"/>
  <c r="AJ36" i="5"/>
  <c r="AC37" i="5"/>
  <c r="AK37" i="5"/>
  <c r="AD38" i="5"/>
  <c r="AE39" i="5"/>
  <c r="O36" i="34"/>
  <c r="K36" i="34"/>
  <c r="G68" i="27"/>
  <c r="AF40" i="5"/>
  <c r="I38" i="34"/>
  <c r="F70" i="27"/>
  <c r="AG41" i="5"/>
  <c r="Z42" i="5"/>
  <c r="AH42" i="5"/>
  <c r="AA43" i="5"/>
  <c r="AI43" i="5"/>
  <c r="Z45" i="5"/>
  <c r="AH45" i="5"/>
  <c r="AA46" i="5"/>
  <c r="AI46" i="5"/>
  <c r="AB47" i="5"/>
  <c r="AJ47" i="5"/>
  <c r="AC48" i="5"/>
  <c r="AK48" i="5"/>
  <c r="AD49" i="5"/>
  <c r="AE50" i="5"/>
  <c r="O44" i="34"/>
  <c r="K44" i="34"/>
  <c r="G76" i="27"/>
  <c r="AF51" i="5"/>
  <c r="F77" i="27"/>
  <c r="I45" i="34"/>
  <c r="AG52" i="5"/>
  <c r="Z53" i="5"/>
  <c r="AH53" i="5"/>
  <c r="AA54" i="5"/>
  <c r="AI54" i="5"/>
  <c r="AB55" i="5"/>
  <c r="AJ55" i="5"/>
  <c r="AC56" i="5"/>
  <c r="AK56" i="5"/>
  <c r="AD57" i="5"/>
  <c r="AE58" i="5"/>
  <c r="O51" i="34"/>
  <c r="K51" i="34"/>
  <c r="G83" i="27"/>
  <c r="AF59" i="5"/>
  <c r="F85" i="27"/>
  <c r="I53" i="34"/>
  <c r="AG60" i="5"/>
  <c r="Z61" i="5"/>
  <c r="AH61" i="5"/>
  <c r="AA62" i="5"/>
  <c r="AI62" i="5"/>
  <c r="AB63" i="5"/>
  <c r="AJ63" i="5"/>
  <c r="AC64" i="5"/>
  <c r="K57" i="34"/>
  <c r="G89" i="27"/>
  <c r="AK65" i="5"/>
  <c r="AG66" i="5"/>
  <c r="AB67" i="5"/>
  <c r="Z68" i="5"/>
  <c r="AK69" i="5"/>
  <c r="AG70" i="5"/>
  <c r="AJ71" i="5"/>
  <c r="AA73" i="5"/>
  <c r="I98" i="34"/>
  <c r="F162" i="27"/>
  <c r="I106" i="34"/>
  <c r="M106" i="34"/>
  <c r="F170" i="27"/>
  <c r="AZ122" i="5"/>
  <c r="I97" i="34"/>
  <c r="F161" i="27"/>
  <c r="I105" i="34"/>
  <c r="F169" i="27"/>
  <c r="AN134" i="5"/>
  <c r="AM74" i="5"/>
  <c r="P5" i="43"/>
  <c r="H7" i="27"/>
  <c r="I96" i="34"/>
  <c r="M96" i="34"/>
  <c r="I104" i="34"/>
  <c r="M104" i="34"/>
  <c r="F168" i="27"/>
  <c r="AZ154" i="5"/>
  <c r="AZ155" i="5"/>
  <c r="I89" i="34"/>
  <c r="F153" i="27"/>
  <c r="I92" i="34"/>
  <c r="F156" i="27"/>
  <c r="I95" i="34"/>
  <c r="I103" i="34"/>
  <c r="M103" i="34"/>
  <c r="F167" i="27"/>
  <c r="K77" i="34"/>
  <c r="G140" i="27"/>
  <c r="Y74" i="5"/>
  <c r="I91" i="34"/>
  <c r="F155" i="27"/>
  <c r="I94" i="34"/>
  <c r="F158" i="27"/>
  <c r="I102" i="34"/>
  <c r="M102" i="34"/>
  <c r="F166" i="27"/>
  <c r="AM121" i="5"/>
  <c r="M78" i="34"/>
  <c r="I93" i="34"/>
  <c r="M93" i="34"/>
  <c r="F157" i="27"/>
  <c r="F165" i="27"/>
  <c r="I101" i="34"/>
  <c r="M101" i="34"/>
  <c r="I77" i="34"/>
  <c r="F140" i="27"/>
  <c r="M85" i="34"/>
  <c r="I100" i="34"/>
  <c r="M100" i="34"/>
  <c r="F164" i="27"/>
  <c r="Y121" i="5"/>
  <c r="P7" i="9"/>
  <c r="F9" i="27"/>
  <c r="I99" i="34"/>
  <c r="M99" i="34"/>
  <c r="F163" i="27"/>
  <c r="I107" i="34"/>
  <c r="M107" i="34"/>
  <c r="F171" i="27"/>
  <c r="AZ199" i="5"/>
  <c r="AZ197" i="5"/>
  <c r="AZ252" i="5"/>
  <c r="AZ256" i="5"/>
  <c r="AZ280" i="5"/>
  <c r="L164" i="34"/>
  <c r="AZ279" i="5"/>
  <c r="L163" i="34"/>
  <c r="AZ295" i="5"/>
  <c r="AZ307" i="5"/>
  <c r="AZ312" i="5"/>
  <c r="AZ299" i="5"/>
  <c r="AZ304" i="5"/>
  <c r="AZ313" i="5"/>
  <c r="AZ287" i="5"/>
  <c r="AZ300" i="5"/>
  <c r="AZ305" i="5"/>
  <c r="AZ297" i="5"/>
  <c r="P10" i="9"/>
  <c r="F12" i="27"/>
  <c r="AZ294" i="5"/>
  <c r="AZ311" i="5"/>
  <c r="AZ333" i="5"/>
  <c r="L11" i="15"/>
  <c r="O9" i="15"/>
  <c r="H9" i="13"/>
  <c r="O10" i="15"/>
  <c r="T745" i="36"/>
  <c r="P9" i="10"/>
  <c r="I11" i="13"/>
  <c r="Z198" i="5"/>
  <c r="AG198" i="5"/>
  <c r="AF198" i="5"/>
  <c r="AE198" i="5"/>
  <c r="P7" i="31"/>
  <c r="R7" i="31"/>
  <c r="AI198" i="5"/>
  <c r="M13" i="34"/>
  <c r="M14" i="34"/>
  <c r="E17" i="3"/>
  <c r="O22" i="34"/>
  <c r="AB218" i="5"/>
  <c r="AJ218" i="5"/>
  <c r="AC219" i="5"/>
  <c r="AK219" i="5"/>
  <c r="AD220" i="5"/>
  <c r="AE221" i="5"/>
  <c r="AF222" i="5"/>
  <c r="AG223" i="5"/>
  <c r="Z224" i="5"/>
  <c r="AH224" i="5"/>
  <c r="AA225" i="5"/>
  <c r="AI225" i="5"/>
  <c r="AC218" i="5"/>
  <c r="AK218" i="5"/>
  <c r="AD219" i="5"/>
  <c r="AE220" i="5"/>
  <c r="AF221" i="5"/>
  <c r="AG222" i="5"/>
  <c r="Z223" i="5"/>
  <c r="AH223" i="5"/>
  <c r="AA224" i="5"/>
  <c r="AI224" i="5"/>
  <c r="AB225" i="5"/>
  <c r="AJ225" i="5"/>
  <c r="AI219" i="5"/>
  <c r="AB220" i="5"/>
  <c r="AE223" i="5"/>
  <c r="AF224" i="5"/>
  <c r="AD218" i="5"/>
  <c r="AE219" i="5"/>
  <c r="AF220" i="5"/>
  <c r="AG221" i="5"/>
  <c r="Z222" i="5"/>
  <c r="AH222" i="5"/>
  <c r="AA223" i="5"/>
  <c r="AI223" i="5"/>
  <c r="AB224" i="5"/>
  <c r="AJ224" i="5"/>
  <c r="AC225" i="5"/>
  <c r="AK225" i="5"/>
  <c r="AK221" i="5"/>
  <c r="AE218" i="5"/>
  <c r="AF219" i="5"/>
  <c r="AG220" i="5"/>
  <c r="Z221" i="5"/>
  <c r="AH221" i="5"/>
  <c r="AA222" i="5"/>
  <c r="AI222" i="5"/>
  <c r="AB223" i="5"/>
  <c r="AJ223" i="5"/>
  <c r="AC224" i="5"/>
  <c r="AK224" i="5"/>
  <c r="AD225" i="5"/>
  <c r="AA219" i="5"/>
  <c r="AJ220" i="5"/>
  <c r="AF218" i="5"/>
  <c r="AG219" i="5"/>
  <c r="Z220" i="5"/>
  <c r="AH220" i="5"/>
  <c r="AA221" i="5"/>
  <c r="AI221" i="5"/>
  <c r="AB222" i="5"/>
  <c r="AJ222" i="5"/>
  <c r="AC223" i="5"/>
  <c r="AK223" i="5"/>
  <c r="AD224" i="5"/>
  <c r="AE225" i="5"/>
  <c r="AH218" i="5"/>
  <c r="AG225" i="5"/>
  <c r="AG218" i="5"/>
  <c r="Z219" i="5"/>
  <c r="AH219" i="5"/>
  <c r="AA220" i="5"/>
  <c r="AI220" i="5"/>
  <c r="AB221" i="5"/>
  <c r="AJ221" i="5"/>
  <c r="AC222" i="5"/>
  <c r="AK222" i="5"/>
  <c r="AD223" i="5"/>
  <c r="AE224" i="5"/>
  <c r="AF225" i="5"/>
  <c r="Z218" i="5"/>
  <c r="AC221" i="5"/>
  <c r="AD222" i="5"/>
  <c r="AA218" i="5"/>
  <c r="AI218" i="5"/>
  <c r="AB219" i="5"/>
  <c r="AJ219" i="5"/>
  <c r="AC220" i="5"/>
  <c r="AK220" i="5"/>
  <c r="AD221" i="5"/>
  <c r="AE222" i="5"/>
  <c r="AF223" i="5"/>
  <c r="AG224" i="5"/>
  <c r="Z225" i="5"/>
  <c r="AH225" i="5"/>
  <c r="AB217" i="5"/>
  <c r="AJ217" i="5"/>
  <c r="Z217" i="5"/>
  <c r="AC217" i="5"/>
  <c r="AK217" i="5"/>
  <c r="AD217" i="5"/>
  <c r="AE217" i="5"/>
  <c r="AF217" i="5"/>
  <c r="AG217" i="5"/>
  <c r="AH217" i="5"/>
  <c r="AA217" i="5"/>
  <c r="AI217" i="5"/>
  <c r="E121" i="5"/>
  <c r="J152" i="5"/>
  <c r="O6" i="34"/>
  <c r="J115" i="5"/>
  <c r="AZ233" i="5"/>
  <c r="J86" i="5"/>
  <c r="F100" i="34"/>
  <c r="X94" i="5"/>
  <c r="H108" i="34"/>
  <c r="E142" i="27"/>
  <c r="J96" i="5"/>
  <c r="F110" i="34"/>
  <c r="J197" i="5"/>
  <c r="X137" i="5"/>
  <c r="X193" i="5"/>
  <c r="X202" i="5"/>
  <c r="J189" i="5"/>
  <c r="X278" i="5"/>
  <c r="H162" i="34"/>
  <c r="X138" i="5"/>
  <c r="R121" i="5"/>
  <c r="J99" i="5"/>
  <c r="AZ188" i="5"/>
  <c r="AZ209" i="5"/>
  <c r="J169" i="5"/>
  <c r="X172" i="5"/>
  <c r="X206" i="5"/>
  <c r="X196" i="5"/>
  <c r="J186" i="5"/>
  <c r="X131" i="5"/>
  <c r="W121" i="5"/>
  <c r="X132" i="5"/>
  <c r="J123" i="5"/>
  <c r="S121" i="5"/>
  <c r="X81" i="5"/>
  <c r="H95" i="34"/>
  <c r="J105" i="5"/>
  <c r="X119" i="5"/>
  <c r="M103" i="5"/>
  <c r="X77" i="5"/>
  <c r="H91" i="34"/>
  <c r="J176" i="5"/>
  <c r="J191" i="5"/>
  <c r="J213" i="5"/>
  <c r="J163" i="5"/>
  <c r="X166" i="5"/>
  <c r="J127" i="5"/>
  <c r="F82" i="34"/>
  <c r="H121" i="5"/>
  <c r="X106" i="5"/>
  <c r="J179" i="5"/>
  <c r="J212" i="5"/>
  <c r="W134" i="5"/>
  <c r="V74" i="5"/>
  <c r="J198" i="5"/>
  <c r="AZ215" i="5"/>
  <c r="J171" i="5"/>
  <c r="X201" i="5"/>
  <c r="J202" i="5"/>
  <c r="U121" i="5"/>
  <c r="J125" i="5"/>
  <c r="F80" i="34"/>
  <c r="X107" i="5"/>
  <c r="X198" i="5"/>
  <c r="J140" i="5"/>
  <c r="F74" i="5"/>
  <c r="X123" i="5"/>
  <c r="H78" i="34"/>
  <c r="M74" i="5"/>
  <c r="J278" i="5"/>
  <c r="F162" i="34"/>
  <c r="J180" i="5"/>
  <c r="X141" i="5"/>
  <c r="X124" i="5"/>
  <c r="H79" i="34"/>
  <c r="J110" i="5"/>
  <c r="X76" i="5"/>
  <c r="H90" i="34"/>
  <c r="X78" i="5"/>
  <c r="H92" i="34"/>
  <c r="S134" i="5"/>
  <c r="O134" i="5"/>
  <c r="BN275" i="5"/>
  <c r="BN260" i="5"/>
  <c r="D11" i="15"/>
  <c r="BN116" i="5"/>
  <c r="BL103" i="5"/>
  <c r="BN247" i="5"/>
  <c r="BN266" i="5"/>
  <c r="BN270" i="5"/>
  <c r="AZ198" i="5"/>
  <c r="AZ135" i="5"/>
  <c r="AZ149" i="5"/>
  <c r="M97" i="34"/>
  <c r="M15" i="34"/>
  <c r="M81" i="34"/>
  <c r="M91" i="34"/>
  <c r="M92" i="34"/>
  <c r="M17" i="34"/>
  <c r="K76" i="34"/>
  <c r="M98" i="34"/>
  <c r="M94" i="34"/>
  <c r="M95" i="34"/>
  <c r="R134" i="5"/>
  <c r="I134" i="5"/>
  <c r="J214" i="5"/>
  <c r="K5" i="34"/>
  <c r="Q134" i="5"/>
  <c r="H134" i="5"/>
  <c r="O5" i="15"/>
  <c r="T4" i="15"/>
  <c r="AZ163" i="5"/>
  <c r="AZ185" i="5"/>
  <c r="AZ205" i="5"/>
  <c r="AZ227" i="5"/>
  <c r="O6" i="15"/>
  <c r="T752" i="36"/>
  <c r="AZ139" i="5"/>
  <c r="AZ170" i="5"/>
  <c r="AZ153" i="5"/>
  <c r="AZ160" i="5"/>
  <c r="AZ164" i="5"/>
  <c r="AZ142" i="5"/>
  <c r="AZ152" i="5"/>
  <c r="AZ168" i="5"/>
  <c r="AZ174" i="5"/>
  <c r="AZ156" i="5"/>
  <c r="AZ172" i="5"/>
  <c r="AZ180" i="5"/>
  <c r="AZ184" i="5"/>
  <c r="AZ195" i="5"/>
  <c r="AZ211" i="5"/>
  <c r="AZ37" i="5"/>
  <c r="L34" i="34"/>
  <c r="AV26" i="5"/>
  <c r="AY26" i="5"/>
  <c r="G40" i="21"/>
  <c r="G42" i="21"/>
  <c r="G17" i="21"/>
  <c r="G19" i="21"/>
  <c r="G15" i="3"/>
  <c r="G17" i="3"/>
  <c r="G50" i="3"/>
  <c r="G52" i="3"/>
  <c r="BF246" i="5"/>
  <c r="E7" i="34"/>
  <c r="M7" i="34"/>
  <c r="E42" i="34"/>
  <c r="M42" i="34"/>
  <c r="E43" i="34"/>
  <c r="M43" i="34"/>
  <c r="E44" i="34"/>
  <c r="E45" i="34"/>
  <c r="M45" i="34"/>
  <c r="E46" i="34"/>
  <c r="M46" i="34"/>
  <c r="E47" i="34"/>
  <c r="E48" i="34"/>
  <c r="M48" i="34"/>
  <c r="E18" i="34"/>
  <c r="M18" i="34"/>
  <c r="O18" i="34"/>
  <c r="E49" i="34"/>
  <c r="M49" i="34"/>
  <c r="E19" i="34"/>
  <c r="M19" i="34"/>
  <c r="O19" i="34"/>
  <c r="E50" i="34"/>
  <c r="E51" i="34"/>
  <c r="E21" i="34"/>
  <c r="M21" i="34"/>
  <c r="O21" i="34"/>
  <c r="E52" i="34"/>
  <c r="M52" i="34"/>
  <c r="E53" i="34"/>
  <c r="M53" i="34"/>
  <c r="O89" i="34"/>
  <c r="H178" i="27"/>
  <c r="O110" i="34"/>
  <c r="E54" i="34"/>
  <c r="E55" i="34"/>
  <c r="E23" i="34"/>
  <c r="M23" i="34"/>
  <c r="O24" i="34"/>
  <c r="E56" i="34"/>
  <c r="M56" i="34"/>
  <c r="E24" i="34"/>
  <c r="M24" i="34"/>
  <c r="O25" i="34"/>
  <c r="E57" i="34"/>
  <c r="M57" i="34"/>
  <c r="E25" i="34"/>
  <c r="M25" i="34"/>
  <c r="E58" i="34"/>
  <c r="E22" i="34"/>
  <c r="M22" i="34"/>
  <c r="O23" i="34"/>
  <c r="E59" i="34"/>
  <c r="E28" i="34"/>
  <c r="M28" i="34"/>
  <c r="E60" i="34"/>
  <c r="E30" i="34"/>
  <c r="M30" i="34"/>
  <c r="E31" i="34"/>
  <c r="E61" i="34"/>
  <c r="E32" i="34"/>
  <c r="M32" i="34"/>
  <c r="E62" i="34"/>
  <c r="M62" i="34"/>
  <c r="E33" i="34"/>
  <c r="M33" i="34"/>
  <c r="E70" i="34"/>
  <c r="M70" i="34"/>
  <c r="O70" i="34"/>
  <c r="E34" i="34"/>
  <c r="E67" i="34"/>
  <c r="M67" i="34"/>
  <c r="E35" i="34"/>
  <c r="E68" i="34"/>
  <c r="M68" i="34"/>
  <c r="O68" i="34"/>
  <c r="E36" i="34"/>
  <c r="M36" i="34"/>
  <c r="E37" i="34"/>
  <c r="M37" i="34"/>
  <c r="E38" i="34"/>
  <c r="E71" i="34"/>
  <c r="M71" i="34"/>
  <c r="O71" i="34"/>
  <c r="E39" i="34"/>
  <c r="E72" i="34"/>
  <c r="M72" i="34"/>
  <c r="O72" i="34"/>
  <c r="E40" i="34"/>
  <c r="M40" i="34"/>
  <c r="E73" i="34"/>
  <c r="M73" i="34"/>
  <c r="O73" i="34"/>
  <c r="E41" i="34"/>
  <c r="M41" i="34"/>
  <c r="G66" i="34"/>
  <c r="G88" i="34"/>
  <c r="AV121" i="5"/>
  <c r="AR121" i="5"/>
  <c r="BI103" i="5"/>
  <c r="BE103" i="5"/>
  <c r="BB103" i="5"/>
  <c r="BK103" i="5"/>
  <c r="BN271" i="5"/>
  <c r="BN258" i="5"/>
  <c r="BN268" i="5"/>
  <c r="BN264" i="5"/>
  <c r="BC246" i="5"/>
  <c r="BN265" i="5"/>
  <c r="E11" i="27"/>
  <c r="H11" i="15"/>
  <c r="J11" i="15"/>
  <c r="I11" i="15"/>
  <c r="C11" i="13"/>
  <c r="O4" i="15"/>
  <c r="T3" i="15"/>
  <c r="H8" i="13"/>
  <c r="N74" i="5"/>
  <c r="BD103" i="5"/>
  <c r="Q103" i="5"/>
  <c r="J118" i="5"/>
  <c r="BN250" i="5"/>
  <c r="BN262" i="5"/>
  <c r="BN257" i="5"/>
  <c r="BN272" i="5"/>
  <c r="BN254" i="5"/>
  <c r="BI246" i="5"/>
  <c r="BN274" i="5"/>
  <c r="BN248" i="5"/>
  <c r="BN256" i="5"/>
  <c r="BN251" i="5"/>
  <c r="BN255" i="5"/>
  <c r="BN263" i="5"/>
  <c r="BN249" i="5"/>
  <c r="BN253" i="5"/>
  <c r="BN261" i="5"/>
  <c r="BN269" i="5"/>
  <c r="BK246" i="5"/>
  <c r="BH246" i="5"/>
  <c r="BG246" i="5"/>
  <c r="BN252" i="5"/>
  <c r="BD246" i="5"/>
  <c r="BN267" i="5"/>
  <c r="BN276" i="5"/>
  <c r="BM246" i="5"/>
  <c r="BB246" i="5"/>
  <c r="BE246" i="5"/>
  <c r="BN259" i="5"/>
  <c r="BJ246" i="5"/>
  <c r="BL246" i="5"/>
  <c r="O9" i="43"/>
  <c r="T8" i="43"/>
  <c r="BN198" i="5"/>
  <c r="BN112" i="5"/>
  <c r="BN117" i="5"/>
  <c r="BN115" i="5"/>
  <c r="BN119" i="5"/>
  <c r="BN107" i="5"/>
  <c r="BN109" i="5"/>
  <c r="BC103" i="5"/>
  <c r="BN106" i="5"/>
  <c r="BM103" i="5"/>
  <c r="BN105" i="5"/>
  <c r="BN113" i="5"/>
  <c r="BF103" i="5"/>
  <c r="BN114" i="5"/>
  <c r="BJ103" i="5"/>
  <c r="BN118" i="5"/>
  <c r="BN111" i="5"/>
  <c r="BN120" i="5"/>
  <c r="BN104" i="5"/>
  <c r="BN108" i="5"/>
  <c r="BN110" i="5"/>
  <c r="P8" i="9"/>
  <c r="F10" i="27"/>
  <c r="D116" i="27"/>
  <c r="BH103" i="5"/>
  <c r="BG103" i="5"/>
  <c r="X122" i="5"/>
  <c r="J122" i="5"/>
  <c r="F77" i="34"/>
  <c r="H7" i="13"/>
  <c r="O7" i="15"/>
  <c r="T6" i="15"/>
  <c r="E98" i="27"/>
  <c r="E121" i="27"/>
  <c r="H27" i="34"/>
  <c r="M20" i="34"/>
  <c r="D98" i="27"/>
  <c r="D51" i="27"/>
  <c r="AL198" i="5"/>
  <c r="X181" i="5"/>
  <c r="J185" i="5"/>
  <c r="X190" i="5"/>
  <c r="J183" i="5"/>
  <c r="X177" i="5"/>
  <c r="J181" i="5"/>
  <c r="X168" i="5"/>
  <c r="J188" i="5"/>
  <c r="J194" i="5"/>
  <c r="X210" i="5"/>
  <c r="J196" i="5"/>
  <c r="X211" i="5"/>
  <c r="X167" i="5"/>
  <c r="X171" i="5"/>
  <c r="X175" i="5"/>
  <c r="X179" i="5"/>
  <c r="X183" i="5"/>
  <c r="X187" i="5"/>
  <c r="X191" i="5"/>
  <c r="X195" i="5"/>
  <c r="X200" i="5"/>
  <c r="X204" i="5"/>
  <c r="X229" i="5"/>
  <c r="J167" i="5"/>
  <c r="J166" i="5"/>
  <c r="J165" i="5"/>
  <c r="J187" i="5"/>
  <c r="J148" i="5"/>
  <c r="P121" i="5"/>
  <c r="T134" i="5"/>
  <c r="X129" i="5"/>
  <c r="H84" i="34"/>
  <c r="J128" i="5"/>
  <c r="F83" i="34"/>
  <c r="X85" i="5"/>
  <c r="H99" i="34"/>
  <c r="J79" i="5"/>
  <c r="F93" i="34"/>
  <c r="G27" i="34"/>
  <c r="E103" i="5"/>
  <c r="V103" i="5"/>
  <c r="J106" i="5"/>
  <c r="X109" i="5"/>
  <c r="J113" i="5"/>
  <c r="J112" i="5"/>
  <c r="T103" i="5"/>
  <c r="G103" i="5"/>
  <c r="X89" i="5"/>
  <c r="H103" i="34"/>
  <c r="J83" i="5"/>
  <c r="F97" i="34"/>
  <c r="X79" i="5"/>
  <c r="H93" i="34"/>
  <c r="I74" i="5"/>
  <c r="P74" i="5"/>
  <c r="P3" i="31"/>
  <c r="R3" i="31"/>
  <c r="P3" i="4"/>
  <c r="J98" i="5"/>
  <c r="F112" i="34"/>
  <c r="R5" i="4"/>
  <c r="E7" i="27"/>
  <c r="J80" i="5"/>
  <c r="F94" i="34"/>
  <c r="J91" i="5"/>
  <c r="F105" i="34"/>
  <c r="X26" i="5"/>
  <c r="X197" i="5"/>
  <c r="X205" i="5"/>
  <c r="J172" i="5"/>
  <c r="X180" i="5"/>
  <c r="J199" i="5"/>
  <c r="J201" i="5"/>
  <c r="X230" i="5"/>
  <c r="X194" i="5"/>
  <c r="X199" i="5"/>
  <c r="X203" i="5"/>
  <c r="X207" i="5"/>
  <c r="J216" i="5"/>
  <c r="J178" i="5"/>
  <c r="J158" i="5"/>
  <c r="J159" i="5"/>
  <c r="X139" i="5"/>
  <c r="O121" i="5"/>
  <c r="U134" i="5"/>
  <c r="X133" i="5"/>
  <c r="X112" i="5"/>
  <c r="X120" i="5"/>
  <c r="F103" i="5"/>
  <c r="S103" i="5"/>
  <c r="J114" i="5"/>
  <c r="P103" i="5"/>
  <c r="H74" i="5"/>
  <c r="J102" i="5"/>
  <c r="J92" i="5"/>
  <c r="F106" i="34"/>
  <c r="J84" i="5"/>
  <c r="F98" i="34"/>
  <c r="J100" i="5"/>
  <c r="J97" i="5"/>
  <c r="F111" i="34"/>
  <c r="X188" i="5"/>
  <c r="X173" i="5"/>
  <c r="J177" i="5"/>
  <c r="J184" i="5"/>
  <c r="X192" i="5"/>
  <c r="J203" i="5"/>
  <c r="X237" i="5"/>
  <c r="J205" i="5"/>
  <c r="X209" i="5"/>
  <c r="J136" i="5"/>
  <c r="L134" i="5"/>
  <c r="X136" i="5"/>
  <c r="J131" i="5"/>
  <c r="J133" i="5"/>
  <c r="J124" i="5"/>
  <c r="F79" i="34"/>
  <c r="U74" i="5"/>
  <c r="X80" i="5"/>
  <c r="H94" i="34"/>
  <c r="T74" i="5"/>
  <c r="X104" i="5"/>
  <c r="X111" i="5"/>
  <c r="X117" i="5"/>
  <c r="J117" i="5"/>
  <c r="X114" i="5"/>
  <c r="J119" i="5"/>
  <c r="J78" i="5"/>
  <c r="F92" i="34"/>
  <c r="J88" i="5"/>
  <c r="F102" i="34"/>
  <c r="X96" i="5"/>
  <c r="H110" i="34"/>
  <c r="J95" i="5"/>
  <c r="F109" i="34"/>
  <c r="X174" i="5"/>
  <c r="X182" i="5"/>
  <c r="X165" i="5"/>
  <c r="J207" i="5"/>
  <c r="J210" i="5"/>
  <c r="X234" i="5"/>
  <c r="X238" i="5"/>
  <c r="X242" i="5"/>
  <c r="J173" i="5"/>
  <c r="J153" i="5"/>
  <c r="X176" i="5"/>
  <c r="N134" i="5"/>
  <c r="F134" i="5"/>
  <c r="V134" i="5"/>
  <c r="M121" i="5"/>
  <c r="G121" i="5"/>
  <c r="L121" i="5"/>
  <c r="J126" i="5"/>
  <c r="F81" i="34"/>
  <c r="L74" i="5"/>
  <c r="X75" i="5"/>
  <c r="P4" i="31"/>
  <c r="R4" i="31"/>
  <c r="P4" i="4"/>
  <c r="W103" i="5"/>
  <c r="X108" i="5"/>
  <c r="J109" i="5"/>
  <c r="X115" i="5"/>
  <c r="X113" i="5"/>
  <c r="J108" i="5"/>
  <c r="W74" i="5"/>
  <c r="X100" i="5"/>
  <c r="J101" i="5"/>
  <c r="J170" i="5"/>
  <c r="X185" i="5"/>
  <c r="J193" i="5"/>
  <c r="X208" i="5"/>
  <c r="X212" i="5"/>
  <c r="X241" i="5"/>
  <c r="X245" i="5"/>
  <c r="X215" i="5"/>
  <c r="X227" i="5"/>
  <c r="X231" i="5"/>
  <c r="X235" i="5"/>
  <c r="X239" i="5"/>
  <c r="X243" i="5"/>
  <c r="X169" i="5"/>
  <c r="J160" i="5"/>
  <c r="E134" i="5"/>
  <c r="J129" i="5"/>
  <c r="F84" i="34"/>
  <c r="N121" i="5"/>
  <c r="X127" i="5"/>
  <c r="H82" i="34"/>
  <c r="Q121" i="5"/>
  <c r="X130" i="5"/>
  <c r="H85" i="34"/>
  <c r="I121" i="5"/>
  <c r="X126" i="5"/>
  <c r="H81" i="34"/>
  <c r="T121" i="5"/>
  <c r="J130" i="5"/>
  <c r="F85" i="34"/>
  <c r="V121" i="5"/>
  <c r="J75" i="5"/>
  <c r="E74" i="5"/>
  <c r="J107" i="5"/>
  <c r="X84" i="5"/>
  <c r="H98" i="34"/>
  <c r="R74" i="5"/>
  <c r="X118" i="5"/>
  <c r="J120" i="5"/>
  <c r="X110" i="5"/>
  <c r="J77" i="5"/>
  <c r="F91" i="34"/>
  <c r="X88" i="5"/>
  <c r="H102" i="34"/>
  <c r="J87" i="5"/>
  <c r="F101" i="34"/>
  <c r="X83" i="5"/>
  <c r="H97" i="34"/>
  <c r="X95" i="5"/>
  <c r="H109" i="34"/>
  <c r="X99" i="5"/>
  <c r="H77" i="34"/>
  <c r="X164" i="5"/>
  <c r="P134" i="5"/>
  <c r="J162" i="5"/>
  <c r="X178" i="5"/>
  <c r="J182" i="5"/>
  <c r="X213" i="5"/>
  <c r="J195" i="5"/>
  <c r="J209" i="5"/>
  <c r="J132" i="5"/>
  <c r="F121" i="5"/>
  <c r="X82" i="5"/>
  <c r="H96" i="34"/>
  <c r="I103" i="5"/>
  <c r="U103" i="5"/>
  <c r="X105" i="5"/>
  <c r="L103" i="5"/>
  <c r="N103" i="5"/>
  <c r="J81" i="5"/>
  <c r="F95" i="34"/>
  <c r="X93" i="5"/>
  <c r="H107" i="34"/>
  <c r="X97" i="5"/>
  <c r="H111" i="34"/>
  <c r="X102" i="5"/>
  <c r="J93" i="5"/>
  <c r="F107" i="34"/>
  <c r="X98" i="5"/>
  <c r="H112" i="34"/>
  <c r="G134" i="5"/>
  <c r="X186" i="5"/>
  <c r="X189" i="5"/>
  <c r="X214" i="5"/>
  <c r="X233" i="5"/>
  <c r="J200" i="5"/>
  <c r="J211" i="5"/>
  <c r="J215" i="5"/>
  <c r="J168" i="5"/>
  <c r="X125" i="5"/>
  <c r="H80" i="34"/>
  <c r="X128" i="5"/>
  <c r="H83" i="34"/>
  <c r="X87" i="5"/>
  <c r="H101" i="34"/>
  <c r="X92" i="5"/>
  <c r="H106" i="34"/>
  <c r="J111" i="5"/>
  <c r="H103" i="5"/>
  <c r="J76" i="5"/>
  <c r="F90" i="34"/>
  <c r="O74" i="5"/>
  <c r="J85" i="5"/>
  <c r="F99" i="34"/>
  <c r="X101" i="5"/>
  <c r="X157" i="5"/>
  <c r="X163" i="5"/>
  <c r="X170" i="5"/>
  <c r="J174" i="5"/>
  <c r="X184" i="5"/>
  <c r="J175" i="5"/>
  <c r="J190" i="5"/>
  <c r="J206" i="5"/>
  <c r="J192" i="5"/>
  <c r="J204" i="5"/>
  <c r="X226" i="5"/>
  <c r="X216" i="5"/>
  <c r="X228" i="5"/>
  <c r="X232" i="5"/>
  <c r="X236" i="5"/>
  <c r="X240" i="5"/>
  <c r="X244" i="5"/>
  <c r="J155" i="5"/>
  <c r="J164" i="5"/>
  <c r="J156" i="5"/>
  <c r="M134" i="5"/>
  <c r="P8" i="31"/>
  <c r="R8" i="31"/>
  <c r="P8" i="4"/>
  <c r="J90" i="5"/>
  <c r="F104" i="34"/>
  <c r="X86" i="5"/>
  <c r="H100" i="34"/>
  <c r="S74" i="5"/>
  <c r="O103" i="5"/>
  <c r="R103" i="5"/>
  <c r="J104" i="5"/>
  <c r="X90" i="5"/>
  <c r="H104" i="34"/>
  <c r="Q74" i="5"/>
  <c r="H6" i="34"/>
  <c r="H5" i="34"/>
  <c r="X4" i="5"/>
  <c r="J82" i="5"/>
  <c r="F96" i="34"/>
  <c r="X91" i="5"/>
  <c r="H105" i="34"/>
  <c r="G74" i="5"/>
  <c r="J89" i="5"/>
  <c r="F103" i="34"/>
  <c r="O8" i="43"/>
  <c r="T7" i="43"/>
  <c r="L11" i="43"/>
  <c r="I11" i="43"/>
  <c r="O5" i="43"/>
  <c r="T4" i="43"/>
  <c r="D11" i="43"/>
  <c r="O7" i="43"/>
  <c r="T6" i="43"/>
  <c r="E11" i="43"/>
  <c r="E13" i="43"/>
  <c r="N11" i="43"/>
  <c r="M11" i="43"/>
  <c r="G11" i="43"/>
  <c r="F11" i="43"/>
  <c r="C11" i="43"/>
  <c r="O3" i="43"/>
  <c r="H11" i="43"/>
  <c r="K11" i="43"/>
  <c r="J11" i="43"/>
  <c r="O4" i="43"/>
  <c r="T3" i="43"/>
  <c r="O8" i="15"/>
  <c r="T7" i="15"/>
  <c r="H4" i="13"/>
  <c r="P7" i="15"/>
  <c r="G9" i="27"/>
  <c r="G142" i="27"/>
  <c r="P7" i="43"/>
  <c r="H9" i="27"/>
  <c r="P4" i="15"/>
  <c r="G6" i="27"/>
  <c r="P4" i="43"/>
  <c r="H6" i="27"/>
  <c r="P3" i="15"/>
  <c r="P3" i="43"/>
  <c r="H5" i="27"/>
  <c r="BB26" i="5"/>
  <c r="I161" i="34"/>
  <c r="BN50" i="5"/>
  <c r="P44" i="34"/>
  <c r="BN31" i="5"/>
  <c r="P30" i="34"/>
  <c r="BF4" i="5"/>
  <c r="BN97" i="5"/>
  <c r="P111" i="34"/>
  <c r="BN232" i="5"/>
  <c r="BN18" i="5"/>
  <c r="P19" i="34"/>
  <c r="BN12" i="5"/>
  <c r="P13" i="34"/>
  <c r="BL26" i="5"/>
  <c r="BN23" i="5"/>
  <c r="P23" i="34"/>
  <c r="BN6" i="5"/>
  <c r="P7" i="34"/>
  <c r="BD26" i="5"/>
  <c r="BN168" i="5"/>
  <c r="P138" i="34"/>
  <c r="BN16" i="5"/>
  <c r="P17" i="34"/>
  <c r="BK121" i="5"/>
  <c r="BG74" i="5"/>
  <c r="BN137" i="5"/>
  <c r="P124" i="34"/>
  <c r="BN189" i="5"/>
  <c r="BN216" i="5"/>
  <c r="P166" i="34"/>
  <c r="BN240" i="5"/>
  <c r="BN10" i="5"/>
  <c r="P11" i="34"/>
  <c r="BN21" i="5"/>
  <c r="P21" i="34"/>
  <c r="BL121" i="5"/>
  <c r="BN14" i="5"/>
  <c r="P15" i="34"/>
  <c r="BN54" i="5"/>
  <c r="P47" i="34"/>
  <c r="BN24" i="5"/>
  <c r="P24" i="34"/>
  <c r="BN7" i="5"/>
  <c r="BN95" i="5"/>
  <c r="P109" i="34"/>
  <c r="BN93" i="5"/>
  <c r="P107" i="34"/>
  <c r="BN136" i="5"/>
  <c r="P123" i="34"/>
  <c r="BN195" i="5"/>
  <c r="BN230" i="5"/>
  <c r="BN72" i="5"/>
  <c r="BN25" i="5"/>
  <c r="BN8" i="5"/>
  <c r="BI121" i="5"/>
  <c r="BN27" i="5"/>
  <c r="P28" i="34"/>
  <c r="BH26" i="5"/>
  <c r="BN9" i="5"/>
  <c r="P10" i="34"/>
  <c r="BI4" i="5"/>
  <c r="BN81" i="5"/>
  <c r="P95" i="34"/>
  <c r="BD74" i="5"/>
  <c r="BM74" i="5"/>
  <c r="BN94" i="5"/>
  <c r="P108" i="34"/>
  <c r="BN140" i="5"/>
  <c r="P127" i="34"/>
  <c r="BM134" i="5"/>
  <c r="BN181" i="5"/>
  <c r="BN169" i="5"/>
  <c r="P139" i="34"/>
  <c r="BN187" i="5"/>
  <c r="BN206" i="5"/>
  <c r="P155" i="34"/>
  <c r="BN188" i="5"/>
  <c r="BN204" i="5"/>
  <c r="P153" i="34"/>
  <c r="BN210" i="5"/>
  <c r="BN227" i="5"/>
  <c r="BN243" i="5"/>
  <c r="BN67" i="5"/>
  <c r="P60" i="34"/>
  <c r="BN53" i="5"/>
  <c r="P46" i="34"/>
  <c r="BN38" i="5"/>
  <c r="P35" i="34"/>
  <c r="BN55" i="5"/>
  <c r="P48" i="34"/>
  <c r="BN39" i="5"/>
  <c r="P36" i="34"/>
  <c r="BM26" i="5"/>
  <c r="BN45" i="5"/>
  <c r="P72" i="34"/>
  <c r="BN130" i="5"/>
  <c r="P85" i="34"/>
  <c r="BD121" i="5"/>
  <c r="BN125" i="5"/>
  <c r="P80" i="34"/>
  <c r="BH121" i="5"/>
  <c r="BN56" i="5"/>
  <c r="P49" i="34"/>
  <c r="BN19" i="5"/>
  <c r="BN34" i="5"/>
  <c r="P32" i="34"/>
  <c r="BF74" i="5"/>
  <c r="BN87" i="5"/>
  <c r="P101" i="34"/>
  <c r="BI74" i="5"/>
  <c r="BL74" i="5"/>
  <c r="BN82" i="5"/>
  <c r="P96" i="34"/>
  <c r="BN88" i="5"/>
  <c r="P102" i="34"/>
  <c r="BN100" i="5"/>
  <c r="BN155" i="5"/>
  <c r="BE134" i="5"/>
  <c r="BN156" i="5"/>
  <c r="BN191" i="5"/>
  <c r="BN170" i="5"/>
  <c r="P140" i="34"/>
  <c r="BN163" i="5"/>
  <c r="P133" i="34"/>
  <c r="BN143" i="5"/>
  <c r="P130" i="34"/>
  <c r="BN166" i="5"/>
  <c r="P136" i="34"/>
  <c r="BN226" i="5"/>
  <c r="BN242" i="5"/>
  <c r="BN178" i="5"/>
  <c r="BN194" i="5"/>
  <c r="BN207" i="5"/>
  <c r="P156" i="34"/>
  <c r="BN197" i="5"/>
  <c r="BN211" i="5"/>
  <c r="BN233" i="5"/>
  <c r="BN66" i="5"/>
  <c r="P59" i="34"/>
  <c r="BN61" i="5"/>
  <c r="P54" i="34"/>
  <c r="BE26" i="5"/>
  <c r="BM4" i="5"/>
  <c r="BN131" i="5"/>
  <c r="BN278" i="5"/>
  <c r="P162" i="34"/>
  <c r="BN13" i="5"/>
  <c r="P14" i="34"/>
  <c r="BG26" i="5"/>
  <c r="BN77" i="5"/>
  <c r="P91" i="34"/>
  <c r="BN90" i="5"/>
  <c r="P104" i="34"/>
  <c r="BF134" i="5"/>
  <c r="BN142" i="5"/>
  <c r="P129" i="34"/>
  <c r="BH134" i="5"/>
  <c r="BN138" i="5"/>
  <c r="P125" i="34"/>
  <c r="BN148" i="5"/>
  <c r="BN150" i="5"/>
  <c r="BC134" i="5"/>
  <c r="BN147" i="5"/>
  <c r="BN157" i="5"/>
  <c r="BN193" i="5"/>
  <c r="BN177" i="5"/>
  <c r="BN153" i="5"/>
  <c r="BN158" i="5"/>
  <c r="BN154" i="5"/>
  <c r="BN159" i="5"/>
  <c r="BN173" i="5"/>
  <c r="P143" i="34"/>
  <c r="BN199" i="5"/>
  <c r="P148" i="34"/>
  <c r="BN228" i="5"/>
  <c r="BN244" i="5"/>
  <c r="BN184" i="5"/>
  <c r="BN208" i="5"/>
  <c r="P157" i="34"/>
  <c r="BN215" i="5"/>
  <c r="P165" i="34"/>
  <c r="BN239" i="5"/>
  <c r="BN41" i="5"/>
  <c r="P38" i="34"/>
  <c r="BN49" i="5"/>
  <c r="P43" i="34"/>
  <c r="BN30" i="5"/>
  <c r="P29" i="34"/>
  <c r="BN32" i="5"/>
  <c r="P69" i="34"/>
  <c r="BE4" i="5"/>
  <c r="BN126" i="5"/>
  <c r="P81" i="34"/>
  <c r="BE121" i="5"/>
  <c r="BN83" i="5"/>
  <c r="P97" i="34"/>
  <c r="BC74" i="5"/>
  <c r="BN96" i="5"/>
  <c r="P110" i="34"/>
  <c r="BN139" i="5"/>
  <c r="P126" i="34"/>
  <c r="BL134" i="5"/>
  <c r="BN152" i="5"/>
  <c r="BN175" i="5"/>
  <c r="P145" i="34"/>
  <c r="BN160" i="5"/>
  <c r="BN196" i="5"/>
  <c r="BN162" i="5"/>
  <c r="BN174" i="5"/>
  <c r="P144" i="34"/>
  <c r="BN190" i="5"/>
  <c r="BN229" i="5"/>
  <c r="BN245" i="5"/>
  <c r="BN40" i="5"/>
  <c r="P37" i="34"/>
  <c r="BN57" i="5"/>
  <c r="P50" i="34"/>
  <c r="BN68" i="5"/>
  <c r="P61" i="34"/>
  <c r="BN60" i="5"/>
  <c r="P53" i="34"/>
  <c r="BK26" i="5"/>
  <c r="BN132" i="5"/>
  <c r="BM121" i="5"/>
  <c r="BN127" i="5"/>
  <c r="P82" i="34"/>
  <c r="BL4" i="5"/>
  <c r="BK4" i="5"/>
  <c r="BN37" i="5"/>
  <c r="P34" i="34"/>
  <c r="BN17" i="5"/>
  <c r="P18" i="34"/>
  <c r="BN51" i="5"/>
  <c r="P73" i="34"/>
  <c r="BH74" i="5"/>
  <c r="BK74" i="5"/>
  <c r="BN84" i="5"/>
  <c r="P98" i="34"/>
  <c r="BN101" i="5"/>
  <c r="BN102" i="5"/>
  <c r="BK134" i="5"/>
  <c r="BN149" i="5"/>
  <c r="BN165" i="5"/>
  <c r="P135" i="34"/>
  <c r="BN171" i="5"/>
  <c r="BN185" i="5"/>
  <c r="BN172" i="5"/>
  <c r="P142" i="34"/>
  <c r="BN205" i="5"/>
  <c r="P154" i="34"/>
  <c r="BN203" i="5"/>
  <c r="P152" i="34"/>
  <c r="BN180" i="5"/>
  <c r="BN201" i="5"/>
  <c r="P150" i="34"/>
  <c r="BN235" i="5"/>
  <c r="BN63" i="5"/>
  <c r="P56" i="34"/>
  <c r="BN73" i="5"/>
  <c r="BH4" i="5"/>
  <c r="BC26" i="5"/>
  <c r="BN122" i="5"/>
  <c r="P77" i="34"/>
  <c r="BB121" i="5"/>
  <c r="BF121" i="5"/>
  <c r="BN133" i="5"/>
  <c r="BN29" i="5"/>
  <c r="P68" i="34"/>
  <c r="BD4" i="5"/>
  <c r="BN48" i="5"/>
  <c r="P42" i="34"/>
  <c r="BC4" i="5"/>
  <c r="BN11" i="5"/>
  <c r="BJ4" i="5"/>
  <c r="BN79" i="5"/>
  <c r="P93" i="34"/>
  <c r="BB74" i="5"/>
  <c r="BN75" i="5"/>
  <c r="P89" i="34"/>
  <c r="BN76" i="5"/>
  <c r="P90" i="34"/>
  <c r="BN78" i="5"/>
  <c r="P92" i="34"/>
  <c r="BN161" i="5"/>
  <c r="BN141" i="5"/>
  <c r="P128" i="34"/>
  <c r="BN179" i="5"/>
  <c r="BN167" i="5"/>
  <c r="P137" i="34"/>
  <c r="BN183" i="5"/>
  <c r="BN151" i="5"/>
  <c r="BB134" i="5"/>
  <c r="BN135" i="5"/>
  <c r="P122" i="34"/>
  <c r="BN234" i="5"/>
  <c r="BN186" i="5"/>
  <c r="BN241" i="5"/>
  <c r="BN43" i="5"/>
  <c r="P71" i="34"/>
  <c r="BN36" i="5"/>
  <c r="P70" i="34"/>
  <c r="BN70" i="5"/>
  <c r="BN58" i="5"/>
  <c r="P51" i="34"/>
  <c r="BN28" i="5"/>
  <c r="P67" i="34"/>
  <c r="BN47" i="5"/>
  <c r="P41" i="34"/>
  <c r="BJ121" i="5"/>
  <c r="BN128" i="5"/>
  <c r="P83" i="34"/>
  <c r="BN123" i="5"/>
  <c r="P78" i="34"/>
  <c r="BN65" i="5"/>
  <c r="P58" i="34"/>
  <c r="BN35" i="5"/>
  <c r="P33" i="34"/>
  <c r="BN22" i="5"/>
  <c r="P22" i="34"/>
  <c r="BB4" i="5"/>
  <c r="BN5" i="5"/>
  <c r="P6" i="34"/>
  <c r="BN91" i="5"/>
  <c r="P105" i="34"/>
  <c r="BN85" i="5"/>
  <c r="P99" i="34"/>
  <c r="BJ74" i="5"/>
  <c r="BN92" i="5"/>
  <c r="P106" i="34"/>
  <c r="BN80" i="5"/>
  <c r="P94" i="34"/>
  <c r="BN98" i="5"/>
  <c r="P112" i="34"/>
  <c r="BG134" i="5"/>
  <c r="BN145" i="5"/>
  <c r="BN200" i="5"/>
  <c r="P149" i="34"/>
  <c r="BJ134" i="5"/>
  <c r="BN146" i="5"/>
  <c r="BN164" i="5"/>
  <c r="P134" i="34"/>
  <c r="BN202" i="5"/>
  <c r="P151" i="34"/>
  <c r="BN212" i="5"/>
  <c r="BN236" i="5"/>
  <c r="BN176" i="5"/>
  <c r="P146" i="34"/>
  <c r="BN192" i="5"/>
  <c r="BN209" i="5"/>
  <c r="BN231" i="5"/>
  <c r="BN42" i="5"/>
  <c r="P39" i="34"/>
  <c r="BN59" i="5"/>
  <c r="P52" i="34"/>
  <c r="BN33" i="5"/>
  <c r="P31" i="34"/>
  <c r="BF26" i="5"/>
  <c r="BN64" i="5"/>
  <c r="P57" i="34"/>
  <c r="BC121" i="5"/>
  <c r="BN129" i="5"/>
  <c r="P84" i="34"/>
  <c r="BG121" i="5"/>
  <c r="BJ26" i="5"/>
  <c r="BI26" i="5"/>
  <c r="BN62" i="5"/>
  <c r="P55" i="34"/>
  <c r="BN46" i="5"/>
  <c r="P40" i="34"/>
  <c r="BN15" i="5"/>
  <c r="P16" i="34"/>
  <c r="BN89" i="5"/>
  <c r="P103" i="34"/>
  <c r="BN99" i="5"/>
  <c r="BE74" i="5"/>
  <c r="BN86" i="5"/>
  <c r="P100" i="34"/>
  <c r="BI134" i="5"/>
  <c r="BD134" i="5"/>
  <c r="BN144" i="5"/>
  <c r="P131" i="34"/>
  <c r="BN214" i="5"/>
  <c r="P164" i="34"/>
  <c r="BN238" i="5"/>
  <c r="BN182" i="5"/>
  <c r="BN213" i="5"/>
  <c r="P159" i="34"/>
  <c r="BN237" i="5"/>
  <c r="BN69" i="5"/>
  <c r="P62" i="34"/>
  <c r="BN71" i="5"/>
  <c r="BN20" i="5"/>
  <c r="P25" i="34"/>
  <c r="BG4" i="5"/>
  <c r="BN52" i="5"/>
  <c r="P45" i="34"/>
  <c r="BN124" i="5"/>
  <c r="P79" i="34"/>
  <c r="AZ157" i="5"/>
  <c r="AZ173" i="5"/>
  <c r="O3" i="15"/>
  <c r="T2" i="15"/>
  <c r="H3" i="13"/>
  <c r="AZ335" i="5"/>
  <c r="AZ136" i="5"/>
  <c r="AX134" i="5"/>
  <c r="AQ134" i="5"/>
  <c r="AZ148" i="5"/>
  <c r="AO134" i="5"/>
  <c r="AT134" i="5"/>
  <c r="AZ151" i="5"/>
  <c r="AZ175" i="5"/>
  <c r="AZ183" i="5"/>
  <c r="AZ169" i="5"/>
  <c r="AY134" i="5"/>
  <c r="AZ150" i="5"/>
  <c r="T70" i="11"/>
  <c r="T54" i="11"/>
  <c r="E42" i="3"/>
  <c r="E50" i="3"/>
  <c r="F51" i="27"/>
  <c r="AZ321" i="5"/>
  <c r="S70" i="36"/>
  <c r="AZ298" i="5"/>
  <c r="AZ329" i="5"/>
  <c r="AZ331" i="5"/>
  <c r="AZ301" i="5"/>
  <c r="AZ285" i="5"/>
  <c r="AZ314" i="5"/>
  <c r="AR278" i="5"/>
  <c r="AZ302" i="5"/>
  <c r="AZ318" i="5"/>
  <c r="H10" i="13"/>
  <c r="AZ143" i="5"/>
  <c r="AZ140" i="5"/>
  <c r="AU134" i="5"/>
  <c r="AZ147" i="5"/>
  <c r="AZ327" i="5"/>
  <c r="AZ288" i="5"/>
  <c r="AS134" i="5"/>
  <c r="AR134" i="5"/>
  <c r="AZ317" i="5"/>
  <c r="AZ336" i="5"/>
  <c r="AZ269" i="5"/>
  <c r="AZ274" i="5"/>
  <c r="AZ284" i="5"/>
  <c r="AZ303" i="5"/>
  <c r="AZ320" i="5"/>
  <c r="AZ306" i="5"/>
  <c r="AZ277" i="5"/>
  <c r="AZ310" i="5"/>
  <c r="AZ268" i="5"/>
  <c r="AZ270" i="5"/>
  <c r="AN246" i="5"/>
  <c r="E11" i="15"/>
  <c r="AQ246" i="5"/>
  <c r="AT246" i="5"/>
  <c r="AZ257" i="5"/>
  <c r="AZ273" i="5"/>
  <c r="AZ255" i="5"/>
  <c r="AY246" i="5"/>
  <c r="AZ141" i="5"/>
  <c r="AZ261" i="5"/>
  <c r="AN4" i="5"/>
  <c r="AU246" i="5"/>
  <c r="AZ251" i="5"/>
  <c r="AX246" i="5"/>
  <c r="AS246" i="5"/>
  <c r="AZ265" i="5"/>
  <c r="AZ248" i="5"/>
  <c r="AZ260" i="5"/>
  <c r="AZ264" i="5"/>
  <c r="AO246" i="5"/>
  <c r="AZ267" i="5"/>
  <c r="AZ266" i="5"/>
  <c r="AZ276" i="5"/>
  <c r="AZ271" i="5"/>
  <c r="AZ275" i="5"/>
  <c r="AZ286" i="5"/>
  <c r="AZ281" i="5"/>
  <c r="AZ322" i="5"/>
  <c r="AT278" i="5"/>
  <c r="AZ293" i="5"/>
  <c r="AZ291" i="5"/>
  <c r="AZ296" i="5"/>
  <c r="AZ282" i="5"/>
  <c r="AZ283" i="5"/>
  <c r="AZ289" i="5"/>
  <c r="AZ308" i="5"/>
  <c r="AZ328" i="5"/>
  <c r="AZ290" i="5"/>
  <c r="AZ292" i="5"/>
  <c r="AZ316" i="5"/>
  <c r="AZ324" i="5"/>
  <c r="AZ332" i="5"/>
  <c r="AZ330" i="5"/>
  <c r="AZ315" i="5"/>
  <c r="AZ319" i="5"/>
  <c r="AZ323" i="5"/>
  <c r="AZ309" i="5"/>
  <c r="AZ325" i="5"/>
  <c r="AZ337" i="5"/>
  <c r="AZ326" i="5"/>
  <c r="AZ334" i="5"/>
  <c r="AZ137" i="5"/>
  <c r="AZ138" i="5"/>
  <c r="AZ145" i="5"/>
  <c r="AV134" i="5"/>
  <c r="AZ146" i="5"/>
  <c r="AW134" i="5"/>
  <c r="H5" i="13"/>
  <c r="AP246" i="5"/>
  <c r="AZ253" i="5"/>
  <c r="AZ250" i="5"/>
  <c r="AZ254" i="5"/>
  <c r="AZ258" i="5"/>
  <c r="AZ262" i="5"/>
  <c r="AR246" i="5"/>
  <c r="AV246" i="5"/>
  <c r="AW246" i="5"/>
  <c r="AZ272" i="5"/>
  <c r="AZ247" i="5"/>
  <c r="D11" i="13"/>
  <c r="AZ249" i="5"/>
  <c r="AZ100" i="5"/>
  <c r="AN57" i="5"/>
  <c r="AZ57" i="5"/>
  <c r="L50" i="34"/>
  <c r="AZ90" i="5"/>
  <c r="L104" i="34"/>
  <c r="AZ102" i="5"/>
  <c r="AZ87" i="5"/>
  <c r="L101" i="34"/>
  <c r="AZ77" i="5"/>
  <c r="L91" i="34"/>
  <c r="AZ78" i="5"/>
  <c r="L92" i="34"/>
  <c r="E11" i="13"/>
  <c r="G11" i="13"/>
  <c r="K11" i="15"/>
  <c r="AZ259" i="5"/>
  <c r="AZ263" i="5"/>
  <c r="AZ62" i="5"/>
  <c r="L55" i="34"/>
  <c r="AZ85" i="5"/>
  <c r="L99" i="34"/>
  <c r="AZ76" i="5"/>
  <c r="L90" i="34"/>
  <c r="F11" i="13"/>
  <c r="AZ96" i="5"/>
  <c r="L110" i="34"/>
  <c r="AZ95" i="5"/>
  <c r="L109" i="34"/>
  <c r="AZ101" i="5"/>
  <c r="AZ94" i="5"/>
  <c r="L108" i="34"/>
  <c r="AZ97" i="5"/>
  <c r="L111" i="34"/>
  <c r="P9" i="15"/>
  <c r="G11" i="27"/>
  <c r="K161" i="34"/>
  <c r="K121" i="34"/>
  <c r="AX74" i="5"/>
  <c r="H6" i="13"/>
  <c r="N11" i="15"/>
  <c r="AZ86" i="5"/>
  <c r="L100" i="34"/>
  <c r="AZ82" i="5"/>
  <c r="L96" i="34"/>
  <c r="AY74" i="5"/>
  <c r="AZ84" i="5"/>
  <c r="L98" i="34"/>
  <c r="AS74" i="5"/>
  <c r="AZ99" i="5"/>
  <c r="F38" i="3"/>
  <c r="F50" i="3"/>
  <c r="S73" i="36"/>
  <c r="AZ88" i="5"/>
  <c r="L102" i="34"/>
  <c r="AZ98" i="5"/>
  <c r="L112" i="34"/>
  <c r="AZ89" i="5"/>
  <c r="L103" i="34"/>
  <c r="AZ75" i="5"/>
  <c r="L89" i="34"/>
  <c r="AZ81" i="5"/>
  <c r="L95" i="34"/>
  <c r="AZ91" i="5"/>
  <c r="L105" i="34"/>
  <c r="AZ6" i="5"/>
  <c r="L7" i="34"/>
  <c r="F11" i="15"/>
  <c r="AZ104" i="5"/>
  <c r="AZ112" i="5"/>
  <c r="AU103" i="5"/>
  <c r="AZ113" i="5"/>
  <c r="AZ111" i="5"/>
  <c r="AZ115" i="5"/>
  <c r="AN103" i="5"/>
  <c r="G11" i="15"/>
  <c r="AZ83" i="5"/>
  <c r="L97" i="34"/>
  <c r="AQ74" i="5"/>
  <c r="AZ93" i="5"/>
  <c r="L107" i="34"/>
  <c r="AP74" i="5"/>
  <c r="AR74" i="5"/>
  <c r="AU74" i="5"/>
  <c r="AW74" i="5"/>
  <c r="AV74" i="5"/>
  <c r="AZ92" i="5"/>
  <c r="L106" i="34"/>
  <c r="AZ79" i="5"/>
  <c r="L93" i="34"/>
  <c r="AT74" i="5"/>
  <c r="AO74" i="5"/>
  <c r="AY103" i="5"/>
  <c r="AN74" i="5"/>
  <c r="M11" i="15"/>
  <c r="AZ80" i="5"/>
  <c r="L94" i="34"/>
  <c r="C11" i="15"/>
  <c r="AZ15" i="5"/>
  <c r="L16" i="34"/>
  <c r="AZ114" i="5"/>
  <c r="AZ106" i="5"/>
  <c r="AZ110" i="5"/>
  <c r="AZ107" i="5"/>
  <c r="AZ13" i="5"/>
  <c r="L14" i="34"/>
  <c r="AP103" i="5"/>
  <c r="AZ21" i="5"/>
  <c r="L21" i="34"/>
  <c r="AZ12" i="5"/>
  <c r="L13" i="34"/>
  <c r="AZ22" i="5"/>
  <c r="L22" i="34"/>
  <c r="AV4" i="5"/>
  <c r="AZ16" i="5"/>
  <c r="L17" i="34"/>
  <c r="AO4" i="5"/>
  <c r="AZ18" i="5"/>
  <c r="L19" i="34"/>
  <c r="AZ20" i="5"/>
  <c r="L25" i="34"/>
  <c r="AX103" i="5"/>
  <c r="AO103" i="5"/>
  <c r="AZ105" i="5"/>
  <c r="AW103" i="5"/>
  <c r="AR103" i="5"/>
  <c r="AZ119" i="5"/>
  <c r="AS103" i="5"/>
  <c r="AZ116" i="5"/>
  <c r="AT103" i="5"/>
  <c r="AZ120" i="5"/>
  <c r="AV103" i="5"/>
  <c r="AZ109" i="5"/>
  <c r="AS4" i="5"/>
  <c r="AQ103" i="5"/>
  <c r="AZ118" i="5"/>
  <c r="AZ108" i="5"/>
  <c r="AZ19" i="5"/>
  <c r="AP278" i="5"/>
  <c r="AT121" i="5"/>
  <c r="AZ10" i="5"/>
  <c r="L11" i="34"/>
  <c r="AZ17" i="5"/>
  <c r="L18" i="34"/>
  <c r="AY4" i="5"/>
  <c r="AT4" i="5"/>
  <c r="AW4" i="5"/>
  <c r="AZ24" i="5"/>
  <c r="L24" i="34"/>
  <c r="AZ14" i="5"/>
  <c r="L15" i="34"/>
  <c r="AU4" i="5"/>
  <c r="AZ7" i="5"/>
  <c r="L8" i="34"/>
  <c r="AZ25" i="5"/>
  <c r="T81" i="11"/>
  <c r="AZ8" i="5"/>
  <c r="AR4" i="5"/>
  <c r="S55" i="36"/>
  <c r="T65" i="11"/>
  <c r="S56" i="36"/>
  <c r="AZ9" i="5"/>
  <c r="L10" i="34"/>
  <c r="AZ23" i="5"/>
  <c r="L23" i="34"/>
  <c r="S54" i="36"/>
  <c r="AX4" i="5"/>
  <c r="AP4" i="5"/>
  <c r="AZ11" i="5"/>
  <c r="AQ4" i="5"/>
  <c r="AZ5" i="5"/>
  <c r="L6" i="34"/>
  <c r="S57" i="36"/>
  <c r="AV278" i="5"/>
  <c r="S52" i="36"/>
  <c r="AS121" i="5"/>
  <c r="T57" i="11"/>
  <c r="AS278" i="5"/>
  <c r="AN59" i="5"/>
  <c r="AZ59" i="5"/>
  <c r="L52" i="34"/>
  <c r="AN63" i="5"/>
  <c r="AZ63" i="5"/>
  <c r="L56" i="34"/>
  <c r="AU278" i="5"/>
  <c r="AN27" i="5"/>
  <c r="AN35" i="5"/>
  <c r="AZ35" i="5"/>
  <c r="L33" i="34"/>
  <c r="S72" i="36"/>
  <c r="AY278" i="5"/>
  <c r="S82" i="36"/>
  <c r="T73" i="11"/>
  <c r="S66" i="36"/>
  <c r="AN121" i="5"/>
  <c r="AN28" i="5"/>
  <c r="AZ28" i="5"/>
  <c r="L67" i="34"/>
  <c r="AN45" i="5"/>
  <c r="AZ45" i="5"/>
  <c r="L72" i="34"/>
  <c r="AN49" i="5"/>
  <c r="AZ49" i="5"/>
  <c r="L43" i="34"/>
  <c r="AN53" i="5"/>
  <c r="AZ53" i="5"/>
  <c r="L46" i="34"/>
  <c r="F29" i="21"/>
  <c r="F40" i="21"/>
  <c r="AO278" i="5"/>
  <c r="S69" i="36"/>
  <c r="AO121" i="5"/>
  <c r="AN38" i="5"/>
  <c r="AZ38" i="5"/>
  <c r="L35" i="34"/>
  <c r="AX278" i="5"/>
  <c r="AN278" i="5"/>
  <c r="AW121" i="5"/>
  <c r="AP121" i="5"/>
  <c r="AQ121" i="5"/>
  <c r="AN50" i="5"/>
  <c r="AZ50" i="5"/>
  <c r="L44" i="34"/>
  <c r="AN54" i="5"/>
  <c r="AZ54" i="5"/>
  <c r="L47" i="34"/>
  <c r="AQ278" i="5"/>
  <c r="AW278" i="5"/>
  <c r="S74" i="36"/>
  <c r="S58" i="36"/>
  <c r="AU121" i="5"/>
  <c r="AX121" i="5"/>
  <c r="AY121" i="5"/>
  <c r="M38" i="34"/>
  <c r="M31" i="34"/>
  <c r="R6" i="4"/>
  <c r="E8" i="27"/>
  <c r="E105" i="34"/>
  <c r="D178" i="27"/>
  <c r="E108" i="34"/>
  <c r="M54" i="34"/>
  <c r="M34" i="34"/>
  <c r="M50" i="34"/>
  <c r="AZ117" i="5"/>
  <c r="M47" i="34"/>
  <c r="M35" i="34"/>
  <c r="M55" i="34"/>
  <c r="AL296" i="5"/>
  <c r="AA246" i="5"/>
  <c r="AL256" i="5"/>
  <c r="Y338" i="5"/>
  <c r="AL199" i="5"/>
  <c r="AL295" i="5"/>
  <c r="AL332" i="5"/>
  <c r="AL68" i="5"/>
  <c r="J61" i="34"/>
  <c r="N61" i="34"/>
  <c r="AI103" i="5"/>
  <c r="AL214" i="5"/>
  <c r="AL238" i="5"/>
  <c r="AL61" i="5"/>
  <c r="J54" i="34"/>
  <c r="N54" i="34"/>
  <c r="AL53" i="5"/>
  <c r="J46" i="34"/>
  <c r="E17" i="21"/>
  <c r="E19" i="21"/>
  <c r="AL206" i="5"/>
  <c r="AL230" i="5"/>
  <c r="S7" i="9"/>
  <c r="AL337" i="5"/>
  <c r="F17" i="21"/>
  <c r="F19" i="21"/>
  <c r="AL172" i="5"/>
  <c r="AL188" i="5"/>
  <c r="AL272" i="5"/>
  <c r="AL84" i="5"/>
  <c r="J98" i="34"/>
  <c r="AL100" i="5"/>
  <c r="AL320" i="5"/>
  <c r="AL62" i="5"/>
  <c r="J55" i="34"/>
  <c r="AL43" i="5"/>
  <c r="J71" i="34"/>
  <c r="N71" i="34"/>
  <c r="AL35" i="5"/>
  <c r="J33" i="34"/>
  <c r="AL118" i="5"/>
  <c r="AL312" i="5"/>
  <c r="BA4" i="5"/>
  <c r="S6" i="9"/>
  <c r="F142" i="27"/>
  <c r="AL91" i="5"/>
  <c r="J105" i="34"/>
  <c r="AI278" i="5"/>
  <c r="AD4" i="5"/>
  <c r="AL45" i="5"/>
  <c r="J72" i="34"/>
  <c r="F15" i="3"/>
  <c r="F17" i="3"/>
  <c r="AL8" i="5"/>
  <c r="J9" i="34"/>
  <c r="AL38" i="5"/>
  <c r="J35" i="34"/>
  <c r="AL30" i="5"/>
  <c r="AL31" i="5"/>
  <c r="J30" i="34"/>
  <c r="N30" i="34"/>
  <c r="AD26" i="5"/>
  <c r="AH4" i="5"/>
  <c r="AL40" i="5"/>
  <c r="J37" i="34"/>
  <c r="N37" i="34"/>
  <c r="AL32" i="5"/>
  <c r="J69" i="34"/>
  <c r="N69" i="34"/>
  <c r="AC26" i="5"/>
  <c r="AB26" i="5"/>
  <c r="AC121" i="5"/>
  <c r="AL139" i="5"/>
  <c r="AL144" i="5"/>
  <c r="AL89" i="5"/>
  <c r="J103" i="34"/>
  <c r="AL71" i="5"/>
  <c r="AH121" i="5"/>
  <c r="AL94" i="5"/>
  <c r="J108" i="34"/>
  <c r="N108" i="34"/>
  <c r="AA121" i="5"/>
  <c r="AL171" i="5"/>
  <c r="AL187" i="5"/>
  <c r="AL161" i="5"/>
  <c r="AL165" i="5"/>
  <c r="AL181" i="5"/>
  <c r="AL213" i="5"/>
  <c r="AL237" i="5"/>
  <c r="AD246" i="5"/>
  <c r="AL248" i="5"/>
  <c r="AL277" i="5"/>
  <c r="AL254" i="5"/>
  <c r="AL270" i="5"/>
  <c r="AL259" i="5"/>
  <c r="AL275" i="5"/>
  <c r="AG278" i="5"/>
  <c r="AL303" i="5"/>
  <c r="AL319" i="5"/>
  <c r="AL293" i="5"/>
  <c r="AL309" i="5"/>
  <c r="AL325" i="5"/>
  <c r="AL298" i="5"/>
  <c r="AL314" i="5"/>
  <c r="AL330" i="5"/>
  <c r="AL297" i="5"/>
  <c r="AL313" i="5"/>
  <c r="AL329" i="5"/>
  <c r="O8" i="9"/>
  <c r="R127" i="35"/>
  <c r="S4" i="9"/>
  <c r="J11" i="9"/>
  <c r="AL42" i="5"/>
  <c r="J39" i="34"/>
  <c r="N39" i="34"/>
  <c r="AL34" i="5"/>
  <c r="J32" i="34"/>
  <c r="N32" i="34"/>
  <c r="AL23" i="5"/>
  <c r="J23" i="34"/>
  <c r="AL9" i="5"/>
  <c r="J10" i="34"/>
  <c r="AL64" i="5"/>
  <c r="J57" i="34"/>
  <c r="N57" i="34"/>
  <c r="AL56" i="5"/>
  <c r="J49" i="34"/>
  <c r="N49" i="34"/>
  <c r="AL48" i="5"/>
  <c r="J42" i="34"/>
  <c r="N42" i="34"/>
  <c r="AL18" i="5"/>
  <c r="J19" i="34"/>
  <c r="AL5" i="5"/>
  <c r="Z4" i="5"/>
  <c r="I5" i="34"/>
  <c r="M6" i="34"/>
  <c r="AF4" i="5"/>
  <c r="AL93" i="5"/>
  <c r="J107" i="34"/>
  <c r="AA103" i="5"/>
  <c r="AL149" i="5"/>
  <c r="AK121" i="5"/>
  <c r="I61" i="34"/>
  <c r="M61" i="34"/>
  <c r="AL73" i="5"/>
  <c r="AL83" i="5"/>
  <c r="J97" i="34"/>
  <c r="AL99" i="5"/>
  <c r="AC103" i="5"/>
  <c r="AL82" i="5"/>
  <c r="J96" i="34"/>
  <c r="AL98" i="5"/>
  <c r="J112" i="34"/>
  <c r="N112" i="34"/>
  <c r="AL107" i="5"/>
  <c r="AL124" i="5"/>
  <c r="J79" i="34"/>
  <c r="AL151" i="5"/>
  <c r="AL150" i="5"/>
  <c r="AI121" i="5"/>
  <c r="AL157" i="5"/>
  <c r="AL208" i="5"/>
  <c r="AL232" i="5"/>
  <c r="AL276" i="5"/>
  <c r="AL283" i="5"/>
  <c r="AL252" i="5"/>
  <c r="AL268" i="5"/>
  <c r="AE278" i="5"/>
  <c r="BA278" i="5"/>
  <c r="AL258" i="5"/>
  <c r="AL274" i="5"/>
  <c r="AL280" i="5"/>
  <c r="J164" i="34"/>
  <c r="N164" i="34"/>
  <c r="O10" i="9"/>
  <c r="R456" i="35"/>
  <c r="O9" i="9"/>
  <c r="R180" i="35"/>
  <c r="AL29" i="5"/>
  <c r="J68" i="34"/>
  <c r="N68" i="34"/>
  <c r="AJ4" i="5"/>
  <c r="AL39" i="5"/>
  <c r="J36" i="34"/>
  <c r="N36" i="34"/>
  <c r="F5" i="27"/>
  <c r="AL65" i="5"/>
  <c r="J58" i="34"/>
  <c r="N58" i="34"/>
  <c r="M58" i="34"/>
  <c r="AL52" i="5"/>
  <c r="J45" i="34"/>
  <c r="N45" i="34"/>
  <c r="AL25" i="5"/>
  <c r="J25" i="34"/>
  <c r="G5" i="27"/>
  <c r="AF74" i="5"/>
  <c r="AK103" i="5"/>
  <c r="AD103" i="5"/>
  <c r="AL116" i="5"/>
  <c r="AL133" i="5"/>
  <c r="AL80" i="5"/>
  <c r="J94" i="34"/>
  <c r="AL96" i="5"/>
  <c r="J110" i="34"/>
  <c r="N110" i="34"/>
  <c r="AL136" i="5"/>
  <c r="AL79" i="5"/>
  <c r="J93" i="34"/>
  <c r="AL95" i="5"/>
  <c r="J109" i="34"/>
  <c r="AL112" i="5"/>
  <c r="AL129" i="5"/>
  <c r="J84" i="34"/>
  <c r="AL168" i="5"/>
  <c r="AL184" i="5"/>
  <c r="AL197" i="5"/>
  <c r="AI246" i="5"/>
  <c r="AL203" i="5"/>
  <c r="AL227" i="5"/>
  <c r="AL243" i="5"/>
  <c r="AL202" i="5"/>
  <c r="AL226" i="5"/>
  <c r="AL242" i="5"/>
  <c r="AE246" i="5"/>
  <c r="BA246" i="5"/>
  <c r="AL201" i="5"/>
  <c r="AL241" i="5"/>
  <c r="AL247" i="5"/>
  <c r="Z246" i="5"/>
  <c r="AL263" i="5"/>
  <c r="AB278" i="5"/>
  <c r="AL285" i="5"/>
  <c r="AL261" i="5"/>
  <c r="AL288" i="5"/>
  <c r="AL265" i="5"/>
  <c r="AL287" i="5"/>
  <c r="AL304" i="5"/>
  <c r="AL299" i="5"/>
  <c r="AL315" i="5"/>
  <c r="AL335" i="5"/>
  <c r="AL334" i="5"/>
  <c r="D11" i="9"/>
  <c r="S8" i="9"/>
  <c r="S5" i="9"/>
  <c r="T8" i="15"/>
  <c r="T435" i="36"/>
  <c r="P5" i="15"/>
  <c r="G7" i="27"/>
  <c r="G178" i="27"/>
  <c r="K108" i="34"/>
  <c r="K88" i="34"/>
  <c r="AL55" i="5"/>
  <c r="J48" i="34"/>
  <c r="N48" i="34"/>
  <c r="AL47" i="5"/>
  <c r="J41" i="34"/>
  <c r="N41" i="34"/>
  <c r="M39" i="34"/>
  <c r="AL63" i="5"/>
  <c r="J56" i="34"/>
  <c r="AB4" i="5"/>
  <c r="M29" i="34"/>
  <c r="AL13" i="5"/>
  <c r="J14" i="34"/>
  <c r="AL60" i="5"/>
  <c r="J53" i="34"/>
  <c r="N53" i="34"/>
  <c r="AL14" i="5"/>
  <c r="J15" i="34"/>
  <c r="AE4" i="5"/>
  <c r="AL111" i="5"/>
  <c r="AB121" i="5"/>
  <c r="AL128" i="5"/>
  <c r="J83" i="34"/>
  <c r="AL145" i="5"/>
  <c r="AL117" i="5"/>
  <c r="AD121" i="5"/>
  <c r="AG74" i="5"/>
  <c r="AE121" i="5"/>
  <c r="AL137" i="5"/>
  <c r="AL147" i="5"/>
  <c r="AA74" i="5"/>
  <c r="AL114" i="5"/>
  <c r="AL131" i="5"/>
  <c r="AB74" i="5"/>
  <c r="AL113" i="5"/>
  <c r="AL130" i="5"/>
  <c r="J85" i="34"/>
  <c r="AL146" i="5"/>
  <c r="AC74" i="5"/>
  <c r="AL135" i="5"/>
  <c r="Z134" i="5"/>
  <c r="AL162" i="5"/>
  <c r="AL178" i="5"/>
  <c r="AL194" i="5"/>
  <c r="AL169" i="5"/>
  <c r="AL185" i="5"/>
  <c r="AL175" i="5"/>
  <c r="AL191" i="5"/>
  <c r="AL160" i="5"/>
  <c r="AL166" i="5"/>
  <c r="AL182" i="5"/>
  <c r="AL212" i="5"/>
  <c r="AL236" i="5"/>
  <c r="AC246" i="5"/>
  <c r="AF246" i="5"/>
  <c r="AL207" i="5"/>
  <c r="AL231" i="5"/>
  <c r="AH246" i="5"/>
  <c r="AJ278" i="5"/>
  <c r="AL284" i="5"/>
  <c r="AL302" i="5"/>
  <c r="AL318" i="5"/>
  <c r="AL300" i="5"/>
  <c r="AL316" i="5"/>
  <c r="AL333" i="5"/>
  <c r="E40" i="21"/>
  <c r="O4" i="9"/>
  <c r="R443" i="35"/>
  <c r="F11" i="9"/>
  <c r="L11" i="9"/>
  <c r="H11" i="9"/>
  <c r="AL16" i="5"/>
  <c r="J17" i="34"/>
  <c r="AL37" i="5"/>
  <c r="J34" i="34"/>
  <c r="I66" i="34"/>
  <c r="AL10" i="5"/>
  <c r="J11" i="34"/>
  <c r="I59" i="34"/>
  <c r="AL66" i="5"/>
  <c r="J59" i="34"/>
  <c r="N59" i="34"/>
  <c r="G98" i="27"/>
  <c r="G121" i="27"/>
  <c r="AL22" i="5"/>
  <c r="J22" i="34"/>
  <c r="AL11" i="5"/>
  <c r="J12" i="34"/>
  <c r="AL69" i="5"/>
  <c r="AL59" i="5"/>
  <c r="J52" i="34"/>
  <c r="AL51" i="5"/>
  <c r="J73" i="34"/>
  <c r="N73" i="34"/>
  <c r="AL24" i="5"/>
  <c r="J24" i="34"/>
  <c r="AJ121" i="5"/>
  <c r="AL92" i="5"/>
  <c r="J106" i="34"/>
  <c r="AL152" i="5"/>
  <c r="BA74" i="5"/>
  <c r="AL81" i="5"/>
  <c r="J95" i="34"/>
  <c r="AL97" i="5"/>
  <c r="J111" i="34"/>
  <c r="AI74" i="5"/>
  <c r="AJ74" i="5"/>
  <c r="AK74" i="5"/>
  <c r="AL86" i="5"/>
  <c r="J100" i="34"/>
  <c r="AL102" i="5"/>
  <c r="AL163" i="5"/>
  <c r="AL179" i="5"/>
  <c r="AL195" i="5"/>
  <c r="AL173" i="5"/>
  <c r="AL189" i="5"/>
  <c r="AL205" i="5"/>
  <c r="AL229" i="5"/>
  <c r="AL245" i="5"/>
  <c r="AL251" i="5"/>
  <c r="AK246" i="5"/>
  <c r="AA278" i="5"/>
  <c r="AL262" i="5"/>
  <c r="AL282" i="5"/>
  <c r="AL267" i="5"/>
  <c r="AL328" i="5"/>
  <c r="AL311" i="5"/>
  <c r="AL327" i="5"/>
  <c r="AL301" i="5"/>
  <c r="AL317" i="5"/>
  <c r="AL290" i="5"/>
  <c r="AL306" i="5"/>
  <c r="AL322" i="5"/>
  <c r="AL289" i="5"/>
  <c r="AL305" i="5"/>
  <c r="AL321" i="5"/>
  <c r="AL336" i="5"/>
  <c r="AL331" i="5"/>
  <c r="O6" i="9"/>
  <c r="R466" i="35"/>
  <c r="I60" i="34"/>
  <c r="M60" i="34"/>
  <c r="AL67" i="5"/>
  <c r="J60" i="34"/>
  <c r="N60" i="34"/>
  <c r="AL36" i="5"/>
  <c r="J70" i="34"/>
  <c r="N70" i="34"/>
  <c r="AL28" i="5"/>
  <c r="J67" i="34"/>
  <c r="AL17" i="5"/>
  <c r="J18" i="34"/>
  <c r="AK4" i="5"/>
  <c r="AL57" i="5"/>
  <c r="J50" i="34"/>
  <c r="AL49" i="5"/>
  <c r="J43" i="34"/>
  <c r="K27" i="34"/>
  <c r="AI4" i="5"/>
  <c r="AL41" i="5"/>
  <c r="J38" i="34"/>
  <c r="N38" i="34"/>
  <c r="AL33" i="5"/>
  <c r="J31" i="34"/>
  <c r="N31" i="34"/>
  <c r="AL72" i="5"/>
  <c r="AL85" i="5"/>
  <c r="J99" i="34"/>
  <c r="AL101" i="5"/>
  <c r="AL141" i="5"/>
  <c r="AE74" i="5"/>
  <c r="BA134" i="5"/>
  <c r="AL90" i="5"/>
  <c r="J104" i="34"/>
  <c r="Z74" i="5"/>
  <c r="AL75" i="5"/>
  <c r="AL115" i="5"/>
  <c r="AL132" i="5"/>
  <c r="AL143" i="5"/>
  <c r="AF103" i="5"/>
  <c r="AL76" i="5"/>
  <c r="J90" i="34"/>
  <c r="AL142" i="5"/>
  <c r="AL250" i="5"/>
  <c r="AL249" i="5"/>
  <c r="AL200" i="5"/>
  <c r="AL216" i="5"/>
  <c r="AL240" i="5"/>
  <c r="AC278" i="5"/>
  <c r="AD278" i="5"/>
  <c r="AL260" i="5"/>
  <c r="AF278" i="5"/>
  <c r="AL266" i="5"/>
  <c r="K11" i="9"/>
  <c r="AL46" i="5"/>
  <c r="J40" i="34"/>
  <c r="N40" i="34"/>
  <c r="AH26" i="5"/>
  <c r="AI26" i="5"/>
  <c r="AL15" i="5"/>
  <c r="J16" i="34"/>
  <c r="Z26" i="5"/>
  <c r="AL27" i="5"/>
  <c r="AG26" i="5"/>
  <c r="AC4" i="5"/>
  <c r="AF26" i="5"/>
  <c r="AL70" i="5"/>
  <c r="AL44" i="5"/>
  <c r="AE26" i="5"/>
  <c r="AA4" i="5"/>
  <c r="AL12" i="5"/>
  <c r="J13" i="34"/>
  <c r="M51" i="34"/>
  <c r="AL6" i="5"/>
  <c r="J7" i="34"/>
  <c r="AL7" i="5"/>
  <c r="AB103" i="5"/>
  <c r="AL110" i="5"/>
  <c r="AL127" i="5"/>
  <c r="J82" i="34"/>
  <c r="AL155" i="5"/>
  <c r="AL148" i="5"/>
  <c r="AL108" i="5"/>
  <c r="AL125" i="5"/>
  <c r="J80" i="34"/>
  <c r="N80" i="34"/>
  <c r="AH74" i="5"/>
  <c r="AE103" i="5"/>
  <c r="BA103" i="5"/>
  <c r="AL77" i="5"/>
  <c r="J91" i="34"/>
  <c r="AL88" i="5"/>
  <c r="J102" i="34"/>
  <c r="AG121" i="5"/>
  <c r="AL87" i="5"/>
  <c r="J101" i="34"/>
  <c r="AG103" i="5"/>
  <c r="Z103" i="5"/>
  <c r="AL104" i="5"/>
  <c r="AL120" i="5"/>
  <c r="AL164" i="5"/>
  <c r="AL180" i="5"/>
  <c r="AL196" i="5"/>
  <c r="AL176" i="5"/>
  <c r="AL192" i="5"/>
  <c r="AB246" i="5"/>
  <c r="AL211" i="5"/>
  <c r="AL235" i="5"/>
  <c r="AL210" i="5"/>
  <c r="AL234" i="5"/>
  <c r="AL209" i="5"/>
  <c r="AL233" i="5"/>
  <c r="AL264" i="5"/>
  <c r="AL286" i="5"/>
  <c r="AL255" i="5"/>
  <c r="AL271" i="5"/>
  <c r="AK278" i="5"/>
  <c r="AL253" i="5"/>
  <c r="AL269" i="5"/>
  <c r="AL257" i="5"/>
  <c r="AL273" i="5"/>
  <c r="AL279" i="5"/>
  <c r="J163" i="34"/>
  <c r="N163" i="34"/>
  <c r="Z278" i="5"/>
  <c r="AL291" i="5"/>
  <c r="AL307" i="5"/>
  <c r="AL323" i="5"/>
  <c r="O5" i="9"/>
  <c r="R48" i="35"/>
  <c r="E11" i="9"/>
  <c r="O7" i="9"/>
  <c r="R170" i="35"/>
  <c r="G11" i="9"/>
  <c r="AM338" i="5"/>
  <c r="P5" i="9"/>
  <c r="F7" i="27"/>
  <c r="F178" i="27"/>
  <c r="M160" i="34"/>
  <c r="I76" i="34"/>
  <c r="M77" i="34"/>
  <c r="I88" i="34"/>
  <c r="M89" i="34"/>
  <c r="L77" i="34"/>
  <c r="L76" i="34"/>
  <c r="AZ121" i="5"/>
  <c r="AA26" i="5"/>
  <c r="AL54" i="5"/>
  <c r="J47" i="34"/>
  <c r="F98" i="27"/>
  <c r="AL21" i="5"/>
  <c r="J21" i="34"/>
  <c r="AL58" i="5"/>
  <c r="J51" i="34"/>
  <c r="N51" i="34"/>
  <c r="AL50" i="5"/>
  <c r="J44" i="34"/>
  <c r="M44" i="34"/>
  <c r="AK26" i="5"/>
  <c r="AG4" i="5"/>
  <c r="AJ26" i="5"/>
  <c r="AD74" i="5"/>
  <c r="AL119" i="5"/>
  <c r="AL153" i="5"/>
  <c r="AJ103" i="5"/>
  <c r="AL140" i="5"/>
  <c r="AL156" i="5"/>
  <c r="AL109" i="5"/>
  <c r="AL126" i="5"/>
  <c r="J81" i="34"/>
  <c r="AL138" i="5"/>
  <c r="AF121" i="5"/>
  <c r="AL106" i="5"/>
  <c r="AL123" i="5"/>
  <c r="J78" i="34"/>
  <c r="AL105" i="5"/>
  <c r="Z121" i="5"/>
  <c r="AL122" i="5"/>
  <c r="AL154" i="5"/>
  <c r="AH103" i="5"/>
  <c r="AL159" i="5"/>
  <c r="AL170" i="5"/>
  <c r="AL186" i="5"/>
  <c r="AL177" i="5"/>
  <c r="AL193" i="5"/>
  <c r="AL167" i="5"/>
  <c r="AL183" i="5"/>
  <c r="AL174" i="5"/>
  <c r="AL190" i="5"/>
  <c r="AJ246" i="5"/>
  <c r="AL204" i="5"/>
  <c r="AL228" i="5"/>
  <c r="AL244" i="5"/>
  <c r="AG246" i="5"/>
  <c r="AL215" i="5"/>
  <c r="AL239" i="5"/>
  <c r="AL281" i="5"/>
  <c r="AH278" i="5"/>
  <c r="AL294" i="5"/>
  <c r="AL310" i="5"/>
  <c r="AL326" i="5"/>
  <c r="AL292" i="5"/>
  <c r="AL308" i="5"/>
  <c r="AL324" i="5"/>
  <c r="C11" i="9"/>
  <c r="O3" i="9"/>
  <c r="N11" i="9"/>
  <c r="M11" i="9"/>
  <c r="S3" i="9"/>
  <c r="I11" i="9"/>
  <c r="AF134" i="5"/>
  <c r="M161" i="34"/>
  <c r="AC134" i="5"/>
  <c r="M76" i="34"/>
  <c r="AD134" i="5"/>
  <c r="AI134" i="5"/>
  <c r="AB134" i="5"/>
  <c r="AH134" i="5"/>
  <c r="AJ134" i="5"/>
  <c r="N82" i="34"/>
  <c r="T63" i="36"/>
  <c r="E119" i="27"/>
  <c r="AK134" i="5"/>
  <c r="G79" i="36"/>
  <c r="AG134" i="5"/>
  <c r="AG338" i="5"/>
  <c r="AG339" i="5"/>
  <c r="I121" i="34"/>
  <c r="AA134" i="5"/>
  <c r="F78" i="34"/>
  <c r="N78" i="34"/>
  <c r="AE134" i="5"/>
  <c r="AE338" i="5"/>
  <c r="AE339" i="5"/>
  <c r="AL225" i="5"/>
  <c r="AL219" i="5"/>
  <c r="AL221" i="5"/>
  <c r="AL223" i="5"/>
  <c r="AL218" i="5"/>
  <c r="AL220" i="5"/>
  <c r="AL222" i="5"/>
  <c r="AL224" i="5"/>
  <c r="R338" i="5"/>
  <c r="H338" i="5"/>
  <c r="AL217" i="5"/>
  <c r="N111" i="34"/>
  <c r="N79" i="34"/>
  <c r="P11" i="31"/>
  <c r="P12" i="31"/>
  <c r="N92" i="34"/>
  <c r="E338" i="5"/>
  <c r="N109" i="34"/>
  <c r="M338" i="5"/>
  <c r="J103" i="5"/>
  <c r="F160" i="34"/>
  <c r="F121" i="34"/>
  <c r="W338" i="5"/>
  <c r="S338" i="5"/>
  <c r="E88" i="34"/>
  <c r="J134" i="5"/>
  <c r="T5" i="15"/>
  <c r="T9" i="15"/>
  <c r="N34" i="34"/>
  <c r="P158" i="34"/>
  <c r="P9" i="34"/>
  <c r="P141" i="34"/>
  <c r="P163" i="34"/>
  <c r="P147" i="34"/>
  <c r="P132" i="34"/>
  <c r="O88" i="34"/>
  <c r="M108" i="34"/>
  <c r="N55" i="34"/>
  <c r="N96" i="34"/>
  <c r="G169" i="34"/>
  <c r="G171" i="34"/>
  <c r="N22" i="34"/>
  <c r="M5" i="34"/>
  <c r="N102" i="34"/>
  <c r="M59" i="34"/>
  <c r="M27" i="34"/>
  <c r="E27" i="34"/>
  <c r="X134" i="5"/>
  <c r="E5" i="34"/>
  <c r="P11" i="4"/>
  <c r="P12" i="4"/>
  <c r="E66" i="34"/>
  <c r="P88" i="34"/>
  <c r="P27" i="34"/>
  <c r="P12" i="34"/>
  <c r="P76" i="34"/>
  <c r="P20" i="34"/>
  <c r="P66" i="34"/>
  <c r="P8" i="34"/>
  <c r="M66" i="34"/>
  <c r="H14" i="27"/>
  <c r="F53" i="3"/>
  <c r="G53" i="3"/>
  <c r="E42" i="21"/>
  <c r="T728" i="36"/>
  <c r="O67" i="34"/>
  <c r="O66" i="34"/>
  <c r="H116" i="27"/>
  <c r="G122" i="27"/>
  <c r="O7" i="34"/>
  <c r="O5" i="34"/>
  <c r="H51" i="27"/>
  <c r="H98" i="27"/>
  <c r="N81" i="34"/>
  <c r="BA26" i="5"/>
  <c r="O28" i="34"/>
  <c r="O27" i="34"/>
  <c r="BA121" i="5"/>
  <c r="H129" i="27"/>
  <c r="N91" i="34"/>
  <c r="N99" i="34"/>
  <c r="N85" i="34"/>
  <c r="N103" i="34"/>
  <c r="N98" i="34"/>
  <c r="E52" i="3"/>
  <c r="T345" i="36"/>
  <c r="N13" i="34"/>
  <c r="Q338" i="5"/>
  <c r="I338" i="5"/>
  <c r="N7" i="34"/>
  <c r="O11" i="15"/>
  <c r="T754" i="36"/>
  <c r="T409" i="36"/>
  <c r="X103" i="5"/>
  <c r="H160" i="34"/>
  <c r="H121" i="34"/>
  <c r="N83" i="34"/>
  <c r="O338" i="5"/>
  <c r="BN246" i="5"/>
  <c r="P161" i="34"/>
  <c r="BN103" i="5"/>
  <c r="P160" i="34"/>
  <c r="N84" i="34"/>
  <c r="D119" i="27"/>
  <c r="G338" i="5"/>
  <c r="T338" i="5"/>
  <c r="E6" i="27"/>
  <c r="E122" i="27"/>
  <c r="R4" i="4"/>
  <c r="V338" i="5"/>
  <c r="L338" i="5"/>
  <c r="U338" i="5"/>
  <c r="F338" i="5"/>
  <c r="R8" i="4"/>
  <c r="E10" i="27"/>
  <c r="H89" i="34"/>
  <c r="H88" i="34"/>
  <c r="X74" i="5"/>
  <c r="N338" i="5"/>
  <c r="J121" i="5"/>
  <c r="E5" i="27"/>
  <c r="R3" i="4"/>
  <c r="P338" i="5"/>
  <c r="F89" i="34"/>
  <c r="F88" i="34"/>
  <c r="J74" i="5"/>
  <c r="F20" i="34"/>
  <c r="F5" i="34"/>
  <c r="H76" i="34"/>
  <c r="X121" i="5"/>
  <c r="O11" i="43"/>
  <c r="T2" i="43"/>
  <c r="T9" i="43"/>
  <c r="N11" i="34"/>
  <c r="P11" i="43"/>
  <c r="P13" i="43"/>
  <c r="F119" i="27"/>
  <c r="BL338" i="5"/>
  <c r="BI338" i="5"/>
  <c r="J13" i="43"/>
  <c r="BK338" i="5"/>
  <c r="L13" i="43"/>
  <c r="BD338" i="5"/>
  <c r="BJ338" i="5"/>
  <c r="K13" i="43"/>
  <c r="BF338" i="5"/>
  <c r="G13" i="43"/>
  <c r="BG338" i="5"/>
  <c r="H13" i="43"/>
  <c r="BB338" i="5"/>
  <c r="C13" i="43"/>
  <c r="BN4" i="5"/>
  <c r="BN134" i="5"/>
  <c r="BN121" i="5"/>
  <c r="BE338" i="5"/>
  <c r="F13" i="43"/>
  <c r="BM338" i="5"/>
  <c r="N13" i="43"/>
  <c r="BC338" i="5"/>
  <c r="D13" i="43"/>
  <c r="BN74" i="5"/>
  <c r="BN26" i="5"/>
  <c r="BH338" i="5"/>
  <c r="I13" i="43"/>
  <c r="N95" i="34"/>
  <c r="N16" i="34"/>
  <c r="AQ338" i="5"/>
  <c r="F13" i="15"/>
  <c r="N90" i="34"/>
  <c r="L12" i="34"/>
  <c r="N12" i="34"/>
  <c r="N15" i="34"/>
  <c r="N94" i="34"/>
  <c r="N50" i="34"/>
  <c r="N100" i="34"/>
  <c r="N46" i="34"/>
  <c r="N24" i="34"/>
  <c r="N101" i="34"/>
  <c r="L9" i="34"/>
  <c r="N9" i="34"/>
  <c r="N97" i="34"/>
  <c r="N10" i="34"/>
  <c r="N106" i="34"/>
  <c r="N17" i="34"/>
  <c r="N107" i="34"/>
  <c r="AY338" i="5"/>
  <c r="N13" i="15"/>
  <c r="AZ134" i="5"/>
  <c r="AZ246" i="5"/>
  <c r="L161" i="34"/>
  <c r="AZ278" i="5"/>
  <c r="L162" i="34"/>
  <c r="H11" i="13"/>
  <c r="N21" i="34"/>
  <c r="N104" i="34"/>
  <c r="N25" i="34"/>
  <c r="N105" i="34"/>
  <c r="N47" i="34"/>
  <c r="N19" i="34"/>
  <c r="N14" i="34"/>
  <c r="L20" i="34"/>
  <c r="AZ4" i="5"/>
  <c r="N93" i="34"/>
  <c r="AO338" i="5"/>
  <c r="F42" i="21"/>
  <c r="N18" i="34"/>
  <c r="AV338" i="5"/>
  <c r="K13" i="15"/>
  <c r="AT338" i="5"/>
  <c r="I13" i="15"/>
  <c r="AP338" i="5"/>
  <c r="L88" i="34"/>
  <c r="AZ74" i="5"/>
  <c r="N43" i="34"/>
  <c r="N23" i="34"/>
  <c r="AZ103" i="5"/>
  <c r="L160" i="34"/>
  <c r="AS338" i="5"/>
  <c r="H13" i="15"/>
  <c r="AR338" i="5"/>
  <c r="N52" i="34"/>
  <c r="N44" i="34"/>
  <c r="N56" i="34"/>
  <c r="N33" i="34"/>
  <c r="L66" i="34"/>
  <c r="N72" i="34"/>
  <c r="N35" i="34"/>
  <c r="AW338" i="5"/>
  <c r="L13" i="15"/>
  <c r="AX338" i="5"/>
  <c r="AZ27" i="5"/>
  <c r="AN26" i="5"/>
  <c r="AN338" i="5"/>
  <c r="AU338" i="5"/>
  <c r="J13" i="15"/>
  <c r="M105" i="34"/>
  <c r="S11" i="9"/>
  <c r="X11" i="9"/>
  <c r="K169" i="34"/>
  <c r="K171" i="34"/>
  <c r="G14" i="27"/>
  <c r="G16" i="27"/>
  <c r="P11" i="15"/>
  <c r="P13" i="15"/>
  <c r="M121" i="34"/>
  <c r="F121" i="27"/>
  <c r="F122" i="27"/>
  <c r="J8" i="34"/>
  <c r="N8" i="34"/>
  <c r="AH338" i="5"/>
  <c r="AI338" i="5"/>
  <c r="F52" i="3"/>
  <c r="J77" i="34"/>
  <c r="AL121" i="5"/>
  <c r="Z338" i="5"/>
  <c r="C12" i="9"/>
  <c r="AL103" i="5"/>
  <c r="J160" i="34"/>
  <c r="AL278" i="5"/>
  <c r="AJ338" i="5"/>
  <c r="P11" i="9"/>
  <c r="P12" i="9"/>
  <c r="J29" i="34"/>
  <c r="N29" i="34"/>
  <c r="AB338" i="5"/>
  <c r="AB339" i="5"/>
  <c r="J6" i="34"/>
  <c r="AL4" i="5"/>
  <c r="O11" i="9"/>
  <c r="R35" i="35"/>
  <c r="AF338" i="5"/>
  <c r="AF339" i="5"/>
  <c r="J89" i="34"/>
  <c r="AL74" i="5"/>
  <c r="I27" i="34"/>
  <c r="I169" i="34"/>
  <c r="I171" i="34"/>
  <c r="AD338" i="5"/>
  <c r="AD339" i="5"/>
  <c r="AL246" i="5"/>
  <c r="J161" i="34"/>
  <c r="AA338" i="5"/>
  <c r="D12" i="9"/>
  <c r="AK338" i="5"/>
  <c r="AC338" i="5"/>
  <c r="AC339" i="5"/>
  <c r="G119" i="27"/>
  <c r="J28" i="34"/>
  <c r="AL26" i="5"/>
  <c r="N67" i="34"/>
  <c r="J66" i="34"/>
  <c r="F14" i="27"/>
  <c r="F16" i="27"/>
  <c r="F76" i="34"/>
  <c r="F169" i="34"/>
  <c r="AL134" i="5"/>
  <c r="M88" i="34"/>
  <c r="M169" i="34"/>
  <c r="J338" i="5"/>
  <c r="O12" i="31"/>
  <c r="X338" i="5"/>
  <c r="X339" i="5"/>
  <c r="P121" i="34"/>
  <c r="E169" i="34"/>
  <c r="E171" i="34"/>
  <c r="N20" i="34"/>
  <c r="P5" i="34"/>
  <c r="G54" i="3"/>
  <c r="G55" i="3"/>
  <c r="BA338" i="5"/>
  <c r="H140" i="27"/>
  <c r="O77" i="34"/>
  <c r="O76" i="34"/>
  <c r="O169" i="34"/>
  <c r="O171" i="34"/>
  <c r="E14" i="27"/>
  <c r="E16" i="27"/>
  <c r="H169" i="34"/>
  <c r="BL339" i="5"/>
  <c r="M13" i="43"/>
  <c r="BN338" i="5"/>
  <c r="F12" i="13"/>
  <c r="N161" i="34"/>
  <c r="D12" i="13"/>
  <c r="D13" i="15"/>
  <c r="L5" i="34"/>
  <c r="T5" i="34"/>
  <c r="E12" i="13"/>
  <c r="E13" i="15"/>
  <c r="L121" i="34"/>
  <c r="G12" i="13"/>
  <c r="G13" i="15"/>
  <c r="C13" i="15"/>
  <c r="C12" i="13"/>
  <c r="L28" i="34"/>
  <c r="L27" i="34"/>
  <c r="AZ26" i="5"/>
  <c r="AZ338" i="5"/>
  <c r="AX339" i="5"/>
  <c r="M13" i="15"/>
  <c r="E12" i="9"/>
  <c r="F12" i="9"/>
  <c r="G12" i="9"/>
  <c r="N6" i="34"/>
  <c r="J5" i="34"/>
  <c r="N66" i="34"/>
  <c r="N89" i="34"/>
  <c r="J88" i="34"/>
  <c r="N160" i="34"/>
  <c r="H12" i="9"/>
  <c r="J12" i="9"/>
  <c r="J76" i="34"/>
  <c r="N77" i="34"/>
  <c r="J27" i="34"/>
  <c r="O12" i="9"/>
  <c r="R468" i="35"/>
  <c r="I12" i="9"/>
  <c r="J162" i="34"/>
  <c r="N162" i="34"/>
  <c r="AL338" i="5"/>
  <c r="H171" i="34"/>
  <c r="J339" i="5"/>
  <c r="F171" i="34"/>
  <c r="P169" i="34"/>
  <c r="P171" i="34"/>
  <c r="N5" i="34"/>
  <c r="L169" i="34"/>
  <c r="L171" i="34"/>
  <c r="BN339" i="5"/>
  <c r="H954" i="42"/>
  <c r="O13" i="43"/>
  <c r="H12" i="13"/>
  <c r="H1108" i="11"/>
  <c r="AZ339" i="5"/>
  <c r="N28" i="34"/>
  <c r="O13" i="15"/>
  <c r="J121" i="34"/>
  <c r="J169" i="34"/>
  <c r="J171" i="34"/>
  <c r="N76" i="34"/>
  <c r="N121" i="34"/>
  <c r="AL339" i="5"/>
  <c r="H482" i="6"/>
  <c r="N88" i="34"/>
  <c r="N27" i="34"/>
  <c r="N169" i="34"/>
  <c r="N171"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1" authorId="0" shapeId="0" xr:uid="{00000000-0006-0000-0000-000001000000}">
      <text>
        <r>
          <rPr>
            <b/>
            <sz val="9"/>
            <color indexed="81"/>
            <rFont val="Tahoma"/>
            <family val="2"/>
          </rPr>
          <t>Author:</t>
        </r>
        <r>
          <rPr>
            <sz val="9"/>
            <color indexed="81"/>
            <rFont val="Tahoma"/>
            <family val="2"/>
          </rPr>
          <t xml:space="preserve">
(27 laki", 30 perempuan)</t>
        </r>
      </text>
    </comment>
    <comment ref="E21" authorId="0" shapeId="0" xr:uid="{00000000-0006-0000-0000-000002000000}">
      <text>
        <r>
          <rPr>
            <b/>
            <sz val="9"/>
            <color indexed="81"/>
            <rFont val="Tahoma"/>
            <family val="2"/>
          </rPr>
          <t>Author:</t>
        </r>
        <r>
          <rPr>
            <sz val="9"/>
            <color indexed="81"/>
            <rFont val="Tahoma"/>
            <family val="2"/>
          </rPr>
          <t xml:space="preserve">
0218450269</t>
        </r>
      </text>
    </comment>
    <comment ref="C22" authorId="0" shapeId="0" xr:uid="{00000000-0006-0000-0000-000003000000}">
      <text>
        <r>
          <rPr>
            <b/>
            <sz val="9"/>
            <color indexed="81"/>
            <rFont val="Tahoma"/>
            <family val="2"/>
          </rPr>
          <t>Author:</t>
        </r>
        <r>
          <rPr>
            <sz val="9"/>
            <color indexed="81"/>
            <rFont val="Tahoma"/>
            <family val="2"/>
          </rPr>
          <t xml:space="preserve">
Laki-laki 27
Perempuan 9
</t>
        </r>
      </text>
    </comment>
    <comment ref="E22" authorId="0" shapeId="0" xr:uid="{00000000-0006-0000-0000-000004000000}">
      <text>
        <r>
          <rPr>
            <b/>
            <sz val="9"/>
            <color indexed="81"/>
            <rFont val="Tahoma"/>
            <family val="2"/>
          </rPr>
          <t>Author:</t>
        </r>
        <r>
          <rPr>
            <sz val="9"/>
            <color indexed="81"/>
            <rFont val="Tahoma"/>
            <family val="2"/>
          </rPr>
          <t xml:space="preserve">
081384445096</t>
        </r>
      </text>
    </comment>
    <comment ref="C24" authorId="0" shapeId="0" xr:uid="{00000000-0006-0000-0000-000005000000}">
      <text>
        <r>
          <rPr>
            <b/>
            <sz val="9"/>
            <color indexed="81"/>
            <rFont val="Tahoma"/>
            <family val="2"/>
          </rPr>
          <t>Author:</t>
        </r>
        <r>
          <rPr>
            <sz val="9"/>
            <color indexed="81"/>
            <rFont val="Tahoma"/>
            <family val="2"/>
          </rPr>
          <t xml:space="preserve">
63 perempuan</t>
        </r>
      </text>
    </comment>
    <comment ref="E24" authorId="0" shapeId="0" xr:uid="{00000000-0006-0000-0000-000006000000}">
      <text>
        <r>
          <rPr>
            <b/>
            <sz val="9"/>
            <color indexed="81"/>
            <rFont val="Tahoma"/>
            <family val="2"/>
          </rPr>
          <t>Author:</t>
        </r>
        <r>
          <rPr>
            <sz val="9"/>
            <color indexed="81"/>
            <rFont val="Tahoma"/>
            <family val="2"/>
          </rPr>
          <t xml:space="preserve">
085846990320</t>
        </r>
      </text>
    </comment>
    <comment ref="C25" authorId="0" shapeId="0" xr:uid="{00000000-0006-0000-0000-000007000000}">
      <text>
        <r>
          <rPr>
            <b/>
            <sz val="9"/>
            <color indexed="81"/>
            <rFont val="Tahoma"/>
            <family val="2"/>
          </rPr>
          <t>Author:</t>
        </r>
        <r>
          <rPr>
            <sz val="9"/>
            <color indexed="81"/>
            <rFont val="Tahoma"/>
            <family val="2"/>
          </rPr>
          <t xml:space="preserve">
(37 laki-laki, 54 perempuan)</t>
        </r>
      </text>
    </comment>
    <comment ref="E25" authorId="0" shapeId="0" xr:uid="{00000000-0006-0000-0000-000008000000}">
      <text>
        <r>
          <rPr>
            <b/>
            <sz val="9"/>
            <color indexed="81"/>
            <rFont val="Tahoma"/>
            <family val="2"/>
          </rPr>
          <t>Author:</t>
        </r>
        <r>
          <rPr>
            <sz val="9"/>
            <color indexed="81"/>
            <rFont val="Tahoma"/>
            <family val="2"/>
          </rPr>
          <t xml:space="preserve">
0813 8313 3170</t>
        </r>
      </text>
    </comment>
    <comment ref="C26" authorId="0" shapeId="0" xr:uid="{00000000-0006-0000-0000-000009000000}">
      <text>
        <r>
          <rPr>
            <b/>
            <sz val="9"/>
            <color indexed="81"/>
            <rFont val="Tahoma"/>
            <family val="2"/>
          </rPr>
          <t>Author:</t>
        </r>
        <r>
          <rPr>
            <sz val="9"/>
            <color indexed="81"/>
            <rFont val="Tahoma"/>
            <family val="2"/>
          </rPr>
          <t xml:space="preserve">
(65 laki", 85 perempuan)</t>
        </r>
      </text>
    </comment>
    <comment ref="E26" authorId="0" shapeId="0" xr:uid="{00000000-0006-0000-0000-00000A000000}">
      <text>
        <r>
          <rPr>
            <b/>
            <sz val="9"/>
            <color indexed="81"/>
            <rFont val="Tahoma"/>
            <family val="2"/>
          </rPr>
          <t>Author:</t>
        </r>
        <r>
          <rPr>
            <sz val="9"/>
            <color indexed="81"/>
            <rFont val="Tahoma"/>
            <family val="2"/>
          </rPr>
          <t xml:space="preserve">
 0812-9472-4347</t>
        </r>
      </text>
    </comment>
    <comment ref="C37" authorId="0" shapeId="0" xr:uid="{00000000-0006-0000-0000-00000B000000}">
      <text>
        <r>
          <rPr>
            <b/>
            <sz val="9"/>
            <color indexed="81"/>
            <rFont val="Tahoma"/>
            <family val="2"/>
          </rPr>
          <t>Author:</t>
        </r>
        <r>
          <rPr>
            <sz val="9"/>
            <color indexed="81"/>
            <rFont val="Tahoma"/>
            <family val="2"/>
          </rPr>
          <t xml:space="preserve">
(60 laki-laki, 38 perempuan)</t>
        </r>
      </text>
    </comment>
    <comment ref="E37" authorId="0" shapeId="0" xr:uid="{00000000-0006-0000-0000-00000C000000}">
      <text>
        <r>
          <rPr>
            <b/>
            <sz val="9"/>
            <color indexed="81"/>
            <rFont val="Tahoma"/>
            <family val="2"/>
          </rPr>
          <t>Author:</t>
        </r>
        <r>
          <rPr>
            <sz val="9"/>
            <color indexed="81"/>
            <rFont val="Tahoma"/>
            <family val="2"/>
          </rPr>
          <t xml:space="preserve">
0852 1893 0030</t>
        </r>
      </text>
    </comment>
    <comment ref="C43" authorId="0" shapeId="0" xr:uid="{00000000-0006-0000-0000-00000D000000}">
      <text>
        <r>
          <rPr>
            <b/>
            <sz val="9"/>
            <color indexed="81"/>
            <rFont val="Tahoma"/>
            <family val="2"/>
          </rPr>
          <t>Author:</t>
        </r>
        <r>
          <rPr>
            <sz val="9"/>
            <color indexed="81"/>
            <rFont val="Tahoma"/>
            <family val="2"/>
          </rPr>
          <t xml:space="preserve">
(14 laki", 14 perempuan)</t>
        </r>
      </text>
    </comment>
    <comment ref="E43" authorId="0" shapeId="0" xr:uid="{00000000-0006-0000-0000-00000E000000}">
      <text>
        <r>
          <rPr>
            <b/>
            <sz val="9"/>
            <color indexed="81"/>
            <rFont val="Tahoma"/>
            <family val="2"/>
          </rPr>
          <t>Author:</t>
        </r>
        <r>
          <rPr>
            <sz val="9"/>
            <color indexed="81"/>
            <rFont val="Tahoma"/>
            <family val="2"/>
          </rPr>
          <t xml:space="preserve">
0813-8722-3211</t>
        </r>
      </text>
    </comment>
    <comment ref="C51" authorId="0" shapeId="0" xr:uid="{00000000-0006-0000-0000-00000F000000}">
      <text>
        <r>
          <rPr>
            <b/>
            <sz val="9"/>
            <color indexed="81"/>
            <rFont val="Tahoma"/>
            <family val="2"/>
          </rPr>
          <t>Author:</t>
        </r>
        <r>
          <rPr>
            <sz val="9"/>
            <color indexed="81"/>
            <rFont val="Tahoma"/>
            <family val="2"/>
          </rPr>
          <t xml:space="preserve">
60 orang : termasuk 3 guru dan 2 Staff</t>
        </r>
      </text>
    </comment>
    <comment ref="G51" authorId="0" shapeId="0" xr:uid="{00000000-0006-0000-0000-000010000000}">
      <text>
        <r>
          <rPr>
            <b/>
            <sz val="9"/>
            <color indexed="81"/>
            <rFont val="Tahoma"/>
            <family val="2"/>
          </rPr>
          <t>Author:</t>
        </r>
        <r>
          <rPr>
            <sz val="9"/>
            <color indexed="81"/>
            <rFont val="Tahoma"/>
            <family val="2"/>
          </rPr>
          <t xml:space="preserve">
6 orang kuliah
</t>
        </r>
      </text>
    </comment>
    <comment ref="H51" authorId="0" shapeId="0" xr:uid="{00000000-0006-0000-0000-000011000000}">
      <text>
        <r>
          <rPr>
            <b/>
            <sz val="9"/>
            <color indexed="81"/>
            <rFont val="Tahoma"/>
            <family val="2"/>
          </rPr>
          <t>Author:</t>
        </r>
        <r>
          <rPr>
            <sz val="9"/>
            <color indexed="81"/>
            <rFont val="Tahoma"/>
            <family val="2"/>
          </rPr>
          <t xml:space="preserve">
WEB : amasayang.org /  Email mike@mamasayang.org</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2" authorId="0" shapeId="0" xr:uid="{00000000-0006-0000-1400-000001000000}">
      <text>
        <r>
          <rPr>
            <b/>
            <sz val="9"/>
            <color indexed="81"/>
            <rFont val="Tahoma"/>
            <family val="2"/>
          </rPr>
          <t>Author:</t>
        </r>
        <r>
          <rPr>
            <sz val="9"/>
            <color indexed="81"/>
            <rFont val="Tahoma"/>
            <family val="2"/>
          </rPr>
          <t xml:space="preserve">
efek tambahan donasi ke paroki di ntt (PP soon)</t>
        </r>
      </text>
    </comment>
    <comment ref="G12" authorId="0" shapeId="0" xr:uid="{00000000-0006-0000-1400-000002000000}">
      <text>
        <r>
          <rPr>
            <b/>
            <sz val="9"/>
            <color indexed="81"/>
            <rFont val="Tahoma"/>
            <family val="2"/>
          </rPr>
          <t>Author:</t>
        </r>
        <r>
          <rPr>
            <sz val="9"/>
            <color indexed="81"/>
            <rFont val="Tahoma"/>
            <family val="2"/>
          </rPr>
          <t xml:space="preserve">
blm ad bukti Tr
</t>
        </r>
      </text>
    </comment>
    <comment ref="H12" authorId="0" shapeId="0" xr:uid="{00000000-0006-0000-1400-000003000000}">
      <text>
        <r>
          <rPr>
            <b/>
            <sz val="9"/>
            <color indexed="81"/>
            <rFont val="Tahoma"/>
            <family val="2"/>
          </rPr>
          <t>Author:</t>
        </r>
        <r>
          <rPr>
            <sz val="9"/>
            <color indexed="81"/>
            <rFont val="Tahoma"/>
            <family val="2"/>
          </rPr>
          <t xml:space="preserve">
blm ad bukti Tr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88" authorId="0" shapeId="0" xr:uid="{00000000-0006-0000-1900-000001000000}">
      <text>
        <r>
          <rPr>
            <b/>
            <sz val="9"/>
            <color indexed="81"/>
            <rFont val="Tahoma"/>
            <charset val="1"/>
          </rPr>
          <t>Author:</t>
        </r>
        <r>
          <rPr>
            <sz val="9"/>
            <color indexed="81"/>
            <rFont val="Tahoma"/>
            <charset val="1"/>
          </rPr>
          <t xml:space="preserve">
18 maret 2022 : Bantuan Donasi Sekolah Tinggi Teologi Gereja Kalimantan Evangelis, Banjarmasin
30 Agst' 22  :  5 Mahasiswa Pascasarjana (Program S2)
31 agst'22  : Bantuan Donasi Kebutuhan Bahan Pokok asrama Putri &amp; Putra Semester Ganjil
</t>
        </r>
      </text>
    </comment>
    <comment ref="D98" authorId="0" shapeId="0" xr:uid="{00000000-0006-0000-1900-000002000000}">
      <text>
        <r>
          <rPr>
            <b/>
            <sz val="9"/>
            <color indexed="81"/>
            <rFont val="Tahoma"/>
            <charset val="1"/>
          </rPr>
          <t>Author:</t>
        </r>
        <r>
          <rPr>
            <sz val="9"/>
            <color indexed="81"/>
            <rFont val="Tahoma"/>
            <charset val="1"/>
          </rPr>
          <t xml:space="preserve">
6 gereja  :
- GSJA DAMAI
- GSJA LAMBING
- GKKA DAMAI SEBRANG
- GPDI KINONG
- GPDI KAMPUNG DINGIN
- GEPEMBRI TEPULANG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41" authorId="0" shapeId="0" xr:uid="{00000000-0006-0000-1A00-000001000000}">
      <text>
        <r>
          <rPr>
            <b/>
            <sz val="9"/>
            <color indexed="81"/>
            <rFont val="Tahoma"/>
            <charset val="1"/>
          </rPr>
          <t>Author:</t>
        </r>
        <r>
          <rPr>
            <sz val="9"/>
            <color indexed="81"/>
            <rFont val="Tahoma"/>
            <charset val="1"/>
          </rPr>
          <t xml:space="preserve">
18 maret 2022 : Bantuan Donasi Sekolah Tinggi Teologi Gereja Kalimantan Evangelis, Banjarmasin
30 Agst' 22  :  5 Mahasiswa Pascasarjana (Program S2)
31 agst'22  : Bantuan Donasi Kebutuhan Bahan Pokok asrama Putri &amp; Putra Semester Ganjil
</t>
        </r>
      </text>
    </comment>
    <comment ref="D51" authorId="0" shapeId="0" xr:uid="{00000000-0006-0000-1A00-000002000000}">
      <text>
        <r>
          <rPr>
            <b/>
            <sz val="9"/>
            <color indexed="81"/>
            <rFont val="Tahoma"/>
            <charset val="1"/>
          </rPr>
          <t>Author:</t>
        </r>
        <r>
          <rPr>
            <sz val="9"/>
            <color indexed="81"/>
            <rFont val="Tahoma"/>
            <charset val="1"/>
          </rPr>
          <t xml:space="preserve">
6 gereja  :
- GSJA DAMAI
- GSJA LAMBING
- GKKA DAMAI SEBRANG
- GPDI KINONG
- GPDI KAMPUNG DINGIN
- GEPEMBRI TEPULANG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2" authorId="0" shapeId="0" xr:uid="{00000000-0006-0000-0100-000001000000}">
      <text>
        <r>
          <rPr>
            <b/>
            <sz val="9"/>
            <color indexed="81"/>
            <rFont val="Tahoma"/>
            <family val="2"/>
          </rPr>
          <t>Author:</t>
        </r>
        <r>
          <rPr>
            <sz val="9"/>
            <color indexed="81"/>
            <rFont val="Tahoma"/>
            <family val="2"/>
          </rPr>
          <t xml:space="preserve">
unt. anak asuh saja
</t>
        </r>
      </text>
    </comment>
    <comment ref="L5" authorId="0" shapeId="0" xr:uid="{00000000-0006-0000-0100-000002000000}">
      <text>
        <r>
          <rPr>
            <b/>
            <sz val="9"/>
            <color indexed="81"/>
            <rFont val="Tahoma"/>
            <family val="2"/>
          </rPr>
          <t>Author:</t>
        </r>
        <r>
          <rPr>
            <sz val="9"/>
            <color indexed="81"/>
            <rFont val="Tahoma"/>
            <family val="2"/>
          </rPr>
          <t xml:space="preserve">
trf 2 x di tgl 7/8/2019 &amp; 3/10/2019</t>
        </r>
      </text>
    </comment>
    <comment ref="O45" authorId="0" shapeId="0" xr:uid="{00000000-0006-0000-0100-000003000000}">
      <text>
        <r>
          <rPr>
            <b/>
            <sz val="9"/>
            <color indexed="81"/>
            <rFont val="Tahoma"/>
            <family val="2"/>
          </rPr>
          <t>Author:</t>
        </r>
        <r>
          <rPr>
            <sz val="9"/>
            <color indexed="81"/>
            <rFont val="Tahoma"/>
            <family val="2"/>
          </rPr>
          <t xml:space="preserve">
Tahap 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2" authorId="0" shapeId="0" xr:uid="{00000000-0006-0000-0300-000001000000}">
      <text>
        <r>
          <rPr>
            <b/>
            <sz val="9"/>
            <color indexed="81"/>
            <rFont val="Tahoma"/>
            <family val="2"/>
          </rPr>
          <t>Author:</t>
        </r>
        <r>
          <rPr>
            <sz val="9"/>
            <color indexed="81"/>
            <rFont val="Tahoma"/>
            <family val="2"/>
          </rPr>
          <t xml:space="preserve">
unt. anak asuh saja
</t>
        </r>
      </text>
    </comment>
    <comment ref="M32" authorId="0" shapeId="0" xr:uid="{00000000-0006-0000-0300-000002000000}">
      <text>
        <r>
          <rPr>
            <b/>
            <sz val="9"/>
            <color indexed="81"/>
            <rFont val="Tahoma"/>
            <family val="2"/>
          </rPr>
          <t>Should be:</t>
        </r>
        <r>
          <rPr>
            <sz val="9"/>
            <color indexed="81"/>
            <rFont val="Tahoma"/>
            <family val="2"/>
          </rPr>
          <t xml:space="preserve">
Sylvianus Fibri</t>
        </r>
      </text>
    </comment>
    <comment ref="O77" authorId="0" shapeId="0" xr:uid="{00000000-0006-0000-0300-000003000000}">
      <text>
        <r>
          <rPr>
            <b/>
            <sz val="9"/>
            <color indexed="81"/>
            <rFont val="Tahoma"/>
            <family val="2"/>
          </rPr>
          <t>Author:</t>
        </r>
        <r>
          <rPr>
            <sz val="9"/>
            <color indexed="81"/>
            <rFont val="Tahoma"/>
            <family val="2"/>
          </rPr>
          <t xml:space="preserve">
Tahap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8" authorId="0" shapeId="0" xr:uid="{00000000-0006-0000-0400-000001000000}">
      <text>
        <r>
          <rPr>
            <b/>
            <sz val="9"/>
            <color indexed="81"/>
            <rFont val="Tahoma"/>
            <family val="2"/>
          </rPr>
          <t>Should be:</t>
        </r>
        <r>
          <rPr>
            <sz val="9"/>
            <color indexed="81"/>
            <rFont val="Tahoma"/>
            <family val="2"/>
          </rPr>
          <t xml:space="preserve">
Sylvianus Fibri</t>
        </r>
      </text>
    </comment>
    <comment ref="N66" authorId="0" shapeId="0" xr:uid="{00000000-0006-0000-0400-000002000000}">
      <text>
        <r>
          <rPr>
            <b/>
            <sz val="9"/>
            <color indexed="81"/>
            <rFont val="Tahoma"/>
            <family val="2"/>
          </rPr>
          <t>Author:</t>
        </r>
        <r>
          <rPr>
            <sz val="9"/>
            <color indexed="81"/>
            <rFont val="Tahoma"/>
            <family val="2"/>
          </rPr>
          <t xml:space="preserve">
Tahap 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500-000001000000}">
      <text>
        <r>
          <rPr>
            <b/>
            <sz val="9"/>
            <color indexed="81"/>
            <rFont val="Tahoma"/>
            <family val="2"/>
          </rPr>
          <t>Author:</t>
        </r>
        <r>
          <rPr>
            <sz val="9"/>
            <color indexed="81"/>
            <rFont val="Tahoma"/>
            <family val="2"/>
          </rPr>
          <t xml:space="preserve">
Catat ketika sudah TTD pak Puguh</t>
        </r>
      </text>
    </comment>
    <comment ref="G2" authorId="0" shapeId="0" xr:uid="{00000000-0006-0000-0500-000002000000}">
      <text>
        <r>
          <rPr>
            <b/>
            <sz val="9"/>
            <color indexed="81"/>
            <rFont val="Tahoma"/>
            <family val="2"/>
          </rPr>
          <t>Author:</t>
        </r>
        <r>
          <rPr>
            <sz val="9"/>
            <color indexed="81"/>
            <rFont val="Tahoma"/>
            <family val="2"/>
          </rPr>
          <t xml:space="preserve">
unt. anak asuh saja
</t>
        </r>
      </text>
    </comment>
    <comment ref="Q2" authorId="0" shapeId="0" xr:uid="{00000000-0006-0000-0500-000003000000}">
      <text>
        <r>
          <rPr>
            <b/>
            <sz val="9"/>
            <color indexed="81"/>
            <rFont val="Tahoma"/>
            <family val="2"/>
          </rPr>
          <t>Author:</t>
        </r>
        <r>
          <rPr>
            <sz val="9"/>
            <color indexed="81"/>
            <rFont val="Tahoma"/>
            <family val="2"/>
          </rPr>
          <t xml:space="preserve">
Bisa jadi krn gaji Admin / PP Cancel</t>
        </r>
      </text>
    </comment>
    <comment ref="C7" authorId="0" shapeId="0" xr:uid="{00000000-0006-0000-0500-000004000000}">
      <text>
        <r>
          <rPr>
            <b/>
            <sz val="9"/>
            <color indexed="81"/>
            <rFont val="Tahoma"/>
            <family val="2"/>
          </rPr>
          <t>Author:</t>
        </r>
        <r>
          <rPr>
            <sz val="9"/>
            <color indexed="81"/>
            <rFont val="Tahoma"/>
            <family val="2"/>
          </rPr>
          <t xml:space="preserve">
cfm by email (02 Feb'21)</t>
        </r>
      </text>
    </comment>
    <comment ref="C83" authorId="0" shapeId="0" xr:uid="{00000000-0006-0000-0500-000005000000}">
      <text>
        <r>
          <rPr>
            <b/>
            <sz val="9"/>
            <color indexed="81"/>
            <rFont val="Tahoma"/>
            <family val="2"/>
          </rPr>
          <t>Author:</t>
        </r>
        <r>
          <rPr>
            <sz val="9"/>
            <color indexed="81"/>
            <rFont val="Tahoma"/>
            <family val="2"/>
          </rPr>
          <t xml:space="preserve">
PP menyusul</t>
        </r>
      </text>
    </comment>
    <comment ref="P83" authorId="0" shapeId="0" xr:uid="{00000000-0006-0000-0500-000006000000}">
      <text>
        <r>
          <rPr>
            <b/>
            <sz val="9"/>
            <color indexed="81"/>
            <rFont val="Tahoma"/>
            <family val="2"/>
          </rPr>
          <t>Author:</t>
        </r>
        <r>
          <rPr>
            <sz val="9"/>
            <color indexed="81"/>
            <rFont val="Tahoma"/>
            <family val="2"/>
          </rPr>
          <t xml:space="preserve">
unt bulatkan ke NTT 90jt</t>
        </r>
      </text>
    </comment>
    <comment ref="H113" authorId="0" shapeId="0" xr:uid="{00000000-0006-0000-0500-000007000000}">
      <text>
        <r>
          <rPr>
            <b/>
            <sz val="9"/>
            <color indexed="81"/>
            <rFont val="Tahoma"/>
            <family val="2"/>
          </rPr>
          <t>Author:</t>
        </r>
        <r>
          <rPr>
            <sz val="9"/>
            <color indexed="81"/>
            <rFont val="Tahoma"/>
            <family val="2"/>
          </rPr>
          <t xml:space="preserve">
atas PP no 61</t>
        </r>
      </text>
    </comment>
    <comment ref="O153" authorId="0" shapeId="0" xr:uid="{00000000-0006-0000-0500-000008000000}">
      <text>
        <r>
          <rPr>
            <b/>
            <sz val="9"/>
            <color indexed="81"/>
            <rFont val="Tahoma"/>
            <family val="2"/>
          </rPr>
          <t>sisa:</t>
        </r>
        <r>
          <rPr>
            <sz val="9"/>
            <color indexed="81"/>
            <rFont val="Tahoma"/>
            <family val="2"/>
          </rPr>
          <t xml:space="preserve">
1.235.250
email P.Heru 1-10-2021</t>
        </r>
      </text>
    </comment>
    <comment ref="H197" authorId="0" shapeId="0" xr:uid="{00000000-0006-0000-0500-000009000000}">
      <text>
        <r>
          <rPr>
            <b/>
            <sz val="9"/>
            <color indexed="81"/>
            <rFont val="Tahoma"/>
            <family val="2"/>
          </rPr>
          <t>Author:</t>
        </r>
        <r>
          <rPr>
            <sz val="9"/>
            <color indexed="81"/>
            <rFont val="Tahoma"/>
            <family val="2"/>
          </rPr>
          <t xml:space="preserve">
total gaji  7.031.546</t>
        </r>
      </text>
    </comment>
    <comment ref="H228" authorId="0" shapeId="0" xr:uid="{00000000-0006-0000-0500-00000A000000}">
      <text>
        <r>
          <rPr>
            <b/>
            <sz val="9"/>
            <color indexed="81"/>
            <rFont val="Tahoma"/>
            <family val="2"/>
          </rPr>
          <t>Author:</t>
        </r>
        <r>
          <rPr>
            <sz val="9"/>
            <color indexed="81"/>
            <rFont val="Tahoma"/>
            <family val="2"/>
          </rPr>
          <t xml:space="preserve">
01-11-2021 (email p.Heru)</t>
        </r>
      </text>
    </comment>
    <comment ref="P228" authorId="0" shapeId="0" xr:uid="{00000000-0006-0000-0500-00000B000000}">
      <text>
        <r>
          <rPr>
            <b/>
            <sz val="9"/>
            <color indexed="81"/>
            <rFont val="Tahoma"/>
            <family val="2"/>
          </rPr>
          <t>Author:</t>
        </r>
        <r>
          <rPr>
            <sz val="9"/>
            <color indexed="81"/>
            <rFont val="Tahoma"/>
            <family val="2"/>
          </rPr>
          <t xml:space="preserve">
Periode September-Oktober 2021</t>
        </r>
      </text>
    </comment>
    <comment ref="H249" authorId="0" shapeId="0" xr:uid="{00000000-0006-0000-0500-00000C000000}">
      <text>
        <r>
          <rPr>
            <b/>
            <sz val="9"/>
            <color indexed="81"/>
            <rFont val="Tahoma"/>
            <family val="2"/>
          </rPr>
          <t>Author:</t>
        </r>
        <r>
          <rPr>
            <sz val="9"/>
            <color indexed="81"/>
            <rFont val="Tahoma"/>
            <family val="2"/>
          </rPr>
          <t xml:space="preserve">
01-11-2021 before 9,784jt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8" authorId="0" shapeId="0" xr:uid="{00000000-0006-0000-0600-000001000000}">
      <text>
        <r>
          <rPr>
            <b/>
            <sz val="9"/>
            <color indexed="81"/>
            <rFont val="Tahoma"/>
            <family val="2"/>
          </rPr>
          <t>Author:</t>
        </r>
        <r>
          <rPr>
            <sz val="9"/>
            <color indexed="81"/>
            <rFont val="Tahoma"/>
            <family val="2"/>
          </rPr>
          <t xml:space="preserve">
01-11-2021 before 9,784jt</t>
        </r>
      </text>
    </comment>
    <comment ref="B59" authorId="0" shapeId="0" xr:uid="{00000000-0006-0000-0600-000002000000}">
      <text>
        <r>
          <rPr>
            <b/>
            <sz val="9"/>
            <color indexed="81"/>
            <rFont val="Tahoma"/>
            <family val="2"/>
          </rPr>
          <t>Author:</t>
        </r>
        <r>
          <rPr>
            <sz val="9"/>
            <color indexed="81"/>
            <rFont val="Tahoma"/>
            <family val="2"/>
          </rPr>
          <t xml:space="preserve">
PP menyusul</t>
        </r>
      </text>
    </comment>
    <comment ref="O59" authorId="0" shapeId="0" xr:uid="{00000000-0006-0000-0600-000003000000}">
      <text>
        <r>
          <rPr>
            <b/>
            <sz val="9"/>
            <color indexed="81"/>
            <rFont val="Tahoma"/>
            <family val="2"/>
          </rPr>
          <t>Author:</t>
        </r>
        <r>
          <rPr>
            <sz val="9"/>
            <color indexed="81"/>
            <rFont val="Tahoma"/>
            <family val="2"/>
          </rPr>
          <t xml:space="preserve">
unt bulatkan ke NTT 90jt</t>
        </r>
      </text>
    </comment>
    <comment ref="N134" authorId="0" shapeId="0" xr:uid="{00000000-0006-0000-0600-000004000000}">
      <text>
        <r>
          <rPr>
            <b/>
            <sz val="9"/>
            <color indexed="81"/>
            <rFont val="Tahoma"/>
            <family val="2"/>
          </rPr>
          <t>sisa:</t>
        </r>
        <r>
          <rPr>
            <sz val="9"/>
            <color indexed="81"/>
            <rFont val="Tahoma"/>
            <family val="2"/>
          </rPr>
          <t xml:space="preserve">
1.235.250
email P.Heru 1-10-2021</t>
        </r>
      </text>
    </comment>
    <comment ref="O145" authorId="0" shapeId="0" xr:uid="{00000000-0006-0000-0600-000005000000}">
      <text>
        <r>
          <rPr>
            <b/>
            <sz val="9"/>
            <color indexed="81"/>
            <rFont val="Tahoma"/>
            <family val="2"/>
          </rPr>
          <t>Author:</t>
        </r>
        <r>
          <rPr>
            <sz val="9"/>
            <color indexed="81"/>
            <rFont val="Tahoma"/>
            <family val="2"/>
          </rPr>
          <t xml:space="preserve">
Periode September-Oktober 2021</t>
        </r>
      </text>
    </comment>
    <comment ref="G154" authorId="0" shapeId="0" xr:uid="{00000000-0006-0000-0600-000006000000}">
      <text>
        <r>
          <rPr>
            <b/>
            <sz val="9"/>
            <color indexed="81"/>
            <rFont val="Tahoma"/>
            <family val="2"/>
          </rPr>
          <t>Author:</t>
        </r>
        <r>
          <rPr>
            <sz val="9"/>
            <color indexed="81"/>
            <rFont val="Tahoma"/>
            <family val="2"/>
          </rPr>
          <t xml:space="preserve">
01-11-2021 (email p.Heru)</t>
        </r>
      </text>
    </comment>
    <comment ref="B362" authorId="0" shapeId="0" xr:uid="{00000000-0006-0000-0600-000007000000}">
      <text>
        <r>
          <rPr>
            <b/>
            <sz val="9"/>
            <color indexed="81"/>
            <rFont val="Tahoma"/>
            <family val="2"/>
          </rPr>
          <t>Author:</t>
        </r>
        <r>
          <rPr>
            <sz val="9"/>
            <color indexed="81"/>
            <rFont val="Tahoma"/>
            <family val="2"/>
          </rPr>
          <t xml:space="preserve">
cfm by email (02 Feb'21)</t>
        </r>
      </text>
    </comment>
    <comment ref="G460" authorId="0" shapeId="0" xr:uid="{00000000-0006-0000-0600-000008000000}">
      <text>
        <r>
          <rPr>
            <b/>
            <sz val="9"/>
            <color indexed="81"/>
            <rFont val="Tahoma"/>
            <family val="2"/>
          </rPr>
          <t>Author:</t>
        </r>
        <r>
          <rPr>
            <sz val="9"/>
            <color indexed="81"/>
            <rFont val="Tahoma"/>
            <family val="2"/>
          </rPr>
          <t xml:space="preserve">
atas PP no 61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700-000001000000}">
      <text>
        <r>
          <rPr>
            <b/>
            <sz val="9"/>
            <color indexed="81"/>
            <rFont val="Tahoma"/>
            <family val="2"/>
          </rPr>
          <t>Author:</t>
        </r>
        <r>
          <rPr>
            <sz val="9"/>
            <color indexed="81"/>
            <rFont val="Tahoma"/>
            <family val="2"/>
          </rPr>
          <t xml:space="preserve">
Catat ketika sudah TTD pak Puguh</t>
        </r>
      </text>
    </comment>
    <comment ref="G2" authorId="0" shapeId="0" xr:uid="{00000000-0006-0000-0700-000002000000}">
      <text>
        <r>
          <rPr>
            <b/>
            <sz val="9"/>
            <color indexed="81"/>
            <rFont val="Tahoma"/>
            <family val="2"/>
          </rPr>
          <t>Author:</t>
        </r>
        <r>
          <rPr>
            <sz val="9"/>
            <color indexed="81"/>
            <rFont val="Tahoma"/>
            <family val="2"/>
          </rPr>
          <t xml:space="preserve">
unt. anak asuh saja
</t>
        </r>
      </text>
    </comment>
    <comment ref="Q2" authorId="0" shapeId="0" xr:uid="{00000000-0006-0000-0700-000003000000}">
      <text>
        <r>
          <rPr>
            <b/>
            <sz val="9"/>
            <color indexed="81"/>
            <rFont val="Tahoma"/>
            <family val="2"/>
          </rPr>
          <t>Author:</t>
        </r>
        <r>
          <rPr>
            <sz val="9"/>
            <color indexed="81"/>
            <rFont val="Tahoma"/>
            <family val="2"/>
          </rPr>
          <t xml:space="preserve">
Bisa jadi krn gaji Admin / PP Cancel</t>
        </r>
      </text>
    </comment>
    <comment ref="P143" authorId="0" shapeId="0" xr:uid="{00000000-0006-0000-0700-000004000000}">
      <text>
        <r>
          <rPr>
            <b/>
            <sz val="9"/>
            <color indexed="81"/>
            <rFont val="Tahoma"/>
            <family val="2"/>
          </rPr>
          <t>Author:</t>
        </r>
        <r>
          <rPr>
            <sz val="9"/>
            <color indexed="81"/>
            <rFont val="Tahoma"/>
            <family val="2"/>
          </rPr>
          <t xml:space="preserve">
unt bulatkan ke NTT 90jt</t>
        </r>
      </text>
    </comment>
    <comment ref="P148" authorId="0" shapeId="0" xr:uid="{00000000-0006-0000-0700-000005000000}">
      <text>
        <r>
          <rPr>
            <b/>
            <sz val="9"/>
            <color indexed="81"/>
            <rFont val="Tahoma"/>
            <family val="2"/>
          </rPr>
          <t>Author:</t>
        </r>
        <r>
          <rPr>
            <sz val="9"/>
            <color indexed="81"/>
            <rFont val="Tahoma"/>
            <family val="2"/>
          </rPr>
          <t xml:space="preserve">
unt bulatkan ke NTT 90jt</t>
        </r>
      </text>
    </comment>
    <comment ref="C155" authorId="0" shapeId="0" xr:uid="{00000000-0006-0000-0700-000006000000}">
      <text>
        <r>
          <rPr>
            <b/>
            <sz val="9"/>
            <color indexed="81"/>
            <rFont val="Tahoma"/>
            <family val="2"/>
          </rPr>
          <t>Author:</t>
        </r>
        <r>
          <rPr>
            <sz val="9"/>
            <color indexed="81"/>
            <rFont val="Tahoma"/>
            <family val="2"/>
          </rPr>
          <t xml:space="preserve">
PP menyusul</t>
        </r>
      </text>
    </comment>
    <comment ref="P155" authorId="0" shapeId="0" xr:uid="{00000000-0006-0000-0700-000007000000}">
      <text>
        <r>
          <rPr>
            <b/>
            <sz val="9"/>
            <color indexed="81"/>
            <rFont val="Tahoma"/>
            <family val="2"/>
          </rPr>
          <t>Author:</t>
        </r>
        <r>
          <rPr>
            <sz val="9"/>
            <color indexed="81"/>
            <rFont val="Tahoma"/>
            <family val="2"/>
          </rPr>
          <t xml:space="preserve">
unt bulatkan ke NTT 90jt</t>
        </r>
      </text>
    </comment>
    <comment ref="O266" authorId="0" shapeId="0" xr:uid="{00000000-0006-0000-0700-000008000000}">
      <text>
        <r>
          <rPr>
            <b/>
            <sz val="9"/>
            <color indexed="81"/>
            <rFont val="Tahoma"/>
            <family val="2"/>
          </rPr>
          <t>Author:</t>
        </r>
        <r>
          <rPr>
            <sz val="9"/>
            <color indexed="81"/>
            <rFont val="Tahoma"/>
            <family val="2"/>
          </rPr>
          <t xml:space="preserve">
BLM ADA UKTI TRF NYA</t>
        </r>
      </text>
    </comment>
    <comment ref="H275" authorId="0" shapeId="0" xr:uid="{00000000-0006-0000-0700-000009000000}">
      <text>
        <r>
          <rPr>
            <b/>
            <sz val="9"/>
            <color indexed="81"/>
            <rFont val="Tahoma"/>
            <family val="2"/>
          </rPr>
          <t>Author:</t>
        </r>
        <r>
          <rPr>
            <sz val="9"/>
            <color indexed="81"/>
            <rFont val="Tahoma"/>
            <family val="2"/>
          </rPr>
          <t xml:space="preserve">
atas PP no 61</t>
        </r>
      </text>
    </comment>
    <comment ref="O275" authorId="0" shapeId="0" xr:uid="{00000000-0006-0000-0700-00000A000000}">
      <text>
        <r>
          <rPr>
            <b/>
            <sz val="9"/>
            <color indexed="81"/>
            <rFont val="Tahoma"/>
            <family val="2"/>
          </rPr>
          <t>Author:</t>
        </r>
        <r>
          <rPr>
            <sz val="9"/>
            <color indexed="81"/>
            <rFont val="Tahoma"/>
            <family val="2"/>
          </rPr>
          <t xml:space="preserve">
BLM ADA REPORT DARI sd Karnisius watuagung</t>
        </r>
      </text>
    </comment>
    <comment ref="O276" authorId="0" shapeId="0" xr:uid="{00000000-0006-0000-0700-00000B000000}">
      <text>
        <r>
          <rPr>
            <b/>
            <sz val="9"/>
            <color indexed="81"/>
            <rFont val="Tahoma"/>
            <family val="2"/>
          </rPr>
          <t>Author:</t>
        </r>
        <r>
          <rPr>
            <sz val="9"/>
            <color indexed="81"/>
            <rFont val="Tahoma"/>
            <family val="2"/>
          </rPr>
          <t xml:space="preserve">
MASIH KURANG BUKTI TRF DAN REPORT DARI CSsR</t>
        </r>
      </text>
    </comment>
    <comment ref="O277" authorId="0" shapeId="0" xr:uid="{00000000-0006-0000-0700-00000C000000}">
      <text>
        <r>
          <rPr>
            <b/>
            <sz val="9"/>
            <color indexed="81"/>
            <rFont val="Tahoma"/>
            <family val="2"/>
          </rPr>
          <t>Author:</t>
        </r>
        <r>
          <rPr>
            <sz val="9"/>
            <color indexed="81"/>
            <rFont val="Tahoma"/>
            <family val="2"/>
          </rPr>
          <t xml:space="preserve">
BLm ADA REPORT DARI SM RAJA DAMAI</t>
        </r>
      </text>
    </comment>
    <comment ref="O278" authorId="0" shapeId="0" xr:uid="{00000000-0006-0000-0700-00000D000000}">
      <text>
        <r>
          <rPr>
            <b/>
            <sz val="9"/>
            <color indexed="81"/>
            <rFont val="Tahoma"/>
            <family val="2"/>
          </rPr>
          <t>Author:</t>
        </r>
        <r>
          <rPr>
            <sz val="9"/>
            <color indexed="81"/>
            <rFont val="Tahoma"/>
            <family val="2"/>
          </rPr>
          <t xml:space="preserve">
BLm ADA REPORT DARI SM GABRIEL</t>
        </r>
      </text>
    </comment>
    <comment ref="O279" authorId="0" shapeId="0" xr:uid="{00000000-0006-0000-0700-00000E000000}">
      <text>
        <r>
          <rPr>
            <b/>
            <sz val="9"/>
            <color indexed="81"/>
            <rFont val="Tahoma"/>
            <family val="2"/>
          </rPr>
          <t>Author:</t>
        </r>
        <r>
          <rPr>
            <sz val="9"/>
            <color indexed="81"/>
            <rFont val="Tahoma"/>
            <family val="2"/>
          </rPr>
          <t xml:space="preserve">
BLM ADA REPORT / BUKTI PENDUKUNG DARI KESUSTERAN ALMA</t>
        </r>
      </text>
    </comment>
    <comment ref="O280" authorId="0" shapeId="0" xr:uid="{00000000-0006-0000-0700-00000F000000}">
      <text>
        <r>
          <rPr>
            <b/>
            <sz val="9"/>
            <color indexed="81"/>
            <rFont val="Tahoma"/>
            <family val="2"/>
          </rPr>
          <t>Author:</t>
        </r>
        <r>
          <rPr>
            <sz val="9"/>
            <color indexed="81"/>
            <rFont val="Tahoma"/>
            <family val="2"/>
          </rPr>
          <t xml:space="preserve">
BLM ADA REPORT/ BUKTI PENDUKUNG DARI St. Yohanes Maria Vianney</t>
        </r>
      </text>
    </comment>
    <comment ref="O281" authorId="0" shapeId="0" xr:uid="{00000000-0006-0000-0700-000010000000}">
      <text>
        <r>
          <rPr>
            <b/>
            <sz val="9"/>
            <color indexed="81"/>
            <rFont val="Tahoma"/>
            <family val="2"/>
          </rPr>
          <t>Author:</t>
        </r>
        <r>
          <rPr>
            <sz val="9"/>
            <color indexed="81"/>
            <rFont val="Tahoma"/>
            <family val="2"/>
          </rPr>
          <t xml:space="preserve">
BELUM ADA REPORT DARI YARDIN</t>
        </r>
      </text>
    </comment>
    <comment ref="O282" authorId="0" shapeId="0" xr:uid="{00000000-0006-0000-0700-000011000000}">
      <text>
        <r>
          <rPr>
            <b/>
            <sz val="9"/>
            <color indexed="81"/>
            <rFont val="Tahoma"/>
            <family val="2"/>
          </rPr>
          <t>Author:</t>
        </r>
        <r>
          <rPr>
            <sz val="9"/>
            <color indexed="81"/>
            <rFont val="Tahoma"/>
            <family val="2"/>
          </rPr>
          <t xml:space="preserve">
BELUM ADA REPORT DARI YARDIN</t>
        </r>
      </text>
    </comment>
    <comment ref="O283" authorId="0" shapeId="0" xr:uid="{00000000-0006-0000-0700-000012000000}">
      <text>
        <r>
          <rPr>
            <b/>
            <sz val="9"/>
            <color indexed="81"/>
            <rFont val="Tahoma"/>
            <family val="2"/>
          </rPr>
          <t>Author:</t>
        </r>
        <r>
          <rPr>
            <sz val="9"/>
            <color indexed="81"/>
            <rFont val="Tahoma"/>
            <family val="2"/>
          </rPr>
          <t xml:space="preserve">
BELUM ADA REPORT DARI YARDIN</t>
        </r>
      </text>
    </comment>
    <comment ref="O284" authorId="0" shapeId="0" xr:uid="{00000000-0006-0000-0700-000013000000}">
      <text>
        <r>
          <rPr>
            <b/>
            <sz val="9"/>
            <color indexed="81"/>
            <rFont val="Tahoma"/>
            <family val="2"/>
          </rPr>
          <t>Author:</t>
        </r>
        <r>
          <rPr>
            <sz val="9"/>
            <color indexed="81"/>
            <rFont val="Tahoma"/>
            <family val="2"/>
          </rPr>
          <t xml:space="preserve">
BELUM ADA REPORT DARI YARDIN</t>
        </r>
      </text>
    </comment>
    <comment ref="O285" authorId="0" shapeId="0" xr:uid="{00000000-0006-0000-0700-000014000000}">
      <text>
        <r>
          <rPr>
            <b/>
            <sz val="9"/>
            <color indexed="81"/>
            <rFont val="Tahoma"/>
            <family val="2"/>
          </rPr>
          <t>Author:</t>
        </r>
        <r>
          <rPr>
            <sz val="9"/>
            <color indexed="81"/>
            <rFont val="Tahoma"/>
            <family val="2"/>
          </rPr>
          <t xml:space="preserve">
BELUM ADA REPORT DARI YARDIN</t>
        </r>
      </text>
    </comment>
    <comment ref="O286" authorId="0" shapeId="0" xr:uid="{00000000-0006-0000-0700-000015000000}">
      <text>
        <r>
          <rPr>
            <b/>
            <sz val="9"/>
            <color indexed="81"/>
            <rFont val="Tahoma"/>
            <family val="2"/>
          </rPr>
          <t>Author:</t>
        </r>
        <r>
          <rPr>
            <sz val="9"/>
            <color indexed="81"/>
            <rFont val="Tahoma"/>
            <family val="2"/>
          </rPr>
          <t xml:space="preserve">
BELUM ADA REPORT DARI YARDIN</t>
        </r>
      </text>
    </comment>
    <comment ref="O287" authorId="0" shapeId="0" xr:uid="{00000000-0006-0000-0700-000016000000}">
      <text>
        <r>
          <rPr>
            <b/>
            <sz val="9"/>
            <color indexed="81"/>
            <rFont val="Tahoma"/>
            <family val="2"/>
          </rPr>
          <t>Author:</t>
        </r>
        <r>
          <rPr>
            <sz val="9"/>
            <color indexed="81"/>
            <rFont val="Tahoma"/>
            <family val="2"/>
          </rPr>
          <t xml:space="preserve">
BELUM ADA REPORT DARI YARDIN</t>
        </r>
      </text>
    </comment>
    <comment ref="O288" authorId="0" shapeId="0" xr:uid="{00000000-0006-0000-0700-000017000000}">
      <text>
        <r>
          <rPr>
            <b/>
            <sz val="9"/>
            <color indexed="81"/>
            <rFont val="Tahoma"/>
            <family val="2"/>
          </rPr>
          <t>Author:</t>
        </r>
        <r>
          <rPr>
            <sz val="9"/>
            <color indexed="81"/>
            <rFont val="Tahoma"/>
            <family val="2"/>
          </rPr>
          <t xml:space="preserve">
BELUM ADA REPORT DARI YARDIN</t>
        </r>
      </text>
    </comment>
    <comment ref="O289" authorId="0" shapeId="0" xr:uid="{00000000-0006-0000-0700-000018000000}">
      <text>
        <r>
          <rPr>
            <b/>
            <sz val="9"/>
            <color indexed="81"/>
            <rFont val="Tahoma"/>
            <family val="2"/>
          </rPr>
          <t>Author:</t>
        </r>
        <r>
          <rPr>
            <sz val="9"/>
            <color indexed="81"/>
            <rFont val="Tahoma"/>
            <family val="2"/>
          </rPr>
          <t xml:space="preserve">
BELUM ADA REPORT DARI YARDIN</t>
        </r>
      </text>
    </comment>
    <comment ref="O290" authorId="0" shapeId="0" xr:uid="{00000000-0006-0000-0700-000019000000}">
      <text>
        <r>
          <rPr>
            <b/>
            <sz val="9"/>
            <color indexed="81"/>
            <rFont val="Tahoma"/>
            <family val="2"/>
          </rPr>
          <t>Author:</t>
        </r>
        <r>
          <rPr>
            <sz val="9"/>
            <color indexed="81"/>
            <rFont val="Tahoma"/>
            <family val="2"/>
          </rPr>
          <t xml:space="preserve">
BELUM ADA REPORT DARI YARDIN</t>
        </r>
      </text>
    </comment>
    <comment ref="O291" authorId="0" shapeId="0" xr:uid="{00000000-0006-0000-0700-00001A000000}">
      <text>
        <r>
          <rPr>
            <b/>
            <sz val="9"/>
            <color indexed="81"/>
            <rFont val="Tahoma"/>
            <family val="2"/>
          </rPr>
          <t>Author:</t>
        </r>
        <r>
          <rPr>
            <sz val="9"/>
            <color indexed="81"/>
            <rFont val="Tahoma"/>
            <family val="2"/>
          </rPr>
          <t xml:space="preserve">
BELUM ADA REPORT DARI YARDIN</t>
        </r>
      </text>
    </comment>
    <comment ref="O292" authorId="0" shapeId="0" xr:uid="{00000000-0006-0000-0700-00001B000000}">
      <text>
        <r>
          <rPr>
            <b/>
            <sz val="9"/>
            <color indexed="81"/>
            <rFont val="Tahoma"/>
            <family val="2"/>
          </rPr>
          <t>Author:</t>
        </r>
        <r>
          <rPr>
            <sz val="9"/>
            <color indexed="81"/>
            <rFont val="Tahoma"/>
            <family val="2"/>
          </rPr>
          <t xml:space="preserve">
BELUM ADA REPORT DARI YARDIN</t>
        </r>
      </text>
    </comment>
    <comment ref="O296" authorId="0" shapeId="0" xr:uid="{00000000-0006-0000-0700-00001C000000}">
      <text>
        <r>
          <rPr>
            <b/>
            <sz val="9"/>
            <color indexed="81"/>
            <rFont val="Tahoma"/>
            <family val="2"/>
          </rPr>
          <t>Author:</t>
        </r>
        <r>
          <rPr>
            <sz val="9"/>
            <color indexed="81"/>
            <rFont val="Tahoma"/>
            <family val="2"/>
          </rPr>
          <t xml:space="preserve">
BLM ADA REPORT / BUKTI PENDUKUNG DARI PAK ZYN</t>
        </r>
      </text>
    </comment>
    <comment ref="O297" authorId="0" shapeId="0" xr:uid="{00000000-0006-0000-0700-00001D000000}">
      <text>
        <r>
          <rPr>
            <b/>
            <sz val="9"/>
            <color indexed="81"/>
            <rFont val="Tahoma"/>
            <family val="2"/>
          </rPr>
          <t>Author:</t>
        </r>
        <r>
          <rPr>
            <sz val="9"/>
            <color indexed="81"/>
            <rFont val="Tahoma"/>
            <family val="2"/>
          </rPr>
          <t xml:space="preserve">
BLM ADA REPOT/ BUKTI PENDUKUNG DARI sm St. Laurentius</t>
        </r>
      </text>
    </comment>
    <comment ref="O298" authorId="0" shapeId="0" xr:uid="{00000000-0006-0000-0700-00001E000000}">
      <text>
        <r>
          <rPr>
            <b/>
            <sz val="9"/>
            <color indexed="81"/>
            <rFont val="Tahoma"/>
            <family val="2"/>
          </rPr>
          <t>Author:</t>
        </r>
        <r>
          <rPr>
            <sz val="9"/>
            <color indexed="81"/>
            <rFont val="Tahoma"/>
            <family val="2"/>
          </rPr>
          <t xml:space="preserve">
BLM ADA REPOT/ BUKTI PENDUKUNG DARI sm St. Petrus
</t>
        </r>
      </text>
    </comment>
    <comment ref="O300" authorId="0" shapeId="0" xr:uid="{00000000-0006-0000-0700-00001F000000}">
      <text>
        <r>
          <rPr>
            <b/>
            <sz val="9"/>
            <color indexed="81"/>
            <rFont val="Tahoma"/>
            <family val="2"/>
          </rPr>
          <t>Author:</t>
        </r>
        <r>
          <rPr>
            <sz val="9"/>
            <color indexed="81"/>
            <rFont val="Tahoma"/>
            <family val="2"/>
          </rPr>
          <t xml:space="preserve">
blm ada report / bukti pendukung dr site kpcs
</t>
        </r>
      </text>
    </comment>
    <comment ref="O301" authorId="0" shapeId="0" xr:uid="{00000000-0006-0000-0700-000020000000}">
      <text>
        <r>
          <rPr>
            <b/>
            <sz val="9"/>
            <color indexed="81"/>
            <rFont val="Tahoma"/>
            <family val="2"/>
          </rPr>
          <t>Author:</t>
        </r>
        <r>
          <rPr>
            <sz val="9"/>
            <color indexed="81"/>
            <rFont val="Tahoma"/>
            <family val="2"/>
          </rPr>
          <t xml:space="preserve">
blm ada report / bukti pendukung dr site smms
</t>
        </r>
      </text>
    </comment>
    <comment ref="O302" authorId="0" shapeId="0" xr:uid="{00000000-0006-0000-0700-000021000000}">
      <text>
        <r>
          <rPr>
            <b/>
            <sz val="9"/>
            <color indexed="81"/>
            <rFont val="Tahoma"/>
            <family val="2"/>
          </rPr>
          <t>Author:</t>
        </r>
        <r>
          <rPr>
            <sz val="9"/>
            <color indexed="81"/>
            <rFont val="Tahoma"/>
            <family val="2"/>
          </rPr>
          <t xml:space="preserve">
blm ada report / bukti pendukung dr site TCMM
</t>
        </r>
      </text>
    </comment>
    <comment ref="O303" authorId="0" shapeId="0" xr:uid="{00000000-0006-0000-0700-000022000000}">
      <text>
        <r>
          <rPr>
            <b/>
            <sz val="9"/>
            <color indexed="81"/>
            <rFont val="Tahoma"/>
            <family val="2"/>
          </rPr>
          <t>Author:</t>
        </r>
        <r>
          <rPr>
            <sz val="9"/>
            <color indexed="81"/>
            <rFont val="Tahoma"/>
            <family val="2"/>
          </rPr>
          <t xml:space="preserve">
blm ada report / bukti pendukung dr site BEKB
</t>
        </r>
      </text>
    </comment>
    <comment ref="O304" authorId="0" shapeId="0" xr:uid="{00000000-0006-0000-0700-000023000000}">
      <text>
        <r>
          <rPr>
            <b/>
            <sz val="9"/>
            <color indexed="81"/>
            <rFont val="Tahoma"/>
            <family val="2"/>
          </rPr>
          <t>Author:</t>
        </r>
        <r>
          <rPr>
            <sz val="9"/>
            <color indexed="81"/>
            <rFont val="Tahoma"/>
            <family val="2"/>
          </rPr>
          <t xml:space="preserve">
blm ada report / bukti pendukung dr site INDO
</t>
        </r>
      </text>
    </comment>
    <comment ref="O305" authorId="0" shapeId="0" xr:uid="{00000000-0006-0000-0700-000024000000}">
      <text>
        <r>
          <rPr>
            <b/>
            <sz val="9"/>
            <color indexed="81"/>
            <rFont val="Tahoma"/>
            <family val="2"/>
          </rPr>
          <t>Author:</t>
        </r>
        <r>
          <rPr>
            <sz val="9"/>
            <color indexed="81"/>
            <rFont val="Tahoma"/>
            <family val="2"/>
          </rPr>
          <t xml:space="preserve">
blm ada report / bukti pendukung dr site BAYA
</t>
        </r>
      </text>
    </comment>
    <comment ref="O306" authorId="0" shapeId="0" xr:uid="{00000000-0006-0000-0700-000025000000}">
      <text>
        <r>
          <rPr>
            <b/>
            <sz val="9"/>
            <color indexed="81"/>
            <rFont val="Tahoma"/>
            <family val="2"/>
          </rPr>
          <t>Author:</t>
        </r>
        <r>
          <rPr>
            <sz val="9"/>
            <color indexed="81"/>
            <rFont val="Tahoma"/>
            <family val="2"/>
          </rPr>
          <t xml:space="preserve">
blm ada report / bukti pendukung dr site ABKL</t>
        </r>
      </text>
    </comment>
    <comment ref="L390" authorId="0" shapeId="0" xr:uid="{00000000-0006-0000-0700-000026000000}">
      <text>
        <r>
          <rPr>
            <b/>
            <sz val="9"/>
            <color indexed="81"/>
            <rFont val="Tahoma"/>
            <family val="2"/>
          </rPr>
          <t>Author:</t>
        </r>
        <r>
          <rPr>
            <sz val="9"/>
            <color indexed="81"/>
            <rFont val="Tahoma"/>
            <family val="2"/>
          </rPr>
          <t xml:space="preserve">
di trf 
tgl 24/5 rp. 1jt
tgl 25/5 rp. 9jt</t>
        </r>
      </text>
    </comment>
    <comment ref="H448" authorId="0" shapeId="0" xr:uid="{00000000-0006-0000-0700-000027000000}">
      <text>
        <r>
          <rPr>
            <b/>
            <sz val="9"/>
            <color indexed="81"/>
            <rFont val="Tahoma"/>
            <family val="2"/>
          </rPr>
          <t>Author:</t>
        </r>
        <r>
          <rPr>
            <sz val="9"/>
            <color indexed="81"/>
            <rFont val="Tahoma"/>
            <family val="2"/>
          </rPr>
          <t xml:space="preserve">
01-11-2021 (email p.Heru)</t>
        </r>
      </text>
    </comment>
    <comment ref="P448" authorId="0" shapeId="0" xr:uid="{00000000-0006-0000-0700-000028000000}">
      <text>
        <r>
          <rPr>
            <b/>
            <sz val="9"/>
            <color indexed="81"/>
            <rFont val="Tahoma"/>
            <family val="2"/>
          </rPr>
          <t>Author:</t>
        </r>
        <r>
          <rPr>
            <sz val="9"/>
            <color indexed="81"/>
            <rFont val="Tahoma"/>
            <family val="2"/>
          </rPr>
          <t xml:space="preserve">
Periode September-Oktober 2021</t>
        </r>
      </text>
    </comment>
    <comment ref="H583" authorId="0" shapeId="0" xr:uid="{00000000-0006-0000-0700-000029000000}">
      <text>
        <r>
          <rPr>
            <b/>
            <sz val="9"/>
            <color indexed="81"/>
            <rFont val="Tahoma"/>
            <family val="2"/>
          </rPr>
          <t>Author:</t>
        </r>
        <r>
          <rPr>
            <sz val="9"/>
            <color indexed="81"/>
            <rFont val="Tahoma"/>
            <family val="2"/>
          </rPr>
          <t xml:space="preserve">
Pending krn belum ada proposal baru</t>
        </r>
      </text>
    </comment>
    <comment ref="H584" authorId="0" shapeId="0" xr:uid="{00000000-0006-0000-0700-00002A000000}">
      <text>
        <r>
          <rPr>
            <b/>
            <sz val="9"/>
            <color indexed="81"/>
            <rFont val="Tahoma"/>
            <family val="2"/>
          </rPr>
          <t>Author:</t>
        </r>
        <r>
          <rPr>
            <sz val="9"/>
            <color indexed="81"/>
            <rFont val="Tahoma"/>
            <family val="2"/>
          </rPr>
          <t xml:space="preserve">
Pending krn belum ada proposal baru</t>
        </r>
      </text>
    </comment>
    <comment ref="H585" authorId="0" shapeId="0" xr:uid="{00000000-0006-0000-0700-00002B000000}">
      <text>
        <r>
          <rPr>
            <b/>
            <sz val="9"/>
            <color indexed="81"/>
            <rFont val="Tahoma"/>
            <family val="2"/>
          </rPr>
          <t>Author:</t>
        </r>
        <r>
          <rPr>
            <sz val="9"/>
            <color indexed="81"/>
            <rFont val="Tahoma"/>
            <family val="2"/>
          </rPr>
          <t xml:space="preserve">
Pending krn belum ada proposal baru</t>
        </r>
      </text>
    </comment>
    <comment ref="H783" authorId="0" shapeId="0" xr:uid="{00000000-0006-0000-0700-00002C000000}">
      <text>
        <r>
          <rPr>
            <b/>
            <sz val="9"/>
            <color indexed="81"/>
            <rFont val="Tahoma"/>
            <charset val="1"/>
          </rPr>
          <t>Author:</t>
        </r>
        <r>
          <rPr>
            <sz val="9"/>
            <color indexed="81"/>
            <rFont val="Tahoma"/>
            <charset val="1"/>
          </rPr>
          <t xml:space="preserve">
Rp. 4,114,200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12" authorId="0" shapeId="0" xr:uid="{00000000-0006-0000-0800-000001000000}">
      <text>
        <r>
          <rPr>
            <b/>
            <sz val="9"/>
            <color indexed="81"/>
            <rFont val="Tahoma"/>
            <family val="2"/>
          </rPr>
          <t>Author:</t>
        </r>
        <r>
          <rPr>
            <sz val="9"/>
            <color indexed="81"/>
            <rFont val="Tahoma"/>
            <family val="2"/>
          </rPr>
          <t xml:space="preserve">
blm ada report / bukti pendukung dr site BAYA
</t>
        </r>
      </text>
    </comment>
    <comment ref="N17" authorId="0" shapeId="0" xr:uid="{00000000-0006-0000-0800-000002000000}">
      <text>
        <r>
          <rPr>
            <b/>
            <sz val="9"/>
            <color indexed="81"/>
            <rFont val="Tahoma"/>
            <family val="2"/>
          </rPr>
          <t>Author:</t>
        </r>
        <r>
          <rPr>
            <sz val="9"/>
            <color indexed="81"/>
            <rFont val="Tahoma"/>
            <family val="2"/>
          </rPr>
          <t xml:space="preserve">
blm ada report / bukti pendukung dr site BEKB
</t>
        </r>
      </text>
    </comment>
    <comment ref="N23" authorId="0" shapeId="0" xr:uid="{00000000-0006-0000-0800-000003000000}">
      <text>
        <r>
          <rPr>
            <b/>
            <sz val="9"/>
            <color indexed="81"/>
            <rFont val="Tahoma"/>
            <family val="2"/>
          </rPr>
          <t>Author:</t>
        </r>
        <r>
          <rPr>
            <sz val="9"/>
            <color indexed="81"/>
            <rFont val="Tahoma"/>
            <family val="2"/>
          </rPr>
          <t xml:space="preserve">
blm ada report / bukti pendukung dr site INDO
</t>
        </r>
      </text>
    </comment>
    <comment ref="N31" authorId="0" shapeId="0" xr:uid="{00000000-0006-0000-0800-000004000000}">
      <text>
        <r>
          <rPr>
            <b/>
            <sz val="9"/>
            <color indexed="81"/>
            <rFont val="Tahoma"/>
            <family val="2"/>
          </rPr>
          <t>Author:</t>
        </r>
        <r>
          <rPr>
            <sz val="9"/>
            <color indexed="81"/>
            <rFont val="Tahoma"/>
            <family val="2"/>
          </rPr>
          <t xml:space="preserve">
BLM ADA REPORT / BUKTI PENDUKUNG DARI PAK ZYN</t>
        </r>
      </text>
    </comment>
    <comment ref="N38" authorId="0" shapeId="0" xr:uid="{00000000-0006-0000-0800-000005000000}">
      <text>
        <r>
          <rPr>
            <b/>
            <sz val="9"/>
            <color indexed="81"/>
            <rFont val="Tahoma"/>
            <family val="2"/>
          </rPr>
          <t>Author:</t>
        </r>
        <r>
          <rPr>
            <sz val="9"/>
            <color indexed="81"/>
            <rFont val="Tahoma"/>
            <family val="2"/>
          </rPr>
          <t xml:space="preserve">
blm ada report / bukti pendukung dr site kpcs
</t>
        </r>
      </text>
    </comment>
    <comment ref="G41" authorId="0" shapeId="0" xr:uid="{00000000-0006-0000-0800-000006000000}">
      <text>
        <r>
          <rPr>
            <b/>
            <sz val="9"/>
            <color indexed="81"/>
            <rFont val="Tahoma"/>
            <family val="2"/>
          </rPr>
          <t>Author:</t>
        </r>
        <r>
          <rPr>
            <sz val="9"/>
            <color indexed="81"/>
            <rFont val="Tahoma"/>
            <family val="2"/>
          </rPr>
          <t xml:space="preserve">
Pending krn belum ada proposal baru</t>
        </r>
      </text>
    </comment>
    <comment ref="G44" authorId="0" shapeId="0" xr:uid="{00000000-0006-0000-0800-000007000000}">
      <text>
        <r>
          <rPr>
            <b/>
            <sz val="9"/>
            <color indexed="81"/>
            <rFont val="Tahoma"/>
            <family val="2"/>
          </rPr>
          <t>Author:</t>
        </r>
        <r>
          <rPr>
            <sz val="9"/>
            <color indexed="81"/>
            <rFont val="Tahoma"/>
            <family val="2"/>
          </rPr>
          <t xml:space="preserve">
atas PP no 61</t>
        </r>
      </text>
    </comment>
    <comment ref="N44" authorId="0" shapeId="0" xr:uid="{00000000-0006-0000-0800-000008000000}">
      <text>
        <r>
          <rPr>
            <b/>
            <sz val="9"/>
            <color indexed="81"/>
            <rFont val="Tahoma"/>
            <family val="2"/>
          </rPr>
          <t>Author:</t>
        </r>
        <r>
          <rPr>
            <sz val="9"/>
            <color indexed="81"/>
            <rFont val="Tahoma"/>
            <family val="2"/>
          </rPr>
          <t xml:space="preserve">
BLM ADA REPORT DARI sd Karnisius watuagung</t>
        </r>
      </text>
    </comment>
    <comment ref="N50" authorId="0" shapeId="0" xr:uid="{00000000-0006-0000-0800-000009000000}">
      <text>
        <r>
          <rPr>
            <b/>
            <sz val="9"/>
            <color indexed="81"/>
            <rFont val="Tahoma"/>
            <family val="2"/>
          </rPr>
          <t>Author:</t>
        </r>
        <r>
          <rPr>
            <sz val="9"/>
            <color indexed="81"/>
            <rFont val="Tahoma"/>
            <family val="2"/>
          </rPr>
          <t xml:space="preserve">
blm ada report / bukti pendukung dr site smms
</t>
        </r>
      </text>
    </comment>
    <comment ref="G53" authorId="0" shapeId="0" xr:uid="{00000000-0006-0000-0800-00000A000000}">
      <text>
        <r>
          <rPr>
            <b/>
            <sz val="9"/>
            <color indexed="81"/>
            <rFont val="Tahoma"/>
            <family val="2"/>
          </rPr>
          <t>Author:</t>
        </r>
        <r>
          <rPr>
            <sz val="9"/>
            <color indexed="81"/>
            <rFont val="Tahoma"/>
            <family val="2"/>
          </rPr>
          <t xml:space="preserve">
Pending krn belum ada proposal baru</t>
        </r>
      </text>
    </comment>
    <comment ref="N57" authorId="0" shapeId="0" xr:uid="{00000000-0006-0000-0800-00000B000000}">
      <text>
        <r>
          <rPr>
            <b/>
            <sz val="9"/>
            <color indexed="81"/>
            <rFont val="Tahoma"/>
            <family val="2"/>
          </rPr>
          <t>Author:</t>
        </r>
        <r>
          <rPr>
            <sz val="9"/>
            <color indexed="81"/>
            <rFont val="Tahoma"/>
            <family val="2"/>
          </rPr>
          <t xml:space="preserve">
blm ada report / bukti pendukung dr site TCMM
</t>
        </r>
      </text>
    </comment>
    <comment ref="G60" authorId="0" shapeId="0" xr:uid="{00000000-0006-0000-0800-00000C000000}">
      <text>
        <r>
          <rPr>
            <b/>
            <sz val="9"/>
            <color indexed="81"/>
            <rFont val="Tahoma"/>
            <family val="2"/>
          </rPr>
          <t>Author:</t>
        </r>
        <r>
          <rPr>
            <sz val="9"/>
            <color indexed="81"/>
            <rFont val="Tahoma"/>
            <family val="2"/>
          </rPr>
          <t xml:space="preserve">
Pending krn belum ada proposal baru</t>
        </r>
      </text>
    </comment>
    <comment ref="N99" authorId="0" shapeId="0" xr:uid="{00000000-0006-0000-0800-00000D000000}">
      <text>
        <r>
          <rPr>
            <b/>
            <sz val="9"/>
            <color indexed="81"/>
            <rFont val="Tahoma"/>
            <family val="2"/>
          </rPr>
          <t>Author:</t>
        </r>
        <r>
          <rPr>
            <sz val="9"/>
            <color indexed="81"/>
            <rFont val="Tahoma"/>
            <family val="2"/>
          </rPr>
          <t xml:space="preserve">
BLM ADA UKTI TRF NYA</t>
        </r>
      </text>
    </comment>
    <comment ref="O124" authorId="0" shapeId="0" xr:uid="{00000000-0006-0000-0800-00000E000000}">
      <text>
        <r>
          <rPr>
            <b/>
            <sz val="9"/>
            <color indexed="81"/>
            <rFont val="Tahoma"/>
            <family val="2"/>
          </rPr>
          <t>Author:</t>
        </r>
        <r>
          <rPr>
            <sz val="9"/>
            <color indexed="81"/>
            <rFont val="Tahoma"/>
            <family val="2"/>
          </rPr>
          <t xml:space="preserve">
unt bulatkan ke NTT 90jt</t>
        </r>
      </text>
    </comment>
    <comment ref="O140" authorId="0" shapeId="0" xr:uid="{00000000-0006-0000-0800-00000F000000}">
      <text>
        <r>
          <rPr>
            <b/>
            <sz val="9"/>
            <color indexed="81"/>
            <rFont val="Tahoma"/>
            <family val="2"/>
          </rPr>
          <t>Author:</t>
        </r>
        <r>
          <rPr>
            <sz val="9"/>
            <color indexed="81"/>
            <rFont val="Tahoma"/>
            <family val="2"/>
          </rPr>
          <t xml:space="preserve">
unt bulatkan ke NTT 90jt</t>
        </r>
      </text>
    </comment>
    <comment ref="N210" authorId="0" shapeId="0" xr:uid="{00000000-0006-0000-0800-000010000000}">
      <text>
        <r>
          <rPr>
            <b/>
            <sz val="9"/>
            <color indexed="81"/>
            <rFont val="Tahoma"/>
            <family val="2"/>
          </rPr>
          <t>Author:</t>
        </r>
        <r>
          <rPr>
            <sz val="9"/>
            <color indexed="81"/>
            <rFont val="Tahoma"/>
            <family val="2"/>
          </rPr>
          <t xml:space="preserve">
BELUM ADA REPORT DARI YARDIN</t>
        </r>
      </text>
    </comment>
    <comment ref="N219" authorId="0" shapeId="0" xr:uid="{00000000-0006-0000-0800-000011000000}">
      <text>
        <r>
          <rPr>
            <b/>
            <sz val="9"/>
            <color indexed="81"/>
            <rFont val="Tahoma"/>
            <family val="2"/>
          </rPr>
          <t>Author:</t>
        </r>
        <r>
          <rPr>
            <sz val="9"/>
            <color indexed="81"/>
            <rFont val="Tahoma"/>
            <family val="2"/>
          </rPr>
          <t xml:space="preserve">
BELUM ADA REPORT DARI YARDIN</t>
        </r>
      </text>
    </comment>
    <comment ref="N228" authorId="0" shapeId="0" xr:uid="{00000000-0006-0000-0800-000012000000}">
      <text>
        <r>
          <rPr>
            <b/>
            <sz val="9"/>
            <color indexed="81"/>
            <rFont val="Tahoma"/>
            <family val="2"/>
          </rPr>
          <t>Author:</t>
        </r>
        <r>
          <rPr>
            <sz val="9"/>
            <color indexed="81"/>
            <rFont val="Tahoma"/>
            <family val="2"/>
          </rPr>
          <t xml:space="preserve">
BELUM ADA REPORT DARI YARDIN</t>
        </r>
      </text>
    </comment>
    <comment ref="N237" authorId="0" shapeId="0" xr:uid="{00000000-0006-0000-0800-000013000000}">
      <text>
        <r>
          <rPr>
            <b/>
            <sz val="9"/>
            <color indexed="81"/>
            <rFont val="Tahoma"/>
            <family val="2"/>
          </rPr>
          <t>Author:</t>
        </r>
        <r>
          <rPr>
            <sz val="9"/>
            <color indexed="81"/>
            <rFont val="Tahoma"/>
            <family val="2"/>
          </rPr>
          <t xml:space="preserve">
BELUM ADA REPORT DARI YARDIN</t>
        </r>
      </text>
    </comment>
    <comment ref="N246" authorId="0" shapeId="0" xr:uid="{00000000-0006-0000-0800-000014000000}">
      <text>
        <r>
          <rPr>
            <b/>
            <sz val="9"/>
            <color indexed="81"/>
            <rFont val="Tahoma"/>
            <family val="2"/>
          </rPr>
          <t>Author:</t>
        </r>
        <r>
          <rPr>
            <sz val="9"/>
            <color indexed="81"/>
            <rFont val="Tahoma"/>
            <family val="2"/>
          </rPr>
          <t xml:space="preserve">
BELUM ADA REPORT DARI YARDIN</t>
        </r>
      </text>
    </comment>
    <comment ref="N255" authorId="0" shapeId="0" xr:uid="{00000000-0006-0000-0800-000015000000}">
      <text>
        <r>
          <rPr>
            <b/>
            <sz val="9"/>
            <color indexed="81"/>
            <rFont val="Tahoma"/>
            <family val="2"/>
          </rPr>
          <t>Author:</t>
        </r>
        <r>
          <rPr>
            <sz val="9"/>
            <color indexed="81"/>
            <rFont val="Tahoma"/>
            <family val="2"/>
          </rPr>
          <t xml:space="preserve">
BELUM ADA REPORT DARI YARDIN</t>
        </r>
      </text>
    </comment>
    <comment ref="N264" authorId="0" shapeId="0" xr:uid="{00000000-0006-0000-0800-000016000000}">
      <text>
        <r>
          <rPr>
            <b/>
            <sz val="9"/>
            <color indexed="81"/>
            <rFont val="Tahoma"/>
            <family val="2"/>
          </rPr>
          <t>Author:</t>
        </r>
        <r>
          <rPr>
            <sz val="9"/>
            <color indexed="81"/>
            <rFont val="Tahoma"/>
            <family val="2"/>
          </rPr>
          <t xml:space="preserve">
BELUM ADA REPORT DARI YARDIN</t>
        </r>
      </text>
    </comment>
    <comment ref="N273" authorId="0" shapeId="0" xr:uid="{00000000-0006-0000-0800-000017000000}">
      <text>
        <r>
          <rPr>
            <b/>
            <sz val="9"/>
            <color indexed="81"/>
            <rFont val="Tahoma"/>
            <family val="2"/>
          </rPr>
          <t>Author:</t>
        </r>
        <r>
          <rPr>
            <sz val="9"/>
            <color indexed="81"/>
            <rFont val="Tahoma"/>
            <family val="2"/>
          </rPr>
          <t xml:space="preserve">
BELUM ADA REPORT DARI YARDIN</t>
        </r>
      </text>
    </comment>
    <comment ref="N282" authorId="0" shapeId="0" xr:uid="{00000000-0006-0000-0800-000018000000}">
      <text>
        <r>
          <rPr>
            <b/>
            <sz val="9"/>
            <color indexed="81"/>
            <rFont val="Tahoma"/>
            <family val="2"/>
          </rPr>
          <t>Author:</t>
        </r>
        <r>
          <rPr>
            <sz val="9"/>
            <color indexed="81"/>
            <rFont val="Tahoma"/>
            <family val="2"/>
          </rPr>
          <t xml:space="preserve">
BELUM ADA REPORT DARI YARDIN</t>
        </r>
      </text>
    </comment>
    <comment ref="N291" authorId="0" shapeId="0" xr:uid="{00000000-0006-0000-0800-000019000000}">
      <text>
        <r>
          <rPr>
            <b/>
            <sz val="9"/>
            <color indexed="81"/>
            <rFont val="Tahoma"/>
            <family val="2"/>
          </rPr>
          <t>Author:</t>
        </r>
        <r>
          <rPr>
            <sz val="9"/>
            <color indexed="81"/>
            <rFont val="Tahoma"/>
            <family val="2"/>
          </rPr>
          <t xml:space="preserve">
BELUM ADA REPORT DARI YARDIN</t>
        </r>
      </text>
    </comment>
    <comment ref="N327" authorId="0" shapeId="0" xr:uid="{00000000-0006-0000-0800-00001A000000}">
      <text>
        <r>
          <rPr>
            <b/>
            <sz val="9"/>
            <color indexed="81"/>
            <rFont val="Tahoma"/>
            <family val="2"/>
          </rPr>
          <t>Author:</t>
        </r>
        <r>
          <rPr>
            <sz val="9"/>
            <color indexed="81"/>
            <rFont val="Tahoma"/>
            <family val="2"/>
          </rPr>
          <t xml:space="preserve">
BELUM ADA REPORT DARI YARDIN</t>
        </r>
      </text>
    </comment>
    <comment ref="N336" authorId="0" shapeId="0" xr:uid="{00000000-0006-0000-0800-00001B000000}">
      <text>
        <r>
          <rPr>
            <b/>
            <sz val="9"/>
            <color indexed="81"/>
            <rFont val="Tahoma"/>
            <family val="2"/>
          </rPr>
          <t>Author:</t>
        </r>
        <r>
          <rPr>
            <sz val="9"/>
            <color indexed="81"/>
            <rFont val="Tahoma"/>
            <family val="2"/>
          </rPr>
          <t xml:space="preserve">
BELUM ADA REPORT DARI YARDIN</t>
        </r>
      </text>
    </comment>
    <comment ref="N352" authorId="0" shapeId="0" xr:uid="{00000000-0006-0000-0800-00001C000000}">
      <text>
        <r>
          <rPr>
            <b/>
            <sz val="9"/>
            <color indexed="81"/>
            <rFont val="Tahoma"/>
            <family val="2"/>
          </rPr>
          <t>Author:</t>
        </r>
        <r>
          <rPr>
            <sz val="9"/>
            <color indexed="81"/>
            <rFont val="Tahoma"/>
            <family val="2"/>
          </rPr>
          <t xml:space="preserve">
MASIH KURANG BUKTI TRF DAN REPORT DARI CSsR</t>
        </r>
      </text>
    </comment>
    <comment ref="N366" authorId="0" shapeId="0" xr:uid="{00000000-0006-0000-0800-00001D000000}">
      <text>
        <r>
          <rPr>
            <b/>
            <sz val="9"/>
            <color indexed="81"/>
            <rFont val="Tahoma"/>
            <family val="2"/>
          </rPr>
          <t>Author:</t>
        </r>
        <r>
          <rPr>
            <sz val="9"/>
            <color indexed="81"/>
            <rFont val="Tahoma"/>
            <family val="2"/>
          </rPr>
          <t xml:space="preserve">
BLm ADA REPORT DARI SM GABRIEL</t>
        </r>
      </text>
    </comment>
    <comment ref="K367" authorId="0" shapeId="0" xr:uid="{00000000-0006-0000-0800-00001E000000}">
      <text>
        <r>
          <rPr>
            <b/>
            <sz val="9"/>
            <color indexed="81"/>
            <rFont val="Tahoma"/>
            <family val="2"/>
          </rPr>
          <t>Author:</t>
        </r>
        <r>
          <rPr>
            <sz val="9"/>
            <color indexed="81"/>
            <rFont val="Tahoma"/>
            <family val="2"/>
          </rPr>
          <t xml:space="preserve">
di trf 
tgl 24/5 rp. 1jt
tgl 25/5 rp. 9jt</t>
        </r>
      </text>
    </comment>
    <comment ref="B373" authorId="0" shapeId="0" xr:uid="{00000000-0006-0000-0800-00001F000000}">
      <text>
        <r>
          <rPr>
            <b/>
            <sz val="9"/>
            <color indexed="81"/>
            <rFont val="Tahoma"/>
            <family val="2"/>
          </rPr>
          <t>Author:</t>
        </r>
        <r>
          <rPr>
            <sz val="9"/>
            <color indexed="81"/>
            <rFont val="Tahoma"/>
            <family val="2"/>
          </rPr>
          <t xml:space="preserve">
PP menyusul</t>
        </r>
      </text>
    </comment>
    <comment ref="O373" authorId="0" shapeId="0" xr:uid="{00000000-0006-0000-0800-000020000000}">
      <text>
        <r>
          <rPr>
            <b/>
            <sz val="9"/>
            <color indexed="81"/>
            <rFont val="Tahoma"/>
            <family val="2"/>
          </rPr>
          <t>Author:</t>
        </r>
        <r>
          <rPr>
            <sz val="9"/>
            <color indexed="81"/>
            <rFont val="Tahoma"/>
            <family val="2"/>
          </rPr>
          <t xml:space="preserve">
unt bulatkan ke NTT 90jt</t>
        </r>
      </text>
    </comment>
    <comment ref="N374" authorId="0" shapeId="0" xr:uid="{00000000-0006-0000-0800-000021000000}">
      <text>
        <r>
          <rPr>
            <b/>
            <sz val="9"/>
            <color indexed="81"/>
            <rFont val="Tahoma"/>
            <family val="2"/>
          </rPr>
          <t>Author:</t>
        </r>
        <r>
          <rPr>
            <sz val="9"/>
            <color indexed="81"/>
            <rFont val="Tahoma"/>
            <family val="2"/>
          </rPr>
          <t xml:space="preserve">
BLm ADA REPORT DARI SM RAJA DAMAI</t>
        </r>
      </text>
    </comment>
    <comment ref="N382" authorId="0" shapeId="0" xr:uid="{00000000-0006-0000-0800-000022000000}">
      <text>
        <r>
          <rPr>
            <b/>
            <sz val="9"/>
            <color indexed="81"/>
            <rFont val="Tahoma"/>
            <family val="2"/>
          </rPr>
          <t>Author:</t>
        </r>
        <r>
          <rPr>
            <sz val="9"/>
            <color indexed="81"/>
            <rFont val="Tahoma"/>
            <family val="2"/>
          </rPr>
          <t xml:space="preserve">
BLM ADA REPOT/ BUKTI PENDUKUNG DARI sm St. Petrus
</t>
        </r>
      </text>
    </comment>
    <comment ref="N391" authorId="0" shapeId="0" xr:uid="{00000000-0006-0000-0800-000023000000}">
      <text>
        <r>
          <rPr>
            <b/>
            <sz val="9"/>
            <color indexed="81"/>
            <rFont val="Tahoma"/>
            <family val="2"/>
          </rPr>
          <t>Author:</t>
        </r>
        <r>
          <rPr>
            <sz val="9"/>
            <color indexed="81"/>
            <rFont val="Tahoma"/>
            <family val="2"/>
          </rPr>
          <t xml:space="preserve">
BLM ADA REPOT/ BUKTI PENDUKUNG DARI sm St. Laurentius</t>
        </r>
      </text>
    </comment>
    <comment ref="N402" authorId="0" shapeId="0" xr:uid="{00000000-0006-0000-0800-000024000000}">
      <text>
        <r>
          <rPr>
            <b/>
            <sz val="9"/>
            <color indexed="81"/>
            <rFont val="Tahoma"/>
            <family val="2"/>
          </rPr>
          <t>Author:</t>
        </r>
        <r>
          <rPr>
            <sz val="9"/>
            <color indexed="81"/>
            <rFont val="Tahoma"/>
            <family val="2"/>
          </rPr>
          <t xml:space="preserve">
BLM ADA REPORT/ BUKTI PENDUKUNG DARI St. Yohanes Maria Vianney</t>
        </r>
      </text>
    </comment>
    <comment ref="N468" authorId="0" shapeId="0" xr:uid="{00000000-0006-0000-0800-000025000000}">
      <text>
        <r>
          <rPr>
            <b/>
            <sz val="9"/>
            <color indexed="81"/>
            <rFont val="Tahoma"/>
            <family val="2"/>
          </rPr>
          <t>Author:</t>
        </r>
        <r>
          <rPr>
            <sz val="9"/>
            <color indexed="81"/>
            <rFont val="Tahoma"/>
            <family val="2"/>
          </rPr>
          <t xml:space="preserve">
BLM ADA REPORT / BUKTI PENDUKUNG DARI KESUSTERAN ALMA</t>
        </r>
      </text>
    </comment>
    <comment ref="G509" authorId="0" shapeId="0" xr:uid="{00000000-0006-0000-0800-000026000000}">
      <text>
        <r>
          <rPr>
            <b/>
            <sz val="9"/>
            <color indexed="81"/>
            <rFont val="Tahoma"/>
            <family val="2"/>
          </rPr>
          <t>Author:</t>
        </r>
        <r>
          <rPr>
            <sz val="9"/>
            <color indexed="81"/>
            <rFont val="Tahoma"/>
            <family val="2"/>
          </rPr>
          <t xml:space="preserve">
01-11-2021 (email p.Heru)</t>
        </r>
      </text>
    </comment>
    <comment ref="O509" authorId="0" shapeId="0" xr:uid="{00000000-0006-0000-0800-000027000000}">
      <text>
        <r>
          <rPr>
            <b/>
            <sz val="9"/>
            <color indexed="81"/>
            <rFont val="Tahoma"/>
            <family val="2"/>
          </rPr>
          <t>Author:</t>
        </r>
        <r>
          <rPr>
            <sz val="9"/>
            <color indexed="81"/>
            <rFont val="Tahoma"/>
            <family val="2"/>
          </rPr>
          <t xml:space="preserve">
Periode September-Oktober 2021</t>
        </r>
      </text>
    </comment>
    <comment ref="N694" authorId="0" shapeId="0" xr:uid="{00000000-0006-0000-0800-000028000000}">
      <text>
        <r>
          <rPr>
            <b/>
            <sz val="9"/>
            <color indexed="81"/>
            <rFont val="Tahoma"/>
            <family val="2"/>
          </rPr>
          <t>Author:</t>
        </r>
        <r>
          <rPr>
            <sz val="9"/>
            <color indexed="81"/>
            <rFont val="Tahoma"/>
            <family val="2"/>
          </rPr>
          <t xml:space="preserve">
blm ada report / bukti pendukung dr site ABKL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 authorId="0" shapeId="0" xr:uid="{00000000-0006-0000-0900-000001000000}">
      <text>
        <r>
          <rPr>
            <b/>
            <sz val="9"/>
            <color indexed="81"/>
            <rFont val="Tahoma"/>
            <family val="2"/>
          </rPr>
          <t>Author:</t>
        </r>
        <r>
          <rPr>
            <sz val="9"/>
            <color indexed="81"/>
            <rFont val="Tahoma"/>
            <family val="2"/>
          </rPr>
          <t xml:space="preserve">
Catat ketika sudah TTD pak Puguh</t>
        </r>
      </text>
    </comment>
    <comment ref="G2" authorId="0" shapeId="0" xr:uid="{00000000-0006-0000-0900-000002000000}">
      <text>
        <r>
          <rPr>
            <b/>
            <sz val="9"/>
            <color indexed="81"/>
            <rFont val="Tahoma"/>
            <family val="2"/>
          </rPr>
          <t>Author:</t>
        </r>
        <r>
          <rPr>
            <sz val="9"/>
            <color indexed="81"/>
            <rFont val="Tahoma"/>
            <family val="2"/>
          </rPr>
          <t xml:space="preserve">
unt. anak asuh saja
</t>
        </r>
      </text>
    </comment>
    <comment ref="Q2" authorId="0" shapeId="0" xr:uid="{00000000-0006-0000-0900-000003000000}">
      <text>
        <r>
          <rPr>
            <b/>
            <sz val="9"/>
            <color indexed="81"/>
            <rFont val="Tahoma"/>
            <family val="2"/>
          </rPr>
          <t>Author:</t>
        </r>
        <r>
          <rPr>
            <sz val="9"/>
            <color indexed="81"/>
            <rFont val="Tahoma"/>
            <family val="2"/>
          </rPr>
          <t xml:space="preserve">
Bisa jadi krn gaji Admin / PP Cancel</t>
        </r>
      </text>
    </comment>
    <comment ref="P211" authorId="0" shapeId="0" xr:uid="{00000000-0006-0000-0900-000004000000}">
      <text>
        <r>
          <rPr>
            <b/>
            <sz val="9"/>
            <color indexed="81"/>
            <rFont val="Tahoma"/>
            <family val="2"/>
          </rPr>
          <t>Author:</t>
        </r>
        <r>
          <rPr>
            <sz val="9"/>
            <color indexed="81"/>
            <rFont val="Tahoma"/>
            <family val="2"/>
          </rPr>
          <t xml:space="preserve">
unt bulatkan ke NTT 90jt</t>
        </r>
      </text>
    </comment>
    <comment ref="P216" authorId="0" shapeId="0" xr:uid="{00000000-0006-0000-0900-000005000000}">
      <text>
        <r>
          <rPr>
            <b/>
            <sz val="9"/>
            <color indexed="81"/>
            <rFont val="Tahoma"/>
            <family val="2"/>
          </rPr>
          <t>Author:</t>
        </r>
        <r>
          <rPr>
            <sz val="9"/>
            <color indexed="81"/>
            <rFont val="Tahoma"/>
            <family val="2"/>
          </rPr>
          <t xml:space="preserve">
unt bulatkan ke NTT 90jt</t>
        </r>
      </text>
    </comment>
    <comment ref="C223" authorId="0" shapeId="0" xr:uid="{00000000-0006-0000-0900-000006000000}">
      <text>
        <r>
          <rPr>
            <b/>
            <sz val="9"/>
            <color indexed="81"/>
            <rFont val="Tahoma"/>
            <family val="2"/>
          </rPr>
          <t>Author:</t>
        </r>
        <r>
          <rPr>
            <sz val="9"/>
            <color indexed="81"/>
            <rFont val="Tahoma"/>
            <family val="2"/>
          </rPr>
          <t xml:space="preserve">
PP menyusul</t>
        </r>
      </text>
    </comment>
    <comment ref="P223" authorId="0" shapeId="0" xr:uid="{00000000-0006-0000-0900-000007000000}">
      <text>
        <r>
          <rPr>
            <b/>
            <sz val="9"/>
            <color indexed="81"/>
            <rFont val="Tahoma"/>
            <family val="2"/>
          </rPr>
          <t>Author:</t>
        </r>
        <r>
          <rPr>
            <sz val="9"/>
            <color indexed="81"/>
            <rFont val="Tahoma"/>
            <family val="2"/>
          </rPr>
          <t xml:space="preserve">
unt bulatkan ke NTT 90jt</t>
        </r>
      </text>
    </comment>
    <comment ref="O334" authorId="0" shapeId="0" xr:uid="{00000000-0006-0000-0900-000008000000}">
      <text>
        <r>
          <rPr>
            <b/>
            <sz val="9"/>
            <color indexed="81"/>
            <rFont val="Tahoma"/>
            <family val="2"/>
          </rPr>
          <t>Author:</t>
        </r>
        <r>
          <rPr>
            <sz val="9"/>
            <color indexed="81"/>
            <rFont val="Tahoma"/>
            <family val="2"/>
          </rPr>
          <t xml:space="preserve">
BLM ADA UKTI TRF NYA</t>
        </r>
      </text>
    </comment>
    <comment ref="H343" authorId="0" shapeId="0" xr:uid="{00000000-0006-0000-0900-000009000000}">
      <text>
        <r>
          <rPr>
            <b/>
            <sz val="9"/>
            <color indexed="81"/>
            <rFont val="Tahoma"/>
            <family val="2"/>
          </rPr>
          <t>Author:</t>
        </r>
        <r>
          <rPr>
            <sz val="9"/>
            <color indexed="81"/>
            <rFont val="Tahoma"/>
            <family val="2"/>
          </rPr>
          <t xml:space="preserve">
atas PP no 61</t>
        </r>
      </text>
    </comment>
    <comment ref="O343" authorId="0" shapeId="0" xr:uid="{00000000-0006-0000-0900-00000A000000}">
      <text>
        <r>
          <rPr>
            <b/>
            <sz val="9"/>
            <color indexed="81"/>
            <rFont val="Tahoma"/>
            <family val="2"/>
          </rPr>
          <t>Author:</t>
        </r>
        <r>
          <rPr>
            <sz val="9"/>
            <color indexed="81"/>
            <rFont val="Tahoma"/>
            <family val="2"/>
          </rPr>
          <t xml:space="preserve">
BLM ADA REPORT DARI sd Karnisius watuagung</t>
        </r>
      </text>
    </comment>
    <comment ref="O344" authorId="0" shapeId="0" xr:uid="{00000000-0006-0000-0900-00000B000000}">
      <text>
        <r>
          <rPr>
            <b/>
            <sz val="9"/>
            <color indexed="81"/>
            <rFont val="Tahoma"/>
            <family val="2"/>
          </rPr>
          <t>Author:</t>
        </r>
        <r>
          <rPr>
            <sz val="9"/>
            <color indexed="81"/>
            <rFont val="Tahoma"/>
            <family val="2"/>
          </rPr>
          <t xml:space="preserve">
MASIH KURANG BUKTI TRF DAN REPORT DARI CSsR</t>
        </r>
      </text>
    </comment>
    <comment ref="O345" authorId="0" shapeId="0" xr:uid="{00000000-0006-0000-0900-00000C000000}">
      <text>
        <r>
          <rPr>
            <b/>
            <sz val="9"/>
            <color indexed="81"/>
            <rFont val="Tahoma"/>
            <family val="2"/>
          </rPr>
          <t>Author:</t>
        </r>
        <r>
          <rPr>
            <sz val="9"/>
            <color indexed="81"/>
            <rFont val="Tahoma"/>
            <family val="2"/>
          </rPr>
          <t xml:space="preserve">
BLm ADA REPORT DARI SM RAJA DAMAI</t>
        </r>
      </text>
    </comment>
    <comment ref="O346" authorId="0" shapeId="0" xr:uid="{00000000-0006-0000-0900-00000D000000}">
      <text>
        <r>
          <rPr>
            <b/>
            <sz val="9"/>
            <color indexed="81"/>
            <rFont val="Tahoma"/>
            <family val="2"/>
          </rPr>
          <t>Author:</t>
        </r>
        <r>
          <rPr>
            <sz val="9"/>
            <color indexed="81"/>
            <rFont val="Tahoma"/>
            <family val="2"/>
          </rPr>
          <t xml:space="preserve">
BLm ADA REPORT DARI SM GABRIEL</t>
        </r>
      </text>
    </comment>
    <comment ref="O347" authorId="0" shapeId="0" xr:uid="{00000000-0006-0000-0900-00000E000000}">
      <text>
        <r>
          <rPr>
            <b/>
            <sz val="9"/>
            <color indexed="81"/>
            <rFont val="Tahoma"/>
            <family val="2"/>
          </rPr>
          <t>Author:</t>
        </r>
        <r>
          <rPr>
            <sz val="9"/>
            <color indexed="81"/>
            <rFont val="Tahoma"/>
            <family val="2"/>
          </rPr>
          <t xml:space="preserve">
BLM ADA REPORT / BUKTI PENDUKUNG DARI KESUSTERAN ALMA</t>
        </r>
      </text>
    </comment>
    <comment ref="O348" authorId="0" shapeId="0" xr:uid="{00000000-0006-0000-0900-00000F000000}">
      <text>
        <r>
          <rPr>
            <b/>
            <sz val="9"/>
            <color indexed="81"/>
            <rFont val="Tahoma"/>
            <family val="2"/>
          </rPr>
          <t>Author:</t>
        </r>
        <r>
          <rPr>
            <sz val="9"/>
            <color indexed="81"/>
            <rFont val="Tahoma"/>
            <family val="2"/>
          </rPr>
          <t xml:space="preserve">
BLM ADA REPORT/ BUKTI PENDUKUNG DARI St. Yohanes Maria Vianney</t>
        </r>
      </text>
    </comment>
    <comment ref="O349" authorId="0" shapeId="0" xr:uid="{00000000-0006-0000-0900-000010000000}">
      <text>
        <r>
          <rPr>
            <b/>
            <sz val="9"/>
            <color indexed="81"/>
            <rFont val="Tahoma"/>
            <family val="2"/>
          </rPr>
          <t>Author:</t>
        </r>
        <r>
          <rPr>
            <sz val="9"/>
            <color indexed="81"/>
            <rFont val="Tahoma"/>
            <family val="2"/>
          </rPr>
          <t xml:space="preserve">
BELUM ADA REPORT DARI YARDIN</t>
        </r>
      </text>
    </comment>
    <comment ref="O350" authorId="0" shapeId="0" xr:uid="{00000000-0006-0000-0900-000011000000}">
      <text>
        <r>
          <rPr>
            <b/>
            <sz val="9"/>
            <color indexed="81"/>
            <rFont val="Tahoma"/>
            <family val="2"/>
          </rPr>
          <t>Author:</t>
        </r>
        <r>
          <rPr>
            <sz val="9"/>
            <color indexed="81"/>
            <rFont val="Tahoma"/>
            <family val="2"/>
          </rPr>
          <t xml:space="preserve">
BELUM ADA REPORT DARI YARDIN</t>
        </r>
      </text>
    </comment>
    <comment ref="O351" authorId="0" shapeId="0" xr:uid="{00000000-0006-0000-0900-000012000000}">
      <text>
        <r>
          <rPr>
            <b/>
            <sz val="9"/>
            <color indexed="81"/>
            <rFont val="Tahoma"/>
            <family val="2"/>
          </rPr>
          <t>Author:</t>
        </r>
        <r>
          <rPr>
            <sz val="9"/>
            <color indexed="81"/>
            <rFont val="Tahoma"/>
            <family val="2"/>
          </rPr>
          <t xml:space="preserve">
BELUM ADA REPORT DARI YARDIN</t>
        </r>
      </text>
    </comment>
    <comment ref="O352" authorId="0" shapeId="0" xr:uid="{00000000-0006-0000-0900-000013000000}">
      <text>
        <r>
          <rPr>
            <b/>
            <sz val="9"/>
            <color indexed="81"/>
            <rFont val="Tahoma"/>
            <family val="2"/>
          </rPr>
          <t>Author:</t>
        </r>
        <r>
          <rPr>
            <sz val="9"/>
            <color indexed="81"/>
            <rFont val="Tahoma"/>
            <family val="2"/>
          </rPr>
          <t xml:space="preserve">
BELUM ADA REPORT DARI YARDIN</t>
        </r>
      </text>
    </comment>
    <comment ref="O353" authorId="0" shapeId="0" xr:uid="{00000000-0006-0000-0900-000014000000}">
      <text>
        <r>
          <rPr>
            <b/>
            <sz val="9"/>
            <color indexed="81"/>
            <rFont val="Tahoma"/>
            <family val="2"/>
          </rPr>
          <t>Author:</t>
        </r>
        <r>
          <rPr>
            <sz val="9"/>
            <color indexed="81"/>
            <rFont val="Tahoma"/>
            <family val="2"/>
          </rPr>
          <t xml:space="preserve">
BELUM ADA REPORT DARI YARDIN</t>
        </r>
      </text>
    </comment>
    <comment ref="O354" authorId="0" shapeId="0" xr:uid="{00000000-0006-0000-0900-000015000000}">
      <text>
        <r>
          <rPr>
            <b/>
            <sz val="9"/>
            <color indexed="81"/>
            <rFont val="Tahoma"/>
            <family val="2"/>
          </rPr>
          <t>Author:</t>
        </r>
        <r>
          <rPr>
            <sz val="9"/>
            <color indexed="81"/>
            <rFont val="Tahoma"/>
            <family val="2"/>
          </rPr>
          <t xml:space="preserve">
BELUM ADA REPORT DARI YARDIN</t>
        </r>
      </text>
    </comment>
    <comment ref="O355" authorId="0" shapeId="0" xr:uid="{00000000-0006-0000-0900-000016000000}">
      <text>
        <r>
          <rPr>
            <b/>
            <sz val="9"/>
            <color indexed="81"/>
            <rFont val="Tahoma"/>
            <family val="2"/>
          </rPr>
          <t>Author:</t>
        </r>
        <r>
          <rPr>
            <sz val="9"/>
            <color indexed="81"/>
            <rFont val="Tahoma"/>
            <family val="2"/>
          </rPr>
          <t xml:space="preserve">
BELUM ADA REPORT DARI YARDIN</t>
        </r>
      </text>
    </comment>
    <comment ref="O356" authorId="0" shapeId="0" xr:uid="{00000000-0006-0000-0900-000017000000}">
      <text>
        <r>
          <rPr>
            <b/>
            <sz val="9"/>
            <color indexed="81"/>
            <rFont val="Tahoma"/>
            <family val="2"/>
          </rPr>
          <t>Author:</t>
        </r>
        <r>
          <rPr>
            <sz val="9"/>
            <color indexed="81"/>
            <rFont val="Tahoma"/>
            <family val="2"/>
          </rPr>
          <t xml:space="preserve">
BELUM ADA REPORT DARI YARDIN</t>
        </r>
      </text>
    </comment>
    <comment ref="O357" authorId="0" shapeId="0" xr:uid="{00000000-0006-0000-0900-000018000000}">
      <text>
        <r>
          <rPr>
            <b/>
            <sz val="9"/>
            <color indexed="81"/>
            <rFont val="Tahoma"/>
            <family val="2"/>
          </rPr>
          <t>Author:</t>
        </r>
        <r>
          <rPr>
            <sz val="9"/>
            <color indexed="81"/>
            <rFont val="Tahoma"/>
            <family val="2"/>
          </rPr>
          <t xml:space="preserve">
BELUM ADA REPORT DARI YARDIN</t>
        </r>
      </text>
    </comment>
    <comment ref="O358" authorId="0" shapeId="0" xr:uid="{00000000-0006-0000-0900-000019000000}">
      <text>
        <r>
          <rPr>
            <b/>
            <sz val="9"/>
            <color indexed="81"/>
            <rFont val="Tahoma"/>
            <family val="2"/>
          </rPr>
          <t>Author:</t>
        </r>
        <r>
          <rPr>
            <sz val="9"/>
            <color indexed="81"/>
            <rFont val="Tahoma"/>
            <family val="2"/>
          </rPr>
          <t xml:space="preserve">
BELUM ADA REPORT DARI YARDIN</t>
        </r>
      </text>
    </comment>
    <comment ref="O359" authorId="0" shapeId="0" xr:uid="{00000000-0006-0000-0900-00001A000000}">
      <text>
        <r>
          <rPr>
            <b/>
            <sz val="9"/>
            <color indexed="81"/>
            <rFont val="Tahoma"/>
            <family val="2"/>
          </rPr>
          <t>Author:</t>
        </r>
        <r>
          <rPr>
            <sz val="9"/>
            <color indexed="81"/>
            <rFont val="Tahoma"/>
            <family val="2"/>
          </rPr>
          <t xml:space="preserve">
BELUM ADA REPORT DARI YARDIN</t>
        </r>
      </text>
    </comment>
    <comment ref="O360" authorId="0" shapeId="0" xr:uid="{00000000-0006-0000-0900-00001B000000}">
      <text>
        <r>
          <rPr>
            <b/>
            <sz val="9"/>
            <color indexed="81"/>
            <rFont val="Tahoma"/>
            <family val="2"/>
          </rPr>
          <t>Author:</t>
        </r>
        <r>
          <rPr>
            <sz val="9"/>
            <color indexed="81"/>
            <rFont val="Tahoma"/>
            <family val="2"/>
          </rPr>
          <t xml:space="preserve">
BELUM ADA REPORT DARI YARDIN</t>
        </r>
      </text>
    </comment>
    <comment ref="O364" authorId="0" shapeId="0" xr:uid="{00000000-0006-0000-0900-00001C000000}">
      <text>
        <r>
          <rPr>
            <b/>
            <sz val="9"/>
            <color indexed="81"/>
            <rFont val="Tahoma"/>
            <family val="2"/>
          </rPr>
          <t>Author:</t>
        </r>
        <r>
          <rPr>
            <sz val="9"/>
            <color indexed="81"/>
            <rFont val="Tahoma"/>
            <family val="2"/>
          </rPr>
          <t xml:space="preserve">
BLM ADA REPORT / BUKTI PENDUKUNG DARI PAK ZYN</t>
        </r>
      </text>
    </comment>
    <comment ref="O365" authorId="0" shapeId="0" xr:uid="{00000000-0006-0000-0900-00001D000000}">
      <text>
        <r>
          <rPr>
            <b/>
            <sz val="9"/>
            <color indexed="81"/>
            <rFont val="Tahoma"/>
            <family val="2"/>
          </rPr>
          <t>Author:</t>
        </r>
        <r>
          <rPr>
            <sz val="9"/>
            <color indexed="81"/>
            <rFont val="Tahoma"/>
            <family val="2"/>
          </rPr>
          <t xml:space="preserve">
BLM ADA REPOT/ BUKTI PENDUKUNG DARI sm St. Laurentius</t>
        </r>
      </text>
    </comment>
    <comment ref="O366" authorId="0" shapeId="0" xr:uid="{00000000-0006-0000-0900-00001E000000}">
      <text>
        <r>
          <rPr>
            <b/>
            <sz val="9"/>
            <color indexed="81"/>
            <rFont val="Tahoma"/>
            <family val="2"/>
          </rPr>
          <t>Author:</t>
        </r>
        <r>
          <rPr>
            <sz val="9"/>
            <color indexed="81"/>
            <rFont val="Tahoma"/>
            <family val="2"/>
          </rPr>
          <t xml:space="preserve">
BLM ADA REPOT/ BUKTI PENDUKUNG DARI sm St. Petrus
</t>
        </r>
      </text>
    </comment>
    <comment ref="O368" authorId="0" shapeId="0" xr:uid="{00000000-0006-0000-0900-00001F000000}">
      <text>
        <r>
          <rPr>
            <b/>
            <sz val="9"/>
            <color indexed="81"/>
            <rFont val="Tahoma"/>
            <family val="2"/>
          </rPr>
          <t>Author:</t>
        </r>
        <r>
          <rPr>
            <sz val="9"/>
            <color indexed="81"/>
            <rFont val="Tahoma"/>
            <family val="2"/>
          </rPr>
          <t xml:space="preserve">
blm ada report / bukti pendukung dr site kpcs
</t>
        </r>
      </text>
    </comment>
    <comment ref="O369" authorId="0" shapeId="0" xr:uid="{00000000-0006-0000-0900-000020000000}">
      <text>
        <r>
          <rPr>
            <b/>
            <sz val="9"/>
            <color indexed="81"/>
            <rFont val="Tahoma"/>
            <family val="2"/>
          </rPr>
          <t>Author:</t>
        </r>
        <r>
          <rPr>
            <sz val="9"/>
            <color indexed="81"/>
            <rFont val="Tahoma"/>
            <family val="2"/>
          </rPr>
          <t xml:space="preserve">
blm ada report / bukti pendukung dr site smms
</t>
        </r>
      </text>
    </comment>
    <comment ref="O370" authorId="0" shapeId="0" xr:uid="{00000000-0006-0000-0900-000021000000}">
      <text>
        <r>
          <rPr>
            <b/>
            <sz val="9"/>
            <color indexed="81"/>
            <rFont val="Tahoma"/>
            <family val="2"/>
          </rPr>
          <t>Author:</t>
        </r>
        <r>
          <rPr>
            <sz val="9"/>
            <color indexed="81"/>
            <rFont val="Tahoma"/>
            <family val="2"/>
          </rPr>
          <t xml:space="preserve">
blm ada report / bukti pendukung dr site TCMM
</t>
        </r>
      </text>
    </comment>
    <comment ref="O371" authorId="0" shapeId="0" xr:uid="{00000000-0006-0000-0900-000022000000}">
      <text>
        <r>
          <rPr>
            <b/>
            <sz val="9"/>
            <color indexed="81"/>
            <rFont val="Tahoma"/>
            <family val="2"/>
          </rPr>
          <t>Author:</t>
        </r>
        <r>
          <rPr>
            <sz val="9"/>
            <color indexed="81"/>
            <rFont val="Tahoma"/>
            <family val="2"/>
          </rPr>
          <t xml:space="preserve">
blm ada report / bukti pendukung dr site BEKB
</t>
        </r>
      </text>
    </comment>
    <comment ref="O372" authorId="0" shapeId="0" xr:uid="{00000000-0006-0000-0900-000023000000}">
      <text>
        <r>
          <rPr>
            <b/>
            <sz val="9"/>
            <color indexed="81"/>
            <rFont val="Tahoma"/>
            <family val="2"/>
          </rPr>
          <t>Author:</t>
        </r>
        <r>
          <rPr>
            <sz val="9"/>
            <color indexed="81"/>
            <rFont val="Tahoma"/>
            <family val="2"/>
          </rPr>
          <t xml:space="preserve">
blm ada report / bukti pendukung dr site INDO
</t>
        </r>
      </text>
    </comment>
    <comment ref="O373" authorId="0" shapeId="0" xr:uid="{00000000-0006-0000-0900-000024000000}">
      <text>
        <r>
          <rPr>
            <b/>
            <sz val="9"/>
            <color indexed="81"/>
            <rFont val="Tahoma"/>
            <family val="2"/>
          </rPr>
          <t>Author:</t>
        </r>
        <r>
          <rPr>
            <sz val="9"/>
            <color indexed="81"/>
            <rFont val="Tahoma"/>
            <family val="2"/>
          </rPr>
          <t xml:space="preserve">
blm ada report / bukti pendukung dr site BAYA
</t>
        </r>
      </text>
    </comment>
    <comment ref="O374" authorId="0" shapeId="0" xr:uid="{00000000-0006-0000-0900-000025000000}">
      <text>
        <r>
          <rPr>
            <b/>
            <sz val="9"/>
            <color indexed="81"/>
            <rFont val="Tahoma"/>
            <family val="2"/>
          </rPr>
          <t>Author:</t>
        </r>
        <r>
          <rPr>
            <sz val="9"/>
            <color indexed="81"/>
            <rFont val="Tahoma"/>
            <family val="2"/>
          </rPr>
          <t xml:space="preserve">
blm ada report / bukti pendukung dr site ABKL</t>
        </r>
      </text>
    </comment>
    <comment ref="L458" authorId="0" shapeId="0" xr:uid="{00000000-0006-0000-0900-000026000000}">
      <text>
        <r>
          <rPr>
            <b/>
            <sz val="9"/>
            <color indexed="81"/>
            <rFont val="Tahoma"/>
            <family val="2"/>
          </rPr>
          <t>Author:</t>
        </r>
        <r>
          <rPr>
            <sz val="9"/>
            <color indexed="81"/>
            <rFont val="Tahoma"/>
            <family val="2"/>
          </rPr>
          <t xml:space="preserve">
di trf 
tgl 24/5 rp. 1jt
tgl 25/5 rp. 9jt</t>
        </r>
      </text>
    </comment>
    <comment ref="H516" authorId="0" shapeId="0" xr:uid="{00000000-0006-0000-0900-000027000000}">
      <text>
        <r>
          <rPr>
            <b/>
            <sz val="9"/>
            <color indexed="81"/>
            <rFont val="Tahoma"/>
            <family val="2"/>
          </rPr>
          <t>Author:</t>
        </r>
        <r>
          <rPr>
            <sz val="9"/>
            <color indexed="81"/>
            <rFont val="Tahoma"/>
            <family val="2"/>
          </rPr>
          <t xml:space="preserve">
01-11-2021 (email p.Heru)</t>
        </r>
      </text>
    </comment>
    <comment ref="P516" authorId="0" shapeId="0" xr:uid="{00000000-0006-0000-0900-000028000000}">
      <text>
        <r>
          <rPr>
            <b/>
            <sz val="9"/>
            <color indexed="81"/>
            <rFont val="Tahoma"/>
            <family val="2"/>
          </rPr>
          <t>Author:</t>
        </r>
        <r>
          <rPr>
            <sz val="9"/>
            <color indexed="81"/>
            <rFont val="Tahoma"/>
            <family val="2"/>
          </rPr>
          <t xml:space="preserve">
Periode September-Oktober 2021</t>
        </r>
      </text>
    </comment>
    <comment ref="H651" authorId="0" shapeId="0" xr:uid="{00000000-0006-0000-0900-000029000000}">
      <text>
        <r>
          <rPr>
            <b/>
            <sz val="9"/>
            <color indexed="81"/>
            <rFont val="Tahoma"/>
            <family val="2"/>
          </rPr>
          <t>Author:</t>
        </r>
        <r>
          <rPr>
            <sz val="9"/>
            <color indexed="81"/>
            <rFont val="Tahoma"/>
            <family val="2"/>
          </rPr>
          <t xml:space="preserve">
Pending krn belum ada proposal baru</t>
        </r>
      </text>
    </comment>
    <comment ref="H652" authorId="0" shapeId="0" xr:uid="{00000000-0006-0000-0900-00002A000000}">
      <text>
        <r>
          <rPr>
            <b/>
            <sz val="9"/>
            <color indexed="81"/>
            <rFont val="Tahoma"/>
            <family val="2"/>
          </rPr>
          <t>Author:</t>
        </r>
        <r>
          <rPr>
            <sz val="9"/>
            <color indexed="81"/>
            <rFont val="Tahoma"/>
            <family val="2"/>
          </rPr>
          <t xml:space="preserve">
Pending krn belum ada proposal baru</t>
        </r>
      </text>
    </comment>
    <comment ref="H653" authorId="0" shapeId="0" xr:uid="{00000000-0006-0000-0900-00002B000000}">
      <text>
        <r>
          <rPr>
            <b/>
            <sz val="9"/>
            <color indexed="81"/>
            <rFont val="Tahoma"/>
            <family val="2"/>
          </rPr>
          <t>Author:</t>
        </r>
        <r>
          <rPr>
            <sz val="9"/>
            <color indexed="81"/>
            <rFont val="Tahoma"/>
            <family val="2"/>
          </rPr>
          <t xml:space="preserve">
Pending krn belum ada proposal baru</t>
        </r>
      </text>
    </comment>
  </commentList>
</comments>
</file>

<file path=xl/sharedStrings.xml><?xml version="1.0" encoding="utf-8"?>
<sst xmlns="http://schemas.openxmlformats.org/spreadsheetml/2006/main" count="23110" uniqueCount="2212">
  <si>
    <t>Tanggal Pengajuan</t>
  </si>
  <si>
    <t xml:space="preserve">No Surat </t>
  </si>
  <si>
    <t>Site / Lokasi</t>
  </si>
  <si>
    <t>Aktivitas</t>
  </si>
  <si>
    <t>Sifat</t>
  </si>
  <si>
    <t xml:space="preserve">Jumlah Anak </t>
  </si>
  <si>
    <t>Pengajuan Donasi</t>
  </si>
  <si>
    <t>Jumlah Transfer</t>
  </si>
  <si>
    <t xml:space="preserve">Transfer </t>
  </si>
  <si>
    <t>Keterangan</t>
  </si>
  <si>
    <t>Tanggal Tr</t>
  </si>
  <si>
    <t>PIC</t>
  </si>
  <si>
    <t>Bulan</t>
  </si>
  <si>
    <t>Notes</t>
  </si>
  <si>
    <t>Jumlah Gereja</t>
  </si>
  <si>
    <t>027/PP/YKP/VIII/20</t>
  </si>
  <si>
    <t xml:space="preserve">Yayasan Pintu Elok </t>
  </si>
  <si>
    <t>Panti Asuhan / Jompo</t>
  </si>
  <si>
    <t>Rutin (bulan)</t>
  </si>
  <si>
    <t>Done</t>
  </si>
  <si>
    <t>Sudah transfer</t>
  </si>
  <si>
    <t>Bobby FK Lengkong</t>
  </si>
  <si>
    <t xml:space="preserve">Pembelian Barang Kebutuhan Yayasan Pintu Elok </t>
  </si>
  <si>
    <t xml:space="preserve">yang ketemu baru PP pengembalian </t>
  </si>
  <si>
    <t>018/YKP/07/2020</t>
  </si>
  <si>
    <t>JIEP</t>
  </si>
  <si>
    <t>Donasi Lainnya</t>
  </si>
  <si>
    <t xml:space="preserve">Gereja /Infrastruktur Peribadatan </t>
  </si>
  <si>
    <t>Non Rutin</t>
  </si>
  <si>
    <t xml:space="preserve">GUMARA SITORUS                                                        </t>
  </si>
  <si>
    <t xml:space="preserve">Bantuan Pengobatan  </t>
  </si>
  <si>
    <t>031/PP/YKP/VIII/20</t>
  </si>
  <si>
    <t>BRCB</t>
  </si>
  <si>
    <t>Anak Asuh</t>
  </si>
  <si>
    <t>032/PP/YKP/VIII/20</t>
  </si>
  <si>
    <t>ABKL</t>
  </si>
  <si>
    <t>JEFFRY</t>
  </si>
  <si>
    <t xml:space="preserve">Anak Asuh PD ABKL 2020-2021 </t>
  </si>
  <si>
    <t>033/PP/YKP/VIII/20</t>
  </si>
  <si>
    <t>ZYNN BACHMID</t>
  </si>
  <si>
    <t>Panti Asuhan Gerasa</t>
  </si>
  <si>
    <t>Sudah belanja</t>
  </si>
  <si>
    <t xml:space="preserve">UM Donasi Panti Gerasa </t>
  </si>
  <si>
    <t>030/PP/YKP/VIII/20</t>
  </si>
  <si>
    <t xml:space="preserve">Panti Rawinala </t>
  </si>
  <si>
    <t>SDR SILVESTER EKA JEMALI</t>
  </si>
  <si>
    <t xml:space="preserve">UM Donasi Panti Rawinala </t>
  </si>
  <si>
    <t>036/PP/YKP/IX/2020</t>
  </si>
  <si>
    <t>INDO</t>
  </si>
  <si>
    <t>Rutin (tahun)</t>
  </si>
  <si>
    <t>BPK JOHN  FREDDY</t>
  </si>
  <si>
    <t xml:space="preserve">Bantuan Anak Asuh PD INDO 2020-2021 </t>
  </si>
  <si>
    <t>037/PP/YKP/IX/2020</t>
  </si>
  <si>
    <t>BBSO</t>
  </si>
  <si>
    <t>BPK SEFOURDINAN  PANDIANGAN</t>
  </si>
  <si>
    <t xml:space="preserve">Anak Asuh PD BBSO 2020 </t>
  </si>
  <si>
    <t>038/PP/YKP/IX/2020</t>
  </si>
  <si>
    <t>Donasi Pendidikan Seminari</t>
  </si>
  <si>
    <t xml:space="preserve">Donasi Calon Romo PD BBSO 2020 </t>
  </si>
  <si>
    <t>040/PP/YKP/IX/2020</t>
  </si>
  <si>
    <t>SMMS</t>
  </si>
  <si>
    <t xml:space="preserve">DENY SUGIANTO                                                         </t>
  </si>
  <si>
    <t>Anak Asuh PD SMMS</t>
  </si>
  <si>
    <t>041/PP/YKP/IX/2020</t>
  </si>
  <si>
    <t>KIDE</t>
  </si>
  <si>
    <t>ROBINSON HARIANJA</t>
  </si>
  <si>
    <t xml:space="preserve">Anak Asuh PD KIDE 2020 </t>
  </si>
  <si>
    <t>039/PP/YKP/IX/2020</t>
  </si>
  <si>
    <t xml:space="preserve">UM 2 Donasi Panti Gerasa </t>
  </si>
  <si>
    <t>043/PP/YKP/IX/2020</t>
  </si>
  <si>
    <t>Donasi Duka Cita Ex Ketua PD Baya /Edi Sukamto</t>
  </si>
  <si>
    <t>Sumbangan Duka</t>
  </si>
  <si>
    <t>On Process</t>
  </si>
  <si>
    <t>Proses PP/Pengajuan Approval</t>
  </si>
  <si>
    <t>046/PP/YKP/IX/20</t>
  </si>
  <si>
    <t>MTBU</t>
  </si>
  <si>
    <t xml:space="preserve">ASTOL WESLEY KADOENA                                                  </t>
  </si>
  <si>
    <t xml:space="preserve">Donasi Anak Asuh MTBU Semester II 2020 </t>
  </si>
  <si>
    <t>024/PP/YKP/XI/20</t>
  </si>
  <si>
    <t>ARIA</t>
  </si>
  <si>
    <t>Teofilus Marto Pasongli</t>
  </si>
  <si>
    <t xml:space="preserve">Donasi Anak Asuh ARIA Semester 2 2020 </t>
  </si>
  <si>
    <t>047/PP/YKP/IX/20</t>
  </si>
  <si>
    <t>ADRO</t>
  </si>
  <si>
    <t>BPK   PU'EKMAN</t>
  </si>
  <si>
    <t xml:space="preserve">Donasi Anak Asuh PD ADRO Semester II 2020 </t>
  </si>
  <si>
    <t>045/PP/YKP/IX/20</t>
  </si>
  <si>
    <t>BAYA</t>
  </si>
  <si>
    <t>MATIUS FAJAR SULISTI</t>
  </si>
  <si>
    <t>025/YKP/09/2020</t>
  </si>
  <si>
    <t>BPOP</t>
  </si>
  <si>
    <t xml:space="preserve">Donasi Pulsa Anak Asuh Sep-Oct 20 </t>
  </si>
  <si>
    <t>049/PP/YKP/IX/20</t>
  </si>
  <si>
    <t xml:space="preserve">Donasi II Yayasan Pintu Elok </t>
  </si>
  <si>
    <t>050/PP/YKP/IX/20</t>
  </si>
  <si>
    <t>Yayasan Kasih Orang Tua PNIEL</t>
  </si>
  <si>
    <t xml:space="preserve">Donasi Yayasan Kasih Orang Tua PNIEL </t>
  </si>
  <si>
    <t>051/PP/YKP/IX/20</t>
  </si>
  <si>
    <t xml:space="preserve">Donasi Yayasan Kharisma Pertiwi dan Joint Adulam Ministry </t>
  </si>
  <si>
    <t>056/PP/YKP/X/20</t>
  </si>
  <si>
    <t xml:space="preserve">UM Donasi Tahap 2 Yayasan PNIEL </t>
  </si>
  <si>
    <t xml:space="preserve">UM Donasi Tahap 3 Panti Gerasa  </t>
  </si>
  <si>
    <t>evidence masih di cari</t>
  </si>
  <si>
    <t>055/PP/YKP/X/20</t>
  </si>
  <si>
    <t>UM Donasi Tahap 3 Yayasan Pintu Elok  </t>
  </si>
  <si>
    <t>058/PP/YKP/XI/20</t>
  </si>
  <si>
    <t>BEKB</t>
  </si>
  <si>
    <t>Bantuan Renovasi Gereja</t>
  </si>
  <si>
    <t>Febrian Wahyu Pratama</t>
  </si>
  <si>
    <t xml:space="preserve">Donasi Gereja POUK Serafim PD BEKB </t>
  </si>
  <si>
    <t>063/PP/YKP/XI/20</t>
  </si>
  <si>
    <t>Rindang Malem Tarigan</t>
  </si>
  <si>
    <t xml:space="preserve">Donasi Anak Asuh PD BPOP Semester 2 2020 </t>
  </si>
  <si>
    <t>064/PP/YKP/XI/20</t>
  </si>
  <si>
    <t>KPCS</t>
  </si>
  <si>
    <t>Fanny Charawaheny</t>
  </si>
  <si>
    <t xml:space="preserve">Donasi Anak Asuh PD KPCS Semester 2 2020 </t>
  </si>
  <si>
    <t>065/PP/YKP/XI/20</t>
  </si>
  <si>
    <t>Yayasan Pintu Elok Tahap 4</t>
  </si>
  <si>
    <t>066/PP/YKP/XI/20</t>
  </si>
  <si>
    <t xml:space="preserve"> Tahap 3</t>
  </si>
  <si>
    <t>067/PP/YKP/XI/20</t>
  </si>
  <si>
    <t xml:space="preserve"> Tahap 4</t>
  </si>
  <si>
    <t>068/PP/YKP/XI/20</t>
  </si>
  <si>
    <t>Panti Pelayanan Kasih Bhakti Mandiri</t>
  </si>
  <si>
    <t xml:space="preserve"> Thp.1</t>
  </si>
  <si>
    <t>069/PP/YKP/XI/20</t>
  </si>
  <si>
    <t>Panti Jompo Kongregasi Fransiskanes Sambas T.1</t>
  </si>
  <si>
    <t>059/PP/YKP/XI/20</t>
  </si>
  <si>
    <t>TCMM</t>
  </si>
  <si>
    <t>LEONARD A A SINAGA</t>
  </si>
  <si>
    <t>060/PP/YKP/XI/20</t>
  </si>
  <si>
    <t xml:space="preserve">PGDP SANTO GABRIEL                                                    </t>
  </si>
  <si>
    <t xml:space="preserve">Donasi Gereja St Gabriel                                                   </t>
  </si>
  <si>
    <t>062/PP/YKP/XI/20</t>
  </si>
  <si>
    <t>073/PP/YKP/XII/20</t>
  </si>
  <si>
    <t>Jeffry</t>
  </si>
  <si>
    <t>UM Kebutuhan Yayasan Kharisma Pertiwi (Tahap 2): 86 anak-anak - Donasi Tahap 2 Joint Adulam Ministry dan Tahap 1 Rumah Lansia FJPK  
Rumah Lansia dan Yatim Piatu FJPK (Tahap 1): 38 orang dewasa</t>
  </si>
  <si>
    <t>071/PP/YKP/XI/20</t>
  </si>
  <si>
    <t>HKBP &amp; Panti Jompo Sambas</t>
  </si>
  <si>
    <t>Bpk. Fendi, PT. Nuansa Vadita Prima</t>
  </si>
  <si>
    <t xml:space="preserve">UM Pembelian alat musik untuk: 
(1 unit keyboard SX700 + 1 Stand) HKBP Perjuangan Ressort Palmarum
(1 unit keyboard SX600 + 1 Stand) Panti Jompo Kongregasi Fransiskanes Sambas
- Pembayaran Faktur No N3-SO.19-24067 </t>
  </si>
  <si>
    <t>Pondok Kasih Agape</t>
  </si>
  <si>
    <t xml:space="preserve">BOBBY FK LENGKONG                                                     </t>
  </si>
  <si>
    <t xml:space="preserve">Donasi PSAA Pondok Kasih Agape </t>
  </si>
  <si>
    <t>074/PP/YKP/XII/20</t>
  </si>
  <si>
    <t>Wahyu Winardi/Antonius Christopher</t>
  </si>
  <si>
    <t>Baksos Natal tahun 2020</t>
  </si>
  <si>
    <t>077/PP/YKP/XII/20</t>
  </si>
  <si>
    <t>Melissa Sanddy</t>
  </si>
  <si>
    <t>UM Pembelian Barang Fasilitas untuk Yayasan Pintu Elok</t>
  </si>
  <si>
    <t>075/PP/YKP/XII/20</t>
  </si>
  <si>
    <t>UM Pembelian Barang Kebutuhan Yayasan Sinar Pelangi</t>
  </si>
  <si>
    <t>078/PP/YKP/XII/20</t>
  </si>
  <si>
    <t>Panti Wisma Tuna Ganda palsi gunung</t>
  </si>
  <si>
    <t>Pembelian Barang Baksos untuk Wisma Tuna Ganda Palsigunung</t>
  </si>
  <si>
    <t>Total</t>
  </si>
  <si>
    <t>in IDR</t>
  </si>
  <si>
    <t>Kategori</t>
  </si>
  <si>
    <t>Lokasi</t>
  </si>
  <si>
    <t>Jan</t>
  </si>
  <si>
    <t>Feb</t>
  </si>
  <si>
    <t>Mar</t>
  </si>
  <si>
    <t>Apr</t>
  </si>
  <si>
    <t>May</t>
  </si>
  <si>
    <t>Jun</t>
  </si>
  <si>
    <t>Jul</t>
  </si>
  <si>
    <t>Aug</t>
  </si>
  <si>
    <t>Sep</t>
  </si>
  <si>
    <t>Oct</t>
  </si>
  <si>
    <t>Nov</t>
  </si>
  <si>
    <t>Dec</t>
  </si>
  <si>
    <t>Cek</t>
  </si>
  <si>
    <t>Update per 6 Desember 2020 (Juli sd Des 2020)</t>
  </si>
  <si>
    <t>Agu</t>
  </si>
  <si>
    <t>Okt</t>
  </si>
  <si>
    <t>Des</t>
  </si>
  <si>
    <t>Jumlah</t>
  </si>
  <si>
    <t>Note</t>
  </si>
  <si>
    <t>Bantuan Anak Asuh</t>
  </si>
  <si>
    <t>orang</t>
  </si>
  <si>
    <t>gereja</t>
  </si>
  <si>
    <t>alat/dan gereja</t>
  </si>
  <si>
    <t>Panti yang dibantu Rutin sejak Agustus 2020</t>
  </si>
  <si>
    <t>Bantuan  Gereja</t>
  </si>
  <si>
    <t>1. Panti Pintu Elok (bantukan ke 4)</t>
  </si>
  <si>
    <t>1. Site BEKB : 6 Gerja Perbaikan Infrastruktur</t>
  </si>
  <si>
    <t>2. Panti Gerasa (bantuan ke-4)</t>
  </si>
  <si>
    <t>2. Site JIEP : 1 Gereja donasi Natal, 1 Gereja bantuan alat Musik</t>
  </si>
  <si>
    <t>3. Panti PNIEL (bantuan ke 3)</t>
  </si>
  <si>
    <t>4. Panti Kharisma/JAM/FPJK -Samarinda (bantuan ke-2)</t>
  </si>
  <si>
    <t>5. Panti Rawinala (bantuan ke 1, tidak di lanjutkan)</t>
  </si>
  <si>
    <t>6. Panti Kasih Bhakti Mandiri (bantuan ke-1)</t>
  </si>
  <si>
    <t>7. Panti Jompo Kongregasi (bantuan ke-1)</t>
  </si>
  <si>
    <t>8. Panti Pondok Kasih Agape (bantuan ke 1)</t>
  </si>
  <si>
    <t>Jumlah Pengajuan</t>
  </si>
  <si>
    <t>Januari</t>
  </si>
  <si>
    <t>Februari</t>
  </si>
  <si>
    <t>Maret</t>
  </si>
  <si>
    <t>April</t>
  </si>
  <si>
    <t>Mei</t>
  </si>
  <si>
    <t>Juni</t>
  </si>
  <si>
    <t>Juli</t>
  </si>
  <si>
    <t>Agustus</t>
  </si>
  <si>
    <t>September</t>
  </si>
  <si>
    <t>Oktober</t>
  </si>
  <si>
    <t>November</t>
  </si>
  <si>
    <t>Desember</t>
  </si>
  <si>
    <t>check</t>
  </si>
  <si>
    <t>Proses Paraf Yayasan</t>
  </si>
  <si>
    <t>070/PP/YKP/XI/20</t>
  </si>
  <si>
    <t>001/PP/YKP/I/21</t>
  </si>
  <si>
    <t>Kebutuhan Rutin untuk Yayasan Pintu Elok Tahap 5</t>
  </si>
  <si>
    <t>002/PP/YKP/I/21</t>
  </si>
  <si>
    <t>Kebutuhan Rutin untuk PSAA Pondok Kasih Agape Tahap 2</t>
  </si>
  <si>
    <t>003/PP/YKP/I/21</t>
  </si>
  <si>
    <t>Kebutuhan Rutin untuk Yayasan PNIEL Tahap 4</t>
  </si>
  <si>
    <t>004/PP/YKP/I/21</t>
  </si>
  <si>
    <t>006/PP/YKP/I/21</t>
  </si>
  <si>
    <t>Kebutuhan Rutin untuk Yayasan Gerasa Tahap 5</t>
  </si>
  <si>
    <t>007/PP/YKP/I/22</t>
  </si>
  <si>
    <t>Ytd</t>
  </si>
  <si>
    <t>Rumah Lansia dan Yatim Piatu FJPK</t>
  </si>
  <si>
    <t>Tahap 3</t>
  </si>
  <si>
    <t>Tahap 2</t>
  </si>
  <si>
    <t>009/PP/YKP/I/21</t>
  </si>
  <si>
    <t>Pembelian Bunga Karangan atas Berpulangnya Bpk. Heru Listiyono Ayah dari
Bpk. Yohanes Budi</t>
  </si>
  <si>
    <t>PT. ALDMIC INDONESIA</t>
  </si>
  <si>
    <t>Panti Jompo Kongregasi Fransiskanes Sambas</t>
  </si>
  <si>
    <t>Yayasan Sinar Pelangi</t>
  </si>
  <si>
    <t>Yayasan Sinar Pelangi Tahap 2</t>
  </si>
  <si>
    <t>notes:</t>
  </si>
  <si>
    <t>Nama penerima bantuan berbeda antara PP, LPJ, Ket transfer (misal: yayasan/panti asuhan kasih pelangi; yayasan PNIEL/Yayasan Kasih Orang Tua PNIEL; dll)</t>
  </si>
  <si>
    <t xml:space="preserve">Keterangan transfer u/activity /panti yg masih blm detail </t>
  </si>
  <si>
    <t>010/PP/YKP/I/21</t>
  </si>
  <si>
    <t>PA Fajar Baru</t>
  </si>
  <si>
    <t>PA Hati Bangsa</t>
  </si>
  <si>
    <t>PA Tunas Bangsa</t>
  </si>
  <si>
    <t>PAUD/PKBM Pondok YEFTA</t>
  </si>
  <si>
    <t>PA Pondok Damai</t>
  </si>
  <si>
    <t>PA Fioreti</t>
  </si>
  <si>
    <t>Tahap 1</t>
  </si>
  <si>
    <t>011/PP/YKP/I/21</t>
  </si>
  <si>
    <t>012/PP/YKP/I/21</t>
  </si>
  <si>
    <t>013/PP/YKP/I/21</t>
  </si>
  <si>
    <t>015/PP/YKP/I/21</t>
  </si>
  <si>
    <t>016/PP/YKP/I/21</t>
  </si>
  <si>
    <t>Kebutuhan Rutin untuk Panti Asuhan Pelayanan Kasih Bhakti Mandiri Tahap 2</t>
  </si>
  <si>
    <t>005/PP/YKP/I/21</t>
  </si>
  <si>
    <t>018/PP/YKP/II/21</t>
  </si>
  <si>
    <t>Panti Lansia Atmabrata</t>
  </si>
  <si>
    <t>017/PP/YKP/II/21</t>
  </si>
  <si>
    <t>PA Vita Dulcedo</t>
  </si>
  <si>
    <t>020/PP/YKP/II/21</t>
  </si>
  <si>
    <t>Pekerjaan Renovasi Bangunan Ibadah Gereja Lolo di Site KIDE</t>
  </si>
  <si>
    <t>LPJ</t>
  </si>
  <si>
    <t>Yayasan Kharisma Pertiwi</t>
  </si>
  <si>
    <t xml:space="preserve">Joint Adulam Ministry </t>
  </si>
  <si>
    <t>021/PP/YKP/II/21</t>
  </si>
  <si>
    <t>Pembelian Barang Baksos untuk Panti Asuhan ADDA Kasih Tahap 1</t>
  </si>
  <si>
    <t>PA ADDA Kasih</t>
  </si>
  <si>
    <t>PA Permata Hati</t>
  </si>
  <si>
    <t>022/PP/YKP/II/21</t>
  </si>
  <si>
    <t>Pembelian Barang Baksos untuk Panti Asuhan Permata Hati Tahap 1</t>
  </si>
  <si>
    <t>023/PP/YKP/II/21</t>
  </si>
  <si>
    <t>Sefourdinan Pandiangan</t>
  </si>
  <si>
    <t>024/PP/YKP/II/21</t>
  </si>
  <si>
    <t>Program Donasi untuk Calon Romo Seminari YKP distrik BBSO</t>
  </si>
  <si>
    <t>Donasi Anak Asuh Site BBSO 2021 (Nov - Jun 2021)</t>
  </si>
  <si>
    <t>025/PP/YKP/II/21</t>
  </si>
  <si>
    <t>JOHN FREDDY</t>
  </si>
  <si>
    <t>Donasi Pembelian TV Site INDO (LED POLYTRON 43 INCH, TYPE: PLD43S153)</t>
  </si>
  <si>
    <t>019/PP/YKP/II/21</t>
  </si>
  <si>
    <t>028/PP/YKP/III/21</t>
  </si>
  <si>
    <t>026/PP/YKP/II/21</t>
  </si>
  <si>
    <t>027/PP/YKP/II/21</t>
  </si>
  <si>
    <t>Pembelian Barang Baksos untuk Yayasan Panti Asuhan Rumah Shalom Tahap 1</t>
  </si>
  <si>
    <t>029/PP/YKP/III/21</t>
  </si>
  <si>
    <t>PA Rumah Shalom</t>
  </si>
  <si>
    <t>Pembelian Barang Baksos untuk Yayasan Pintu Elok Tahap 6</t>
  </si>
  <si>
    <t>030/PP/YKP/III/21</t>
  </si>
  <si>
    <t>033/PP/YKP/III/21</t>
  </si>
  <si>
    <t>032/PP/YKP/III/21</t>
  </si>
  <si>
    <t>031/PP/YKP/III/21</t>
  </si>
  <si>
    <t>Pembelian Barang Baksos untuk Yayasan Sinar Pelangi Tahap 3</t>
  </si>
  <si>
    <t>Pembelian Barang Baksos untuk Yayasan PNIEL Tahap 5</t>
  </si>
  <si>
    <t>039/PP/YKP/III/21</t>
  </si>
  <si>
    <t>034/PP/YKP/III/21</t>
  </si>
  <si>
    <t>035/PP/YKP/III/21</t>
  </si>
  <si>
    <t>036/PP/YKP/III/21</t>
  </si>
  <si>
    <t>037/PP/YKP/III/21</t>
  </si>
  <si>
    <t>038/PP/YKP/III/21</t>
  </si>
  <si>
    <t>Pembelian Barang Baksos untuk PAUD/PKBM Pondok YEFTA Tahap 2</t>
  </si>
  <si>
    <t>043/PP/YKP/III/21</t>
  </si>
  <si>
    <t>040/PP/YKP/III/21</t>
  </si>
  <si>
    <t>041/PP/YKP/III/21</t>
  </si>
  <si>
    <t>042/PP/YKP/III/21</t>
  </si>
  <si>
    <t>Pembelian Barang Baksos untuk Panti Lansia Atmabrata Tahap 2</t>
  </si>
  <si>
    <t>Pembelian Barang Baksos untuk Yayasan Gerasa Tahap 6</t>
  </si>
  <si>
    <t>Pembelian Barang Baksos untuk Panti Vita Dulcedo Tahap 2</t>
  </si>
  <si>
    <t>Pembelian Barang Baksos untuk Panti Asuhan Taman Fioreti Tahap 2</t>
  </si>
  <si>
    <t>Pembelian Barang Baksos untuk Panti Asuhan Pondok Taruna Tahap 2</t>
  </si>
  <si>
    <t>PA Pondok Taruna</t>
  </si>
  <si>
    <t>Pembelian Barang Baksos untuk Panti Asuhan Pondok Damai Tahap 2</t>
  </si>
  <si>
    <t>Pembelian Barang Baksos untuk Panti Asuhan Hati Bangsa Tahap 2</t>
  </si>
  <si>
    <t>Pembelian Barang Baksos Panti Asuhan Pelayanan Kasih Bhakti Mandiri Tahap 3</t>
  </si>
  <si>
    <t>045/PP/YKP/III/21</t>
  </si>
  <si>
    <t>044/PP/YKP/III/21</t>
  </si>
  <si>
    <t>Pembelian Barang Baksos untuk Wisma Tuna Ganda Palsigunung Tahap 2</t>
  </si>
  <si>
    <t>Jumlah (org)</t>
  </si>
  <si>
    <t>Total penerima bantuan</t>
  </si>
  <si>
    <t>Tahap 4</t>
  </si>
  <si>
    <t xml:space="preserve">Rentang Usia </t>
  </si>
  <si>
    <t>Pendidikan</t>
  </si>
  <si>
    <t>Alamat</t>
  </si>
  <si>
    <t>Yayasan Pelayanan Anak Calvary</t>
  </si>
  <si>
    <t>Pembelian Barang Baksos untuk Yayasan Pelayanan Anak calvary Tahap 1</t>
  </si>
  <si>
    <t>?</t>
  </si>
  <si>
    <t>048/PP/YKP/III/21</t>
  </si>
  <si>
    <t>046/PP/YKP/III/21</t>
  </si>
  <si>
    <t>047/PP/YKP/III/21</t>
  </si>
  <si>
    <t>008/PP/YKP/I/22</t>
  </si>
  <si>
    <t>Pembelian Barang Baksos untuk Yayasan Abhimata Mitrasamaya Tahap 1</t>
  </si>
  <si>
    <t>As of 1st Semester 2021</t>
  </si>
  <si>
    <t>Panti yang dibantu Rutin sejak Jan 2021</t>
  </si>
  <si>
    <t>Note:</t>
  </si>
  <si>
    <t>1. Panti Pintu Elok (bantuan ke 4)</t>
  </si>
  <si>
    <t xml:space="preserve">No PP </t>
  </si>
  <si>
    <t>Panti Jompo Kidung Salomo Agape</t>
  </si>
  <si>
    <t>049/PP/YKP/III/22</t>
  </si>
  <si>
    <t>Pembelian Barang Baksos untuk Panti Asuhan Fajar Baru Tahap 2</t>
  </si>
  <si>
    <t>Pembelian Barang Baksos untuk PSAA Pondok Kasih Agape Tahap 3</t>
  </si>
  <si>
    <t>PT. Lion Super Indo</t>
  </si>
  <si>
    <t>UM Pembelian Barang Baksos untuk 16 Panti (@5.500.000)</t>
  </si>
  <si>
    <t>052/PP/YKP/IV/21</t>
  </si>
  <si>
    <t>LEMBAGA DAYA DHARMA KAJ</t>
  </si>
  <si>
    <t>Lembaga Daya Dharma Keuskupan Agung Jakarta</t>
  </si>
  <si>
    <t>053/PP/YKP/IV/21</t>
  </si>
  <si>
    <t>PGI (Persatuan Gereja Gereja di Indonesia)</t>
  </si>
  <si>
    <t>Donasi untuk Terdampak Bencana Peduli Korban La Nina NTT</t>
  </si>
  <si>
    <t>PGI (Persatuan Gereja Gereja di Indonesia) Peduli Korban La Nina NTT</t>
  </si>
  <si>
    <t>054/PP/YKP/IV/21</t>
  </si>
  <si>
    <t xml:space="preserve"> ABKL- Tahap 5</t>
  </si>
  <si>
    <t>ABKL - Tahap 4</t>
  </si>
  <si>
    <t>055/PP/YKP/IV/21</t>
  </si>
  <si>
    <t>Bantuan Korban Bencana NTT saudara dari Martinus (OB Pama)</t>
  </si>
  <si>
    <t>DESRI RAHMAD KORNELIS</t>
  </si>
  <si>
    <t>UM Pembelian Barang Baksos untuk Panti Jompo Kongregasi Fransiskanes Sambas Tahap 2
Tahap ke 2</t>
  </si>
  <si>
    <t>Bencana Alam NTT 2021</t>
  </si>
  <si>
    <t>Realisasi di masing" 16 Panti</t>
  </si>
  <si>
    <t>tambahan donasi ke paroki di ntt</t>
  </si>
  <si>
    <t>060/PP/YKP/V/21</t>
  </si>
  <si>
    <t>Pembelian Barang Baksos untuk Anak-anak Jalanan DKI Jakarta via
Lembaga Daya Dharma Keuskupan Agung Jakarta</t>
  </si>
  <si>
    <t>061/PP/YKP/V/21</t>
  </si>
  <si>
    <t>Bunga Papan Dukacita atas berpulangnya Ayah dari Pak Paulus Heru</t>
  </si>
  <si>
    <t>062/PP/YKP/V/21</t>
  </si>
  <si>
    <t>UM Pembelian Barang Baksos YKP untuk 23 Panti (budget sekitar Rp. 5.500.000,- /Panti)</t>
  </si>
  <si>
    <t>066/PP/YKP/VI/21</t>
  </si>
  <si>
    <t>Bunga Papan Dukacita atas berpulangnya Ibu Zynn istri dari Pak Zynn Bachmid</t>
  </si>
  <si>
    <t>065/PP/YKP/V/21</t>
  </si>
  <si>
    <t>Reimbursement Uang Pengkhotbah PD Periode Maret 2021</t>
  </si>
  <si>
    <t>LDD (Anak Jalanan)</t>
  </si>
  <si>
    <t>Yayasan Sosial Lumba Lumba</t>
  </si>
  <si>
    <t>Outstanding</t>
  </si>
  <si>
    <t>sudah beli sendiri</t>
  </si>
  <si>
    <t>068/PP/YKP/VI/21</t>
  </si>
  <si>
    <t>067/PP/YKP/VI/21</t>
  </si>
  <si>
    <t xml:space="preserve"> ABKL- Tahap 6</t>
  </si>
  <si>
    <t>069/PP/YKP/VI/21</t>
  </si>
  <si>
    <t>Kurnia Dwijayanti dan Ratnawati Takasenserang</t>
  </si>
  <si>
    <t>Donasi Pembanungan Tempat Tinggal Untuk Dewasa Berkebutuhan Khusus di
Yayasan HOPE Special Needs Center</t>
  </si>
  <si>
    <t>HOPE</t>
  </si>
  <si>
    <t>.</t>
  </si>
  <si>
    <t>UM Pembelian Barang Baksos YKP untuk 24 Panti. Rp. 5.500.000,- /Panti, Yayasan Sosial Lumba Lumba Rp. 7.500.000,- u/ 194 orang</t>
  </si>
  <si>
    <t>(120 anak sekolah, 66 lansia, 3 guru, 5 kader)</t>
  </si>
  <si>
    <t>074/PP/YKP/VII/21</t>
  </si>
  <si>
    <t>070/PP/YKP/VI/21</t>
  </si>
  <si>
    <t>071/PP/YKP/VII/21</t>
  </si>
  <si>
    <t>072/PP/YKP/VII/21</t>
  </si>
  <si>
    <t>073/PP/YKP/VII/21</t>
  </si>
  <si>
    <t>Donasi untuk Panti Asuhan Bhakti Luhur Susteran Alma</t>
  </si>
  <si>
    <t>Sr. Lenna</t>
  </si>
  <si>
    <t>Bhakti Luhur Susteran Alma</t>
  </si>
  <si>
    <t>PANTI ASUHAN BHAKTI LUHUR</t>
  </si>
  <si>
    <t>KOMUNITAS ALMA Siantar, Jl. Suka Mulia Pematang Siantar, Kota Pematang Siantar</t>
  </si>
  <si>
    <t>075/PP/YKP/VII/21</t>
  </si>
  <si>
    <t>Pusat Pastoral Samadi</t>
  </si>
  <si>
    <t>Donasi Terdampak Covid-19 Wisma Samadi Pastor dan Keluarganya</t>
  </si>
  <si>
    <t>077/PP/YKP/VII/21</t>
  </si>
  <si>
    <t>076/PP/YKP/VII/21</t>
  </si>
  <si>
    <t xml:space="preserve"> ABKL- Tahap 7</t>
  </si>
  <si>
    <t>Yayasan Magdalena</t>
  </si>
  <si>
    <t>KONGREGASI SANG PENEBUS MAHAKUDUS</t>
  </si>
  <si>
    <t>084/PP/YKP/VIII/21</t>
  </si>
  <si>
    <t>080/PP/YKP/VIII/18</t>
  </si>
  <si>
    <t>081/PP/YKP/VIII/19</t>
  </si>
  <si>
    <t>082/PP/YKP/VIII/20</t>
  </si>
  <si>
    <t>083/PP/YKP/VIII/20</t>
  </si>
  <si>
    <t>079/PP/YKP/VII/21</t>
  </si>
  <si>
    <t>078/PP/YKP/VII/21</t>
  </si>
  <si>
    <t>085/PP/YKP/VIII/21</t>
  </si>
  <si>
    <t>086/PP/YKP/VIII/21</t>
  </si>
  <si>
    <t>087/PP/YKP/VIII/21</t>
  </si>
  <si>
    <t>088/PP/YKP/VIII/21</t>
  </si>
  <si>
    <t>089/PP/YKP/VIII/21</t>
  </si>
  <si>
    <t>Donasi untuk Seminari Menengah St Yohanes Maria Vianney Keuskupan Sintang
Seminaris 64 orang, Pembina 2 orang Imam, 1 Diakon, 3 awam, 3 orang Guru luar
pelatih bakat dan minat, 2 orang bagian dapur</t>
  </si>
  <si>
    <t>Seminari St. Yohanes Maria Vianney Keuskupan Sintang</t>
  </si>
  <si>
    <t>Seminari St. Yohanes Maria Vianney Sintang</t>
  </si>
  <si>
    <t>Keuskupan Agung Pontianak</t>
  </si>
  <si>
    <t>Donasi untuk Seminari Menengah St Paulus, Nyarumkop Keuskupan Agung Pontianak Seminaris 78 siswa, Staf tetap 
Seminari 13 orang</t>
  </si>
  <si>
    <t>Seminari Menengah St Paulus, Nyarumkop Pontianak</t>
  </si>
  <si>
    <t>RD Simon Edy Kabul Teguh Santoso, Rektor Seminari Menengah Santo Petrus; PGPM Keuskupan Banjarmasin</t>
  </si>
  <si>
    <t>Donasi untuk Seminari Menengah Santo Petrus Keuskupan Banjarmasin
Seminaris 16 siswa, pembina terdiri dari 3 orang Imam dan 1 orang Frater (2 Imamdan 1 Frater) dibantu pengajar luar seminari (3 imam, 1 bruder, 1 suster, 4 awam)</t>
  </si>
  <si>
    <t>Seminari Menengah Santo Petrus Keuskupan Banjarmasin</t>
  </si>
  <si>
    <t>Bunga Papan Dukacita Petrus Sucipto</t>
  </si>
  <si>
    <t>090/PP/YKP/VIII/21</t>
  </si>
  <si>
    <t>091/PP/YKP/VIII/21</t>
  </si>
  <si>
    <t>Donasi Sekolah Pondok Domba Kolong Rawa Indah Kapuk Muara Tahap 1, Jakarta</t>
  </si>
  <si>
    <t>Donasi untuk sekolah Pondok Domba Kolong, Kalijodoh-Jakarta</t>
  </si>
  <si>
    <t>Donasi Sekolah Pondok Domba Kolong Kampung Bayam Tahap 1, Jakarta</t>
  </si>
  <si>
    <t>Seminari Menengah Pasionis St. Gabriel Sekadau</t>
  </si>
  <si>
    <t>Seminaris 14 orang jenjang SMA, 9 orang jenjang TOPANG, tenaga Pembina 6 orang (Keuskupan Sanggau)</t>
  </si>
  <si>
    <t>Seminari Menegah Pasionis St. Gabriel</t>
  </si>
  <si>
    <t>Seminari Menengah Santo Yosef Tarakan</t>
  </si>
  <si>
    <t>Keuskupan Tanjung Selor</t>
  </si>
  <si>
    <t>Donasi Studi Seminari Menengah Santo Yosef Tarakan Keuskupan Tanjung Selor (seminaris 35 (tiga puluh lima) Siswa, tenaga Pembina 2 (dua) orang (Rektor &amp; Frater); 6 (enam) guru awam, 2 (dua) karyawan dapur</t>
  </si>
  <si>
    <t>Seminari Menengah St Laurentius</t>
  </si>
  <si>
    <t>Keuskupan Ketapang</t>
  </si>
  <si>
    <t>Donasi Seminari Menengah St Laurentius, Keuskupan Ketapang, Periode Juli 2021 (Seminaris 31 siswa, 3 orang staff pengajar (2 Imam dan 1 Frater);pengajar dari luar seminari (3 imam, 1 bruder, 1 suster, 4 awam)</t>
  </si>
  <si>
    <t>Seminari Menengah Raja Damai Keuskupan Palangkaraya</t>
  </si>
  <si>
    <t>Seminari Raja Damai PLK</t>
  </si>
  <si>
    <t>Donasi untuk Seminari Menengah Raja Damai Keuskupan Palangkaraya.
3 staf Romo dan 1 frater sebagai pengajar ditambah Guru awam dan Karyawan</t>
  </si>
  <si>
    <t>Donasi Rumah Studi Calon Imam Kongregasi Sang Penebus Mahakudus C.Ss.R CSSR</t>
  </si>
  <si>
    <t>092/PP/YKP/VIII/21</t>
  </si>
  <si>
    <t>093/PP/YKP/VIII/21</t>
  </si>
  <si>
    <t>Revise PP (31/8/21)</t>
  </si>
  <si>
    <t>096/PP/YKP/VIII/21</t>
  </si>
  <si>
    <t>097/PP/YKP/VIII/21</t>
  </si>
  <si>
    <t>098/PP/YKP/VIII/21</t>
  </si>
  <si>
    <t>099/PP/YKP/VIII/21</t>
  </si>
  <si>
    <t>Antonius Rato Zada</t>
  </si>
  <si>
    <t>UM Pembelian Barang Baksos YKP untuk 31 Panti</t>
  </si>
  <si>
    <t>perlu excel breakdown per panti</t>
  </si>
  <si>
    <t>PT INDOMARCO PRISMATAMA-FLCD</t>
  </si>
  <si>
    <t>100/PP/YKP/IX/21</t>
  </si>
  <si>
    <t>JOHN FREDDY HUTASOIT</t>
  </si>
  <si>
    <t>Bantuan Dana Anak Asuh Site INDO Tahun Ajaran 2021/2022</t>
  </si>
  <si>
    <t>104/PP/YKP/IX/21</t>
  </si>
  <si>
    <t>Anggiat Simanullang</t>
  </si>
  <si>
    <t>Donasi Bulanan Bapak Anggiat Manullang Kepala Sekolah Pondok Domba</t>
  </si>
  <si>
    <t>105/PP/YKP/IX/21</t>
  </si>
  <si>
    <t>Desyen</t>
  </si>
  <si>
    <t>Donasi Bulanan Ibu Desyen Guru Sekolah Pondok Domba</t>
  </si>
  <si>
    <t>Odaligo Zai</t>
  </si>
  <si>
    <t>106/PP/YKP/IX/21</t>
  </si>
  <si>
    <t>Donasi Bulanan untuk Odaligo Zai Guru Sekolah Pondok Domba</t>
  </si>
  <si>
    <t>107/PP/YKP/IX/21</t>
  </si>
  <si>
    <t>Donasi Bulanan untuk Ferdinand Tanga Guru Sekolah Pondok Domba</t>
  </si>
  <si>
    <t>Ferdinand Tanga</t>
  </si>
  <si>
    <t>108/PP/YKP/IX/21</t>
  </si>
  <si>
    <t>Riski Adi Putra</t>
  </si>
  <si>
    <t>Donasi Bulanan untuk Riski Adi Putra Guru Sekolah Pondok Domba</t>
  </si>
  <si>
    <t>Kasieli Harefa</t>
  </si>
  <si>
    <t>109/PP/YKP/IX/21</t>
  </si>
  <si>
    <t>Donasi Bulanan untuk Kasieli Harefa Guru Sekolah Pondok Domba</t>
  </si>
  <si>
    <t>110/PP/YKP/IX/21</t>
  </si>
  <si>
    <t>Agusmawati Harefa</t>
  </si>
  <si>
    <t>Donasi Bulanan untuk Agusmawati Harefa Guru Sekolah Pondok Domba</t>
  </si>
  <si>
    <t>111/PP/YKP/IX/21</t>
  </si>
  <si>
    <t>Donasi Bulanan untuk Testarian Hia Guru Sekolah Pondok Domba</t>
  </si>
  <si>
    <t>Testarian Hia</t>
  </si>
  <si>
    <t>Donasi Bulanan untuk Mei Daman Syukur Lombu Guru Sekolah Pondok Domba</t>
  </si>
  <si>
    <t xml:space="preserve">Mei Daman Syukur Lombu </t>
  </si>
  <si>
    <t>112/PP/YKP/IX/21</t>
  </si>
  <si>
    <t>113/PP/YKP/IX/21</t>
  </si>
  <si>
    <t>Donasi Bulanan untuk Mariani Halawa Guru Sekolah Pondok Domba</t>
  </si>
  <si>
    <t>Mariani Halawa</t>
  </si>
  <si>
    <t>114/PP/YKP/IX/21</t>
  </si>
  <si>
    <t>Donasi Bulanan untuk Martini Waruwu Guru Magang Sekolah Pondok Domba</t>
  </si>
  <si>
    <t>Martini Waruwu</t>
  </si>
  <si>
    <t>Donasi Bulanan untuk Yurnita Lombu Guru Magang Sekolah Pondok Domba</t>
  </si>
  <si>
    <t>Yurnita Lombu</t>
  </si>
  <si>
    <t>115/PP/YKP/IX/21</t>
  </si>
  <si>
    <t>116/PP/YKP/IX/21</t>
  </si>
  <si>
    <t>Agnes Rini Widiyatmi</t>
  </si>
  <si>
    <t>Donasi SPP Anak Asuh SD Kanisius Watuagung Tahun ajaharn 2021/2022; Donasi Perlengkapan perlengkapan sekolah (Seragam, sepatu, alat tulis)</t>
  </si>
  <si>
    <t>SD Kanisius Watuagung</t>
  </si>
  <si>
    <t>118/PP/YKP/IX/21</t>
  </si>
  <si>
    <t>ASTOL WESLEY KADOENA</t>
  </si>
  <si>
    <t>Bantuan Dana Anak Asuh Site MTBU Tahun Ajaran 2021/2022</t>
  </si>
  <si>
    <t>117/PP/YKP/IX/21</t>
  </si>
  <si>
    <t>no PP kembar</t>
  </si>
  <si>
    <t>Bantuan Dana Anak Asuh Site BAYA Tahun Ajaran 2021/2022</t>
  </si>
  <si>
    <t>Matius Fajar Sulistiyo</t>
  </si>
  <si>
    <t>UM Kebutuhan Yayasan Kharisma Pertiwi (T8): 86 anak-anak,
Joint Adulam Ministry (T8): 134 orang dewasa,
Rumah Lansia dan Yatim Piatu FJPK (T7): 38 orang dewasa</t>
  </si>
  <si>
    <t>121/PP/YKP/IX/21</t>
  </si>
  <si>
    <t>PUKAT KAJ</t>
  </si>
  <si>
    <t>Sponsorship Paket Ruby Virtual Run4U tahun 2021
Transfer ke Bank BCA, KCP Pasar Baru, No. Rek.: 002 319 9979, A/N: PUKAT KAJ</t>
  </si>
  <si>
    <t>123/PP/YKP/X/21</t>
  </si>
  <si>
    <t>Donasi Studi Seminari Menengah Santo Yosef Tarakan Keuskupan Tanjung Selor seminaris 35 (tiga puluh lima) Siswa, tenaga Pembina 2 (dua) orang (Rektor &amp; Frater) 6 (enam) guru awam, 2 (dua) karyawan dapur. Periode September 2021</t>
  </si>
  <si>
    <t>122/PP/YKP/IX/21</t>
  </si>
  <si>
    <t>Panti Asuhan Bhakti Luhur</t>
  </si>
  <si>
    <t>101/PP/YKP/IX/21</t>
  </si>
  <si>
    <t>Ignasius Cristianus</t>
  </si>
  <si>
    <t>Donasi Anak Asuh Site TCMM tahun ajaran 2021/2022</t>
  </si>
  <si>
    <t>124/PP/YKP/X/21</t>
  </si>
  <si>
    <t>125/PP/YKP/X/21</t>
  </si>
  <si>
    <t>Donasi Bulanan Ibu Desyen Guru Sekolah Pondok Domba Periode Okt'21</t>
  </si>
  <si>
    <t>126/PP/YKP/X/21</t>
  </si>
  <si>
    <t>Donasi Bulanan untuk Odaligo Zai Guru Sekolah Pondok Domba Periode Okt'21</t>
  </si>
  <si>
    <t>127/PP/YKP/X/21</t>
  </si>
  <si>
    <t>Donasi Bulanan untuk Ferdinand Tanga Guru Sekolah Pondok Domba Periode Okt'21</t>
  </si>
  <si>
    <t>128/PP/YKP/X/21</t>
  </si>
  <si>
    <t>Donasi Bulanan untuk Riski Adi Putra Guru Sekolah Pondok Domba Periode Okt'21</t>
  </si>
  <si>
    <t>129/PP/YKP/X/21</t>
  </si>
  <si>
    <t>Donasi Bulanan untuk Kasieli Harefa Guru Sekolah Pondok Domba Periode Okt'21</t>
  </si>
  <si>
    <t>130/PP/YKP/X/21</t>
  </si>
  <si>
    <t>Donasi Bulanan untuk Testarian Hia Guru Sekolah Pondok Domba Periode Okt'21</t>
  </si>
  <si>
    <t>131/PP/YKP/X/21</t>
  </si>
  <si>
    <t>Mei Daman Syukur Lombu</t>
  </si>
  <si>
    <t>132/PP/YKP/X/21</t>
  </si>
  <si>
    <t>133/PP/YKP/X/21</t>
  </si>
  <si>
    <t>Donasi Bulanan untuk Mariani Halawa Guru Sekolah Pondok Domba Periode Okt'21</t>
  </si>
  <si>
    <t>134/PP/YKP/X/21</t>
  </si>
  <si>
    <t>135/PP/YKP/X/21</t>
  </si>
  <si>
    <t>142/PP/YKP/X/21</t>
  </si>
  <si>
    <t>Romo RD. Imanuel Yosep Faot</t>
  </si>
  <si>
    <t>Donasi untuk Seminari Menengah St Yohanes Maria Vianney Keuskupan Sintang
Seminaris 64 orang, Pembina 2 orang Imam, 1 Diakon, 3 awam, 3 orang Guru luar
pelatih bakat dan minat, 2 orang bagian dapur
Periode September-Oktober 2021</t>
  </si>
  <si>
    <t>140/PP/YKP/X/21</t>
  </si>
  <si>
    <t>John Freddy</t>
  </si>
  <si>
    <t>Bantuan Dana SPP Bulan Oktober Anak Asuh Site INDO Tahun Ajaran 2021/2022 SD 36 orang, SLTP 1 orang, SLTA 2 orang</t>
  </si>
  <si>
    <t>141/PP/YKP/X/21</t>
  </si>
  <si>
    <t>Bantuan Kuota Internet Bulan oktober Anak Asuh Site BAYA thn Ajaran 2021-2022</t>
  </si>
  <si>
    <t>137/PP/YKP/X/21</t>
  </si>
  <si>
    <t>Rektor RP Antonius Bulau, CP. Seminari Menengah Pasionis St. Gabriel Sekadau</t>
  </si>
  <si>
    <t>Donasi Seminari Menengah Pasionis St. Gabriel Sekadau Keuskupan Sanggau Periode September - Oktober 2021</t>
  </si>
  <si>
    <t>138/PP/YKP/X/21</t>
  </si>
  <si>
    <t>Rektor RD Romanus Romas, Seminari Menengah Raja Damai Keuskupan Palangkaraya</t>
  </si>
  <si>
    <t>Donasi untuk Seminari Menengah Raja Damai Keuskupan Palangkaraya. Periode September - Oktober 2021
Seminaris 17 siswa, 21 siswa Sekolah Menengah Umum tinggal di asrama Seminari,
3 staf Romo dan 1 frater sebagai pengajar ditambah Guru awam dan Karyawan</t>
  </si>
  <si>
    <t>139/PP/YKP/X/21</t>
  </si>
  <si>
    <t>Antonius Rato Zada, Romo Ekonom Wisma Sang Penebus C.Ss.R</t>
  </si>
  <si>
    <t>Donasi Rumah Studi Calon Imam Kongregasi Sang Penebus Mahakudus C.Ss.R Periode September - Oktober 2021</t>
  </si>
  <si>
    <t>143/PP/YKP/X/21</t>
  </si>
  <si>
    <t>Donasi untuk Seminari Menengah Santo Petrus Keuskupan Banjarmasin
Seminaris 16 siswa, pembina terdiri dari 3 orang Imam dan 1 orang Frater (2 Imam
dan 1 Frater) dibantu pengajar luar seminari (3 imam, 1 bruder, 1 suster, 4 awam) Periode Sept-Okt 2021</t>
  </si>
  <si>
    <t>RD Simon Edy Kabul Teguh Santoso, Rektor Seminari Menengah Santo Petrus</t>
  </si>
  <si>
    <t>144/PP/YKP/X/21</t>
  </si>
  <si>
    <t>Bantuan SPP Oktober 2021 Anak Asuh Site MTBU Tahun Ajaran 2021/2022</t>
  </si>
  <si>
    <t>145/PP/YKP/X/21</t>
  </si>
  <si>
    <t>146/PP/YKP/X/21</t>
  </si>
  <si>
    <t>147/PP/YKP/X/21</t>
  </si>
  <si>
    <t>UM Kebutuhan Yayasan Kharisma Pertiwi (T9): 86 anak-anak,
Joint Adulam Ministry (T9): 134 orang dewasa,
Rumah Lansia dan Yatim Piatu FJPK (T8): 38 orang dewasa (Periode Okt'21)</t>
  </si>
  <si>
    <t>Donasi SPP 44 Anak Bulan Oktober Anak Asuh SD Kanisius Watuagung</t>
  </si>
  <si>
    <t>148/PP/YKP/X/21</t>
  </si>
  <si>
    <t>Sr. Hilaria, MASF / Jeffry</t>
  </si>
  <si>
    <t>Donasi Rumah Retret dan Gua Maria Bukit Rahmat Dusun Putak</t>
  </si>
  <si>
    <t>150/PP/YKP/X/21</t>
  </si>
  <si>
    <t>Pdt. Enta Malasinta Lantigimo, D.Th</t>
  </si>
  <si>
    <t>Bantuan Donasi Sekolah Tinggi Teologi Gereja Kalimantan Evangelis Periode Okt'21
Untuk 40 anak</t>
  </si>
  <si>
    <t>Sekolah Tinggi Teologi GKE</t>
  </si>
  <si>
    <t>136/PP/YKP/X/21</t>
  </si>
  <si>
    <t>Rumah Retret/Goa Maria Bukit Rahmat Loa Janan</t>
  </si>
  <si>
    <t>149/PP/YKP/X/21</t>
  </si>
  <si>
    <t>151/PP/YKP/X/21</t>
  </si>
  <si>
    <t>152/PP/YKP/X/21</t>
  </si>
  <si>
    <t>153/PP/YKP/X/21</t>
  </si>
  <si>
    <t>154/PP/YKP/XI/21</t>
  </si>
  <si>
    <t>155/PP/YKP/XI/21</t>
  </si>
  <si>
    <t>156/PP/YKP/XI/21</t>
  </si>
  <si>
    <t>Pembelian Lemari Es (Atmabrata)</t>
  </si>
  <si>
    <t>157/PP/YKP/XI/21</t>
  </si>
  <si>
    <t>158/PP/YKP/XI/21</t>
  </si>
  <si>
    <t>159/PP/YKP/XI/21</t>
  </si>
  <si>
    <t>160/PP/YKP/XI/21</t>
  </si>
  <si>
    <t>GPID Donggala (Pdt Alfred)</t>
  </si>
  <si>
    <t>161/PP/YKP/XI/21</t>
  </si>
  <si>
    <t>171/PP/YKP/XI/21</t>
  </si>
  <si>
    <t>172/PP/YKP/XI/21</t>
  </si>
  <si>
    <t>173/PP/YKP/XI/21</t>
  </si>
  <si>
    <t>174/PP/YKP/XI/21</t>
  </si>
  <si>
    <t>175/PP/YKP/XI/21</t>
  </si>
  <si>
    <t>176/PP/YKP/XI/21</t>
  </si>
  <si>
    <t>177/PP/YKP/XI/21</t>
  </si>
  <si>
    <t>178/PP/YKP/XI/21</t>
  </si>
  <si>
    <t>179/PP/YKP/XI/21</t>
  </si>
  <si>
    <t>180/PP/YKP/XI/21</t>
  </si>
  <si>
    <t>181/PP/YKP/XI/21</t>
  </si>
  <si>
    <t>164/PP/YKP/XI/21</t>
  </si>
  <si>
    <t>163/PP/YKP/XI/21</t>
  </si>
  <si>
    <t>SD/SMP/SMA GKE Banjarmasin</t>
  </si>
  <si>
    <t>165/PP/YKP/XI/21</t>
  </si>
  <si>
    <t>166/PP/YKP/XI/21</t>
  </si>
  <si>
    <t>Gereja St Andreas Ngallu</t>
  </si>
  <si>
    <t>Gereja St Rafael Praibakal</t>
  </si>
  <si>
    <t>194/PP/YKP/XII/21</t>
  </si>
  <si>
    <t>196/PP/YKP/XII/21</t>
  </si>
  <si>
    <t>204/PP/YKP/XII/21</t>
  </si>
  <si>
    <t>198/PP/YKP/XII/21</t>
  </si>
  <si>
    <t>205/PP/YKP/XII/21</t>
  </si>
  <si>
    <t>199/PP/YKP/XII/21</t>
  </si>
  <si>
    <t>212/PP/YKP/XII/21</t>
  </si>
  <si>
    <t>211/PP/YKP/XII/21</t>
  </si>
  <si>
    <t>208/PP/YKP/XII/21</t>
  </si>
  <si>
    <t>Belarasa Bencana Semeru</t>
  </si>
  <si>
    <t>185/PP/YKP/XII/21</t>
  </si>
  <si>
    <t>220/PP/YKP/XII/21</t>
  </si>
  <si>
    <t>GPiD Ora Et Labora Kutai Timur</t>
  </si>
  <si>
    <t>200/PP/YKP/XII/21</t>
  </si>
  <si>
    <t>Gedung Panti Asuhan Yayasan Soegijapranata Semarang</t>
  </si>
  <si>
    <t>186/PP/YKP/XII/21</t>
  </si>
  <si>
    <t>187/PP/YKP/XII/21</t>
  </si>
  <si>
    <t>188/PP/YKP/XII/21</t>
  </si>
  <si>
    <t>189/PP/YKP/XII/21</t>
  </si>
  <si>
    <t>191/PP/YKP/XII/21</t>
  </si>
  <si>
    <t>184/PP/YKP/XII/21</t>
  </si>
  <si>
    <t>192/PP/YKP/XII/21</t>
  </si>
  <si>
    <t>190/PP/YKP/XII/21</t>
  </si>
  <si>
    <t>214/PP/YKP/XII/21</t>
  </si>
  <si>
    <t>215/PP/YKP/XII/21</t>
  </si>
  <si>
    <t>SD GKE Banjarmasin</t>
  </si>
  <si>
    <t>SMP GKE Banjarmasin</t>
  </si>
  <si>
    <t>SMA GKE Banjarmasin</t>
  </si>
  <si>
    <t>213/PP/YKP/XII/21</t>
  </si>
  <si>
    <t>203/PP/YKP/XII/21</t>
  </si>
  <si>
    <t>201/PP/YKP/XII/21</t>
  </si>
  <si>
    <t>202/PP/YKP/XII/21</t>
  </si>
  <si>
    <t>Pembelian Pohon Natal GPID Donggala</t>
  </si>
  <si>
    <t>209/PP/YKP/XII/21</t>
  </si>
  <si>
    <t>Baksos Natal 2021</t>
  </si>
  <si>
    <t>170/PP/YKP/XI/21</t>
  </si>
  <si>
    <t>182/PP/YKP/XI/21</t>
  </si>
  <si>
    <t>217/PP/YKP/XII/21</t>
  </si>
  <si>
    <t>218/PP/YKP/XII/21</t>
  </si>
  <si>
    <t>219/PP/YKP/XII/21</t>
  </si>
  <si>
    <t>GPiD Eklesia Sekurau Atas KPCB</t>
  </si>
  <si>
    <t>Gereja St Yosef Patas Kalimantan</t>
  </si>
  <si>
    <t>195/PP/YKP/XII/21</t>
  </si>
  <si>
    <t>206/PP/YKP/XII/21</t>
  </si>
  <si>
    <t>183/PP/YKP/XII/21</t>
  </si>
  <si>
    <t>31 panti</t>
  </si>
  <si>
    <t>18 site</t>
  </si>
  <si>
    <t>9 seminari/GKE</t>
  </si>
  <si>
    <t>60jt/S1/Seminari</t>
  </si>
  <si>
    <t>35jt/Gereja</t>
  </si>
  <si>
    <t>6jt/panti/bulan</t>
  </si>
  <si>
    <t>2022 S1</t>
  </si>
  <si>
    <t>001/PP/YKP/I/22</t>
  </si>
  <si>
    <t>002/PP/YKP/I/22</t>
  </si>
  <si>
    <t>Yayasan Prima Unggul</t>
  </si>
  <si>
    <t>Sponsorship 'Silver' drama musikal Anantara, Yayasan Prima Unggul</t>
  </si>
  <si>
    <t>003/PP/YKP/I/22</t>
  </si>
  <si>
    <t>Suster Lenna, Panti Asuhan Bhakti Luhur Susteran Alma</t>
  </si>
  <si>
    <t>Periode Januari 2022</t>
  </si>
  <si>
    <t>004/PP/YKP/I/22</t>
  </si>
  <si>
    <t>005/PP/YKP/I/22</t>
  </si>
  <si>
    <t>006/PP/YKP/I/22</t>
  </si>
  <si>
    <t>Andreas Setyo Budi Sambodo Rektor RD Seminari Menengah St Laurentius</t>
  </si>
  <si>
    <t>009/PP/YKP/I/22</t>
  </si>
  <si>
    <t>Romo Silvester Susianto Budi, MSF Rektor Seminari Menengah Santo Yosef Tarakan</t>
  </si>
  <si>
    <t>010/PP/YKP/I/22</t>
  </si>
  <si>
    <t>P. Lorenzo Helli, OFMCap, Rektor Seminari Menengah St Paulus, Nyarumkop</t>
  </si>
  <si>
    <t>011/PP/YKP/I/22</t>
  </si>
  <si>
    <t>Romo RD. Imanuel Yosep Faot, Rektor Seminari Menengah St Yohanes Maria Vianney</t>
  </si>
  <si>
    <t>012/PP/YKP/I/22</t>
  </si>
  <si>
    <t>013/PP/YKP/I/22</t>
  </si>
  <si>
    <t>014/PP/YKP/I/22</t>
  </si>
  <si>
    <t>T 10</t>
  </si>
  <si>
    <t>015/PP/YKP/I/22</t>
  </si>
  <si>
    <t>Zynn Bachmid</t>
  </si>
  <si>
    <t>017/PP/YKP/I/22</t>
  </si>
  <si>
    <t>016/PP/YKP/I/22</t>
  </si>
  <si>
    <t>UM Natal Pama 2021</t>
  </si>
  <si>
    <t>Wahyu Winardi</t>
  </si>
  <si>
    <t>Hold, Ganti Rektor</t>
  </si>
  <si>
    <t>Hold, Belum kirim Prop Baru</t>
  </si>
  <si>
    <t>Deny Sugianto</t>
  </si>
  <si>
    <t>IGNASIUS CRISTIANUS</t>
  </si>
  <si>
    <t>018/PP/YKP/I/22</t>
  </si>
  <si>
    <t>Batal</t>
  </si>
  <si>
    <t>019/PP/YKP/I/22</t>
  </si>
  <si>
    <t>020/PP/YKP/I/22</t>
  </si>
  <si>
    <t>021/PP/YKP/I/22</t>
  </si>
  <si>
    <t>Pdt Heru Susanto</t>
  </si>
  <si>
    <t>022/PP/YKP/I/22</t>
  </si>
  <si>
    <t>Bobby</t>
  </si>
  <si>
    <t>023/PP/YKP/I/22</t>
  </si>
  <si>
    <t>Pembelian Alkitab Kidung Jemaat + Ongkos Kirim untuk Gereja Kristen Sumba</t>
  </si>
  <si>
    <t>Bantuan Anak Asuh Pak Zynn Bachmid</t>
  </si>
  <si>
    <t xml:space="preserve"> Periode Januari 2022</t>
  </si>
  <si>
    <t>Bantuan Anak Asuh Site SMMS</t>
  </si>
  <si>
    <t xml:space="preserve">Bantuan Anak Asuh Site TCMM </t>
  </si>
  <si>
    <t>Bantuan Anak Asuh Site INDO</t>
  </si>
  <si>
    <t>Bantuan Anak Asuh Site BAYA</t>
  </si>
  <si>
    <t>Donasi untuk 15 guru Yayasan Rumah Damai Indonesia (YARDIN) Kal-Bar</t>
  </si>
  <si>
    <t>Pdt. Yohana Larujawa</t>
  </si>
  <si>
    <t>024/PP/YKP/I/22</t>
  </si>
  <si>
    <t>Abdi Baja</t>
  </si>
  <si>
    <t>025/PP/YKP/I/22</t>
  </si>
  <si>
    <t>Gj Admin YKP</t>
  </si>
  <si>
    <t>026/PP/YKP/I/22</t>
  </si>
  <si>
    <t>Donasi Dana Pembelian Alat musik</t>
  </si>
  <si>
    <t>027/PP/YKP/I/22</t>
  </si>
  <si>
    <t>Donasi Untuk 12 Guru dan 1 Kepala Sekolah Pondok Domba</t>
  </si>
  <si>
    <t>UM Natal PAMA 2021</t>
  </si>
  <si>
    <t>Pembelian 300 Alkitab Untuk Gereja Kristen Sumba</t>
  </si>
  <si>
    <t>Sponsorship Silver Konser Virtual Yayasan Prima Unggul</t>
  </si>
  <si>
    <t>028/PP/YKP/II/22</t>
  </si>
  <si>
    <t xml:space="preserve">Donasi SPP Anak Asuh SD Kanisius Watuagung </t>
  </si>
  <si>
    <t>Periode Februari 2022</t>
  </si>
  <si>
    <t>Periode Januari &amp; Februari 2022</t>
  </si>
  <si>
    <t>R. Supriyono, S.Pd</t>
  </si>
  <si>
    <t>029/PP/YKP/II/22</t>
  </si>
  <si>
    <t>030/PP/YKP/II/22</t>
  </si>
  <si>
    <t>031/PP/YKP/II/22</t>
  </si>
  <si>
    <t>032/PP/YKP/II/22</t>
  </si>
  <si>
    <t>Donasi Rumah Studi Calon Imam Kongregasi Sang Penebus Mahakudus C.Ss.R Periode Februari 2022</t>
  </si>
  <si>
    <t>033/PP/YKP/II/22</t>
  </si>
  <si>
    <t>034/PP/YKP/II/22</t>
  </si>
  <si>
    <t>035/PP/YKP/II/22</t>
  </si>
  <si>
    <t>036/PP/YKP/II/22</t>
  </si>
  <si>
    <t>037/PP/YKP/II/22</t>
  </si>
  <si>
    <t>038/PP/YKP/II/22</t>
  </si>
  <si>
    <t>039/PP/YKP/II/22</t>
  </si>
  <si>
    <t>040/PP/YKP/II/22</t>
  </si>
  <si>
    <t>041/PP/YKP/II/22</t>
  </si>
  <si>
    <t>042/PP/YKP/II/22</t>
  </si>
  <si>
    <t>043/PP/YKP/II/22</t>
  </si>
  <si>
    <t>044/PP/YKP/II/22</t>
  </si>
  <si>
    <t>045/PP/YKP/II/22</t>
  </si>
  <si>
    <t>046/PP/YKP/II/22</t>
  </si>
  <si>
    <t>047/PP/YKP/II/22</t>
  </si>
  <si>
    <t>048/PP/YKP/II/22</t>
  </si>
  <si>
    <t>Proses Transfer</t>
  </si>
  <si>
    <t>Rara</t>
  </si>
  <si>
    <t>FANNY CHARAWAHENY</t>
  </si>
  <si>
    <t>Joni</t>
  </si>
  <si>
    <t>Bunga Papan Dukacita Benyamin Jemali</t>
  </si>
  <si>
    <t>Proses TTD</t>
  </si>
  <si>
    <t>Program Sosial 2022</t>
  </si>
  <si>
    <t>Program Anak Asuh</t>
  </si>
  <si>
    <t>Pembangunan/Fasilitas Pendukung Gereja/Panti</t>
  </si>
  <si>
    <t>Donasi Kedukaan/Sakit Kel Karyawan</t>
  </si>
  <si>
    <t>Budget/Bulan</t>
  </si>
  <si>
    <t>Budget/Semester</t>
  </si>
  <si>
    <t>Donasi Panti Asuhan/Jompo</t>
  </si>
  <si>
    <t>Donasi Non Rutin/Bencana</t>
  </si>
  <si>
    <t>Donasi Pendidikan Seminari/Pendeta</t>
  </si>
  <si>
    <t>Periode Maret 2022</t>
  </si>
  <si>
    <t>050/PP/YKP/III/22</t>
  </si>
  <si>
    <t>051/PP/YKP/III/22</t>
  </si>
  <si>
    <t>052/PP/YKP/III/22</t>
  </si>
  <si>
    <t>053/PP/YKP/III/22</t>
  </si>
  <si>
    <t>054/PP/YKP/III/22</t>
  </si>
  <si>
    <t>055/PP/YKP/III/22</t>
  </si>
  <si>
    <t>056/PP/YKP/III/22</t>
  </si>
  <si>
    <t>057/PP/YKP/III/22</t>
  </si>
  <si>
    <t>058/PP/YKP/III/22</t>
  </si>
  <si>
    <t>059/PP/YKP/III/22</t>
  </si>
  <si>
    <t>Periode Januari - Februari 2022</t>
  </si>
  <si>
    <t>060/PP/YKP/III/22</t>
  </si>
  <si>
    <t>061/PP/YKP/III/22</t>
  </si>
  <si>
    <t>JOSUA DEWA GEDE C H</t>
  </si>
  <si>
    <t>062/PP/YKP/III/22</t>
  </si>
  <si>
    <t>MURNIWATI GULO</t>
  </si>
  <si>
    <t>063/PP/YKP/III/22</t>
  </si>
  <si>
    <t>064/PP/YKP/III/22</t>
  </si>
  <si>
    <t>065/PP/YKP/III/22</t>
  </si>
  <si>
    <t>066/PP/YKP/III/22</t>
  </si>
  <si>
    <t xml:space="preserve"> FEBRIAN WAHYU PRATAMA</t>
  </si>
  <si>
    <t>067/PP/YKP/III/22</t>
  </si>
  <si>
    <t>MITRA EDUKASI NUSANT</t>
  </si>
  <si>
    <t>068/PP/YKP/III/22</t>
  </si>
  <si>
    <t>Bobby FK</t>
  </si>
  <si>
    <t>069/PP/YKP/III/22</t>
  </si>
  <si>
    <t>070/PP/YKP/III/22</t>
  </si>
  <si>
    <t>071/PP/YKP/III/22</t>
  </si>
  <si>
    <t>072/PP/YKP/III/22</t>
  </si>
  <si>
    <t>073/PP/YKP/III/22</t>
  </si>
  <si>
    <t>Gj Admin 2 YKP</t>
  </si>
  <si>
    <t>Meliana</t>
  </si>
  <si>
    <t>074/PP/YKP/III/22</t>
  </si>
  <si>
    <t>Printer YKP</t>
  </si>
  <si>
    <t>075/PP/YKP/III/22</t>
  </si>
  <si>
    <t>Gj Admin 1 YKP</t>
  </si>
  <si>
    <t>076/PP/YKP/III/22</t>
  </si>
  <si>
    <t>Kuota Internet Pngkhotbah PD Pama</t>
  </si>
  <si>
    <t>Periode Des'21</t>
  </si>
  <si>
    <t>Christopher FA</t>
  </si>
  <si>
    <t>077/PP/YKP/III/22</t>
  </si>
  <si>
    <t>Periode Jan'22</t>
  </si>
  <si>
    <t>078/PP/YKP/III/22</t>
  </si>
  <si>
    <t>Deklarasi Natal PAMA 2021</t>
  </si>
  <si>
    <t>079/PP/YKP/III/22</t>
  </si>
  <si>
    <t>Periode Feb'22</t>
  </si>
  <si>
    <t>080/PP/YKP/III/22</t>
  </si>
  <si>
    <t>101/PP/YKP/IV/22</t>
  </si>
  <si>
    <t>Periode April 2022</t>
  </si>
  <si>
    <t>100/PP/YKP/IV/22</t>
  </si>
  <si>
    <t>099/PP/YKP/IV/22</t>
  </si>
  <si>
    <t>098/PP/YKP/IV/22</t>
  </si>
  <si>
    <t>096/PP/YKP/IV/22</t>
  </si>
  <si>
    <t>095/PP/YKP/IV/22</t>
  </si>
  <si>
    <t>094/PP/YKP/IV/22</t>
  </si>
  <si>
    <t>097/PP/YKP/IV/22</t>
  </si>
  <si>
    <t>081/PP/YKP/IV/22</t>
  </si>
  <si>
    <t>082/PP/YKP/IV/22</t>
  </si>
  <si>
    <t>083/PP/YKP/IV/22</t>
  </si>
  <si>
    <t>084/PP/YKP/IV/22</t>
  </si>
  <si>
    <t>085/PP/YKP/IV/23</t>
  </si>
  <si>
    <t>086/PP/YKP/IV/23</t>
  </si>
  <si>
    <t>087/PP/YKP/IV/24</t>
  </si>
  <si>
    <t>088/PP/YKP/IV/24</t>
  </si>
  <si>
    <t>089/PP/YKP/IV/24</t>
  </si>
  <si>
    <t>090/PP/YKP/IV/24</t>
  </si>
  <si>
    <t>091/PP/YKP/IV/24</t>
  </si>
  <si>
    <t>092/PP/YKP/IV/24</t>
  </si>
  <si>
    <t>093/PP/YKP/IV/24</t>
  </si>
  <si>
    <t>Yayasan Mama Sayang 2022</t>
  </si>
  <si>
    <t>YAYASAN PINTU ELOK</t>
  </si>
  <si>
    <t>PANTI JOMPO PNIEL</t>
  </si>
  <si>
    <t>PANTI ASUHAN PONDOK DAMAI</t>
  </si>
  <si>
    <t>PANTI ASUHAN TAMAN FIORETI</t>
  </si>
  <si>
    <t>PANTI JOMPO ATMABRATA</t>
  </si>
  <si>
    <t>PAUD YEFTA</t>
  </si>
  <si>
    <t>PANTI ASUHAN FAJAR BARU</t>
  </si>
  <si>
    <t>WISMA TUNA GANDA PALSIGUNUNG</t>
  </si>
  <si>
    <t>PANTI ASUHAN PELAYANAN KASIH BHAKTI MANDIRI</t>
  </si>
  <si>
    <t>PANTI ASUHAN PONDOK TARUNA</t>
  </si>
  <si>
    <t>YAYASAN GERASA</t>
  </si>
  <si>
    <t>PANTI ASUHAN VITA DULCEDO</t>
  </si>
  <si>
    <t>PANTI ASUHAN PONDOK KASIH AGAPE</t>
  </si>
  <si>
    <t>PANTI ASUHAN HATI BANGSA</t>
  </si>
  <si>
    <t>YAYASAN SINAR PELANGI</t>
  </si>
  <si>
    <t>PANTI JOMPO BIARA FRANSISKANES SAMBAS</t>
  </si>
  <si>
    <t>RUMAH KERANG PUTRI KASIH</t>
  </si>
  <si>
    <t>YAYASAN PELAYANAN ANAK CALVARY</t>
  </si>
  <si>
    <t>PANTI ASUHAN RUMAH SHALOM</t>
  </si>
  <si>
    <t>PANTI JOMPO KIDUNG SALOMO AGAPE</t>
  </si>
  <si>
    <t>YAYASAN ABHIMATA MITRASAMAYA</t>
  </si>
  <si>
    <t>PANTI ASUHAN PERMATA HATI</t>
  </si>
  <si>
    <t>YAYASAN LUMBA LUMBA</t>
  </si>
  <si>
    <t>YAYASAN MAGDALENA</t>
  </si>
  <si>
    <t>PANTI ASUHAN PONDOK SI BONCEL</t>
  </si>
  <si>
    <t>YAYASAN FELICIA ANGEL KIDS</t>
  </si>
  <si>
    <t>PANTI ASUHAN GUARDIAN HOLY ANGEL</t>
  </si>
  <si>
    <t>PANTI ASUHAN VINCENTIUS PUTRI</t>
  </si>
  <si>
    <t>PANTI ASUHAN VINCENTIUS PUTRA</t>
  </si>
  <si>
    <t>YAYASAN KASIH MANDIRI BERSINAR</t>
  </si>
  <si>
    <t>PANTI ASUHAN BHAKTI KASIH ABBA</t>
  </si>
  <si>
    <t>Panti Asuhan Hati Bangsa</t>
  </si>
  <si>
    <t>Panti Asuhan Pondok Damai</t>
  </si>
  <si>
    <t>Panti Asuhan Taman Fioreti</t>
  </si>
  <si>
    <t>Panti Asuhan Vita Dulcedo</t>
  </si>
  <si>
    <t>Panti Jompo Atmabrata</t>
  </si>
  <si>
    <t>Panti Asuhan Permata Hati</t>
  </si>
  <si>
    <t>Panti Asuhan Rumah Shalom</t>
  </si>
  <si>
    <t>Panti Asuhan Pondok Taruna</t>
  </si>
  <si>
    <t>Panti Asuhan Pelayanan Kasih Anak Calvary</t>
  </si>
  <si>
    <t>Panti Asuhan Abhimata Mitrasamaya</t>
  </si>
  <si>
    <t>Rumah Kerang Putri Kasih</t>
  </si>
  <si>
    <t>Panti Asuhan Bhakti Luhur Susteran Alma</t>
  </si>
  <si>
    <t>Panti Asuhan Pondok Si Boncel</t>
  </si>
  <si>
    <t>Panti Asuhan Felicia Angel Kids</t>
  </si>
  <si>
    <t>Panti Asuhan Guardian Holly Angel</t>
  </si>
  <si>
    <t>Panti Asuhan Vincentius Putri</t>
  </si>
  <si>
    <t>Panti Asuhan Vincentius Putra</t>
  </si>
  <si>
    <t>Panti Asuhan Kasih Mandiri Bersinar</t>
  </si>
  <si>
    <t>Panti Asuhan Bhakti Kasih ABBA</t>
  </si>
  <si>
    <t>Panti Asuhan Fajar Baru</t>
  </si>
  <si>
    <t>Wisma Tuna Ganda Palsigunung</t>
  </si>
  <si>
    <t>Panti Asuhan Pondok Kasih Agape</t>
  </si>
  <si>
    <t>Panti Jompo Kasih Orang Tua PNIEL</t>
  </si>
  <si>
    <t>Yayasan Gerasa</t>
  </si>
  <si>
    <t>Panti Asuhan Pintu Elok</t>
  </si>
  <si>
    <t>YENIARI RESTIA WARUWU</t>
  </si>
  <si>
    <t>OILAZATO NAZARA</t>
  </si>
  <si>
    <t>Sekolah Pondok Domba Kolong - Odaligo Zai</t>
  </si>
  <si>
    <t>Sekolah Pondok Domba Kolong - Anggiat Manullang</t>
  </si>
  <si>
    <t>Sekolah Pondok Domba Kolong - Ferdinand Tanga</t>
  </si>
  <si>
    <t>Sekolah Pondok Domba Kolong - Riski Adi Putra</t>
  </si>
  <si>
    <t>Sekolah Pondok Domba Kolong - Kasieli Harefa</t>
  </si>
  <si>
    <t>Sekolah Pondok Domba Kolong - Testarian Hia</t>
  </si>
  <si>
    <t>Sekolah Pondok Domba Kolong - Mariani Halawa</t>
  </si>
  <si>
    <t>Sekolah Pondok Domba Kolong - Martini Waruwu</t>
  </si>
  <si>
    <t>Sekolah Pondok Domba Kolong - Yurnita Lombu</t>
  </si>
  <si>
    <t>Sekolah Pondok Domba Kolong - Oilazato Nazara</t>
  </si>
  <si>
    <t>102/PP/YKP/IV/22</t>
  </si>
  <si>
    <t>103/PP/YKP/IV/22</t>
  </si>
  <si>
    <t>Suster Lenna</t>
  </si>
  <si>
    <t>Periode Agustus 2022</t>
  </si>
  <si>
    <t>Periode September 2021</t>
  </si>
  <si>
    <t>Periode Oktober 2021</t>
  </si>
  <si>
    <t>Periode November 2021</t>
  </si>
  <si>
    <t>Priode Desember 2021</t>
  </si>
  <si>
    <t>FEBRIAN WAHYU PRATAMA</t>
  </si>
  <si>
    <t>Heronimus Mando</t>
  </si>
  <si>
    <t>Yuliana Kanawadu</t>
  </si>
  <si>
    <t>Dumit</t>
  </si>
  <si>
    <t>Mia Maria</t>
  </si>
  <si>
    <t>Anita Trisusilawati</t>
  </si>
  <si>
    <t>Mitodius</t>
  </si>
  <si>
    <t>Sura</t>
  </si>
  <si>
    <t>Mariana</t>
  </si>
  <si>
    <t>Supadmi</t>
  </si>
  <si>
    <t>Renti Marpaung</t>
  </si>
  <si>
    <t>104/PP/YKP/IV/22</t>
  </si>
  <si>
    <t>105/PP/YKP/IV/22</t>
  </si>
  <si>
    <t>Sarana Kapel (Alkitab, Kain &amp; Lilin Altar)</t>
  </si>
  <si>
    <t>Jam Dinding Kapel</t>
  </si>
  <si>
    <t>Sekolah Pondok Domba Kolong - Murniwati Gulo</t>
  </si>
  <si>
    <t>Sekolah Pondok Domba Kolong - Desyen</t>
  </si>
  <si>
    <t>Sekolah Pondok Domba - Kalijodoh</t>
  </si>
  <si>
    <t>Sekolah Pondok Domba - Rawa Indah</t>
  </si>
  <si>
    <t>Sekolah Pondok Domba - Kampung Bayam</t>
  </si>
  <si>
    <t>106/PP/YKP/IV/22</t>
  </si>
  <si>
    <t>107/PP/YKP/IV/22</t>
  </si>
  <si>
    <t xml:space="preserve">Darwin </t>
  </si>
  <si>
    <t>YARDIN - Yuliana Kanawadu</t>
  </si>
  <si>
    <t>YARDIN - Heronimus Mando</t>
  </si>
  <si>
    <t>YARDIN - Dumit</t>
  </si>
  <si>
    <t>YARDIN - Mia Maria</t>
  </si>
  <si>
    <t>YARDIN - Darwin</t>
  </si>
  <si>
    <t>YARDIN - Anita Trisusilawati</t>
  </si>
  <si>
    <t>YARDIN - Mitodius</t>
  </si>
  <si>
    <t>YARDIN - Sura</t>
  </si>
  <si>
    <t>YARDIN - Mariana</t>
  </si>
  <si>
    <t>YARDIN - Ningsih</t>
  </si>
  <si>
    <t>YARDIN - Krismiluk</t>
  </si>
  <si>
    <t>YARDIN - Gueni Irawati</t>
  </si>
  <si>
    <t>YARDIN - Resta Simanjuntak</t>
  </si>
  <si>
    <t>YARDIN - Supadmi</t>
  </si>
  <si>
    <t>YARDIN - Renti Marpaung</t>
  </si>
  <si>
    <t>108/PP/YKP/V/22</t>
  </si>
  <si>
    <t>Periode Mei 2022</t>
  </si>
  <si>
    <t>109/PP/YKP/V/22</t>
  </si>
  <si>
    <t>110/PP/YKP/V/22</t>
  </si>
  <si>
    <t>111/PP/YKP/V/22</t>
  </si>
  <si>
    <t>112/PP/YKP/V/22</t>
  </si>
  <si>
    <t>113/PP/YKP/V/22</t>
  </si>
  <si>
    <t>114/PP/YKP/V/22</t>
  </si>
  <si>
    <t>115/PP/YKP/V/22</t>
  </si>
  <si>
    <t>116/PP/YKP/V/22</t>
  </si>
  <si>
    <t>117/PP/YKP/V/22</t>
  </si>
  <si>
    <t>118/PP/YKP/V/22</t>
  </si>
  <si>
    <t>119/PP/YKP/V/22</t>
  </si>
  <si>
    <t>120/PP/YKP/V/22</t>
  </si>
  <si>
    <t>121/PP/YKP/V/22</t>
  </si>
  <si>
    <t>122/PP/YKP/V/22</t>
  </si>
  <si>
    <t>123/PP/YKP/V/22</t>
  </si>
  <si>
    <t>124/PP/YKP/V/22</t>
  </si>
  <si>
    <t>125/PP/YKP/V/22</t>
  </si>
  <si>
    <t>Sekolah Pondok Domba Kolong - Anggiat manullang</t>
  </si>
  <si>
    <t>Sekolah Pondok Domba Kolong - Agusmawati Harefa</t>
  </si>
  <si>
    <t>Sekolah Pondok Domba Kolong - Mei Daman Syukur Lombu</t>
  </si>
  <si>
    <t>Sekolah Pondok Domba Kolong - YENIARI RESTIA WARUWU</t>
  </si>
  <si>
    <t>Sekolah Pondok Domba Kolong - OILAZATO NAZARA</t>
  </si>
  <si>
    <t>Sekolah Pondok Domba Kolong - MURNIWATI GULO</t>
  </si>
  <si>
    <t>Sekolah Pondok Domba Kolong - Yeniari Restia WARUWU</t>
  </si>
  <si>
    <t>Crosscek</t>
  </si>
  <si>
    <t>√</t>
  </si>
  <si>
    <t>Donasi Laptop ACER 5 untuk Gereja Kristen Sumba</t>
  </si>
  <si>
    <t>-</t>
  </si>
  <si>
    <t>JIEP - Jam Diding</t>
  </si>
  <si>
    <t>JIEP - Alkitab, kain, Lilin</t>
  </si>
  <si>
    <t>Donasi pembelian beli alat musik untuk Gereja Kristen Sumba</t>
  </si>
  <si>
    <t>Donasi Untuk Pembuatan Teras Pastori Jemaat GKE Maranatha Bintang Ninggi</t>
  </si>
  <si>
    <t>SMMS-Donasi GKE Maranatha</t>
  </si>
  <si>
    <t>Xxx</t>
  </si>
  <si>
    <t>CrossChek</t>
  </si>
  <si>
    <t>Reimbursement Uang Pengkhotbah PD Periode 1 April - 30 April 2021</t>
  </si>
  <si>
    <t>Reimbursement Uang Pengkhotbah PD Periode 1 Mei - 31 Mei 2021</t>
  </si>
  <si>
    <t>Gaji Admin YKP Juni 2021</t>
  </si>
  <si>
    <t>056/PP/YKP/IV/21</t>
  </si>
  <si>
    <t>057/PP/YKP/IV/21</t>
  </si>
  <si>
    <t>058/PP/YKP/IV/21</t>
  </si>
  <si>
    <t>059/PP/YKP/IV/21</t>
  </si>
  <si>
    <t>Rm.Antonius Kia Uba,pr</t>
  </si>
  <si>
    <t>Bantuan Korban Bencana NTT Gereja Santo Yakobus Leuburi-Paroki MPA Aliuroba dekenat lembata Keuskupan Larantuka</t>
  </si>
  <si>
    <t>Panitia Pembanguan Stasi St. Paulus</t>
  </si>
  <si>
    <t>Paroki St. Andreas Mgaliu</t>
  </si>
  <si>
    <t>Bantuan Korban Bencana NTT Untuk Paroki St, Andreas Ngallu</t>
  </si>
  <si>
    <t>Bantuan Korban Bencana NTT untuk Stasi St. Paulus</t>
  </si>
  <si>
    <t>Reimbursement Uang Pengkhotbah PD Periode Januari 2021</t>
  </si>
  <si>
    <t>Pembelian Barang Baksos untuk Panti Jompo Kidung Salomo Agape Tahap 1</t>
  </si>
  <si>
    <t>Gaji Admin YKP</t>
  </si>
  <si>
    <t>Reimbursement Uang Pengkhotbah PD bulan Maret sampai November 2020</t>
  </si>
  <si>
    <t>Reimbursement Uang Pengkhotbah PD Desember 2020 &amp; Admin Bank Nov-Dec 2020</t>
  </si>
  <si>
    <t>Gaji Admin YKP Feb 2021</t>
  </si>
  <si>
    <t>051/PP/YKP/III/21</t>
  </si>
  <si>
    <t>050/PP/YKP/III/21</t>
  </si>
  <si>
    <t>Gaji Admin YKP Aprl'21</t>
  </si>
  <si>
    <t>Panti Asuhan ADDA</t>
  </si>
  <si>
    <t>Dana Natal PAMA 10 Januari 2021</t>
  </si>
  <si>
    <t>Reimbursement Uang Pengkhotbah PD Periode Maret 2022</t>
  </si>
  <si>
    <t>Reimbursement Uang Pengkhotbah PD Periode April 2022</t>
  </si>
  <si>
    <t>Uang  Muka Titipan Dana Paskah April 2022</t>
  </si>
  <si>
    <t>Donasi Untuk SMA Van Lith Muntilan</t>
  </si>
  <si>
    <t>126/PP/YKP/V/22</t>
  </si>
  <si>
    <t>127/PP/YKP/V/22</t>
  </si>
  <si>
    <t>128/PP/YKP/V/22</t>
  </si>
  <si>
    <t>129/PP/YKP/V/22</t>
  </si>
  <si>
    <t>Wahyu Winardi/Antonius Christop</t>
  </si>
  <si>
    <t>Paguyuban Alumni Van Lith</t>
  </si>
  <si>
    <t>130/PP/YKP/V/22</t>
  </si>
  <si>
    <t>Bunga Papan Dukacita Bpk. Yoseph Markus Kawilarang Ayahanda dari Bapak Richard Kawilarang</t>
  </si>
  <si>
    <t>Donasi  Pembangunan Gereja Paroi Kristus Kebangkitan Kita – Timika, Papua</t>
  </si>
  <si>
    <t>131/PP/YKP/V/22</t>
  </si>
  <si>
    <t>TRF</t>
  </si>
  <si>
    <t>Tanggal Trf</t>
  </si>
  <si>
    <t>Cancel</t>
  </si>
  <si>
    <t>064/PP/YKP/V/21</t>
  </si>
  <si>
    <t>Reimbursement Uang Pengkhotbah PD Periode Februari 2021</t>
  </si>
  <si>
    <t>Gaji Admin YKP Juli 2021</t>
  </si>
  <si>
    <t>132/PP/YKP/V/22</t>
  </si>
  <si>
    <t>Doubledenga PP no. 132/PP/YKP/V/2022</t>
  </si>
  <si>
    <t>An. Yayasan Rumah Damai Indonesia</t>
  </si>
  <si>
    <t>PT. Indomarco Prismatama</t>
  </si>
  <si>
    <t>RD. Floribertus Yoseph S</t>
  </si>
  <si>
    <t>Kuota Internet Pngkhotbah PD Pama Periode Februari 2022</t>
  </si>
  <si>
    <t>PT. Tegar Solusi Indonesia</t>
  </si>
  <si>
    <t>DP 60 persen Web Development Implementation (Pembuatan Website Yayasan Kasih Pama)</t>
  </si>
  <si>
    <t>BATAL</t>
  </si>
  <si>
    <t>Hold</t>
  </si>
  <si>
    <t>Update per 31Mei 2022 (Jan sd May 2022)</t>
  </si>
  <si>
    <t>1. YAYASAN PINTU ELOK</t>
  </si>
  <si>
    <t>2 . PANTI JOMPO PNIEL</t>
  </si>
  <si>
    <t>3.  PANTI ASUHAN PONDOK DAMAI</t>
  </si>
  <si>
    <t>4.  PANTI ASUHAN TAMAN FIORETI</t>
  </si>
  <si>
    <t>5.  PANTI JOMPO ATMABRATA</t>
  </si>
  <si>
    <t>6.  PAUD YEFTA</t>
  </si>
  <si>
    <t>7.  PANTI ASUHAN FAJAR BARU</t>
  </si>
  <si>
    <t>8.  WISMA TUNA GANDA PALSIGUNUNG</t>
  </si>
  <si>
    <t>9.  PANTI ASUHAN PELAYANAN KASIH BHAKTI MANDIRI</t>
  </si>
  <si>
    <t>10.  PANTI ASUHAN PONDOK TARUNA</t>
  </si>
  <si>
    <t>11.  YAYASAN GERASA</t>
  </si>
  <si>
    <t>12.  PANTI ASUHAN VITA DULCEDO</t>
  </si>
  <si>
    <t>13.  PANTI ASUHAN PONDOK KASIH AGAPE</t>
  </si>
  <si>
    <t>14.  PANTI ASUHAN HATI BANGSA</t>
  </si>
  <si>
    <t>15.  YAYASAN SINAR PELANGI</t>
  </si>
  <si>
    <t>16.  PANTI JOMPO BIARA FRANSISKANES SAMBAS</t>
  </si>
  <si>
    <t>17.  RUMAH KERANG PUTRI KASIH</t>
  </si>
  <si>
    <t>18.  YAYASAN PELAYANAN ANAK CALVARY</t>
  </si>
  <si>
    <t xml:space="preserve">19.  PANTI ASUHAN RUMAH SHALOM </t>
  </si>
  <si>
    <t>20.  PANTI JOMPO KIDUNG SALOMO AGAPE</t>
  </si>
  <si>
    <t>21.  YAYASAN ABHIMATA MITRASAMAYA</t>
  </si>
  <si>
    <t>22.  PANTI ASUHAN PERMATA HATI</t>
  </si>
  <si>
    <t>23.  YAYASAN LUMBA LUMBA</t>
  </si>
  <si>
    <t>24.  YAYASAN MAGDALENA</t>
  </si>
  <si>
    <t xml:space="preserve">25.  PANTI ASUHAN PONDOK SI BONCEL </t>
  </si>
  <si>
    <t>26.  YAYASAN FELICIA ANGEL KIDS</t>
  </si>
  <si>
    <t>27.  PANTI ASUHAN GUARDIAN HOLY ANGEL</t>
  </si>
  <si>
    <t>28.  PANTI ASUHAN VINCENTIUS PUTRI</t>
  </si>
  <si>
    <t>29.  PANTI ASUHAN VINCENTIUS PUTRA</t>
  </si>
  <si>
    <t>30.  YAYASAN KASIH MANDIRI BERSINAR</t>
  </si>
  <si>
    <t>31.  PANTI ASUHAN BHAKTI KASIH ABBA</t>
  </si>
  <si>
    <t>Internal YKP</t>
  </si>
  <si>
    <t>PD PAMA</t>
  </si>
  <si>
    <t>Bunga Papan Dukacita atas berpulangnya Ayah dari Pak Paulus Heru (Kek. Pembayaran)</t>
  </si>
  <si>
    <t>Gaji Admin</t>
  </si>
  <si>
    <t>jIEP</t>
  </si>
  <si>
    <t>Reimbursement Uang Pengkhotbah PD</t>
  </si>
  <si>
    <t>137/PP/YKP/V/22</t>
  </si>
  <si>
    <t>135/PP/YKP/V/22</t>
  </si>
  <si>
    <t>136/PP/YKP/V/22</t>
  </si>
  <si>
    <t>134/PP/YKP/V/22</t>
  </si>
  <si>
    <t>133/PP/YKP/V/22</t>
  </si>
  <si>
    <t>Donasi Perbaikan Gedung Semi Permanen ke Permanen Pastori Gereja Kemah Injil Indonesia, Kecamatan Bengalon, Kutai Timur</t>
  </si>
  <si>
    <t>Periode Maret  2022</t>
  </si>
  <si>
    <t>JOSUA DEWA GEDE CHP</t>
  </si>
  <si>
    <t>Buku Literasi dan ATK dari Kompas Gramedia (Yardin)</t>
  </si>
  <si>
    <t>Buku Literasi dan ATK dari Kompas Gramedia (GKS Sumba)</t>
  </si>
  <si>
    <t>Pembelian Mainan Edukasi Untuk PAUD YARDIN</t>
  </si>
  <si>
    <t>Pembelian Mainan Edukasi Untuk Gereja Kristen Sumba</t>
  </si>
  <si>
    <t>TRF Rp. 15,500000 ( sisa Rp. 295,676)</t>
  </si>
  <si>
    <t>Ongkir Buku dan Mainan untuk YARDIN</t>
  </si>
  <si>
    <t>Ongkir Buku dan Mainan untuk GKS</t>
  </si>
  <si>
    <t>Pembelian Mainan Edukasi Untuk PAUD YARDIN dan Gereja Kristen Sumba ( Ongkir Tokopedia+Buble)</t>
  </si>
  <si>
    <t>Gereja di Bengalon, KPCB - Pembangunan Gereja Betesda Bengalon, Maret 2022</t>
  </si>
  <si>
    <t>138/PP/YKP/VI/22</t>
  </si>
  <si>
    <t>139/PP/YKP/VI/22</t>
  </si>
  <si>
    <t>140/PP/YKP/VI/22</t>
  </si>
  <si>
    <t>141/PP/YKP/VI/22</t>
  </si>
  <si>
    <t>142/PP/YKP/VI/22</t>
  </si>
  <si>
    <t>143/PP/YKP/VI/22</t>
  </si>
  <si>
    <t>144/PP/YKP/VI/22</t>
  </si>
  <si>
    <t>145/PP/YKP/VI/22</t>
  </si>
  <si>
    <t>146/PP/YKP/VI/22</t>
  </si>
  <si>
    <t>147/PP/YKP/VI/22</t>
  </si>
  <si>
    <t>148/PP/YKP/VI/22</t>
  </si>
  <si>
    <t>149/PP/YKP/VI/22</t>
  </si>
  <si>
    <t>150/PP/YKP/VI/22</t>
  </si>
  <si>
    <t>151/PP/YKP/VI/22</t>
  </si>
  <si>
    <t>152/PP/YKP/VI/22</t>
  </si>
  <si>
    <t>153/PP/YKP/VI/22</t>
  </si>
  <si>
    <t>154/PP/YKP/VI/22</t>
  </si>
  <si>
    <t>155/PP/YKP/VI/22</t>
  </si>
  <si>
    <t>156/PP/YKP/VI/22</t>
  </si>
  <si>
    <t>157/PP/YKP/VI/22</t>
  </si>
  <si>
    <t>Reimbursement Uang Pengkhotbah PD Periode Mei 2022</t>
  </si>
  <si>
    <t>BAYA (batal krn sdh offline/donasi dihentikan)</t>
  </si>
  <si>
    <t>Yayasan Mama Sayang</t>
  </si>
  <si>
    <t>mike &amp; Je Hilliard  0811 855 613 / 0812 8405 3255</t>
  </si>
  <si>
    <t>Perum. Citra Indah City Bukit Menteng A8/30Jl. Raya Jonggol-Cilengsi, Desa Sukamaju, Kec. Jonggol, Kab. Bogor, Jawa Barat 16830</t>
  </si>
  <si>
    <t>4 tahun s/d 22thn</t>
  </si>
  <si>
    <t>TK e/d Kuliah</t>
  </si>
  <si>
    <t>Pembelian Dispenser untuk P.A. Shalom</t>
  </si>
  <si>
    <t>158/PP/YKP/VI/22</t>
  </si>
  <si>
    <t>159/PP/YKP/VI/22</t>
  </si>
  <si>
    <t>160/PP/YKP/VI/22</t>
  </si>
  <si>
    <t>161/PP/YKP/VI/22</t>
  </si>
  <si>
    <t>Bunga papan wedding... - Jonathan &amp; Maria</t>
  </si>
  <si>
    <t>162/PP/YKP/VI/22</t>
  </si>
  <si>
    <t>163/PP/YKP/VI/22</t>
  </si>
  <si>
    <t>164/PP/YKP/VI/22</t>
  </si>
  <si>
    <t>165/PP/YKP/VI/22</t>
  </si>
  <si>
    <t>Bunga papan wedding</t>
  </si>
  <si>
    <t>Panti Asuhan Parapattan</t>
  </si>
  <si>
    <t>Periode Juni 2022</t>
  </si>
  <si>
    <t>BEKB (batal krn sdh offline/donasi dihentikan)</t>
  </si>
  <si>
    <t>Uraian</t>
  </si>
  <si>
    <t>Tanggal Berakhirnya Proposal</t>
  </si>
  <si>
    <t>Proposal yang Sudah Diperbaharui</t>
  </si>
  <si>
    <t>Proposal yang tidak diperpanjang</t>
  </si>
  <si>
    <t>JIEP (Zyn)</t>
  </si>
  <si>
    <t>Juli 2022 - Juni 2023</t>
  </si>
  <si>
    <t>belum ada Pengajuan Proposal Baru / dana tdk bisa diproses</t>
  </si>
  <si>
    <t>Sudah tatap muka / tidak daring lagi</t>
  </si>
  <si>
    <t>Donasi Lainnya / Guru</t>
  </si>
  <si>
    <t>No.</t>
  </si>
  <si>
    <t>Masa Berlaku Proposal yang harus di Perbaharui /  di Perpanjang</t>
  </si>
  <si>
    <t>belum ada Pengajuan Proposal Baru /  Semester 1 dibuatkan memo perpanjangan donasi</t>
  </si>
  <si>
    <t>belum ada Pengajuan Proposal Baru</t>
  </si>
  <si>
    <t xml:space="preserve">Juli - Des 2022 </t>
  </si>
  <si>
    <t>langsung di proses 6 bulan</t>
  </si>
  <si>
    <t>166/PP/YKP/VII/22</t>
  </si>
  <si>
    <t>167/PP/YKP/VII/22</t>
  </si>
  <si>
    <t>168/PP/YKP/VII/22</t>
  </si>
  <si>
    <t>169/PP/YKP/VII/22</t>
  </si>
  <si>
    <t>170/PP/YKP/VII/22</t>
  </si>
  <si>
    <t>171/PP/YKP/VII/22</t>
  </si>
  <si>
    <t>172/PP/YKP/VII/22</t>
  </si>
  <si>
    <t>173/PP/YKP/VII/22</t>
  </si>
  <si>
    <t>174/PP/YKP/VII/22</t>
  </si>
  <si>
    <t>175/PP/YKP/VII/22</t>
  </si>
  <si>
    <t>176/PP/YKP/VII/22</t>
  </si>
  <si>
    <t>177/PP/YKP/VII/22</t>
  </si>
  <si>
    <t>178/PP/YKP/VII/22</t>
  </si>
  <si>
    <t>179/PP/YKP/VII/22</t>
  </si>
  <si>
    <t>180/PP/YKP/VII/22</t>
  </si>
  <si>
    <t>181/PP/YKP/VII/22</t>
  </si>
  <si>
    <t>182/PP/YKP/VII/22</t>
  </si>
  <si>
    <t>183/PP/YKP/VII/22</t>
  </si>
  <si>
    <t>184/PP/YKP/VII/22</t>
  </si>
  <si>
    <t>185PP/YKP/VII/22</t>
  </si>
  <si>
    <t>186/PP/YKP/VII/22</t>
  </si>
  <si>
    <t>187/PP/YKP/VII/22</t>
  </si>
  <si>
    <t>188/PP/YKP/VII/22</t>
  </si>
  <si>
    <t>Belanja Rutin Panti Asuhan dan Jompo minggu ke 3 Periode Juli 2022</t>
  </si>
  <si>
    <t>Bantuan Anak Asuh Site BBSO Periode Juli -  Desember 2022</t>
  </si>
  <si>
    <t>Bantuan SPP Anak Asuh Site INDO Periode Juli 2022</t>
  </si>
  <si>
    <t>Donasi Panti Asuhan Bhakti Luhur Susteran Alma Periode Juli 2022</t>
  </si>
  <si>
    <t>Donasi Guru-Guru Sekolah Pondok Domba Periode Juli 2022</t>
  </si>
  <si>
    <t>Donasi SPP SD Kanisius Watuagung Periode Juli 2022</t>
  </si>
  <si>
    <t>Donasi Rumah Studi Calon Imam Kongregasi Sang Penebus Mahakudus C.Ss.R Periode Juli 2022</t>
  </si>
  <si>
    <t>Donasi untuk Seminari Menengah Raja Damai Keuskupan Palangkaraya. Periode Juli 2022</t>
  </si>
  <si>
    <t>Donasi Seminari Menengah Pasionis St. Gabriel Sekadau Keuskupan Sanggau Periode Juli 2022</t>
  </si>
  <si>
    <t>Donasi Seminari Menengah St Laurentius, Keuskupan Ketapang Periode Juli 2022</t>
  </si>
  <si>
    <t>Donasi untuk Seminari Menengah Santo Petrus Keuskupan Banjarmasin Periode Juli 2022</t>
  </si>
  <si>
    <t>Donasi untuk Seminari Menengah St Yohanes Maria Vianney Keuskupan Sintang Periode Juli 2022</t>
  </si>
  <si>
    <t>Donasi untuk 15 Guru Yayasan Rumah Damai Indonesia (YARDIN) Kal-Bar Periode Juli 2022</t>
  </si>
  <si>
    <t>Bantuan Anak Asuh Pak Zynn Bachmid Periode Juli 2022</t>
  </si>
  <si>
    <t>Bantuan Anak Asuh Site BAYA Periode Juli 2022 (Batal karena sdh offline jd donasi di hentikan)</t>
  </si>
  <si>
    <t>Bantuan Anak Asuh Site BEKB Periode Juli 2022</t>
  </si>
  <si>
    <t>Bantuan Anak Asuh Site KPCS Periode Juli 2022</t>
  </si>
  <si>
    <t>Bantuan Anak Asuh Site SMMS Periode Juli 2022</t>
  </si>
  <si>
    <t>Bantuan Anak Asuh Site TCMM Periode Juli 2022</t>
  </si>
  <si>
    <t>Pembelian buku Puji Syukur KAJ Uk. Kecil 40 Eks.</t>
  </si>
  <si>
    <t>Belanja Rutin 27 Panti Asuhan dan Jompo  Periode Juli 2022</t>
  </si>
  <si>
    <t>Belanja Rutin Panti Asuhan dan Jompo minggu ke 4 Periode Juli 2022</t>
  </si>
  <si>
    <t>SEFOURDINAN PANDIANGAN</t>
  </si>
  <si>
    <t>SDH TDK DARING ??</t>
  </si>
  <si>
    <t>Periode Juli 2022</t>
  </si>
  <si>
    <t>32.  YAYASAN MAMA SAYANG</t>
  </si>
  <si>
    <t>33.  PANTI PARAPATTAN</t>
  </si>
  <si>
    <t>189/PP/YKP/VII/22</t>
  </si>
  <si>
    <t>190/PP/YKP/VII/22</t>
  </si>
  <si>
    <t>Belanja Rutin Panti Asuhan dan Jompo minggu ke 1 Periode Juli 2022</t>
  </si>
  <si>
    <t>Memo Perpanjangan Donasi S2</t>
  </si>
  <si>
    <t>belum ada Pengajuan / Tunggu Proposal Baru</t>
  </si>
  <si>
    <t>Pending</t>
  </si>
  <si>
    <t xml:space="preserve">Pending menunggu proposal baru </t>
  </si>
  <si>
    <t>191/PP/YKP/VIII/22</t>
  </si>
  <si>
    <t>192/PP/YKP/VIII/22</t>
  </si>
  <si>
    <t>193/PP/YKP/VIII/22</t>
  </si>
  <si>
    <t>194/PP/YKP/VIII/22</t>
  </si>
  <si>
    <t>195/PP/YKP/VIII/22</t>
  </si>
  <si>
    <t>196/PP/YKP/VIII/22</t>
  </si>
  <si>
    <t>197/PP/YKP/VIII/22</t>
  </si>
  <si>
    <t>198/PP/YKP/VIII/22</t>
  </si>
  <si>
    <t>199/PP/YKP/VIII/22</t>
  </si>
  <si>
    <t>200/PP/YKP/VIII/22</t>
  </si>
  <si>
    <t>201/PP/YKP/VIII/22</t>
  </si>
  <si>
    <t>202/PP/YKP/VIII/22</t>
  </si>
  <si>
    <t>203/PP/YKP/VIII/22</t>
  </si>
  <si>
    <t>204/PP/YKP/VIII/22</t>
  </si>
  <si>
    <t>205/PP/YKP/VIII/22</t>
  </si>
  <si>
    <t>Belanja Rutin Panti Asuhan dan Jompo minggu ke 1 Periode Agustus 2022 (PA.Pondok Si Boncel &amp; Yayasan Bhakti Mandiri Bersinar)</t>
  </si>
  <si>
    <t>Belanja Rutin 27 Panti Asuhan dan Jompo  Periode Agustus 2022 (voucher Alfamart)</t>
  </si>
  <si>
    <t>Bantuan SPP Anak Asuh Site INDO Periode Agustus 2022</t>
  </si>
  <si>
    <t>Donasi Panti Asuhan Bhakti Luhur Susteran Alma Periode Agustus 2022</t>
  </si>
  <si>
    <t>Donasi Guru-Guru Sekolah Pondok Domba Periode Agustus 2022</t>
  </si>
  <si>
    <t>Donasi SPP SD Kanisius Watuagung Periode Agustus 2022</t>
  </si>
  <si>
    <t>Donasi untuk 15 Guru Yayasan Rumah Damai Indonesia (YARDIN) Kal-Bar Periode Agustus 2022</t>
  </si>
  <si>
    <t>Reimbursement Uang Pengkhotbah PD Periode Juni 2022</t>
  </si>
  <si>
    <t>PT Sumber Alfaria Trijaya Tbk</t>
  </si>
  <si>
    <t>Sekolah Pondok Domba Kolong - Hestina Sitompul</t>
  </si>
  <si>
    <t>Sekolah Pondok Domba Kolong - Niar Widia Astitin Dakhi</t>
  </si>
  <si>
    <t>Sekolah Pondok Domba Kolong - Delita Ernawati Panggabean</t>
  </si>
  <si>
    <t>Hestina Sitompul</t>
  </si>
  <si>
    <t>Niar Widia Astitin Dakhi</t>
  </si>
  <si>
    <t>Delita Ernawati Panggabean</t>
  </si>
  <si>
    <t>YARDIN - Antonius</t>
  </si>
  <si>
    <t>batal krn dibuat 2x (double)</t>
  </si>
  <si>
    <t>batal krn sdh tdk daring</t>
  </si>
  <si>
    <t>Pending menunggu srt balasan penambahan guru baru</t>
  </si>
  <si>
    <t>dalam Proses</t>
  </si>
  <si>
    <t>Jefri SM</t>
  </si>
  <si>
    <t>0813 2839 3561</t>
  </si>
  <si>
    <t>Andreas Boni</t>
  </si>
  <si>
    <t>0813 8261 4929</t>
  </si>
  <si>
    <t>Jeffri</t>
  </si>
  <si>
    <t>0822 5024 2522</t>
  </si>
  <si>
    <t>ASMI</t>
  </si>
  <si>
    <t>Jetro</t>
  </si>
  <si>
    <t>0852 8002 7967</t>
  </si>
  <si>
    <t>Matius Fajar</t>
  </si>
  <si>
    <t>0813 4754 8809</t>
  </si>
  <si>
    <t>Sefurdinan</t>
  </si>
  <si>
    <t>0812 9367 0541</t>
  </si>
  <si>
    <t>Demma</t>
  </si>
  <si>
    <t>0852 5217 2634</t>
  </si>
  <si>
    <t>Diego</t>
  </si>
  <si>
    <t>0853 3258 7358</t>
  </si>
  <si>
    <t>Erimson</t>
  </si>
  <si>
    <t>0812 5445 3301</t>
  </si>
  <si>
    <t>BRCG</t>
  </si>
  <si>
    <t>Jhon Fredy</t>
  </si>
  <si>
    <t>0852 1847 3332</t>
  </si>
  <si>
    <t>Eddy Partoguan</t>
  </si>
  <si>
    <t>0811 1880 466</t>
  </si>
  <si>
    <t>Robinson</t>
  </si>
  <si>
    <t>0812 5572 7304</t>
  </si>
  <si>
    <t>KPCB</t>
  </si>
  <si>
    <t>Joshua</t>
  </si>
  <si>
    <t>0812 2661 1166</t>
  </si>
  <si>
    <t>0821 8662 4149</t>
  </si>
  <si>
    <t>Astol</t>
  </si>
  <si>
    <t>0852 2802 3690</t>
  </si>
  <si>
    <t>0812 5371 5905</t>
  </si>
  <si>
    <t>Leo</t>
  </si>
  <si>
    <t>0813 9433 9525</t>
  </si>
  <si>
    <t>206/PP/YKP/VIII/22</t>
  </si>
  <si>
    <t>Belanja Rutin Panti Asuhan dan Jompo minggu ke 2 Periode Agustus 2022 (Yayasan Abhimata Mitrasamaya &amp; Yayasan Pintu Elok)</t>
  </si>
  <si>
    <t>Agst'22 - Des'22</t>
  </si>
  <si>
    <t>207/PP/YKP/VIII/22</t>
  </si>
  <si>
    <t>208/PP/YKP/VIII/22</t>
  </si>
  <si>
    <t>Belanja Rutin Panti Asuhan dan Jompo minggu ke 3 Periode Agustus 2022  (Panti Asuhan Fajar Baru &amp; Wisma Tuna Ganda Palsigunung)</t>
  </si>
  <si>
    <t xml:space="preserve">Batal krn Double </t>
  </si>
  <si>
    <t>bobby</t>
  </si>
  <si>
    <t>Perode Agustus 2022</t>
  </si>
  <si>
    <t>Yang Di Transfer</t>
  </si>
  <si>
    <t>Yang Di Ajukan</t>
  </si>
  <si>
    <t>209/PP/YKP/VIII/22</t>
  </si>
  <si>
    <t>210/PP/YKP/VIII/22</t>
  </si>
  <si>
    <t>211/PP/YKP/VIII/22</t>
  </si>
  <si>
    <t>212/PP/YKP/VIII/22</t>
  </si>
  <si>
    <t>213/PP/YKP/VIII/22</t>
  </si>
  <si>
    <t>Donasi Perbaikan Gedung  Gereja Pantekosta Serikat Di Indonesia -  Jemaat Gerbang Indah II Bengalon Site KPCB</t>
  </si>
  <si>
    <t>Donasi Renovasi Gereja - Gereja Revormasi Tanarara, Kec.Matawai La Pawu-Sumba Timur</t>
  </si>
  <si>
    <t>Donasi Pembanguan Gereja Kristen Sumba Kananggar, cabang Laitaku, Kec.Paberiwai-Sumba Timur</t>
  </si>
  <si>
    <t>Donasi Program Pembaca Baru Alkitab di Sumba Timur, Alkitab &amp; Bibit untuk souvenir Evaluasi 2</t>
  </si>
  <si>
    <t>Donasi Pembangunan Gereja GKS Jemaat Gaura, Kec. Laboyat Barat - Sumba Barat</t>
  </si>
  <si>
    <t>Pdt.Jera Anambunga</t>
  </si>
  <si>
    <t>Vik.Siman Marselinus Domu Wulang.S.Th</t>
  </si>
  <si>
    <t>Neila G.M. Mamahit.M.Th.</t>
  </si>
  <si>
    <t xml:space="preserve">Herman Horonyanyi </t>
  </si>
  <si>
    <t>34.  Panti Asuhan Bhakti Luhur Susteran Alma</t>
  </si>
  <si>
    <t>35.  Yayasan Kharisma Pertiwi</t>
  </si>
  <si>
    <t>36.  Rumah Lansia dan Yatim Piatu FJPK</t>
  </si>
  <si>
    <t xml:space="preserve">37.  Joint Adulam Ministry </t>
  </si>
  <si>
    <t>Pembelian Buku TPE Imam dan Mazmur di Toko OBOR untuk Kapel Sta. Maria Assumpta</t>
  </si>
  <si>
    <t>Reimbursement Uang Pengkhotbah PD Periode Juli 2022</t>
  </si>
  <si>
    <t>Gaji Adm 1</t>
  </si>
  <si>
    <t>Gaji Adm 2</t>
  </si>
  <si>
    <t>Donasi Pembangunan Rumah Ibadah GPdi EL-Shaddai Cipta Graha, Kab. Kaubun-kutai timur, kalimantan timur</t>
  </si>
  <si>
    <t>214/PP/YKP/VIII/22</t>
  </si>
  <si>
    <t>215/PP/YKP/VIII/22</t>
  </si>
  <si>
    <t>216/PP/YKP/VIII/22</t>
  </si>
  <si>
    <t>217/PP/YKP/VIII/22</t>
  </si>
  <si>
    <t>218/PP/YKP/VIII/22</t>
  </si>
  <si>
    <t>Pdt. Ganda Sihombing / Agustus Magdalena Lorna</t>
  </si>
  <si>
    <t>Bantuan Donasi Sekolah Tinggi Teologi Gereja Kalimantan Evangelis, Banjarmasin, untuk 5 Mahasiswa Pascasarjana (Program S2)</t>
  </si>
  <si>
    <t>219/PP/YKP/VIII/22</t>
  </si>
  <si>
    <t>Donasi Pembangunan Gedung Gereja Paroki Santa Maria Asumpta Homba Karipit, Kodi Utara, Sumba Barat Daya, NTT</t>
  </si>
  <si>
    <t>Donasi Pembangunan Gereja Sang Penebus Waingapuh</t>
  </si>
  <si>
    <t>220/PP/YKP/VIII/22</t>
  </si>
  <si>
    <t>221/PP/YKP/VIII/22</t>
  </si>
  <si>
    <t>P. Barnabas Bili Ngongo CSsR</t>
  </si>
  <si>
    <t>P.Stefanus Rehi Mete CSsR</t>
  </si>
  <si>
    <t>Sedang dalam Proses</t>
  </si>
  <si>
    <t>Jumlah Anak 2020</t>
  </si>
  <si>
    <t>Jumlah Anak 2021</t>
  </si>
  <si>
    <t>Jumlah Anak 2022</t>
  </si>
  <si>
    <t>Gereja St Rafcl Praibakal</t>
  </si>
  <si>
    <t xml:space="preserve"> </t>
  </si>
  <si>
    <t>Bantuan Dana Pendidikan Anak Asuh Bpk. Zynn Bachmid (Maret - Mei 2019)</t>
  </si>
  <si>
    <t>Pembelian Bunga Karangan Ibu Mathilda Rineke</t>
  </si>
  <si>
    <t>Pembelian Bunga Karangan Bpk. Alfred Siahaan</t>
  </si>
  <si>
    <t>Raker Yayasan Kasih Pama Tahun 2019</t>
  </si>
  <si>
    <t>Bantuan Dana Pendidikan Anak Asuh Bpk. Zynn Bachmid (Juni - Desember 2019)</t>
  </si>
  <si>
    <t>Operasional PD JIEP Jun - Jul 2019</t>
  </si>
  <si>
    <t>Bantuan Dana Anak Asuh Site INDO (Oktober - Desember 2019)</t>
  </si>
  <si>
    <t>Transport Pengkhotbah Agustus 19</t>
  </si>
  <si>
    <t>Deklarasi UM Raker Yayasan Kasih Pama 2019</t>
  </si>
  <si>
    <t>Pembayaran Hotel Peserta (Site) Raker Yayasan Kasih Pama 2019</t>
  </si>
  <si>
    <t>Transport September 19/24716</t>
  </si>
  <si>
    <t>Bantuan Dana Anak Asuh Site BEKB  Oktober 2019</t>
  </si>
  <si>
    <t>UM Kebaktian Padang 19/24717</t>
  </si>
  <si>
    <t>Pembelian Perlengkapan Office YKP</t>
  </si>
  <si>
    <t>Bantuan Dana Anak Asuh Site ABKL (November 2019 - Januari 2020)</t>
  </si>
  <si>
    <t>Donasi Panti Asuhan Kharisma Pertiwi Distrik ABKL</t>
  </si>
  <si>
    <t>Bantuan Dana Anak Asuh Site SMMS (November 2019 - Januari 2020)</t>
  </si>
  <si>
    <t>Bantuan Dana Anak Asuh Site ASMI(November 2019 - Januari 2020)</t>
  </si>
  <si>
    <t>Bantuan Dana Anak Asuh Site BBSO (November 2019 - Januari 2020)</t>
  </si>
  <si>
    <t>Donasi Panti Asuhan YKP Distrik BBSO</t>
  </si>
  <si>
    <t>Bantuan Dana Anak Asuh Site KIDE (November 2019 - Januari 2020)</t>
  </si>
  <si>
    <t>Bantuan Dana Anak Asuh Site INDO (November 2019 - Januari 2020)</t>
  </si>
  <si>
    <t>Bantuan Dana Anak Asuh Site KPCS (November 2019 - Januari 2020)</t>
  </si>
  <si>
    <t>Pembayaran Gaji Admin</t>
  </si>
  <si>
    <t>Bakti Sosial YKP utk Panti Asuhan dan Jompo Berkat Kasih Immanuel Cilincing Jakut</t>
  </si>
  <si>
    <t>Bakti Sosial YKP utk Yayasan Tangan Pengharapan Kelapa Gading, Jakut</t>
  </si>
  <si>
    <t>Anggaran Biaya Perayaan Natal PAMA dan Group</t>
  </si>
  <si>
    <t>Anggaran Biaya Bakti Sosial Internal PAMA dan Group</t>
  </si>
  <si>
    <t>Deklarasi Kebaktian Padang</t>
  </si>
  <si>
    <t>Dana Natal PAMA 10 Januari 2020</t>
  </si>
  <si>
    <t>001/PP/YKP/VIII/19</t>
  </si>
  <si>
    <t>002/PP/YKP/VIII/19</t>
  </si>
  <si>
    <t>003/PP/YKP/VIII/19</t>
  </si>
  <si>
    <t>004/PP/YKP/VIII/19</t>
  </si>
  <si>
    <t>005/PP/YKP/VIII/19</t>
  </si>
  <si>
    <t>006/PP/YKP/IX/19</t>
  </si>
  <si>
    <t>007/PP/YKP/X/19</t>
  </si>
  <si>
    <t>008/PP/YPK/X/19</t>
  </si>
  <si>
    <t>009/PP/YKP/X/19</t>
  </si>
  <si>
    <t>010/PP/YKP/X/19</t>
  </si>
  <si>
    <t>011/PP/YKP/X/19</t>
  </si>
  <si>
    <t>012/PP/YKP/X/19</t>
  </si>
  <si>
    <t>013/PP/YKP/X/19</t>
  </si>
  <si>
    <t>014/PP/YKP/X/19</t>
  </si>
  <si>
    <t>015/PP/YKP/XI/19</t>
  </si>
  <si>
    <t>016/PP/YKP/XI/19</t>
  </si>
  <si>
    <t>017/PP/YKP/X/19</t>
  </si>
  <si>
    <t>018/PP/YKP/XI/19</t>
  </si>
  <si>
    <t>019/PP/YKP/XI/19</t>
  </si>
  <si>
    <t>020/PP/YKP/XI/19</t>
  </si>
  <si>
    <t>021/PP/YKP/XI/19</t>
  </si>
  <si>
    <t>022/PP/YKP/XI/19</t>
  </si>
  <si>
    <t>023/PP/YKP/XI/19</t>
  </si>
  <si>
    <t>024/PP/YKP/XI/19</t>
  </si>
  <si>
    <t>025/PP/YKP/XII/19</t>
  </si>
  <si>
    <t>026/PP/YKP/XII/19</t>
  </si>
  <si>
    <t>027/PP/YKP/XII/20</t>
  </si>
  <si>
    <t>028/PP/YKP/XII/19</t>
  </si>
  <si>
    <t>029/PP/YKP/XII/19</t>
  </si>
  <si>
    <t>030/PP/YKP/XII/19</t>
  </si>
  <si>
    <t>031/PP/YKP/XII/19</t>
  </si>
  <si>
    <t>2019</t>
  </si>
  <si>
    <t>TOTAL ANAK ASUH YANG DIBANTU SEJAK 2019</t>
  </si>
  <si>
    <t>TOTAL ANAK PANTI &amp; YAYASAN YANG DIBANTU SEJAK 2019</t>
  </si>
  <si>
    <t>TOTAL ANAK SEMINARI YANG DIBANTU SEJAK 2019</t>
  </si>
  <si>
    <t>TOTAL DONASI LAINNYA YANG DIBANTU SEJAK 2019</t>
  </si>
  <si>
    <t>TOTAL  JEMAAT YANG DIBANTU UNTUK RENOVASI GEREJA SEJAK 2019</t>
  </si>
  <si>
    <t>Update per 31 Desember 2019</t>
  </si>
  <si>
    <t>PD Pama</t>
  </si>
  <si>
    <t>*</t>
  </si>
  <si>
    <t>Column1</t>
  </si>
  <si>
    <t>Jumlah (RP)</t>
  </si>
  <si>
    <t>Total Anak</t>
  </si>
  <si>
    <t>Total 2019 - 2022</t>
  </si>
  <si>
    <t>TOTAL PANTI  JOMPO YANG DIBANTU SEJAK 2019</t>
  </si>
  <si>
    <t>TOTAL PANTI LANSIA / JOMPO YANG DIBANTU SEJAK 2019</t>
  </si>
  <si>
    <t>BID</t>
  </si>
  <si>
    <t>R</t>
  </si>
  <si>
    <t>S</t>
  </si>
  <si>
    <t>O</t>
  </si>
  <si>
    <t>LAPORAN PENGELUARAN DONASI BIDANG SOSIAL DAN ROHANI PER AGUSTUS 2019 - 31 AGUSTUS 2022</t>
  </si>
  <si>
    <t>Update per 31 Agst 2022</t>
  </si>
  <si>
    <t>di cancel</t>
  </si>
  <si>
    <t>Bantuan anak Asuh Pak Zyn</t>
  </si>
  <si>
    <t>Hope</t>
  </si>
  <si>
    <t>Guru - Guru Yardin</t>
  </si>
  <si>
    <t>Guru - Guru Pondok Domba</t>
  </si>
  <si>
    <t>????</t>
  </si>
  <si>
    <t>Bekasi</t>
  </si>
  <si>
    <t>Jl. Dirgantara Raya Kel No.A13, RT.001/RW.008, Jatisari, Kec. Jatiasih, Kota Bks, Jawa Barat 17426</t>
  </si>
  <si>
    <t>Jl Ry Kampung Sawah No.1 RT.3/ RW.3 Jatimelati Kec.Pondok Melati, Bekasi, Jawa Barat 17415</t>
  </si>
  <si>
    <t>Jl Ry Kampung Sawah No 14 RT.7/RW.1 Jatimurni, Pondok Melati, Bekasi, Jawa Barat 17431</t>
  </si>
  <si>
    <t>Jl. Raya Kampung Sawah Gg. Mantri Tiing No. 44 Rt. 3 Rw. 1 Jatimurni, Kec. Pd. Melati, Bekasi</t>
  </si>
  <si>
    <t>Perumahan Citra Indah City, Cluster Bukit Raya Jl. Bukit Raya Blok M5 No. 1, Sukamaju, Jonggol</t>
  </si>
  <si>
    <t>Jl. Karangampel No. 102 RT.03/RW.04, Karangsatria, Tambun Utara, Bekasi</t>
  </si>
  <si>
    <t>Jl. Flamboyan Indah Blok KM No. 11 Rt. 1 Rw. 19, Pejuang, Kec. Medan Satria, Bekasi 17131</t>
  </si>
  <si>
    <t>Jl. AC Lengkeng No.210 Rt.1/Rw.2, Bojong Mentenr, Kec. Rawa Lumbu, Bekasi 17117</t>
  </si>
  <si>
    <t>Jl Bambu Kuning Selatan RT004/RW002 Sepanjang Raya Rawalumbu, Beth Kasih, Bekasi 17114</t>
  </si>
  <si>
    <t>Kav. Perum Babelan Indah Pos 2, Rt. 8/13 Kec. Babelan, Bekasi 13460</t>
  </si>
  <si>
    <t>JL. Kemangsari I No. 74 Rt.1 Rw.7 Jatibening Baru, Kec. Pondokgede, Bekasi, Jawa Barat 17421</t>
  </si>
  <si>
    <t>Jl. Ry Bogor Pekayon, Kec. Pasar Rebo</t>
  </si>
  <si>
    <t>Bogor</t>
  </si>
  <si>
    <t>Jl. Sindang Resmi No.06, RT.01/RW.18, Bondongan, Kec. Bogor Sel., Kota Bogor, Jawa Barat 16131</t>
  </si>
  <si>
    <t>JL. Makam Gocam, Rt.1 Rw. 7 No. 48 Mekarsari, Cimanggis, Depok, Jawa Barat 16452</t>
  </si>
  <si>
    <t>Jl. Abdulrahman No. 14 Rt.16/5, Cibubur, Kec. Ciracas, Jakarta Timur 13720</t>
  </si>
  <si>
    <t>Jl. Tugu No. 7 Rt. 9 Rw. 7 Cipayung, Kec. Cipayung, jakarta Timur 13840</t>
  </si>
  <si>
    <t>Jl. Jembatan 2 Ry, Gg.Pilin 1, No.5R Rt.1/Rw.2 Penjagalan, Kec. Penjaringan, Jakarta Barat 14450</t>
  </si>
  <si>
    <t>Jl Kramat Raya No 134 Kenari Kec Senen Jakarta Pusat DKI Jakarta 10430</t>
  </si>
  <si>
    <t>Jl. Boncel No. 5 Rt.7/6, Srengseng Sawah, Kec. Jagakarsa, Jak-Sel 12640</t>
  </si>
  <si>
    <t>Jl Bambu Kuning No 27 RT 8/ RW 1 Jati Padang Kec Pasar Minggu Jakarta Selatan, DKI Jakarta 12540</t>
  </si>
  <si>
    <t>Jl Otto Iskandar Dinata No 76 RT 04 RW 05 Kampung Melayu Kec Jatinegara Jakarta Timur 13330</t>
  </si>
  <si>
    <t>Jl Cilincing Kelapa No.2, No 42 RT 1/RW 3 Cilincing, Kec. Cilincing</t>
  </si>
  <si>
    <t>Jl. Tanah Merah Plumpang Bawah Rt.4/11 No.47,Rw.Badak Selatan, Kec. Koja</t>
  </si>
  <si>
    <t>Jl. Gading Griya Lestari Raya No. 2 Rt. 8/9 Sukapura, Kec. Cilincing, Jakarta 14140</t>
  </si>
  <si>
    <t>Jl. Kali Baru Timur VI No. 14 Rt. 11 Rw. 13, Kali Baru, Kec. Cilincing 14110</t>
  </si>
  <si>
    <t>Jl. Kampung Beting Remaja No. 29 Rt. 4 Rw. 19 Kel. Tugu Utara, Kec. Koja, Jakarta Utara</t>
  </si>
  <si>
    <t>Jl. Karang Hijau 2 No. 52 Rt. 8/13 Kali Baru, Kec. Cilincing, 14110</t>
  </si>
  <si>
    <t>Tangerang</t>
  </si>
  <si>
    <t>Jl. Utama I No.83, Pd. Karya, Kec. Pd. Aren, Kota Tangerang Selatan, Banten 15225</t>
  </si>
  <si>
    <t>JL. Mertilang 4, Blok KA2 No.31-37, Bintaro Jaya Sektor 9, Pondok Pucung, Kec. Pd Aren, Tangerang Selatan, Banten 15229</t>
  </si>
  <si>
    <t>Komp. Pamulang 2, Jl. Benda Barat 6, Pondok Benda, Kec. Pamulang, Tangerang Selatan, Banten 15416</t>
  </si>
  <si>
    <t>JL. Masjid Jami Al-Barokah No. 37-38, PD. Jaya, Kec. Pondok Aren, Tangerang Selatan, Banten 15220</t>
  </si>
  <si>
    <t>Jl. Panti Asuhan Jl. Otista 3 No.23, RT.7/RW.4, Cipinang Cempedak, Kecamatan Jatinegara, DKI Jakarta, Daerah Khusus Ibukota Jakarta 13340</t>
  </si>
  <si>
    <t>057/PP/YKP/XI/20</t>
  </si>
  <si>
    <t>007/PP/YKP/III/20</t>
  </si>
  <si>
    <t>BBSO: Bantuan Dana Anak Asuh Site BBSO (Maret 2020 - Juni 2020)</t>
  </si>
  <si>
    <t>008/PP/YKP/III/20</t>
  </si>
  <si>
    <t>JIEP: Bantuan Dana Pendidikan Anak Asuh Bpk. Zynn Bachmid (Januari 2020 - Juni 2020)</t>
  </si>
  <si>
    <t>010/PP/YKP/III/20</t>
  </si>
  <si>
    <t>INDO: Bantuan Dana Anak Asuh Site INDO (Maret 2020 - Juni 2020)</t>
  </si>
  <si>
    <t>011/PP/YKP/III/20</t>
  </si>
  <si>
    <t>BAYA: Bantuan Dana Anak Asuh Site BAYA 2020</t>
  </si>
  <si>
    <t>014/PP/YKP/V/20</t>
  </si>
  <si>
    <t>JIEP: Pembayaran E-Voucher Bantuan Covid 19</t>
  </si>
  <si>
    <t>015/PP/YKP/V/20</t>
  </si>
  <si>
    <t>JIEP: Pembayaran E-Voucher Bantuan COVID 19 (Tahap 2)</t>
  </si>
  <si>
    <t>017/PP/YKP/VI/20</t>
  </si>
  <si>
    <t>JIEP: Pencairan Dana Bantuan pengobatan Ibu Gumara Istri Bapak Gumara</t>
  </si>
  <si>
    <t>020/PP/YKP/VII/20</t>
  </si>
  <si>
    <t xml:space="preserve">JIEP: Pembelian Barang Sembako Program ke 2 Bantuan Covid19 </t>
  </si>
  <si>
    <t>021/PP/YKP/VII/20</t>
  </si>
  <si>
    <t xml:space="preserve">JIEP: Pembayaran E-Voucher Program ke 2 Bantuan Covid19 </t>
  </si>
  <si>
    <t>022/PP/YKP/VII/20</t>
  </si>
  <si>
    <t>Pencairan Dana ke 2 Bantuan pengobatan Ibu Gumara Istri Bapak Gumara</t>
  </si>
  <si>
    <t>023/PP/YKP/VII/20</t>
  </si>
  <si>
    <t>Pembelian Bunga Karangan Turut Berduka Cita Bpk. Ignatius Isriyanto, SK</t>
  </si>
  <si>
    <t>035/YKP/09/2020</t>
  </si>
  <si>
    <t>024/PP/YKP/VIII/20</t>
  </si>
  <si>
    <t>Pencairan Dana ke 3 Bantuan pengobatan Ibu Gumara Istri Bapak Gumara</t>
  </si>
  <si>
    <t>025/PP/YKP/VIII/20</t>
  </si>
  <si>
    <t>Pembelian Barang Kebutuhan untuk Yayasan Pintu Elok</t>
  </si>
  <si>
    <t>001/PP/YKP/I/20</t>
  </si>
  <si>
    <t>Uang muka Perayaan Natal Pama 2019</t>
  </si>
  <si>
    <t>Antonius Christopher</t>
  </si>
  <si>
    <t>002/PP/YKP/I/20</t>
  </si>
  <si>
    <t>003/PP/YKP/I/20</t>
  </si>
  <si>
    <t>Pencairan Dana Suport Keluarga Bapak Zyn (pengobatan)</t>
  </si>
  <si>
    <t>Bobby FK. Lengkong</t>
  </si>
  <si>
    <t>004/PP/YKP/II/20</t>
  </si>
  <si>
    <t>005/PP/YKP/II/20</t>
  </si>
  <si>
    <t>006/PP/YKP/II/20</t>
  </si>
  <si>
    <t>009/PP/YKP/III/20</t>
  </si>
  <si>
    <t>Pembelian Bunga Karangan Bpk. Alfian, ayah mertua dari Bpk.Muliady Sutio</t>
  </si>
  <si>
    <t>Linda Anggreni</t>
  </si>
  <si>
    <t>013/PP/YKP/V/20</t>
  </si>
  <si>
    <t>012/PP/YKP/III/20</t>
  </si>
  <si>
    <t>PT. Global Loyalty Indonesia</t>
  </si>
  <si>
    <t>016/PP/YKP/V/20</t>
  </si>
  <si>
    <t>018/PP/YKP/VI/20</t>
  </si>
  <si>
    <t>019/PP/YKP/VI/20</t>
  </si>
  <si>
    <t>Eddi Patoguan</t>
  </si>
  <si>
    <t xml:space="preserve">Bantuan Covid19 </t>
  </si>
  <si>
    <t>026/PP/YKP/VIII/20</t>
  </si>
  <si>
    <t>028/PP/YKP/VIII/20</t>
  </si>
  <si>
    <t>029/PP/YKP/VIII/20</t>
  </si>
  <si>
    <t>Pembelian Barang Kebutuhan untuk Yayasan Gerasa</t>
  </si>
  <si>
    <t>Pengembalian pembelian Barang Kebutuhan untuk Yayasan Pintu Elok</t>
  </si>
  <si>
    <t>034/PP/YKP/VIII/20</t>
  </si>
  <si>
    <t>Persembahan Kasih untuk Pdt. Ridwan Hutabarat acara Webinar YKP</t>
  </si>
  <si>
    <t>Persembahan Kasih untuk acara Webinar YKP</t>
  </si>
  <si>
    <t>Ridwan Hutabarat</t>
  </si>
  <si>
    <t>042/PP/YKP/IX/2020</t>
  </si>
  <si>
    <t>052/PP/YKP/IX/20</t>
  </si>
  <si>
    <t>053/PP/YKP/IX/20</t>
  </si>
  <si>
    <t>054/PP/YKP/IX/20</t>
  </si>
  <si>
    <t>ester setiawati</t>
  </si>
  <si>
    <t>Sponsorship VC KAJ</t>
  </si>
  <si>
    <t>KAAAJ Pemikat</t>
  </si>
  <si>
    <t>222/PP/YKP/IX/22</t>
  </si>
  <si>
    <t>Bantuan Anak Asuh Site TCMM Periode Agustus - September 2022</t>
  </si>
  <si>
    <t>Periode Agustus 2022 - Saptember 2022</t>
  </si>
  <si>
    <t>223/PP/YKP/IX/22</t>
  </si>
  <si>
    <t>Donasi Kebutuhan bahan Pokok  untuk Asrama STT GKE Periode Agustus 2022</t>
  </si>
  <si>
    <t>blm di ACC</t>
  </si>
  <si>
    <t>224/PP/YKP/IX/22</t>
  </si>
  <si>
    <t>Donasi Kebutuhan bahan Pokok  untuk Asrama STT GKE Periode September 2022</t>
  </si>
  <si>
    <t>225/PP/YKP/IX/22</t>
  </si>
  <si>
    <t>Belanja Rutin Panti Asuhan dan Jompo minggu ke 2 Periode Sept 2022 (Panti Asuhan Guardian Holy Angel &amp; Panti Asuhan Pondok Damai)</t>
  </si>
  <si>
    <t>226/PP/YKP/IX/22</t>
  </si>
  <si>
    <t>Pembelian Voucher  Belanja Digital Alfamart untuk Donasi  Rutin 27 Panti Asuhan dan Jompo  Periode September 2022</t>
  </si>
  <si>
    <t>Periode September 2022</t>
  </si>
  <si>
    <t>227/PP/YKP/IX/22</t>
  </si>
  <si>
    <t>Bantuan SPP Anak Asuh Site INDO Periode September 2022</t>
  </si>
  <si>
    <t>228/PP/YKP/IX/22</t>
  </si>
  <si>
    <t>Donasi Panti Asuhan Bhakti Luhur Susteran Alma Periode September 2022</t>
  </si>
  <si>
    <t>229/PP/YKP/IX/22</t>
  </si>
  <si>
    <t>Donasi Guru-Guru Sekolah Pondok Domba Periode September 2022</t>
  </si>
  <si>
    <t>230/PP/YKP/IX/22</t>
  </si>
  <si>
    <t>Donasi Rumah Studi Calon Imam Kongregasi Sang Penebus Mahakudus C.Ss.R Periode September 2022</t>
  </si>
  <si>
    <t>231/PP/YKP/IX/22</t>
  </si>
  <si>
    <t>Donasi untuk Seminari Menengah Raja Damai Keuskupan Palangkaraya. Periode September 2022</t>
  </si>
  <si>
    <t>232/PP/YKP/IX/22</t>
  </si>
  <si>
    <t>Donasi Seminari Menengah Pasionis St. Gabriel Sekadau Keuskupan Sanggau Periode September 2022</t>
  </si>
  <si>
    <t>233/PP/YKP/IX/22</t>
  </si>
  <si>
    <t>Donasi Seminari Menengah St Laurentius, Keuskupan Ketapang Periode September 2022</t>
  </si>
  <si>
    <t>234/PP/YKP/IX/22</t>
  </si>
  <si>
    <t>Donasi untuk Seminari Menengah Santo Petrus Keuskupan Banjarmasin Periode September 2022</t>
  </si>
  <si>
    <t>235/PP/YKP/IX/22</t>
  </si>
  <si>
    <t>Donasi untuk Seminari Menengah St Yohanes Maria Vianney Keuskupan Sintang Periode September 2022</t>
  </si>
  <si>
    <t>236/PP/YKP/IX/22</t>
  </si>
  <si>
    <t>Donasi untuk 15 Guru Yayasan Rumah Damai Indonesia (YARDIN) Kal-Bar Periode September 2022</t>
  </si>
  <si>
    <t>YARDIN -  Henika Iru</t>
  </si>
  <si>
    <t>Henika Iru</t>
  </si>
  <si>
    <t xml:space="preserve">YARDIN -  Aida Uda Mahwal </t>
  </si>
  <si>
    <t>Aida Uda Mahwal</t>
  </si>
  <si>
    <t>Anita Tri Susilowat</t>
  </si>
  <si>
    <t>Krismiluk</t>
  </si>
  <si>
    <t>Gueni Irawati</t>
  </si>
  <si>
    <t>Resta Simanjuntak</t>
  </si>
  <si>
    <t>YARDIN - Petro Nela Meri Ayu</t>
  </si>
  <si>
    <t>Petro Nela Meri Ayu</t>
  </si>
  <si>
    <t>YARDIN - Lorensius</t>
  </si>
  <si>
    <t>Lorensius</t>
  </si>
  <si>
    <t>237/PP/YKP/IX/22</t>
  </si>
  <si>
    <t>Donasi Yatim Piatu Site ABKL Periode September 2022</t>
  </si>
  <si>
    <t>238/PP/YKP/IX/22</t>
  </si>
  <si>
    <t>Reimbursement Uang Pengkhotbah PD Periode Agustus 2022</t>
  </si>
  <si>
    <t>239/PP/YKP/IX/22</t>
  </si>
  <si>
    <t>Belanja Rutin Panti Asuhan dan Jompo minggu ke 3 Periode Sept 2022 (Panti Jompo Atmabrata &amp; Rumah Kerang Putri Kasih)</t>
  </si>
  <si>
    <t>240/PP/YKP/IX/22</t>
  </si>
  <si>
    <t>Tagihan Jasa  Audit tahapI ( 50%), atas laporan keuangan untuk tahun yang berakhir pada tanggal 31 Desember 2021,2020 dan 2019</t>
  </si>
  <si>
    <t>241/PP/YKP/IX/22</t>
  </si>
  <si>
    <t>Donasi untuk Yayasan Kristus Sahabat Kita, Nabire- Papua (Operational Sekolah Paket A/B/C untuk  110 Siswa dan 50 anak Panti)</t>
  </si>
  <si>
    <t>242/PP/YKP/IX/22</t>
  </si>
  <si>
    <t>DP 35 %  Wep Development Implementation (Pembuatan Website Yayasan Kasih Pama)</t>
  </si>
  <si>
    <t>243/PP/YKP/IX/22</t>
  </si>
  <si>
    <t>Belanja Rutin Panti Asuhan dan Jompo minggu ke 4 Periode Sept 2022 (Panti Jompo Kidung Salomo Agape &amp; Yayasan PNIEL)</t>
  </si>
  <si>
    <t>244/PP/YKP/IX/22</t>
  </si>
  <si>
    <t>Pembangunan Asrama Putri SMP IL KAPTEN FATUBAA Tahun Ajaran Baru 2022/2023, untuk menampung siswa tidak mampu ( uk. 15 X 8)</t>
  </si>
  <si>
    <t>245/PP/YKP/IX/22</t>
  </si>
  <si>
    <t>246/PP/YKP/IX/22</t>
  </si>
  <si>
    <t>247/PP/YKP/IX/22</t>
  </si>
  <si>
    <t>248/PP/YKP/IX/22</t>
  </si>
  <si>
    <t>Gaji ADM</t>
  </si>
  <si>
    <t>Pembelian 9 Pulpen untuk Souvenir acara Laporan Kegiatan YKP tahun 2019 - 2022</t>
  </si>
  <si>
    <t>Pembayaran Jasa Editing Video Website YKP 2022</t>
  </si>
  <si>
    <t>Biaya Konsumsi Pembubaran Panitia Rapat Tahunan YKP 2022</t>
  </si>
  <si>
    <t>Cetak 270 Buku Laporan Kegiatan YKP tahun 2019 - 31 Agustus 2022</t>
  </si>
  <si>
    <t>YAYASAN MAMA SAYANG</t>
  </si>
  <si>
    <t>PANTI ASUHAN PARAPATTAN</t>
  </si>
  <si>
    <t>Belanja Rutin Panti Asuhan dan Jompo minggu ke 3 Periode Okt 2022 (Panti Jompo Fransiskanes Sambas &amp; Yayasan Mama Sayang / Talitha Cumi)</t>
  </si>
  <si>
    <t>Uang Duka Cita untuk Alm. Istri dari Bapak Rheza Yunanto ( FA Division )</t>
  </si>
  <si>
    <t>Bantuan SPP Anak Asuh Site INDO Periode Oktober 2022</t>
  </si>
  <si>
    <t>Donasi Panti Asuhan Bhakti Luhur Susteran Alma Periode Oktober 2022</t>
  </si>
  <si>
    <t>Donasi Guru-Guru Sekolah Pondok Domba Periode Oktober 2022</t>
  </si>
  <si>
    <t>Donasi Rumah Studi Calon Imam Kongregasi Sang Penebus Mahakudus C.Ss.R Periode Oktober 2022</t>
  </si>
  <si>
    <t>Donasi untuk Seminari Menengah Raja Damai Keuskupan Palangkaraya. Periode Oktober 2022</t>
  </si>
  <si>
    <t>Donasi Seminari Menengah Pasionis St. Gabriel Sekadau Keuskupan Sanggau Periode Oktober 2022</t>
  </si>
  <si>
    <t>Donasi untuk Seminari Menengah Santo Petrus Keuskupan Banjarmasin Periode Oktober 2022</t>
  </si>
  <si>
    <t>Donasi untuk Seminari Menengah St Yohanes Maria Vianney Keuskupan Sintang Periode Oktober 2022</t>
  </si>
  <si>
    <t>Donasi untuk 17 Guru Yayasan Rumah Damai Indonesia (YARDIN) Kal-Bar Periode Oktober 2022</t>
  </si>
  <si>
    <t>Donasi Yatim Piatu Site ABKL Periode Oktober 2022</t>
  </si>
  <si>
    <t>Pembelian Voucher  Belanja Digital Alfamart untuk Donasi  Rutin 27 Panti Asuhan dan jompo Periode Oktober 2022</t>
  </si>
  <si>
    <t>Donasi Pembuatan Turap Beton Kolam Ikan Dan Parit Di seminari Menenga St. Laurentius Sept'22</t>
  </si>
  <si>
    <t>061/PP/YKP/XI/20</t>
  </si>
  <si>
    <t>072/PP/YKP/XI/20</t>
  </si>
  <si>
    <t>076/PP/YKP/XII/20</t>
  </si>
  <si>
    <t>Gaji Admin + THR</t>
  </si>
  <si>
    <t>Periode Nov'20</t>
  </si>
  <si>
    <t>Periode Des'20</t>
  </si>
  <si>
    <t>048/PP/YKP/IX/20</t>
  </si>
  <si>
    <t>Periode Juni'20</t>
  </si>
  <si>
    <t>Periode Juli'20</t>
  </si>
  <si>
    <t>Periode Agt'20</t>
  </si>
  <si>
    <t>Periode Sept'20</t>
  </si>
  <si>
    <t>Periode Okt'20</t>
  </si>
  <si>
    <t>Periode Mei'20</t>
  </si>
  <si>
    <t>Periode Apri'22</t>
  </si>
  <si>
    <t>Periode Maret'22</t>
  </si>
  <si>
    <t>044/PP/YKP/IX/20</t>
  </si>
  <si>
    <t>014/PP/YKP/I/21</t>
  </si>
  <si>
    <t>063/PP/YKP/V/21</t>
  </si>
  <si>
    <t>periode maret</t>
  </si>
  <si>
    <t>Gaji Admin YKP Mei'21</t>
  </si>
  <si>
    <t>Periode juli' 21</t>
  </si>
  <si>
    <t>Gaji Adm</t>
  </si>
  <si>
    <t>094/PP/YKP/VIII/21</t>
  </si>
  <si>
    <t>095/PP/YKP/VIII/21</t>
  </si>
  <si>
    <t>Sponsorship Paket Gold Virtual Konser Virtual Komunitas Jumat Pertama KAJ 2021</t>
  </si>
  <si>
    <t>102/PP/YKP/IX/21</t>
  </si>
  <si>
    <t>103/PP/YKP/IX/21</t>
  </si>
  <si>
    <t>Reimbursement Uang Pengkhotbah PD Periode Juni 2021</t>
  </si>
  <si>
    <t>Reimbursement Uang Pengkhotbah PD Periode Juli 2021</t>
  </si>
  <si>
    <t>119/PP/YKP/IX/21</t>
  </si>
  <si>
    <t>120/PP/YKP/IX/21</t>
  </si>
  <si>
    <t>periode sept'21</t>
  </si>
  <si>
    <t>Belanja Rutin Panti Asuhan dan Jompo minggu ke 4 Periode Okt 2022 (Panti : PAUD/PKBM Pondok YEFTA  &amp; Panti Asuhan Pondok Kasih Agape)</t>
  </si>
  <si>
    <t>Belanja Rutin Panti Asuhan dan Jompo Minggu 5 Periode Oktober 2022 ( untuk 2 Panti : Panti Asuhan Vita Dulcedo &amp; Yayasan Sinar Pelangi)</t>
  </si>
  <si>
    <t>Donasi Pembangunan Gedung Gereja Katolik Santa Maria Wilayah Jatisrono Paroki Santo Yohanes Rasul Wonogiri</t>
  </si>
  <si>
    <t>Periode Oktober 20222</t>
  </si>
  <si>
    <t>249/PP/YKP/IX/22</t>
  </si>
  <si>
    <t>250/PP/YKP/IX/22</t>
  </si>
  <si>
    <t>251/PP/YKP/X/22</t>
  </si>
  <si>
    <t>252/PP/YKP/X/22</t>
  </si>
  <si>
    <t>253/PP/YKP/X/22</t>
  </si>
  <si>
    <t>254/PP/YKP/X/22</t>
  </si>
  <si>
    <t>255/PP/YKP/X/22</t>
  </si>
  <si>
    <t>256/PP/YKP/X/22</t>
  </si>
  <si>
    <t>257/PP/YKP/X/22</t>
  </si>
  <si>
    <t>258/PP/YKP/X/22</t>
  </si>
  <si>
    <t>259/PP/YKP/X/22</t>
  </si>
  <si>
    <t>260/PP/YKP/X/22</t>
  </si>
  <si>
    <t>261/PP/YKP/X/22</t>
  </si>
  <si>
    <t>262/PP/YKP/X/22</t>
  </si>
  <si>
    <t>263/PP/YKP/X/22</t>
  </si>
  <si>
    <t>264/PP/YKP/X/22</t>
  </si>
  <si>
    <t>265/PP/YKP/X/22</t>
  </si>
  <si>
    <t>266/PP/YKP/X/22</t>
  </si>
  <si>
    <t>267/PP/YKP/X/22</t>
  </si>
  <si>
    <t>268/PP/YKP/X/22</t>
  </si>
  <si>
    <t>269/PP/YKP/X/22</t>
  </si>
  <si>
    <t>270/PP/YKP/X/22</t>
  </si>
  <si>
    <t>Kebutuhan ATK Yayasan Kasih Pama</t>
  </si>
  <si>
    <t>Bpk Albertus Eko Puji Haryanto</t>
  </si>
  <si>
    <t>271/PP/YKP/XI/22</t>
  </si>
  <si>
    <t>272/PP/YKP/XI/22</t>
  </si>
  <si>
    <t>273/PP/YKP/XI/22</t>
  </si>
  <si>
    <t>274/PP/YKP/XI/22</t>
  </si>
  <si>
    <t>275/PP/YKP/XI/22</t>
  </si>
  <si>
    <t>276/PP/YKP/XI/22</t>
  </si>
  <si>
    <t>277/PP/YKP/XI/22</t>
  </si>
  <si>
    <t>278/PP/YKP/XI/22</t>
  </si>
  <si>
    <t>279/PP/YKP/XI/22</t>
  </si>
  <si>
    <t>280/PP/YKP/XI/22</t>
  </si>
  <si>
    <t>281/PP/YKP/XI/22</t>
  </si>
  <si>
    <t>282/PP/YKP/XI/22</t>
  </si>
  <si>
    <t>283/PP/YKP/XI/22</t>
  </si>
  <si>
    <t>284/PP/YKP/XI/22</t>
  </si>
  <si>
    <t>285/PP/YKP/XI/22</t>
  </si>
  <si>
    <t>286/PP/YKP/XI/22</t>
  </si>
  <si>
    <t>287/PP/YKP/XI/22</t>
  </si>
  <si>
    <t>288/PP/YKP/XI/22</t>
  </si>
  <si>
    <t>289/PP/YKP/XI/22</t>
  </si>
  <si>
    <t>290/PP/YKP/XI/22</t>
  </si>
  <si>
    <t>291/PP/YKP/XI/22</t>
  </si>
  <si>
    <t>292/PP/YKP/XI/22</t>
  </si>
  <si>
    <t>293/PP/YKP/XI/22</t>
  </si>
  <si>
    <t>294/PP/YKP/XI/22</t>
  </si>
  <si>
    <t>295/PP/YKP/XI/22</t>
  </si>
  <si>
    <t>296/PP/YKP/XI/22</t>
  </si>
  <si>
    <t>Pembayaran Pajak PPH 21 Periode Januari 2022</t>
  </si>
  <si>
    <t>Belanja Rutin Panti Asuhan dan Jompo minggu ke 2 Periode Nov 2022 (Panti Asuhan Pelayanan Kasih Bhakti Mandiri  &amp; Panti Asuhan Pondok Taruna)</t>
  </si>
  <si>
    <t>Bantuan SPP Anak Asuh Site INDO Periode November 2022</t>
  </si>
  <si>
    <t>Donasi Panti Asuhan Bhakti Luhur Susteran Alma Periode November 2022</t>
  </si>
  <si>
    <t>Donasi Guru-Guru Sekolah Pondok Domba Periode November 2022</t>
  </si>
  <si>
    <t>Donasi Rumah Studi Calon Imam Kongregasi Sang Penebus Mahakudus C.Ss.R Periode November 2022</t>
  </si>
  <si>
    <t>Donasi untuk Seminari Menengah Raja Damai Keuskupan Palangkaraya. Periode November 2022</t>
  </si>
  <si>
    <t>Donasi Seminari Menengah Pasionis St. Gabriel Sekadau Keuskupan Sanggau Periode November 2022</t>
  </si>
  <si>
    <t>Donasi untuk Seminari Menengah Santo Petrus Keuskupan Banjarmasin Periode November 2022</t>
  </si>
  <si>
    <t>Donasi untuk Seminari Menengah St Yohanes Maria Vianney Keuskupan Sintang Periode November 2022</t>
  </si>
  <si>
    <t>Donasi untuk 17 Guru Yayasan Rumah Damai Indonesia (YARDIN) Kal-Bar Periode November 2022</t>
  </si>
  <si>
    <t>Donasi Yatim Piatu Site ABKL Periode November 2022</t>
  </si>
  <si>
    <t>Pembelian Voucher  Belanja Digital Alfamart untuk Donasi  Rutin 30 Panti Asuhan dan jompo Periode November 2022</t>
  </si>
  <si>
    <t>Bantuan Donasi Kebutuhan Bahan Pokok asrama Putri &amp; Putra Semester Ganjil Sekolah Tinggi Teologi Gereja Kalimantan Evangelis, Banjarmasin Periode Okt &amp; Nov' 22</t>
  </si>
  <si>
    <t>Bantuan Pengadaan Alat Musik Etnik untuk STT GKE</t>
  </si>
  <si>
    <t>Belanja Rutin Panti Asuhan dan Jompo minggu ke 3 Periode Nov 2022 (Panti Asuhan Bhakti Kasih Mandiri)</t>
  </si>
  <si>
    <t>Pembayaran Pajak PPH 21 Periode Februari 2022</t>
  </si>
  <si>
    <t>Pembayaran Pajak PPH 21 Periode Maret 2022</t>
  </si>
  <si>
    <t>Pembayaran Pajak PPH 21 Periode April 2022</t>
  </si>
  <si>
    <t>Pembayaran Pajak PPH 21 Periode Mei 2022</t>
  </si>
  <si>
    <t>Pembayaran Pajak PPH 21 Periode Juni 2022</t>
  </si>
  <si>
    <t>Pembayaran Pajak PPH 21 Periode Juli 2022</t>
  </si>
  <si>
    <t>Pembayaran Pajak PPH 21 Periode Agustus 2022</t>
  </si>
  <si>
    <t>Pembayaran Pajak PPH 21 Periode September 2022</t>
  </si>
  <si>
    <t>Pembayaran Pajak PPH 21 Periode Oktober 2022</t>
  </si>
  <si>
    <t>Bank Mandiri</t>
  </si>
  <si>
    <t>Donasi untuk Yayasan Kristus Sahabat Kita, Nabire- Papua Periode Okt '22 (Operational Sekolah Paket A/B/C untuk  110 Siswa dan 50 anak Panti)</t>
  </si>
  <si>
    <t>Jasa  Audit tahap 2 ( 50%), atas laporan keuangan untuk tahun yang berakhir pada tanggal 31 Desember 2021,2020 dan 2019</t>
  </si>
  <si>
    <t>297/PP/YKP/XI/22</t>
  </si>
  <si>
    <t>PKBM KSK (Pusat Kegiatan Belajar Masyarakat)</t>
  </si>
  <si>
    <t>KANTOR AKUNTAN PUBLIK KURNIAWAN, KUSMADI &amp; MATHEUS</t>
  </si>
  <si>
    <t>Bantuan donasi pembangunan gedung kelas A, B &amp; C Paud di Gereja Kristen Sumba</t>
  </si>
  <si>
    <t>Bantuan donasi honor 4 guru PAUD di GKS Periode November 2022</t>
  </si>
  <si>
    <t>Dana Iventaris untuk acara Perayaan Natal PAMA Group  11 Januari 2023</t>
  </si>
  <si>
    <t>298/PP/YKP/XI/22</t>
  </si>
  <si>
    <t>299/PP/YKP/XI/22</t>
  </si>
  <si>
    <t>300/PP/YKP/XI/22</t>
  </si>
  <si>
    <t>Periode November 2022</t>
  </si>
  <si>
    <t>Sponsorship The Magic Of Chrismas Concer dari PUKAT KAJ</t>
  </si>
  <si>
    <t>Bantuan Anak Asuh Site TCMM Periode Oktober - November 2022</t>
  </si>
  <si>
    <t>Gaji Admin 1 periode Nov'22</t>
  </si>
  <si>
    <t>Gaji Admin 2 periode Nov'22</t>
  </si>
  <si>
    <t>301/PP/YKP/XI/22</t>
  </si>
  <si>
    <t>302/PP/YKP/XI/22</t>
  </si>
  <si>
    <t>303/PP/YKP/XI/22</t>
  </si>
  <si>
    <t>304/PP/YKP/XI/22</t>
  </si>
  <si>
    <t>silvester eka jemali</t>
  </si>
  <si>
    <t>Gaji</t>
  </si>
  <si>
    <t>DEFRIANUS NDARA KARIA</t>
  </si>
  <si>
    <t>BELA KALEKA TENA BOLO</t>
  </si>
  <si>
    <t>ERNASTI INA TAMO</t>
  </si>
  <si>
    <t xml:space="preserve">YENI HORO </t>
  </si>
  <si>
    <t xml:space="preserve">Pembayaran Pajak PPH 21 </t>
  </si>
  <si>
    <t>GKS - DEFRIANUS NDARA KARIA</t>
  </si>
  <si>
    <t>GKS - BELA KALEKA TENA BOLO</t>
  </si>
  <si>
    <t>GKS - ERNASTI INA TAMO</t>
  </si>
  <si>
    <t xml:space="preserve">GKS - YENI HORO </t>
  </si>
  <si>
    <t>Pembelian Tinta Printer HP Original GT53 90ml Black /  ink smart tank 500 (2 botol)</t>
  </si>
  <si>
    <t>Bantuan SPP Anak Asuh Site INDO Periode Desember 2022</t>
  </si>
  <si>
    <t>Bantuan Donasi Kebutuhan Bahan Pokok asrama Putri &amp; Putra Semester Ganjil Sekolah Tinggi Teologi Gereja Kalimantan Evangelis, Banjarmasin Periode Des' 22</t>
  </si>
  <si>
    <t>Donasi untuk Yayasan Kristus Sahabat Kita, Nabire- Papua Periode Nov' 22 (Operational Sekolah Paket A/B/C untuk  110 Siswa dan 50 anak Panti)</t>
  </si>
  <si>
    <t>Bantuan donasi honor 4 guru PAUD di GKS Periode Desember 2022</t>
  </si>
  <si>
    <t>Bantuan Anak Asuh Site TCMM Periode Oktober - Desember 2022</t>
  </si>
  <si>
    <t>305/PP/YKP/XII/22</t>
  </si>
  <si>
    <t>306/PP/YKP/XII/22</t>
  </si>
  <si>
    <t>307/PP/YKP/XII/22</t>
  </si>
  <si>
    <t>308/PP/YKP/XII/22</t>
  </si>
  <si>
    <t>309/PP/YKP/XII/22</t>
  </si>
  <si>
    <t>310/PP/YKP/XII/22</t>
  </si>
  <si>
    <t>311/PP/YKP/XII/22</t>
  </si>
  <si>
    <t>312/PP/YKP/XII/22</t>
  </si>
  <si>
    <t>313/PP/YKP/XII/22</t>
  </si>
  <si>
    <t>314/PP/YKP/XII/22</t>
  </si>
  <si>
    <t>315/PP/YKP/XII/22</t>
  </si>
  <si>
    <t>316/PP/YKP/XII/22</t>
  </si>
  <si>
    <t>317/PP/YKP/XII/22</t>
  </si>
  <si>
    <t>318/PP/YKP/XII/22</t>
  </si>
  <si>
    <t>319/PP/YKP/XII/22</t>
  </si>
  <si>
    <t>Jumlah Anak 2023</t>
  </si>
  <si>
    <t>Permohonan pembayaran uang muka perayaan Natal PAMA 2022</t>
  </si>
  <si>
    <t>Uang Duka Cita untuk Alm. Ayahanda dari Ibu Helen N Panjaitan</t>
  </si>
  <si>
    <t>320/PP/YKP/XII/22</t>
  </si>
  <si>
    <t>321/PP/YKP/XII/22</t>
  </si>
  <si>
    <t>322/PP/YKP/XII/22</t>
  </si>
  <si>
    <t>323/PP/YKP/XII/22</t>
  </si>
  <si>
    <t>Helen N Panjaitan</t>
  </si>
  <si>
    <t xml:space="preserve"> Lidwina Titi Suryaningrum</t>
  </si>
  <si>
    <t>SEMINARI MENENGAH SA</t>
  </si>
  <si>
    <t>Donasi Seminari Santo Yosef, Tarakan - Tanjung Selor, 10 unit komputer/laptop dan 3 unit LCD komputer</t>
  </si>
  <si>
    <t>Periode Desember 2022</t>
  </si>
  <si>
    <t>Periode Oktober 2022</t>
  </si>
  <si>
    <t>Periode Oktober &amp; November 2022</t>
  </si>
  <si>
    <t>Bunga Papan Duka Cita CP_IDFA9736969 - Alm.Isrtri dari Bapak Rheza Yunanto</t>
  </si>
  <si>
    <t>Pembayaran 5% Pelunasan Development Web Apps YKP</t>
  </si>
  <si>
    <t xml:space="preserve">Pembelian Alat Musik untuk 19 Panti Asuhan sebagai kado Natal </t>
  </si>
  <si>
    <t>2 unit Kursi Roda KY868LAJ-A untuk Panti Panlsigunung &amp; Fransiknes Sambas (kado natal 2022), donasi rutin</t>
  </si>
  <si>
    <t>Pembelian 3 unit Okulele MANDALIKA TENOR 25NS WITH CERTIFICATE untuk Panti Werdha Maria Joseph &amp; Pondok Si Boncel</t>
  </si>
  <si>
    <t>Pembelian Paket Sount, Kulkas Dan 2 unit Dispenser untuk Panti Asuhan Felicia Angel Kids dan Panti  Werdha Atmabrata</t>
  </si>
  <si>
    <t>Pembelian 5 unit Speaker Portable Bluethooth K-1204, untukWisma Tuna Ganda Palsi Gunung, Panti Asuhan Pintu Elok,  Yayasan Lumba2 dan Panti  Werdha Atmabrata</t>
  </si>
  <si>
    <t>Pembelian Raket Yonex Nanaoray &amp; ShuttlecockPanti Asuhan Bhakti Kasih ABBA,Panti Asuhan Hati Bangsa, Panti Asuhan Kasih Mandiri, Yayasan Sosial Lumba Lumba, Panti Asuhan Pondok Dama, Yayasan Sinar Pelangi, Panti Asuhan Thalita Cumi, Panti Asuhan Vincentius Putra &amp; Putri</t>
  </si>
  <si>
    <t>Gaji Admin YKP 1</t>
  </si>
  <si>
    <t>Gaji Admin YKP 2</t>
  </si>
  <si>
    <t>324/PP/YKP/XII/22</t>
  </si>
  <si>
    <t>325/PP/YKP/XII/22</t>
  </si>
  <si>
    <t>326/PP/YKP/XII/22</t>
  </si>
  <si>
    <t>327/PP/YKP/XII/22</t>
  </si>
  <si>
    <t>328/PP/YKP/XII/22</t>
  </si>
  <si>
    <t>329/PP/YKP/XII/22</t>
  </si>
  <si>
    <t>330/PP/YKP/XII/22</t>
  </si>
  <si>
    <t>331,/PP/YKP/XII/22</t>
  </si>
  <si>
    <t>332/PP/YKP/XII/22</t>
  </si>
  <si>
    <t>333/PP/YKP/XII/22</t>
  </si>
  <si>
    <t>334/PP/YKP/XII/22</t>
  </si>
  <si>
    <t>335/PP/YKP/XII/22</t>
  </si>
  <si>
    <t>Pembelian Voucher  Belanja Digital Alfamart untuk Donasi  Rutin 9 Panti Asuhan dan Jompo Periode Desember 2022</t>
  </si>
  <si>
    <t>Hampers akhir tahun 2022</t>
  </si>
  <si>
    <t>Pembayaran PPH 21 Bulan Nov 2022 Admin YKP</t>
  </si>
  <si>
    <t>Pembayaran PPH 21 Bulan Des 2022 Admin YKP</t>
  </si>
  <si>
    <t xml:space="preserve">Pembelian Alat Musik Pianika untuk  3 Panti Asuhan sebagai kado Natal </t>
  </si>
  <si>
    <t xml:space="preserve">Pembelian Alat Musik Angklung 3 tabung  4 set u/ 2 Panti Asuhan sebagai kado Natal </t>
  </si>
  <si>
    <t xml:space="preserve">Pembelian Alat Musik Drum, Cajon, Biola untuk Panti Asuhan sebagai kado Natal </t>
  </si>
  <si>
    <t>Pembelian alat olah raga tenis mena (bet,net,bola), bola voli,  bola futsal, helmet tekwondo, Body Protector, ring basket untuk 4 Panti sebagai kado natal 2022</t>
  </si>
  <si>
    <t>Kekurangan Pembelian Raket Yonex Nanaoray &amp; ShuttlecockPanti Asuhan Bhakti Kasih ABBA,Panti Asuhan Hati Bangsa, Panti Asuhan Kasih Mandiri, Yayasan Sosial Lumba Lumba, Panti Asuhan Pondok Dama, Yayasan Sinar Pelangi, Panti Asuhan Thalita Cumi, Panti Asuhan Vincentius Putra</t>
  </si>
  <si>
    <t>Pembelian alat olah raga bola basket, tiang gawang, bola futsal, bola voli, untuk 3 Panti sebagai kado natal 2022</t>
  </si>
  <si>
    <t>336/PP/YKP/XII/22</t>
  </si>
  <si>
    <t>337/PP/YKP/XII/22</t>
  </si>
  <si>
    <t>338/PP/YKP/XII/22</t>
  </si>
  <si>
    <t>339/PP/YKP/XII/22</t>
  </si>
  <si>
    <t>340/PP/YKP/XII/22</t>
  </si>
  <si>
    <t>341/PP/YKP/XII/22</t>
  </si>
  <si>
    <t>342/PP/YKP/XII/22</t>
  </si>
  <si>
    <t>343/PP/YKP/XII/22</t>
  </si>
  <si>
    <t>344/PP/YKP/XII/22</t>
  </si>
  <si>
    <t>Bunga Papan Duka Cita  Alm.Isrtri dari Bapak Rheza Yunanto ( FA Division )</t>
  </si>
  <si>
    <t>345/PP/YKP/XII/22</t>
  </si>
  <si>
    <t xml:space="preserve">Ongkir Pembelian Alat Musik Angklung 3 tabung  4 set u/ 2 Panti Asuhan sebagai kado Natal </t>
  </si>
  <si>
    <t>Nuansa Vadita Prima</t>
  </si>
  <si>
    <t xml:space="preserve"> Rizki Sunarya</t>
  </si>
  <si>
    <t>PT. Sincere Music</t>
  </si>
  <si>
    <t>PT. Saung Angklung Udjo</t>
  </si>
  <si>
    <t>Pembelian alat olah raga bola bola futsal, bola Gogo Dino, Net Badminton,raket, Sepatu Futsal untuk 4 Panti sebagai kado natal 2022</t>
  </si>
  <si>
    <t>Pembelian alat olah raga bola bola futsal, Kostum Futsal, Sepatuu Futsal untuk 5 Panti sebagai kado natal 2022</t>
  </si>
  <si>
    <t>Bantuan SPP Anak Asuh Site INDO Periode Januari 2023</t>
  </si>
  <si>
    <t>Donasi Panti Asuhan Bhakti Luhur Susteran Alma Periode Januari 2023</t>
  </si>
  <si>
    <t>Donasi Guru-Guru Sekolah Pondok Domba Periode Januari 2023</t>
  </si>
  <si>
    <t>Donasi Rumah Studi Calon Imam Kongregasi Sang Penebus Mahakudus C.Ss.R Periode Januari 2023</t>
  </si>
  <si>
    <t>Donasi untuk Seminari Menengah Raja Damai Keuskupan Palangkaraya. Periode Januari 2023</t>
  </si>
  <si>
    <t>Donasi Seminari Menengah Pasionis St. Gabriel Sekadau Keuskupan Sanggau Periode Januari 2023</t>
  </si>
  <si>
    <t>Donasi untuk Seminari Menengah Santo Petrus Keuskupan Banjarmasin Periode Januari 2023</t>
  </si>
  <si>
    <t>Donasi untuk Seminari Menengah St Yohanes Maria Vianney Keuskupan Sintang Periode Januari 2023</t>
  </si>
  <si>
    <t>Donasi untuk 17 Guru Yayasan Rumah Damai Indonesia (YARDIN) Kal-Bar Periode Januari 2023</t>
  </si>
  <si>
    <t>Donasi Yatim Piatu Site ABKL Periode Januari 2023</t>
  </si>
  <si>
    <t>Bantuan Donasi Kebutuhan Bahan Pokok asrama Putri &amp; Putra Semester Ganjil Sekolah Tinggi Teologi Gereja Kalimantan Evangelis, Banjarmasin Periode Januari 2023</t>
  </si>
  <si>
    <t>Donasi untuk Yayasan Kristus Sahabat Kita, Nabire- Papua Periode Des' 22 (Operational Sekolah Paket A/B/C untuk  110 Siswa dan 50 anak Panti)</t>
  </si>
  <si>
    <t>Bantuan donasi honor 4 guru PAUD di GKS Periode Januari 2023</t>
  </si>
  <si>
    <t>Bantuan Anak Asuh Site TCMM Periode Oktober - Januari 2023</t>
  </si>
  <si>
    <t>001/PP/YKP/I/23</t>
  </si>
  <si>
    <t>002/PP/YKP/I/23</t>
  </si>
  <si>
    <t>003/PP/YKP/I/23</t>
  </si>
  <si>
    <t>004/PP/YKP/I/23</t>
  </si>
  <si>
    <t>005/PP/YKP/I/23</t>
  </si>
  <si>
    <t>006/PP/YKP/I/23</t>
  </si>
  <si>
    <t>007/PP/YKP/I/23</t>
  </si>
  <si>
    <t>008/PP/YKP/I/23</t>
  </si>
  <si>
    <t>009/PP/YKP/I/23</t>
  </si>
  <si>
    <t>010/PP/YKP/I/23</t>
  </si>
  <si>
    <t>011/PP/YKP/I/23</t>
  </si>
  <si>
    <t>012/PP/YKP/I/23</t>
  </si>
  <si>
    <t>013/PP/YKP/I/23</t>
  </si>
  <si>
    <t>014/PP/YKP/I/23</t>
  </si>
  <si>
    <t>015/PP/YKP/I/23</t>
  </si>
  <si>
    <t>016/PP/YKP/I/23</t>
  </si>
  <si>
    <t>Update per 31 Jan 2023</t>
  </si>
  <si>
    <t>Area/Wilayah</t>
  </si>
  <si>
    <t>Jumlah Orang</t>
  </si>
  <si>
    <t>Anak</t>
  </si>
  <si>
    <t>Cilincing</t>
  </si>
  <si>
    <t>Cimanggis, Depok</t>
  </si>
  <si>
    <t>Kp. Sawah, Bekasi</t>
  </si>
  <si>
    <t>Jonggol</t>
  </si>
  <si>
    <t>Puit</t>
  </si>
  <si>
    <t>Pasar Minggu</t>
  </si>
  <si>
    <t>Koja</t>
  </si>
  <si>
    <t>Otista</t>
  </si>
  <si>
    <t>Cibubur</t>
  </si>
  <si>
    <t>Pamulang</t>
  </si>
  <si>
    <t>Bintaro</t>
  </si>
  <si>
    <t>KP Sawah, Bekasi</t>
  </si>
  <si>
    <t>Kepala Gading</t>
  </si>
  <si>
    <t>Jagakarsa, Jak-Sel</t>
  </si>
  <si>
    <t>Cilangkap</t>
  </si>
  <si>
    <t>Pondok Gede</t>
  </si>
  <si>
    <t>Kramat Raya</t>
  </si>
  <si>
    <t>Pematang Siantar</t>
  </si>
  <si>
    <t>Site ABKL</t>
  </si>
  <si>
    <t>Jenis Bantuan</t>
  </si>
  <si>
    <t>Mulai Di berikan Donasi</t>
  </si>
  <si>
    <t>Sifat Bantuan</t>
  </si>
  <si>
    <t>Rutin/Bulan</t>
  </si>
  <si>
    <t>Sembako</t>
  </si>
  <si>
    <t>Jumlah Anak 2019</t>
  </si>
  <si>
    <t>Dana Tunai/TRF</t>
  </si>
  <si>
    <t>Panti/Yayasan</t>
  </si>
  <si>
    <t>Nama</t>
  </si>
  <si>
    <t>Jenis</t>
  </si>
  <si>
    <t>Dewasa / Lansia</t>
  </si>
  <si>
    <t>No Telepone/WA</t>
  </si>
  <si>
    <t>Ibu Maya/Sr. Wielhelmine</t>
  </si>
  <si>
    <t>0813 9062 8680 / 0813 1078 3727</t>
  </si>
  <si>
    <t>Ibu Nurbaina Sihombing</t>
  </si>
  <si>
    <t>0813 1003 2144</t>
  </si>
  <si>
    <t>Ibu Wanti</t>
  </si>
  <si>
    <t>0812 1007 4037</t>
  </si>
  <si>
    <t>Bpk. Peris (Pengurus)</t>
  </si>
  <si>
    <t>081319309406</t>
  </si>
  <si>
    <t>Sr. Lourdes, PRR</t>
  </si>
  <si>
    <t>085779739967</t>
  </si>
  <si>
    <t>Sr. Marlin CJD</t>
  </si>
  <si>
    <t>Sr. Boni</t>
  </si>
  <si>
    <t>0813 5202 5960</t>
  </si>
  <si>
    <t>Ibu Ferra</t>
  </si>
  <si>
    <t>0812 8088 0355</t>
  </si>
  <si>
    <t>Sr. Marthina, CJD (Pimpinan)</t>
  </si>
  <si>
    <t>082232386864</t>
  </si>
  <si>
    <t>Ibu Mikas</t>
  </si>
  <si>
    <t>0877 7797 4134</t>
  </si>
  <si>
    <t>Sr. Clement</t>
  </si>
  <si>
    <t xml:space="preserve"> 0812 9788 6358</t>
  </si>
  <si>
    <t>Bpk. Bambang/Ibu Marlene</t>
  </si>
  <si>
    <t>0812 9543 7887 / 0816 1154 740</t>
  </si>
  <si>
    <t>Bpk. Brata</t>
  </si>
  <si>
    <t>0812 1800 3277</t>
  </si>
  <si>
    <t>Ibu Magdalena</t>
  </si>
  <si>
    <t>081315981033</t>
  </si>
  <si>
    <t>Yeremia</t>
  </si>
  <si>
    <t>085523710112</t>
  </si>
  <si>
    <t>Ibu Jeli</t>
  </si>
  <si>
    <t>0812 1850 6603</t>
  </si>
  <si>
    <t>Pdt. Samuel/Ibu Lili</t>
  </si>
  <si>
    <t>0813 1134 5152 / 0878 7730 3013</t>
  </si>
  <si>
    <t>Ibu Weisye</t>
  </si>
  <si>
    <t>021740 5720</t>
  </si>
  <si>
    <t>Ibu Verasanti</t>
  </si>
  <si>
    <t>0821 1271 8799</t>
  </si>
  <si>
    <t>Ibu Au</t>
  </si>
  <si>
    <t>0822 6090 9334</t>
  </si>
  <si>
    <t>Sr.Agustine</t>
  </si>
  <si>
    <t>0858 4699 0320</t>
  </si>
  <si>
    <t>Ibu Heidi</t>
  </si>
  <si>
    <t>0813 1096 5855</t>
  </si>
  <si>
    <t>Ibu Ika (Admin)</t>
  </si>
  <si>
    <t>0818 113 389</t>
  </si>
  <si>
    <t>Ibu Anna</t>
  </si>
  <si>
    <t>081383133170</t>
  </si>
  <si>
    <t>Sr. Josie, PK</t>
  </si>
  <si>
    <t>0813 8791 3511</t>
  </si>
  <si>
    <t>Bpk. Gideon</t>
  </si>
  <si>
    <t>0811 9515 799</t>
  </si>
  <si>
    <t>Sr. Atanasia/Bu Erna</t>
  </si>
  <si>
    <t>0813 7522 7897 / 0813 3308 4878</t>
  </si>
  <si>
    <t>Sr. Yasintha</t>
  </si>
  <si>
    <t>021 8450269, 0812 1197 3957</t>
  </si>
  <si>
    <t>mike &amp; Je Hilliard</t>
  </si>
  <si>
    <t>0811 855 613 / 0812 8405 3255</t>
  </si>
  <si>
    <t>Ibu Kristanti</t>
  </si>
  <si>
    <t>0821 1333 2087</t>
  </si>
  <si>
    <t>Ibu Rini (Sekretariat)</t>
  </si>
  <si>
    <t>021 3909733</t>
  </si>
  <si>
    <t>Ibu Lian</t>
  </si>
  <si>
    <t>021 8520227</t>
  </si>
  <si>
    <t>Sr. Ester</t>
  </si>
  <si>
    <t>0813 1567 2350</t>
  </si>
  <si>
    <t>KOMUNITAS ALMA Siantar, Jl. Suka Mulia Pematang Siantar, Kota Pematang Siantar, no. Telp 0622 431807</t>
  </si>
  <si>
    <t>0813 3484 3332</t>
  </si>
  <si>
    <t xml:space="preserve">Jl. Padat Karya No.92, Sempaja Sel., Kec. Samarinda U ara,
Kota Samarinda, Kalimantan Timur 75119
</t>
  </si>
  <si>
    <t>0852.4692.6070, 081348227701</t>
  </si>
  <si>
    <t>J I. Rimba No.14, Karang Anyar, Kec. Sungai Kunjang, K ta</t>
  </si>
  <si>
    <t>081347036888</t>
  </si>
  <si>
    <t>Jl AW syahranie perum ratindo raya 1 blok e no 10
Samarinda, kalimantan Timur 75243</t>
  </si>
  <si>
    <t>082149720270</t>
  </si>
  <si>
    <t>Bpk. Henrico Sjambastian Singal &amp; Bpk. Jeffry   0813-2839-3561</t>
  </si>
  <si>
    <t>Seminari</t>
  </si>
  <si>
    <t>Jumlah Anak</t>
  </si>
  <si>
    <t>Panti Asuhan</t>
  </si>
  <si>
    <t>Panti Jompo / Werda</t>
  </si>
  <si>
    <t>Panti Jompo / Werda &amp; Panti Asuhan</t>
  </si>
  <si>
    <t>Yayasan</t>
  </si>
  <si>
    <t>Sangatta, Binungan-Kalimantan Timur</t>
  </si>
  <si>
    <t>Emrinson J Napitu</t>
  </si>
  <si>
    <t>Non Rutin (1x)</t>
  </si>
  <si>
    <t>Rutin</t>
  </si>
  <si>
    <t>Masa berlaku Proposal</t>
  </si>
  <si>
    <t>Loa Janan, kalimantan Timur</t>
  </si>
  <si>
    <t>Pembelian Voucher  Belanja Digital Alfamart untuk Donasi  Rutin 27 Panti Asuhan dan Jompo  Periode Januari 2023</t>
  </si>
  <si>
    <t>Belanja Rutin Panti Asuhan dan Jompo minggu ke 2 Periode Jan' 23 (Panti Asuhan Permata Hati  &amp; Panti Asuhan P. Anak Calvary)</t>
  </si>
  <si>
    <t>Konsuumsi Latihan untuk Panti Asuhan Hati Bangsa &amp; Vincentius Putri (Perayaan Natala PAMA Group tahun 2022)</t>
  </si>
  <si>
    <t>017/PP/YKP/I/23</t>
  </si>
  <si>
    <t>018/PP/YKP/I/23</t>
  </si>
  <si>
    <t>019/PP/YKP/I/23</t>
  </si>
  <si>
    <t>Panti Asuhan Hati Bangsa &amp; Vincentius Putri</t>
  </si>
  <si>
    <t>YARDIN - Selpia Yuni</t>
  </si>
  <si>
    <t>SEKRETARIAT PANITIA PENGEMBANGAN DAN PEMBANGUNAN GEREJA KATOLIK SANTA MARIA WILAYAH JATISRONO PAROKI SANTO YOHANES RASUL WONOGIRI RT. 001 RW. 001 Desa Jatisrono Kecamatan Jatisrono Kabupaten Wonogiri Provinsi Jawa Tengah – 57691 Email: yohanesrasul_wonogiri@yahoo.com</t>
  </si>
  <si>
    <t>Laitaku - Sumba</t>
  </si>
  <si>
    <t>Katiku Tana - Sumba Tmr</t>
  </si>
  <si>
    <t>Laboya Barat -Sumba Barat</t>
  </si>
  <si>
    <t>Kodi Utara Sumba Barat</t>
  </si>
  <si>
    <t>Waingapu - Sumba Timur</t>
  </si>
  <si>
    <t>Site KPCB</t>
  </si>
  <si>
    <t>Desa Cipta Graha - Kutai Timur</t>
  </si>
  <si>
    <t xml:space="preserve"> 0812-2661-1166</t>
  </si>
  <si>
    <t>0821 4579 9393</t>
  </si>
  <si>
    <t>0822 3573 4394</t>
  </si>
  <si>
    <t>0812 5321 5455 / 0853 4832 1568</t>
  </si>
  <si>
    <t>081353604268</t>
  </si>
  <si>
    <t>085333268993</t>
  </si>
  <si>
    <t>085239831339</t>
  </si>
  <si>
    <t xml:space="preserve">JOSUA DEWA GEDE CHP </t>
  </si>
  <si>
    <t>Herman Horonyanyi (Ketua Panitia Pembangunan)</t>
  </si>
  <si>
    <t xml:space="preserve">Pdt.Jera Anambunga (Pendeta gereja pusat GKS Kanggar) </t>
  </si>
  <si>
    <t xml:space="preserve">P.Stefanus Rehi Mete CSsR WA </t>
  </si>
  <si>
    <t>Pdt. Ganda Sihombing</t>
  </si>
  <si>
    <t>Vik.Siman Marselinus Domu Wulang.S.Th (Bendahara Panitia ) Email : simandomuwulang25@gmail.com</t>
  </si>
  <si>
    <t>Romo Yosafat Dhani Puspantoro, Pr : (WA) (Pastor Paroki Santo Yohanes Rasul Wonogiri) / Albertus Eko Puji Haryanto  (Ketua Panitia Pembangunan) /  Yosep Hermanius  (Bendahara Panitia Pembangunan)</t>
  </si>
  <si>
    <t>0856-4383-7371 /  0815-4858-6231 /  0812-2593-5588</t>
  </si>
  <si>
    <t>Ibu Pendeta Yoahana Larudjawa, HP</t>
  </si>
  <si>
    <t>0821-4557-0096</t>
  </si>
  <si>
    <t>Desa Damabagata distrik digi timurkabupaten deiyaipropinsi papua</t>
  </si>
  <si>
    <t>RM Agus Setiyono Sj  Irian</t>
  </si>
  <si>
    <t>081399252142</t>
  </si>
  <si>
    <t>Romo Anton</t>
  </si>
  <si>
    <t>085336361619</t>
  </si>
  <si>
    <t>Romo Frans Suandi</t>
  </si>
  <si>
    <t>081350091889</t>
  </si>
  <si>
    <t>Romo Imanuel Stg</t>
  </si>
  <si>
    <t>081233487736</t>
  </si>
  <si>
    <t>Romo Simo Bjm</t>
  </si>
  <si>
    <t>08125013399</t>
  </si>
  <si>
    <t>Romo Save Verry</t>
  </si>
  <si>
    <t>Tanjung Selor</t>
  </si>
  <si>
    <t>085787389612</t>
  </si>
  <si>
    <t>Romo Antonius Rao Z, CSsR</t>
  </si>
  <si>
    <t>081329374866</t>
  </si>
  <si>
    <t>0853-9209-5930</t>
  </si>
  <si>
    <t>0813-2839-3561</t>
  </si>
  <si>
    <t>0852-1847-3332</t>
  </si>
  <si>
    <t>Sefourdinan</t>
  </si>
  <si>
    <t>0812-9367-0541</t>
  </si>
  <si>
    <t>0812-5371-5905</t>
  </si>
  <si>
    <t>Deni</t>
  </si>
  <si>
    <t>Albeth Yuan Wijaya</t>
  </si>
  <si>
    <t>0812-2877-7846</t>
  </si>
  <si>
    <t>0852-2802-3690</t>
  </si>
  <si>
    <t>Dedy</t>
  </si>
  <si>
    <t>0813-5169-2569</t>
  </si>
  <si>
    <t>ANDREAS BONI TRESNANTO</t>
  </si>
  <si>
    <t>0 813-4754-8809</t>
  </si>
  <si>
    <t>0853-3258-7358</t>
  </si>
  <si>
    <t>Digo</t>
  </si>
  <si>
    <t>0811-3033-093</t>
  </si>
  <si>
    <t>Andi Yuliius</t>
  </si>
  <si>
    <t>0852-5008-7825</t>
  </si>
  <si>
    <t>Christian</t>
  </si>
  <si>
    <t>Brian</t>
  </si>
  <si>
    <t>0821-5022-0979</t>
  </si>
  <si>
    <t>Asnov Indriyanto</t>
  </si>
  <si>
    <t>0812-5126-602</t>
  </si>
  <si>
    <t>Zyn</t>
  </si>
  <si>
    <t>0821-1231-6664</t>
  </si>
  <si>
    <t>Romo Lorenzo Hellie</t>
  </si>
  <si>
    <t>081258912917</t>
  </si>
  <si>
    <t>Romo FloribertusYoseph s</t>
  </si>
  <si>
    <t>Pastor Alfonsus Kladen Arisang,Pr</t>
  </si>
  <si>
    <t>Altira Business Park Blok D09-D10, Jl. Yos Sudarso Kav 85, Sunter, Jakarta Utara 14350</t>
  </si>
  <si>
    <t>021.2188.2309 / 081211273553</t>
  </si>
  <si>
    <t>P Leonardus L. Hoaratan, C.Ss.R</t>
  </si>
  <si>
    <t>Jalan Jendral Sudirman (Komplek Gereja KSK Bukit Meriam) Kelurahan Morgo Distrik Nabire Kabupaten Nabire Provinsi Papua, Kode Pos 98811</t>
  </si>
  <si>
    <t>JLN. IL KAPTEN, DEBUBOT, FATUBAA-TASIFETO TIMUR, BELU-TIMOR, NTT 85711</t>
  </si>
  <si>
    <t>Rm. Antonius Kapitan, Pr : Pembina Yayasan</t>
  </si>
  <si>
    <t>Romo Yohanes Krismanto Pr</t>
  </si>
  <si>
    <t>(024) – 3566143 | Fax : (024) - 3566049</t>
  </si>
  <si>
    <t>Pdt. Marlon R Wowor, S, Th</t>
  </si>
  <si>
    <t>Jl. AW Syahrani RT.10, Desa Bukit Makmur</t>
  </si>
  <si>
    <t>085250729324 / 085345220553</t>
  </si>
  <si>
    <t>kaliorang</t>
  </si>
  <si>
    <t>Romo Paroki P Leonardus Laka Hoaratan, C.Ss.R</t>
  </si>
  <si>
    <t>Kutai barat, Kalimantan Timur</t>
  </si>
  <si>
    <t>Jakarta</t>
  </si>
  <si>
    <t>Palangka Raya</t>
  </si>
  <si>
    <t>Barito Utara</t>
  </si>
  <si>
    <t>Batu kajang, Kalimantan Timur</t>
  </si>
  <si>
    <t>ASTOL WESLEY KADOENA / Eng</t>
  </si>
  <si>
    <t>Sumatera Selatan</t>
  </si>
  <si>
    <t>Indo</t>
  </si>
  <si>
    <t>Kutai Timur, Bontang - kalimantan Timur</t>
  </si>
  <si>
    <t>Pembelian 4 Tiang Penyanggah  Angklung u/ 2 Panti Asuhan sebagai kado Natal  + Ongkir</t>
  </si>
  <si>
    <t>Belanja Rutin Panti Asuhan dan Jompo minggu ke 3 Periode Jan' 23 (Yayasan Gerasa  &amp; Panti Asuhan Rumah Shalom)</t>
  </si>
  <si>
    <t>020/PP/YKP/I/23</t>
  </si>
  <si>
    <t>021/PP/YKP/I/23</t>
  </si>
  <si>
    <t>Jln. Tjilik Riwut KM.1. no 5 Kompleks Gereja Katedral Santa Maria Palangka Raya- Kalimantan Tengah</t>
  </si>
  <si>
    <t>Romo Romanus Romas</t>
  </si>
  <si>
    <t>081215168997</t>
  </si>
  <si>
    <t>Palangkaraya</t>
  </si>
  <si>
    <t>Jl. Jend Sudirman No.4, Banjarmasin 70114, Kalimantan Selatan</t>
  </si>
  <si>
    <t>Kalimantan Selatan</t>
  </si>
  <si>
    <t>Pdt. Enta Malasinta L, D.Th</t>
  </si>
  <si>
    <t>0813-1403-6570</t>
  </si>
  <si>
    <t>Kompleks Pastoral Bina Utama, Jl.Gatot Subroto No.36, Payak Kumang, Ketapang– Kalimantan Barat</t>
  </si>
  <si>
    <t>Ketapang, Kalimantan Barat</t>
  </si>
  <si>
    <t>Jl. Danau Jempang, RT.V, No. 52, Kelurahan Pamusian, Tarakan Tengah, Kota Tarakan, Kaltara</t>
  </si>
  <si>
    <t>Jl. Merdeka Selatan No. 1 Sekadau Hilir 78582.</t>
  </si>
  <si>
    <t>Banjarmasin</t>
  </si>
  <si>
    <t>Jl. Gatot Subroto No.10, Banjarmasin 70235</t>
  </si>
  <si>
    <t>Singkawang , Kalimantan Barat</t>
  </si>
  <si>
    <t>Persekolahan katolik Nyarumkop,  singkawang timur 79251</t>
  </si>
  <si>
    <t>Sintang, Kalimantan Barat</t>
  </si>
  <si>
    <t>Jl. Teluk Menyurai No. 102, sintang, kelurahan tanjung puri, kalimantan barat</t>
  </si>
  <si>
    <t>Yogyakarta</t>
  </si>
  <si>
    <t>Bengalon</t>
  </si>
  <si>
    <t>Sekurau atas</t>
  </si>
  <si>
    <t>Kalimantan</t>
  </si>
  <si>
    <t>Bapak R Supriyono. S. Pd</t>
  </si>
  <si>
    <t>Watuagung RT. 02/RW.03, Desa Kelurahan Watuagung, Kec.Baturetnao, kabupaten wonogiri</t>
  </si>
  <si>
    <t>Wonogiri</t>
  </si>
  <si>
    <t>081393465676</t>
  </si>
  <si>
    <t>Sumbangan Duka Alm.Pak Zynn</t>
  </si>
  <si>
    <t>Pembangunan Asrama Gerasa</t>
  </si>
  <si>
    <t>Belanja Rutin Panti Asuhan dan Jompo minggu ke 4 Periode Jan' 23 (Panti Asuhan Felicia Agel Kids  &amp; Panti Asuhan Taman Fioreti)</t>
  </si>
  <si>
    <t>022/PP/YKP/I/23</t>
  </si>
  <si>
    <t>023/PP/YKP/I/23</t>
  </si>
  <si>
    <t>024/PP/YKP/I/23</t>
  </si>
  <si>
    <t>Pertahun</t>
  </si>
  <si>
    <t>Perbulan</t>
  </si>
  <si>
    <t>Per Tahun</t>
  </si>
  <si>
    <t xml:space="preserve">Jumlah siswa </t>
  </si>
  <si>
    <t>Renovasi Gereja &amp; Asrama</t>
  </si>
  <si>
    <t>Konsumsi Latihan untuk Panti Asuhan Hati Bangsa &amp; Vincentius Putri (Perayaan Natala PAMA Group tahun 2022)</t>
  </si>
  <si>
    <t>Guru - Guru</t>
  </si>
  <si>
    <t>KOMPLEX PERGUDANGAN PLUIT</t>
  </si>
  <si>
    <t>RAWA INDAH RT17 RW 04 NO 26 KAPUK MUARA</t>
  </si>
  <si>
    <t>KOLONG TOLL KALIJODOH</t>
  </si>
  <si>
    <t>KAMPUNG BAYAM , JL.RE.MARTADINATA ,TANJUNGPRIOK</t>
  </si>
  <si>
    <t>KOLONG TOLL PETAK SENG ,KALIJODOH</t>
  </si>
  <si>
    <t>Anggiat Manulang</t>
  </si>
  <si>
    <t>Mundun</t>
  </si>
  <si>
    <t>Kresep</t>
  </si>
  <si>
    <t>Ceriak</t>
  </si>
  <si>
    <t>Moling</t>
  </si>
  <si>
    <t>Siran</t>
  </si>
  <si>
    <t>kelingking</t>
  </si>
  <si>
    <t>Traju</t>
  </si>
  <si>
    <t>TANJUNG PRIOK</t>
  </si>
  <si>
    <t>Pengawas</t>
  </si>
  <si>
    <t>Kambala, Desa Walla Ndimu, Kec. Kodi Bangedo</t>
  </si>
  <si>
    <t>Desa Walla Ndimu, Kec. Kodi Bangedo</t>
  </si>
  <si>
    <t>Nov' 22</t>
  </si>
  <si>
    <t>Sept' 22</t>
  </si>
  <si>
    <t>081319878357</t>
  </si>
  <si>
    <t>'089637019054</t>
  </si>
  <si>
    <t>081289412591</t>
  </si>
  <si>
    <t>081217568109</t>
  </si>
  <si>
    <t>081316516042</t>
  </si>
  <si>
    <t>085211824856</t>
  </si>
  <si>
    <t>082312529900</t>
  </si>
  <si>
    <t>082352665883</t>
  </si>
  <si>
    <t>081282353087</t>
  </si>
  <si>
    <t>082310582810</t>
  </si>
  <si>
    <t>082180884708 </t>
  </si>
  <si>
    <t>085314798876</t>
  </si>
  <si>
    <t>081210614128</t>
  </si>
  <si>
    <t>082210420360</t>
  </si>
  <si>
    <t>082315598882</t>
  </si>
  <si>
    <t>081348470519</t>
  </si>
  <si>
    <t>085275840362</t>
  </si>
  <si>
    <t>082210615345</t>
  </si>
  <si>
    <t>085373134306</t>
  </si>
  <si>
    <t>Agst' 22</t>
  </si>
  <si>
    <t>Ibu Pendeta Yoahana Larudjawa</t>
  </si>
  <si>
    <t>082145570096</t>
  </si>
  <si>
    <t>Sumba</t>
  </si>
  <si>
    <t>025/PP/YKP/I/23</t>
  </si>
  <si>
    <t>026/PP/YKP/I/23</t>
  </si>
  <si>
    <t xml:space="preserve"> jl. Monjali 48C, Nandan-Gemawang, Seleman - Yogyakarta</t>
  </si>
  <si>
    <t>TOTAL baAK YbaG DIBbaTU SEJAK 2019</t>
  </si>
  <si>
    <t>Bbatuba baak Asuh</t>
  </si>
  <si>
    <t>Pbati Asuhba / Jompo</t>
  </si>
  <si>
    <t>Bbatuba Renovasi Gereja</t>
  </si>
  <si>
    <t>Sumbbagba Duka</t>
  </si>
  <si>
    <t>Donasi Pendidikba Seminari</t>
  </si>
  <si>
    <t>TOTAL baAK ASUH YbaG DIBbaTU SEJAK 2019</t>
  </si>
  <si>
    <t>Bantuan SPP Anak Asuh Site INDO Periode Februari 2023</t>
  </si>
  <si>
    <t>Donasi Panti Asuhan Bhakti Luhur Susteran Alma Periode Februari 2023</t>
  </si>
  <si>
    <t>Donasi Guru-Guru Sekolah Pondok Domba Periode Februari 2023</t>
  </si>
  <si>
    <t>Donasi Rumah Studi Calon Imam Kongregasi Sang Penebus Mahakudus C.Ss.R Periode Februari 2023</t>
  </si>
  <si>
    <t>Donasi untuk Seminari Menengah Raja Damai Keuskupan Palangkaraya. Periode Februari 2023</t>
  </si>
  <si>
    <t>Donasi Seminari Menengah Pasionis St. Gabriel Sekadau Keuskupan Sanggau Periode Februari 2023</t>
  </si>
  <si>
    <t>Donasi untuk Seminari Menengah Santo Petrus Keuskupan Banjarmasin Periode Februari 2023</t>
  </si>
  <si>
    <t>Donasi untuk Seminari Menengah St Yohanes Maria Vianney Keuskupan Sintang Periode Februari 2023</t>
  </si>
  <si>
    <t>Donasi untuk 17 Guru Yayasan Rumah Damai Indonesia (YARDIN) Kal-Bar Periode Februari 2023</t>
  </si>
  <si>
    <t>Bantuan Donasi Kebutuhan Bahan Pokok asrama Putri &amp; Putra Semester Ganjil Sekolah Tinggi Teologi Gereja Kalimantan Evangelis, Banjarmasin Periode Februari 2023</t>
  </si>
  <si>
    <t>Bantuan donasi honor 4 guru PAUD di GKS Periode Februari 2023</t>
  </si>
  <si>
    <t>Bantuan Anak Asuh Site TCMM Periode Oktober - Februari 2023</t>
  </si>
  <si>
    <t>Pembelian Voucher  Belanja Digital Alfamart untuk Donasi  Rutin 27 Panti Asuhan dan Jompo  Periode Februari 2023</t>
  </si>
  <si>
    <t>Belanja Rutin Panti Asuhan dan Jompo minggu ke 2 Periode Feb' 23 (Panti Asuhan Vincentius Putri  &amp; Panti Asuhan Parapattan)</t>
  </si>
  <si>
    <t>Donasi Yatim Piatu Site ABKL Periode Februari 2023</t>
  </si>
  <si>
    <t>Donasi untuk Yayasan Kristus Sahabat Kita, Nabire- Papua Periode Jan' 23 (Operational Sekolah Paket A/B/C untuk  110 Siswa dan 50 anak Panti)</t>
  </si>
  <si>
    <t>027/PP/YKP/II/23</t>
  </si>
  <si>
    <t>028/PP/YKP/II/23</t>
  </si>
  <si>
    <t>029/PP/YKP/II/23</t>
  </si>
  <si>
    <t>030/PP/YKP/II/23</t>
  </si>
  <si>
    <t>031/PP/YKP/II/23</t>
  </si>
  <si>
    <t>032/PP/YKP/II/23</t>
  </si>
  <si>
    <t>033/PP/YKP/II/23</t>
  </si>
  <si>
    <t>034/PP/YKP/II/23</t>
  </si>
  <si>
    <t>035/PP/YKP/II/23</t>
  </si>
  <si>
    <t>036/PP/YKP/II/23</t>
  </si>
  <si>
    <t>037/PP/YKP/II/23</t>
  </si>
  <si>
    <t>038/PP/YKP/II/23</t>
  </si>
  <si>
    <t>039/PP/YKP/II/23</t>
  </si>
  <si>
    <t>040/PP/YKP/II/23</t>
  </si>
  <si>
    <t>041/PP/YKP/II/23</t>
  </si>
  <si>
    <t>042/PP/YKP/II/23</t>
  </si>
  <si>
    <t xml:space="preserve">                         </t>
  </si>
  <si>
    <t>Donasi Sembako untuk Yayasan Sosial Tangan Kasih ( baksos)</t>
  </si>
  <si>
    <t>043/PP/YKP/II/23</t>
  </si>
  <si>
    <t>Guru - Guru GKS</t>
  </si>
  <si>
    <t>Jogyakarta</t>
  </si>
  <si>
    <t>8 unit Jemuran Stenless steel untuk Panti Asuhan Parapattan</t>
  </si>
  <si>
    <t>pembayaran PPH 21 karyawan YKP periode Jan 2023</t>
  </si>
  <si>
    <t>044/PP/YKP/II/23</t>
  </si>
  <si>
    <t>045/PP/YKP/II/23</t>
  </si>
  <si>
    <t>046/PP/YKP/II/23</t>
  </si>
  <si>
    <t>Sponsorship Silver “TWELEVATE” Music Concert, Yayasan Prima Unggul</t>
  </si>
  <si>
    <t>Donasi Bencana Gempa Bumi Cianjur</t>
  </si>
  <si>
    <t>047/PP/YKP/II/23</t>
  </si>
  <si>
    <t>048/PP/YKP/II/23</t>
  </si>
  <si>
    <t>Rarra</t>
  </si>
  <si>
    <t>Yayasan Perima Unggul</t>
  </si>
  <si>
    <t>`1234567890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</si>
</sst>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_(* \(#,##0.00\);_(* &quot;-&quot;??_);_(@_)"/>
    <numFmt numFmtId="164" formatCode="_-&quot;Rp&quot;* #,##0_-;\-&quot;Rp&quot;* #,##0_-;_-&quot;Rp&quot;* &quot;-&quot;_-;_-@_-"/>
    <numFmt numFmtId="165" formatCode="_-* #,##0_-;\-* #,##0_-;_-* &quot;-&quot;_-;_-@_-"/>
    <numFmt numFmtId="166" formatCode="_-* #,##0.00_-;\-* #,##0.00_-;_-* &quot;-&quot;??_-;_-@_-"/>
    <numFmt numFmtId="167" formatCode="[$-421]dd\ mmmm\ yyyy;@"/>
    <numFmt numFmtId="168" formatCode="&quot;Rp&quot;#,##0"/>
    <numFmt numFmtId="169" formatCode="_(* #,##0_);_(* \(#,##0\);_(* &quot;-&quot;??_);_(@_)"/>
    <numFmt numFmtId="170" formatCode="[$-421]General"/>
    <numFmt numFmtId="171" formatCode="_-[$Rp-421]* #,##0_-;\-[$Rp-421]* #,##0_-;_-[$Rp-421]* &quot;-&quot;??_-;_-@_-"/>
    <numFmt numFmtId="172" formatCode="0.0"/>
  </numFmts>
  <fonts count="103" x14ac:knownFonts="1">
    <font>
      <sz val="11"/>
      <name val="Calibri"/>
      <family val="2"/>
      <scheme val="minor"/>
    </font>
    <font>
      <sz val="8"/>
      <name val="Arial"/>
      <family val="2"/>
    </font>
    <font>
      <sz val="20"/>
      <color theme="5" tint="-0.24994659260841701"/>
      <name val="Cambria"/>
      <family val="1"/>
      <scheme val="major"/>
    </font>
    <font>
      <b/>
      <sz val="11"/>
      <name val="Calibri"/>
      <family val="2"/>
      <scheme val="minor"/>
    </font>
    <font>
      <sz val="11"/>
      <name val="Calibri"/>
      <family val="2"/>
      <scheme val="minor"/>
    </font>
    <font>
      <sz val="9"/>
      <color indexed="81"/>
      <name val="Tahoma"/>
      <family val="2"/>
    </font>
    <font>
      <b/>
      <sz val="9"/>
      <color indexed="81"/>
      <name val="Tahoma"/>
      <family val="2"/>
    </font>
    <font>
      <b/>
      <sz val="12"/>
      <name val="Cambria"/>
      <family val="1"/>
      <scheme val="major"/>
    </font>
    <font>
      <sz val="12"/>
      <name val="Cambria"/>
      <family val="1"/>
      <scheme val="major"/>
    </font>
    <font>
      <sz val="8"/>
      <name val="Calibri"/>
      <family val="2"/>
      <scheme val="minor"/>
    </font>
    <font>
      <b/>
      <sz val="20"/>
      <color theme="5" tint="-0.24994659260841701"/>
      <name val="Cambria"/>
      <family val="1"/>
      <scheme val="major"/>
    </font>
    <font>
      <i/>
      <sz val="10"/>
      <color rgb="FFC00000"/>
      <name val="Cambria"/>
      <family val="1"/>
      <scheme val="major"/>
    </font>
    <font>
      <b/>
      <u/>
      <sz val="11"/>
      <color rgb="FF0070C0"/>
      <name val="Cambria"/>
      <family val="1"/>
      <scheme val="major"/>
    </font>
    <font>
      <b/>
      <u/>
      <sz val="11"/>
      <name val="Cambria"/>
      <family val="1"/>
      <scheme val="major"/>
    </font>
    <font>
      <sz val="11"/>
      <name val="Cambria"/>
      <family val="1"/>
      <scheme val="major"/>
    </font>
    <font>
      <b/>
      <u/>
      <sz val="11"/>
      <color theme="6" tint="-0.249977111117893"/>
      <name val="Cambria"/>
      <family val="1"/>
      <scheme val="major"/>
    </font>
    <font>
      <b/>
      <sz val="11"/>
      <name val="Cambria"/>
      <family val="1"/>
      <scheme val="major"/>
    </font>
    <font>
      <b/>
      <sz val="10"/>
      <color theme="0" tint="-4.9989318521683403E-2"/>
      <name val="Cambria"/>
      <family val="1"/>
      <scheme val="major"/>
    </font>
    <font>
      <sz val="11"/>
      <color theme="0" tint="-4.9989318521683403E-2"/>
      <name val="Cambria"/>
      <family val="1"/>
      <scheme val="major"/>
    </font>
    <font>
      <i/>
      <sz val="10"/>
      <color theme="0" tint="-4.9989318521683403E-2"/>
      <name val="Cambria"/>
      <family val="1"/>
      <scheme val="major"/>
    </font>
    <font>
      <sz val="11"/>
      <color theme="0" tint="-4.9989318521683403E-2"/>
      <name val="Calibri"/>
      <family val="2"/>
      <scheme val="minor"/>
    </font>
    <font>
      <b/>
      <sz val="11"/>
      <color theme="3" tint="0.39997558519241921"/>
      <name val="Cambria"/>
      <family val="1"/>
      <scheme val="major"/>
    </font>
    <font>
      <b/>
      <sz val="11"/>
      <color theme="0"/>
      <name val="Calibri"/>
      <family val="2"/>
      <scheme val="minor"/>
    </font>
    <font>
      <i/>
      <sz val="11"/>
      <name val="Calibri"/>
      <family val="2"/>
      <scheme val="minor"/>
    </font>
    <font>
      <b/>
      <sz val="11"/>
      <color theme="6" tint="-0.249977111117893"/>
      <name val="Cambria"/>
      <family val="1"/>
      <scheme val="major"/>
    </font>
    <font>
      <b/>
      <sz val="11"/>
      <color rgb="FF0070C0"/>
      <name val="Cambria"/>
      <family val="1"/>
      <scheme val="major"/>
    </font>
    <font>
      <b/>
      <sz val="12"/>
      <name val="Cambria"/>
      <family val="1"/>
      <charset val="1"/>
      <scheme val="major"/>
    </font>
    <font>
      <b/>
      <sz val="12"/>
      <name val="Calibri"/>
      <family val="2"/>
      <charset val="1"/>
      <scheme val="minor"/>
    </font>
    <font>
      <b/>
      <i/>
      <sz val="11"/>
      <name val="Calibri"/>
      <family val="2"/>
      <scheme val="minor"/>
    </font>
    <font>
      <b/>
      <sz val="14"/>
      <name val="Calibri"/>
      <family val="2"/>
      <scheme val="minor"/>
    </font>
    <font>
      <sz val="14"/>
      <name val="Calibri"/>
      <family val="2"/>
      <scheme val="minor"/>
    </font>
    <font>
      <i/>
      <sz val="14"/>
      <name val="Calibri"/>
      <family val="2"/>
      <scheme val="minor"/>
    </font>
    <font>
      <b/>
      <sz val="14"/>
      <color theme="0"/>
      <name val="Calibri"/>
      <family val="2"/>
      <scheme val="minor"/>
    </font>
    <font>
      <b/>
      <sz val="16"/>
      <name val="Calibri"/>
      <family val="2"/>
      <scheme val="minor"/>
    </font>
    <font>
      <i/>
      <sz val="16"/>
      <name val="Calibri"/>
      <family val="2"/>
      <scheme val="minor"/>
    </font>
    <font>
      <b/>
      <sz val="16"/>
      <color theme="0"/>
      <name val="Calibri"/>
      <family val="2"/>
      <scheme val="minor"/>
    </font>
    <font>
      <sz val="14"/>
      <color theme="0" tint="-0.14999847407452621"/>
      <name val="Calibri"/>
      <family val="2"/>
      <scheme val="minor"/>
    </font>
    <font>
      <sz val="11"/>
      <color theme="0"/>
      <name val="Cambria"/>
      <family val="1"/>
      <scheme val="major"/>
    </font>
    <font>
      <b/>
      <sz val="11"/>
      <color theme="0"/>
      <name val="Cambria"/>
      <family val="1"/>
      <scheme val="major"/>
    </font>
    <font>
      <b/>
      <sz val="16"/>
      <name val="Cambria"/>
      <family val="1"/>
      <scheme val="major"/>
    </font>
    <font>
      <b/>
      <i/>
      <sz val="12"/>
      <name val="Cambria"/>
      <family val="1"/>
      <scheme val="major"/>
    </font>
    <font>
      <sz val="12"/>
      <color rgb="FFFF0000"/>
      <name val="Cambria"/>
      <family val="1"/>
      <scheme val="major"/>
    </font>
    <font>
      <sz val="12"/>
      <color theme="3" tint="0.39997558519241921"/>
      <name val="Cambria"/>
      <family val="1"/>
      <scheme val="major"/>
    </font>
    <font>
      <sz val="12"/>
      <color rgb="FF009999"/>
      <name val="Cambria"/>
      <family val="1"/>
      <scheme val="major"/>
    </font>
    <font>
      <b/>
      <sz val="12"/>
      <color rgb="FFFF0000"/>
      <name val="Cambria"/>
      <family val="1"/>
      <scheme val="major"/>
    </font>
    <font>
      <sz val="12"/>
      <color theme="1"/>
      <name val="Cambria"/>
      <family val="1"/>
      <scheme val="major"/>
    </font>
    <font>
      <sz val="16"/>
      <name val="Cambria"/>
      <family val="1"/>
      <scheme val="major"/>
    </font>
    <font>
      <b/>
      <sz val="16"/>
      <color rgb="FFFF0000"/>
      <name val="Calibri"/>
      <family val="2"/>
      <scheme val="minor"/>
    </font>
    <font>
      <i/>
      <sz val="20"/>
      <name val="Calibri"/>
      <family val="2"/>
      <scheme val="minor"/>
    </font>
    <font>
      <sz val="12"/>
      <name val="Cambria"/>
      <family val="1"/>
      <scheme val="major"/>
    </font>
    <font>
      <b/>
      <sz val="12"/>
      <name val="Cambria"/>
      <family val="1"/>
      <scheme val="major"/>
    </font>
    <font>
      <sz val="11"/>
      <color theme="1"/>
      <name val="Cambria"/>
      <family val="1"/>
      <scheme val="major"/>
    </font>
    <font>
      <sz val="11"/>
      <color rgb="FF000000"/>
      <name val="Calibri"/>
      <family val="2"/>
    </font>
    <font>
      <b/>
      <sz val="16"/>
      <color rgb="FF002060"/>
      <name val="Calibri"/>
      <family val="2"/>
      <scheme val="minor"/>
    </font>
    <font>
      <sz val="14"/>
      <color rgb="FFFF0000"/>
      <name val="Calibri"/>
      <family val="2"/>
      <scheme val="minor"/>
    </font>
    <font>
      <sz val="12"/>
      <color rgb="FF000000"/>
      <name val="Calibri"/>
      <family val="2"/>
    </font>
    <font>
      <sz val="12"/>
      <name val="Cambria"/>
      <family val="1"/>
    </font>
    <font>
      <sz val="16"/>
      <name val="Cambria"/>
      <family val="1"/>
      <scheme val="major"/>
    </font>
    <font>
      <b/>
      <sz val="12"/>
      <name val="Calibri"/>
      <family val="2"/>
    </font>
    <font>
      <b/>
      <sz val="12"/>
      <color rgb="FFFF0000"/>
      <name val="Calibri"/>
      <family val="2"/>
    </font>
    <font>
      <sz val="12"/>
      <color rgb="FFFF0000"/>
      <name val="Cambria"/>
      <family val="1"/>
    </font>
    <font>
      <sz val="12"/>
      <color rgb="FF000000"/>
      <name val="Cambria"/>
      <family val="1"/>
    </font>
    <font>
      <b/>
      <sz val="22"/>
      <color rgb="FFFF0000"/>
      <name val="Cambria"/>
      <family val="1"/>
      <charset val="1"/>
      <scheme val="major"/>
    </font>
    <font>
      <b/>
      <sz val="12"/>
      <color rgb="FFFF0000"/>
      <name val="Cambria"/>
      <family val="1"/>
      <charset val="1"/>
      <scheme val="major"/>
    </font>
    <font>
      <sz val="11"/>
      <color theme="1"/>
      <name val="Calibri"/>
      <family val="2"/>
      <scheme val="minor"/>
    </font>
    <font>
      <sz val="11"/>
      <color indexed="8"/>
      <name val="Calibri"/>
      <family val="2"/>
    </font>
    <font>
      <b/>
      <sz val="9"/>
      <color rgb="FF000000"/>
      <name val="Cambria"/>
      <family val="1"/>
      <scheme val="major"/>
    </font>
    <font>
      <sz val="11"/>
      <color rgb="FFFF0000"/>
      <name val="Calibri"/>
      <family val="2"/>
      <scheme val="minor"/>
    </font>
    <font>
      <sz val="11"/>
      <color rgb="FF0070C0"/>
      <name val="Calibri"/>
      <family val="2"/>
      <scheme val="minor"/>
    </font>
    <font>
      <b/>
      <sz val="18"/>
      <name val="Calibri"/>
      <family val="2"/>
      <scheme val="minor"/>
    </font>
    <font>
      <sz val="11"/>
      <color rgb="FFFF0000"/>
      <name val="Calibri"/>
      <family val="2"/>
    </font>
    <font>
      <sz val="10"/>
      <name val="Cambria"/>
      <family val="1"/>
      <scheme val="major"/>
    </font>
    <font>
      <sz val="10"/>
      <color rgb="FFFF0000"/>
      <name val="Cambria"/>
      <family val="1"/>
      <scheme val="major"/>
    </font>
    <font>
      <sz val="10"/>
      <color theme="1"/>
      <name val="Cambria"/>
      <family val="1"/>
      <scheme val="major"/>
    </font>
    <font>
      <sz val="10"/>
      <color rgb="FF000000"/>
      <name val="Calibri"/>
      <family val="2"/>
    </font>
    <font>
      <b/>
      <sz val="12"/>
      <name val="Calibri"/>
      <family val="2"/>
      <scheme val="minor"/>
    </font>
    <font>
      <b/>
      <sz val="12"/>
      <color rgb="FFC00000"/>
      <name val="Cambria"/>
      <family val="1"/>
      <scheme val="major"/>
    </font>
    <font>
      <b/>
      <sz val="11"/>
      <color rgb="FFC00000"/>
      <name val="Calibri"/>
      <family val="2"/>
      <scheme val="minor"/>
    </font>
    <font>
      <b/>
      <sz val="10"/>
      <color rgb="FFC00000"/>
      <name val="Cambria"/>
      <family val="1"/>
      <scheme val="major"/>
    </font>
    <font>
      <sz val="12"/>
      <name val="Cambria"/>
      <family val="1"/>
      <scheme val="major"/>
    </font>
    <font>
      <sz val="16"/>
      <name val="Calibri"/>
      <family val="2"/>
      <scheme val="minor"/>
    </font>
    <font>
      <sz val="16"/>
      <color rgb="FF002060"/>
      <name val="Calibri"/>
      <family val="2"/>
      <scheme val="minor"/>
    </font>
    <font>
      <sz val="16"/>
      <color rgb="FFFF0000"/>
      <name val="Calibri"/>
      <family val="2"/>
      <scheme val="minor"/>
    </font>
    <font>
      <b/>
      <sz val="10"/>
      <name val="Cambria"/>
      <family val="1"/>
      <scheme val="major"/>
    </font>
    <font>
      <i/>
      <sz val="10"/>
      <name val="Cambria"/>
      <family val="1"/>
      <scheme val="major"/>
    </font>
    <font>
      <b/>
      <sz val="11"/>
      <color theme="1"/>
      <name val="Cambria"/>
      <family val="1"/>
      <scheme val="major"/>
    </font>
    <font>
      <b/>
      <u/>
      <sz val="11"/>
      <color theme="1"/>
      <name val="Cambria"/>
      <family val="1"/>
      <scheme val="major"/>
    </font>
    <font>
      <sz val="16"/>
      <name val="Cambria"/>
      <family val="1"/>
      <scheme val="major"/>
    </font>
    <font>
      <b/>
      <sz val="18"/>
      <name val="Cambria"/>
      <family val="1"/>
      <scheme val="major"/>
    </font>
    <font>
      <b/>
      <sz val="11"/>
      <color rgb="FFFF0000"/>
      <name val="Calibri"/>
      <family val="2"/>
      <scheme val="minor"/>
    </font>
    <font>
      <sz val="12"/>
      <name val="Cambria"/>
      <family val="1"/>
      <scheme val="major"/>
    </font>
    <font>
      <sz val="12"/>
      <name val="Cambria"/>
      <family val="1"/>
      <scheme val="major"/>
    </font>
    <font>
      <sz val="12"/>
      <name val="Calibri"/>
      <family val="2"/>
    </font>
    <font>
      <sz val="10"/>
      <name val="Calibri"/>
      <family val="2"/>
    </font>
    <font>
      <sz val="11"/>
      <name val="Calibri"/>
      <family val="2"/>
    </font>
    <font>
      <sz val="9"/>
      <color indexed="81"/>
      <name val="Tahoma"/>
      <charset val="1"/>
    </font>
    <font>
      <b/>
      <sz val="9"/>
      <color indexed="81"/>
      <name val="Tahoma"/>
      <charset val="1"/>
    </font>
    <font>
      <b/>
      <u/>
      <sz val="14"/>
      <name val="Calibri"/>
      <family val="2"/>
      <scheme val="minor"/>
    </font>
    <font>
      <sz val="12"/>
      <name val="Cambria"/>
      <scheme val="major"/>
    </font>
    <font>
      <sz val="11"/>
      <name val="Cambria"/>
      <scheme val="major"/>
    </font>
    <font>
      <b/>
      <sz val="12"/>
      <name val="Cambria"/>
      <scheme val="major"/>
    </font>
    <font>
      <sz val="14"/>
      <name val="Cambria"/>
      <family val="1"/>
      <scheme val="major"/>
    </font>
    <font>
      <sz val="11"/>
      <color theme="0"/>
      <name val="Calibri"/>
      <family val="2"/>
      <scheme val="minor"/>
    </font>
  </fonts>
  <fills count="3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002060"/>
        <bgColor indexed="64"/>
      </patternFill>
    </fill>
    <fill>
      <patternFill patternType="solid">
        <fgColor rgb="FF009999"/>
        <bgColor indexed="64"/>
      </patternFill>
    </fill>
    <fill>
      <patternFill patternType="solid">
        <fgColor rgb="FF99FFCC"/>
        <bgColor indexed="64"/>
      </patternFill>
    </fill>
    <fill>
      <patternFill patternType="solid">
        <fgColor rgb="FFCCFFFF"/>
        <bgColor indexed="64"/>
      </patternFill>
    </fill>
    <fill>
      <patternFill patternType="solid">
        <fgColor rgb="FFCCFF66"/>
        <bgColor indexed="64"/>
      </patternFill>
    </fill>
    <fill>
      <patternFill patternType="solid">
        <fgColor theme="8" tint="0.59999389629810485"/>
        <bgColor indexed="64"/>
      </patternFill>
    </fill>
    <fill>
      <patternFill patternType="solid">
        <fgColor theme="8" tint="0.79998168889431442"/>
        <bgColor theme="8" tint="0.79998168889431442"/>
      </patternFill>
    </fill>
    <fill>
      <patternFill patternType="solid">
        <fgColor indexed="6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theme="8" tint="0.59999389629810485"/>
      </patternFill>
    </fill>
    <fill>
      <patternFill patternType="solid">
        <fgColor theme="2"/>
        <bgColor indexed="64"/>
      </patternFill>
    </fill>
    <fill>
      <patternFill patternType="solid">
        <fgColor theme="9" tint="-0.249977111117893"/>
        <bgColor indexed="64"/>
      </patternFill>
    </fill>
    <fill>
      <patternFill patternType="solid">
        <fgColor theme="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right style="thin">
        <color theme="0"/>
      </right>
      <top style="thin">
        <color indexed="64"/>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theme="0"/>
      </left>
      <right style="thin">
        <color theme="0"/>
      </right>
      <top style="thin">
        <color indexed="64"/>
      </top>
      <bottom style="thin">
        <color indexed="64"/>
      </bottom>
      <diagonal/>
    </border>
    <border>
      <left/>
      <right/>
      <top style="double">
        <color indexed="64"/>
      </top>
      <bottom/>
      <diagonal/>
    </border>
    <border>
      <left style="medium">
        <color indexed="64"/>
      </left>
      <right style="medium">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18">
    <xf numFmtId="0" fontId="0" fillId="0" borderId="0">
      <alignment wrapText="1"/>
    </xf>
    <xf numFmtId="0" fontId="2" fillId="0" borderId="0">
      <alignment horizontal="right"/>
    </xf>
    <xf numFmtId="0" fontId="2" fillId="0" borderId="0">
      <alignment horizontal="left"/>
    </xf>
    <xf numFmtId="0" fontId="3" fillId="0" borderId="0" applyNumberFormat="0" applyFont="0" applyFill="0" applyBorder="0">
      <alignment vertical="center"/>
    </xf>
    <xf numFmtId="165" fontId="4" fillId="0" borderId="0" applyFont="0" applyFill="0" applyBorder="0" applyAlignment="0" applyProtection="0"/>
    <xf numFmtId="43" fontId="4" fillId="0" borderId="0" applyFont="0" applyFill="0" applyBorder="0" applyAlignment="0" applyProtection="0"/>
    <xf numFmtId="170" fontId="52" fillId="0" borderId="0"/>
    <xf numFmtId="0" fontId="64" fillId="0" borderId="0"/>
    <xf numFmtId="0" fontId="65" fillId="0" borderId="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cellStyleXfs>
  <cellXfs count="1100">
    <xf numFmtId="0" fontId="0" fillId="0" borderId="0" xfId="0">
      <alignment wrapText="1"/>
    </xf>
    <xf numFmtId="0" fontId="0" fillId="0" borderId="0" xfId="0" applyAlignment="1"/>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8" fillId="0" borderId="0" xfId="0" applyFont="1">
      <alignment wrapText="1"/>
    </xf>
    <xf numFmtId="0" fontId="0" fillId="0" borderId="0" xfId="0" applyBorder="1">
      <alignment wrapText="1"/>
    </xf>
    <xf numFmtId="0" fontId="7" fillId="0" borderId="0" xfId="3" applyFont="1" applyBorder="1" applyAlignment="1">
      <alignment horizontal="center" vertical="center"/>
    </xf>
    <xf numFmtId="0" fontId="8" fillId="0" borderId="0" xfId="0" applyFont="1" applyFill="1" applyBorder="1">
      <alignment wrapText="1"/>
    </xf>
    <xf numFmtId="0" fontId="8" fillId="0" borderId="0" xfId="0" applyFont="1" applyBorder="1">
      <alignment wrapText="1"/>
    </xf>
    <xf numFmtId="0" fontId="7" fillId="0" borderId="3" xfId="3" applyFont="1" applyBorder="1" applyAlignment="1">
      <alignment horizontal="center" vertical="center" wrapText="1"/>
    </xf>
    <xf numFmtId="0" fontId="2" fillId="0" borderId="0" xfId="1" applyAlignment="1">
      <alignment vertical="center"/>
    </xf>
    <xf numFmtId="0" fontId="0" fillId="0" borderId="0" xfId="0" applyAlignment="1">
      <alignment vertical="center" wrapText="1"/>
    </xf>
    <xf numFmtId="0" fontId="7" fillId="0" borderId="2" xfId="3" applyFont="1" applyBorder="1" applyAlignment="1">
      <alignment vertical="center"/>
    </xf>
    <xf numFmtId="167" fontId="8" fillId="0" borderId="5" xfId="0" applyNumberFormat="1" applyFont="1" applyBorder="1" applyAlignment="1">
      <alignment vertical="center" wrapText="1"/>
    </xf>
    <xf numFmtId="0" fontId="8" fillId="0" borderId="1" xfId="0" applyFont="1" applyBorder="1" applyAlignment="1">
      <alignment vertical="center" wrapText="1"/>
    </xf>
    <xf numFmtId="1" fontId="8" fillId="0" borderId="1" xfId="0" applyNumberFormat="1" applyFont="1" applyBorder="1" applyAlignment="1">
      <alignment vertical="center" wrapText="1"/>
    </xf>
    <xf numFmtId="165" fontId="8" fillId="0" borderId="6" xfId="0" applyNumberFormat="1" applyFont="1" applyBorder="1" applyAlignment="1">
      <alignment vertical="center" wrapText="1"/>
    </xf>
    <xf numFmtId="0" fontId="8" fillId="0" borderId="6" xfId="0" applyNumberFormat="1" applyFont="1" applyBorder="1" applyAlignment="1">
      <alignment vertical="center" wrapText="1"/>
    </xf>
    <xf numFmtId="0" fontId="8" fillId="0" borderId="1" xfId="0" applyFont="1" applyFill="1" applyBorder="1" applyAlignment="1">
      <alignment vertical="center" wrapText="1"/>
    </xf>
    <xf numFmtId="167" fontId="8" fillId="0" borderId="5" xfId="0" applyNumberFormat="1" applyFont="1" applyFill="1" applyBorder="1" applyAlignment="1">
      <alignment vertical="center" wrapText="1"/>
    </xf>
    <xf numFmtId="0" fontId="8" fillId="0" borderId="6" xfId="0" applyNumberFormat="1" applyFont="1" applyFill="1" applyBorder="1" applyAlignment="1">
      <alignment vertical="center" wrapText="1"/>
    </xf>
    <xf numFmtId="167" fontId="8" fillId="0" borderId="7" xfId="0" applyNumberFormat="1" applyFont="1" applyFill="1" applyBorder="1" applyAlignment="1">
      <alignment vertical="center" wrapText="1"/>
    </xf>
    <xf numFmtId="0" fontId="8" fillId="0" borderId="8" xfId="0" applyFont="1" applyFill="1" applyBorder="1" applyAlignment="1">
      <alignment vertical="center" wrapText="1"/>
    </xf>
    <xf numFmtId="1" fontId="8" fillId="0" borderId="8" xfId="0" applyNumberFormat="1" applyFont="1" applyBorder="1" applyAlignment="1">
      <alignment vertical="center" wrapText="1"/>
    </xf>
    <xf numFmtId="0" fontId="8" fillId="0" borderId="9" xfId="0" applyNumberFormat="1" applyFont="1" applyFill="1" applyBorder="1" applyAlignment="1">
      <alignment vertical="center" wrapText="1"/>
    </xf>
    <xf numFmtId="0" fontId="8" fillId="0" borderId="0" xfId="0" applyFont="1" applyAlignment="1">
      <alignment vertical="center" wrapText="1"/>
    </xf>
    <xf numFmtId="0" fontId="11" fillId="0" borderId="0" xfId="0" applyFont="1">
      <alignment wrapText="1"/>
    </xf>
    <xf numFmtId="49" fontId="11" fillId="0" borderId="0" xfId="0" applyNumberFormat="1" applyFont="1">
      <alignment wrapText="1"/>
    </xf>
    <xf numFmtId="165" fontId="11" fillId="0" borderId="0" xfId="0" applyNumberFormat="1" applyFont="1">
      <alignment wrapText="1"/>
    </xf>
    <xf numFmtId="0" fontId="12" fillId="0" borderId="12" xfId="0" applyFont="1" applyBorder="1" applyAlignment="1">
      <alignment horizontal="center" wrapText="1"/>
    </xf>
    <xf numFmtId="0" fontId="13" fillId="0" borderId="12" xfId="0" applyFont="1" applyBorder="1" applyAlignment="1">
      <alignment horizontal="center" wrapText="1"/>
    </xf>
    <xf numFmtId="0" fontId="13" fillId="0" borderId="13" xfId="0" applyFont="1" applyBorder="1" applyAlignment="1">
      <alignment horizontal="center" wrapText="1"/>
    </xf>
    <xf numFmtId="0" fontId="14" fillId="0" borderId="0" xfId="0" applyFont="1">
      <alignment wrapText="1"/>
    </xf>
    <xf numFmtId="49" fontId="14" fillId="0" borderId="16" xfId="0" applyNumberFormat="1" applyFont="1" applyBorder="1">
      <alignment wrapText="1"/>
    </xf>
    <xf numFmtId="165" fontId="14" fillId="0" borderId="14" xfId="4" applyFont="1" applyBorder="1" applyAlignment="1">
      <alignment wrapText="1"/>
    </xf>
    <xf numFmtId="49" fontId="14" fillId="0" borderId="11" xfId="0" applyNumberFormat="1" applyFont="1" applyBorder="1">
      <alignment wrapText="1"/>
    </xf>
    <xf numFmtId="165" fontId="14" fillId="0" borderId="15" xfId="4" applyFont="1" applyBorder="1" applyAlignment="1">
      <alignment wrapText="1"/>
    </xf>
    <xf numFmtId="165" fontId="14" fillId="0" borderId="18" xfId="4" applyFont="1" applyBorder="1" applyAlignment="1">
      <alignment wrapText="1"/>
    </xf>
    <xf numFmtId="165" fontId="14" fillId="0" borderId="17" xfId="4" applyFont="1" applyBorder="1" applyAlignment="1">
      <alignment wrapText="1"/>
    </xf>
    <xf numFmtId="49" fontId="14" fillId="0" borderId="0" xfId="0" applyNumberFormat="1" applyFont="1">
      <alignment wrapText="1"/>
    </xf>
    <xf numFmtId="168" fontId="8" fillId="0" borderId="1" xfId="0" applyNumberFormat="1" applyFont="1" applyBorder="1" applyAlignment="1">
      <alignment vertical="center" wrapText="1"/>
    </xf>
    <xf numFmtId="168" fontId="8" fillId="0" borderId="8" xfId="0" applyNumberFormat="1" applyFont="1" applyBorder="1" applyAlignment="1">
      <alignment vertical="center" wrapText="1"/>
    </xf>
    <xf numFmtId="0" fontId="7" fillId="0" borderId="1" xfId="3" applyFont="1" applyBorder="1" applyAlignment="1">
      <alignment vertical="center"/>
    </xf>
    <xf numFmtId="14" fontId="8" fillId="0" borderId="8" xfId="0" applyNumberFormat="1" applyFont="1" applyFill="1" applyBorder="1" applyAlignment="1">
      <alignment vertical="center" wrapText="1"/>
    </xf>
    <xf numFmtId="0" fontId="0" fillId="0" borderId="0" xfId="0" applyAlignment="1">
      <alignment horizontal="center" wrapText="1"/>
    </xf>
    <xf numFmtId="165" fontId="0" fillId="0" borderId="0" xfId="0" applyNumberFormat="1" applyAlignment="1">
      <alignment horizontal="center" wrapText="1"/>
    </xf>
    <xf numFmtId="0" fontId="17" fillId="0" borderId="0" xfId="0" applyFont="1" applyAlignment="1">
      <alignment horizontal="left" vertical="center" wrapText="1"/>
    </xf>
    <xf numFmtId="0" fontId="18" fillId="0" borderId="0" xfId="0" applyFont="1">
      <alignment wrapText="1"/>
    </xf>
    <xf numFmtId="0" fontId="19" fillId="0" borderId="0" xfId="0" applyFont="1">
      <alignment wrapText="1"/>
    </xf>
    <xf numFmtId="0" fontId="20" fillId="0" borderId="0" xfId="0" applyFont="1">
      <alignment wrapText="1"/>
    </xf>
    <xf numFmtId="0" fontId="18" fillId="0" borderId="0" xfId="0" applyFont="1" applyAlignment="1">
      <alignment horizontal="center" wrapText="1"/>
    </xf>
    <xf numFmtId="0" fontId="16" fillId="0" borderId="22" xfId="0" applyFont="1" applyBorder="1" applyAlignment="1"/>
    <xf numFmtId="165" fontId="14" fillId="0" borderId="3" xfId="4" applyFont="1" applyBorder="1" applyAlignment="1">
      <alignment horizontal="center" wrapText="1"/>
    </xf>
    <xf numFmtId="0" fontId="16" fillId="0" borderId="15" xfId="0" applyFont="1" applyBorder="1" applyAlignment="1"/>
    <xf numFmtId="0" fontId="0" fillId="0" borderId="0" xfId="0" applyAlignment="1">
      <alignment horizontal="center" vertical="center" wrapText="1"/>
    </xf>
    <xf numFmtId="0" fontId="16" fillId="0" borderId="18" xfId="0" applyFont="1" applyBorder="1" applyAlignment="1"/>
    <xf numFmtId="165" fontId="14" fillId="0" borderId="23" xfId="4" applyFont="1" applyBorder="1" applyAlignment="1">
      <alignment horizontal="center" wrapText="1"/>
    </xf>
    <xf numFmtId="0" fontId="16" fillId="3" borderId="17" xfId="0" applyFont="1" applyFill="1" applyBorder="1">
      <alignment wrapText="1"/>
    </xf>
    <xf numFmtId="165" fontId="16" fillId="3" borderId="17" xfId="0" applyNumberFormat="1" applyFont="1" applyFill="1" applyBorder="1" applyAlignment="1">
      <alignment horizontal="center" wrapText="1"/>
    </xf>
    <xf numFmtId="0" fontId="14" fillId="4" borderId="19"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14" fontId="8" fillId="0" borderId="1" xfId="0" applyNumberFormat="1" applyFont="1" applyBorder="1" applyAlignment="1">
      <alignment vertical="center" wrapText="1"/>
    </xf>
    <xf numFmtId="14" fontId="8" fillId="0" borderId="1" xfId="0" applyNumberFormat="1" applyFont="1" applyFill="1" applyBorder="1" applyAlignment="1">
      <alignment vertical="center" wrapText="1"/>
    </xf>
    <xf numFmtId="0" fontId="10" fillId="0" borderId="0" xfId="2" applyFont="1" applyAlignment="1">
      <alignment horizontal="left" vertical="center"/>
    </xf>
    <xf numFmtId="0" fontId="7" fillId="0" borderId="3" xfId="3" applyFont="1" applyBorder="1" applyAlignment="1">
      <alignment horizontal="left" vertical="center"/>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Fill="1" applyBorder="1" applyAlignment="1">
      <alignment horizontal="left" vertical="center" wrapText="1"/>
    </xf>
    <xf numFmtId="1" fontId="8" fillId="0" borderId="1" xfId="0" applyNumberFormat="1" applyFont="1" applyFill="1" applyBorder="1" applyAlignment="1">
      <alignment vertical="center" wrapText="1"/>
    </xf>
    <xf numFmtId="168" fontId="8" fillId="0" borderId="1" xfId="0" applyNumberFormat="1" applyFont="1" applyFill="1" applyBorder="1" applyAlignment="1">
      <alignment vertical="center" wrapText="1"/>
    </xf>
    <xf numFmtId="165" fontId="8" fillId="0" borderId="6" xfId="0" applyNumberFormat="1" applyFont="1" applyFill="1" applyBorder="1" applyAlignment="1">
      <alignment vertical="center" wrapText="1"/>
    </xf>
    <xf numFmtId="0" fontId="8" fillId="3" borderId="1" xfId="0" applyFont="1" applyFill="1" applyBorder="1" applyAlignment="1">
      <alignment vertical="center" wrapText="1"/>
    </xf>
    <xf numFmtId="1" fontId="8" fillId="3" borderId="1" xfId="0" applyNumberFormat="1" applyFont="1" applyFill="1" applyBorder="1" applyAlignment="1">
      <alignment vertical="center" wrapText="1"/>
    </xf>
    <xf numFmtId="0" fontId="8" fillId="3" borderId="8" xfId="0" applyFont="1" applyFill="1" applyBorder="1" applyAlignment="1">
      <alignment vertical="center" wrapText="1"/>
    </xf>
    <xf numFmtId="1" fontId="8" fillId="3" borderId="8" xfId="0" applyNumberFormat="1" applyFont="1" applyFill="1" applyBorder="1" applyAlignment="1">
      <alignment vertical="center" wrapText="1"/>
    </xf>
    <xf numFmtId="0" fontId="8" fillId="0" borderId="8" xfId="0" applyFont="1" applyFill="1" applyBorder="1" applyAlignment="1">
      <alignment horizontal="left" vertical="center" wrapText="1"/>
    </xf>
    <xf numFmtId="168" fontId="8" fillId="0" borderId="8" xfId="0" applyNumberFormat="1" applyFont="1" applyFill="1" applyBorder="1" applyAlignment="1">
      <alignment vertical="center" wrapText="1"/>
    </xf>
    <xf numFmtId="1" fontId="8" fillId="0" borderId="8" xfId="0" applyNumberFormat="1" applyFont="1" applyFill="1" applyBorder="1" applyAlignment="1">
      <alignment vertical="center" wrapText="1"/>
    </xf>
    <xf numFmtId="165" fontId="8" fillId="0" borderId="9" xfId="0" applyNumberFormat="1" applyFont="1" applyFill="1" applyBorder="1" applyAlignment="1">
      <alignment vertical="center" wrapText="1"/>
    </xf>
    <xf numFmtId="165" fontId="8" fillId="0" borderId="0" xfId="0" applyNumberFormat="1" applyFont="1" applyAlignment="1">
      <alignment vertical="center" wrapText="1"/>
    </xf>
    <xf numFmtId="1" fontId="8" fillId="0" borderId="0" xfId="0" applyNumberFormat="1" applyFont="1" applyAlignment="1">
      <alignment vertical="center" wrapText="1"/>
    </xf>
    <xf numFmtId="0" fontId="16" fillId="4" borderId="24" xfId="0" applyFont="1" applyFill="1" applyBorder="1" applyAlignment="1">
      <alignment horizontal="center" vertical="center" wrapText="1"/>
    </xf>
    <xf numFmtId="165" fontId="14" fillId="2" borderId="4" xfId="4" applyFont="1" applyFill="1" applyBorder="1" applyAlignment="1">
      <alignment horizontal="center" wrapText="1"/>
    </xf>
    <xf numFmtId="165" fontId="14" fillId="2" borderId="6" xfId="4" applyFont="1" applyFill="1" applyBorder="1" applyAlignment="1">
      <alignment horizontal="center" wrapText="1"/>
    </xf>
    <xf numFmtId="165" fontId="14" fillId="2" borderId="9" xfId="4" applyFont="1" applyFill="1" applyBorder="1" applyAlignment="1">
      <alignment horizontal="center" wrapText="1"/>
    </xf>
    <xf numFmtId="0" fontId="0" fillId="0" borderId="1" xfId="0" applyBorder="1">
      <alignment wrapText="1"/>
    </xf>
    <xf numFmtId="165" fontId="16" fillId="3" borderId="1" xfId="0" applyNumberFormat="1" applyFont="1" applyFill="1" applyBorder="1" applyAlignment="1">
      <alignment horizontal="center" wrapText="1"/>
    </xf>
    <xf numFmtId="0" fontId="16" fillId="0" borderId="0" xfId="0" applyFont="1" applyFill="1" applyBorder="1" applyAlignment="1"/>
    <xf numFmtId="0" fontId="0" fillId="0" borderId="0" xfId="0" applyAlignment="1">
      <alignment horizontal="left"/>
    </xf>
    <xf numFmtId="0" fontId="3" fillId="0" borderId="0" xfId="0" applyFont="1" applyAlignment="1">
      <alignment horizontal="left"/>
    </xf>
    <xf numFmtId="0" fontId="3" fillId="0" borderId="0" xfId="0" applyFont="1" applyAlignment="1">
      <alignment horizontal="center" wrapText="1"/>
    </xf>
    <xf numFmtId="0" fontId="3" fillId="0" borderId="0" xfId="0" applyFont="1">
      <alignment wrapText="1"/>
    </xf>
    <xf numFmtId="0" fontId="0" fillId="0" borderId="1" xfId="0" applyBorder="1" applyAlignment="1">
      <alignment horizontal="left"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1" fillId="0" borderId="0" xfId="0" applyFont="1" applyAlignment="1">
      <alignment vertical="center" wrapText="1"/>
    </xf>
    <xf numFmtId="0" fontId="0" fillId="5" borderId="1" xfId="0" applyFill="1" applyBorder="1">
      <alignment wrapText="1"/>
    </xf>
    <xf numFmtId="0" fontId="0" fillId="5" borderId="1" xfId="0" applyFill="1" applyBorder="1" applyAlignment="1">
      <alignment horizontal="left" wrapText="1"/>
    </xf>
    <xf numFmtId="0" fontId="8" fillId="0" borderId="6" xfId="0" applyFont="1" applyBorder="1" applyAlignment="1">
      <alignment vertical="center" wrapText="1"/>
    </xf>
    <xf numFmtId="14" fontId="8" fillId="0" borderId="8" xfId="0" applyNumberFormat="1" applyFont="1" applyBorder="1" applyAlignment="1">
      <alignment vertical="center" wrapText="1"/>
    </xf>
    <xf numFmtId="167" fontId="8" fillId="0" borderId="7" xfId="0" applyNumberFormat="1" applyFont="1" applyBorder="1" applyAlignment="1">
      <alignment vertical="center" wrapText="1"/>
    </xf>
    <xf numFmtId="0" fontId="8" fillId="0" borderId="8" xfId="0" applyFont="1" applyBorder="1" applyAlignment="1">
      <alignment vertical="center" wrapText="1"/>
    </xf>
    <xf numFmtId="165" fontId="8" fillId="0" borderId="9" xfId="0" applyNumberFormat="1" applyFont="1" applyBorder="1" applyAlignment="1">
      <alignment vertical="center" wrapText="1"/>
    </xf>
    <xf numFmtId="0" fontId="8" fillId="0" borderId="9" xfId="0" applyFont="1" applyBorder="1" applyAlignment="1">
      <alignment vertical="center" wrapText="1"/>
    </xf>
    <xf numFmtId="168" fontId="8" fillId="0" borderId="0" xfId="0" applyNumberFormat="1" applyFont="1" applyAlignment="1">
      <alignment vertical="center" wrapText="1"/>
    </xf>
    <xf numFmtId="49" fontId="24" fillId="0" borderId="10" xfId="0" applyNumberFormat="1" applyFont="1" applyBorder="1">
      <alignment wrapText="1"/>
    </xf>
    <xf numFmtId="0" fontId="23" fillId="0" borderId="0" xfId="0" applyFont="1">
      <alignment wrapText="1"/>
    </xf>
    <xf numFmtId="0" fontId="23" fillId="0" borderId="0" xfId="0" applyFont="1" applyAlignment="1"/>
    <xf numFmtId="0" fontId="26" fillId="0" borderId="6" xfId="0" applyFont="1" applyBorder="1" applyAlignment="1">
      <alignment vertical="center" wrapText="1"/>
    </xf>
    <xf numFmtId="0" fontId="26" fillId="0" borderId="9" xfId="0" applyFont="1" applyBorder="1" applyAlignment="1">
      <alignment vertical="center" wrapText="1"/>
    </xf>
    <xf numFmtId="0" fontId="26" fillId="0" borderId="0" xfId="0" applyFont="1" applyAlignment="1">
      <alignment vertical="center" wrapText="1"/>
    </xf>
    <xf numFmtId="0" fontId="27" fillId="0" borderId="0" xfId="0" applyFont="1" applyAlignment="1">
      <alignment vertical="center" wrapText="1"/>
    </xf>
    <xf numFmtId="0" fontId="8" fillId="0" borderId="0" xfId="0" applyFont="1" applyAlignment="1">
      <alignment horizontal="center" vertical="center" wrapText="1"/>
    </xf>
    <xf numFmtId="0" fontId="0" fillId="0" borderId="0" xfId="0" applyBorder="1" applyAlignment="1"/>
    <xf numFmtId="0" fontId="3"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Border="1" applyAlignment="1"/>
    <xf numFmtId="0" fontId="0" fillId="0" borderId="3" xfId="0" applyBorder="1" applyAlignment="1"/>
    <xf numFmtId="0" fontId="0" fillId="0" borderId="1" xfId="0" applyBorder="1" applyAlignment="1">
      <alignment horizontal="center"/>
    </xf>
    <xf numFmtId="0" fontId="22" fillId="13" borderId="20" xfId="0" applyFont="1" applyFill="1" applyBorder="1" applyAlignment="1">
      <alignment horizontal="center"/>
    </xf>
    <xf numFmtId="0" fontId="3" fillId="14" borderId="17" xfId="0" applyFont="1" applyFill="1" applyBorder="1" applyAlignment="1">
      <alignment horizontal="center" vertical="center" wrapText="1"/>
    </xf>
    <xf numFmtId="0" fontId="3" fillId="0" borderId="3" xfId="0" applyFont="1" applyBorder="1" applyAlignment="1">
      <alignment horizontal="center"/>
    </xf>
    <xf numFmtId="0" fontId="28" fillId="0" borderId="0" xfId="0" applyFont="1" applyBorder="1" applyAlignment="1">
      <alignment horizontal="center"/>
    </xf>
    <xf numFmtId="165" fontId="16" fillId="0" borderId="4" xfId="4" applyFont="1" applyFill="1" applyBorder="1" applyAlignment="1">
      <alignment horizontal="center" wrapText="1"/>
    </xf>
    <xf numFmtId="165" fontId="16" fillId="0" borderId="6" xfId="4" applyFont="1" applyFill="1" applyBorder="1" applyAlignment="1">
      <alignment horizontal="center" wrapText="1"/>
    </xf>
    <xf numFmtId="165" fontId="16" fillId="0" borderId="9" xfId="4" applyFont="1" applyFill="1" applyBorder="1" applyAlignment="1">
      <alignment horizontal="center" wrapText="1"/>
    </xf>
    <xf numFmtId="0" fontId="37" fillId="13" borderId="19" xfId="0" applyFont="1" applyFill="1" applyBorder="1" applyAlignment="1">
      <alignment horizontal="center" vertical="center" wrapText="1"/>
    </xf>
    <xf numFmtId="0" fontId="38" fillId="13" borderId="20" xfId="0" applyFont="1" applyFill="1" applyBorder="1" applyAlignment="1">
      <alignment horizontal="center" vertical="center" wrapText="1"/>
    </xf>
    <xf numFmtId="0" fontId="38" fillId="13" borderId="21" xfId="0" applyFont="1" applyFill="1" applyBorder="1" applyAlignment="1">
      <alignment horizontal="center" vertical="center" wrapText="1"/>
    </xf>
    <xf numFmtId="0" fontId="38" fillId="13" borderId="24"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1" xfId="0" applyFont="1" applyFill="1" applyBorder="1" applyAlignment="1">
      <alignment horizontal="left" vertical="center" wrapText="1"/>
    </xf>
    <xf numFmtId="0" fontId="16" fillId="16" borderId="17" xfId="0" applyFont="1" applyFill="1" applyBorder="1">
      <alignment wrapText="1"/>
    </xf>
    <xf numFmtId="165" fontId="16" fillId="16" borderId="17" xfId="0" applyNumberFormat="1" applyFont="1" applyFill="1" applyBorder="1" applyAlignment="1">
      <alignment horizontal="center" wrapText="1"/>
    </xf>
    <xf numFmtId="0" fontId="29" fillId="0" borderId="26" xfId="0" applyFont="1" applyBorder="1" applyAlignment="1">
      <alignment horizontal="center" vertical="center" wrapText="1"/>
    </xf>
    <xf numFmtId="0" fontId="32" fillId="8" borderId="31" xfId="0" applyFont="1" applyFill="1" applyBorder="1" applyAlignment="1">
      <alignment horizontal="center" vertical="center" wrapText="1"/>
    </xf>
    <xf numFmtId="0" fontId="32" fillId="8" borderId="26" xfId="0" applyFont="1" applyFill="1" applyBorder="1" applyAlignment="1">
      <alignment horizontal="center" vertical="center" wrapText="1"/>
    </xf>
    <xf numFmtId="0" fontId="32" fillId="8" borderId="30"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2" fillId="12" borderId="26" xfId="0" applyFont="1" applyFill="1" applyBorder="1" applyAlignment="1">
      <alignment horizontal="center" vertical="center" wrapText="1"/>
    </xf>
    <xf numFmtId="0" fontId="32" fillId="12" borderId="30" xfId="0" applyFont="1" applyFill="1" applyBorder="1" applyAlignment="1">
      <alignment horizontal="center" vertical="center" wrapText="1"/>
    </xf>
    <xf numFmtId="0" fontId="32" fillId="12" borderId="29" xfId="0" applyFont="1" applyFill="1" applyBorder="1" applyAlignment="1">
      <alignment horizontal="center" vertical="center" wrapText="1"/>
    </xf>
    <xf numFmtId="0" fontId="29" fillId="7" borderId="28" xfId="0" applyFont="1" applyFill="1" applyBorder="1" applyAlignment="1">
      <alignment horizontal="center" vertical="center" wrapText="1"/>
    </xf>
    <xf numFmtId="165" fontId="0" fillId="0" borderId="0" xfId="0" applyNumberFormat="1">
      <alignment wrapText="1"/>
    </xf>
    <xf numFmtId="0" fontId="39" fillId="0" borderId="3" xfId="3" applyFont="1" applyBorder="1" applyAlignment="1">
      <alignment horizontal="center" vertical="center"/>
    </xf>
    <xf numFmtId="0" fontId="39" fillId="0" borderId="3" xfId="3" applyFont="1" applyBorder="1" applyAlignment="1">
      <alignment horizontal="center" vertical="center" wrapText="1"/>
    </xf>
    <xf numFmtId="0" fontId="39" fillId="0" borderId="4" xfId="3" applyFont="1" applyBorder="1" applyAlignment="1">
      <alignment horizontal="center" vertical="center"/>
    </xf>
    <xf numFmtId="0" fontId="39" fillId="0" borderId="1" xfId="3" applyFont="1" applyBorder="1" applyAlignment="1">
      <alignment horizontal="center" vertical="center"/>
    </xf>
    <xf numFmtId="0" fontId="40" fillId="0" borderId="9" xfId="0" applyFont="1" applyBorder="1" applyAlignment="1">
      <alignment vertical="center" wrapText="1"/>
    </xf>
    <xf numFmtId="43" fontId="8" fillId="0" borderId="0" xfId="5" applyFont="1" applyAlignment="1">
      <alignment vertical="center" wrapText="1"/>
    </xf>
    <xf numFmtId="14" fontId="8" fillId="0" borderId="8" xfId="0" applyNumberFormat="1" applyFont="1" applyFill="1" applyBorder="1" applyAlignment="1">
      <alignment vertical="center" wrapText="1"/>
    </xf>
    <xf numFmtId="168" fontId="26" fillId="0" borderId="9" xfId="0" applyNumberFormat="1" applyFont="1" applyBorder="1" applyAlignment="1">
      <alignment vertical="center" wrapText="1"/>
    </xf>
    <xf numFmtId="0" fontId="3" fillId="14" borderId="0" xfId="0" applyFont="1" applyFill="1" applyBorder="1" applyAlignment="1">
      <alignment horizontal="center" vertical="center" wrapText="1"/>
    </xf>
    <xf numFmtId="0" fontId="22" fillId="13" borderId="20" xfId="0" applyFont="1" applyFill="1"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0" xfId="0" applyAlignment="1">
      <alignment vertical="center"/>
    </xf>
    <xf numFmtId="168" fontId="8" fillId="0" borderId="9" xfId="0" applyNumberFormat="1" applyFont="1" applyBorder="1" applyAlignment="1">
      <alignment vertical="center" wrapText="1"/>
    </xf>
    <xf numFmtId="14" fontId="8" fillId="0" borderId="9" xfId="0" applyNumberFormat="1" applyFont="1" applyBorder="1" applyAlignment="1">
      <alignment vertical="center" wrapText="1"/>
    </xf>
    <xf numFmtId="0" fontId="39" fillId="0" borderId="2" xfId="3" applyFont="1" applyBorder="1" applyAlignment="1">
      <alignment horizontal="center" vertical="center" wrapText="1"/>
    </xf>
    <xf numFmtId="0" fontId="41" fillId="0" borderId="8" xfId="0" applyFont="1" applyBorder="1" applyAlignment="1">
      <alignment horizontal="left" vertical="center" wrapText="1"/>
    </xf>
    <xf numFmtId="0" fontId="41" fillId="0" borderId="1" xfId="0" applyFont="1" applyBorder="1" applyAlignment="1">
      <alignment vertical="center" wrapText="1"/>
    </xf>
    <xf numFmtId="0" fontId="41" fillId="0" borderId="8" xfId="0" applyFont="1" applyFill="1" applyBorder="1" applyAlignment="1">
      <alignment vertical="center" wrapText="1"/>
    </xf>
    <xf numFmtId="0" fontId="41" fillId="0" borderId="9" xfId="0" applyFont="1" applyBorder="1" applyAlignment="1">
      <alignment vertical="center" wrapText="1"/>
    </xf>
    <xf numFmtId="168" fontId="41" fillId="0" borderId="9" xfId="0" applyNumberFormat="1" applyFont="1" applyBorder="1" applyAlignment="1">
      <alignment vertical="center" wrapText="1"/>
    </xf>
    <xf numFmtId="0" fontId="41" fillId="0" borderId="8" xfId="0" applyFont="1" applyBorder="1" applyAlignment="1">
      <alignment vertical="center" wrapText="1"/>
    </xf>
    <xf numFmtId="168" fontId="42" fillId="0" borderId="9" xfId="0" applyNumberFormat="1" applyFont="1" applyBorder="1" applyAlignment="1">
      <alignment vertical="center" wrapText="1"/>
    </xf>
    <xf numFmtId="168" fontId="43" fillId="0" borderId="9" xfId="0" applyNumberFormat="1" applyFont="1" applyBorder="1" applyAlignment="1">
      <alignment vertical="center" wrapText="1"/>
    </xf>
    <xf numFmtId="168" fontId="41" fillId="0" borderId="1" xfId="0" applyNumberFormat="1" applyFont="1" applyBorder="1" applyAlignment="1">
      <alignment vertical="center" wrapText="1"/>
    </xf>
    <xf numFmtId="0" fontId="7" fillId="10" borderId="0" xfId="0" applyFont="1" applyFill="1" applyBorder="1" applyAlignment="1">
      <alignment wrapText="1"/>
    </xf>
    <xf numFmtId="0" fontId="44" fillId="10" borderId="0" xfId="0" applyFont="1" applyFill="1" applyBorder="1">
      <alignment wrapText="1"/>
    </xf>
    <xf numFmtId="0" fontId="41" fillId="0" borderId="1" xfId="0" applyFont="1" applyFill="1" applyBorder="1" applyAlignment="1">
      <alignment vertical="center" wrapText="1"/>
    </xf>
    <xf numFmtId="0" fontId="0" fillId="0" borderId="0" xfId="0" applyFill="1">
      <alignment wrapText="1"/>
    </xf>
    <xf numFmtId="0" fontId="8" fillId="0" borderId="1" xfId="0" applyNumberFormat="1" applyFont="1" applyFill="1" applyBorder="1" applyAlignment="1">
      <alignment vertical="center" wrapText="1"/>
    </xf>
    <xf numFmtId="0" fontId="26" fillId="0" borderId="9" xfId="0" applyFont="1" applyFill="1" applyBorder="1" applyAlignment="1">
      <alignment vertical="center" wrapText="1"/>
    </xf>
    <xf numFmtId="1" fontId="41" fillId="0" borderId="1" xfId="0" applyNumberFormat="1" applyFont="1" applyBorder="1" applyAlignment="1">
      <alignment vertical="center" wrapText="1"/>
    </xf>
    <xf numFmtId="165" fontId="41" fillId="0" borderId="9" xfId="0" applyNumberFormat="1" applyFont="1" applyBorder="1" applyAlignment="1">
      <alignment vertical="center" wrapText="1"/>
    </xf>
    <xf numFmtId="168" fontId="41" fillId="0" borderId="8" xfId="0" applyNumberFormat="1" applyFont="1" applyBorder="1" applyAlignment="1">
      <alignment vertical="center" wrapText="1"/>
    </xf>
    <xf numFmtId="0" fontId="8" fillId="0" borderId="1" xfId="0" applyNumberFormat="1" applyFont="1" applyFill="1" applyBorder="1" applyAlignment="1">
      <alignment horizontal="left" vertical="center" wrapText="1"/>
    </xf>
    <xf numFmtId="14" fontId="8" fillId="0" borderId="8" xfId="0" applyNumberFormat="1" applyFont="1" applyFill="1" applyBorder="1" applyAlignment="1">
      <alignment vertical="center" wrapText="1"/>
    </xf>
    <xf numFmtId="14" fontId="8" fillId="0" borderId="8" xfId="0" applyNumberFormat="1" applyFont="1" applyBorder="1" applyAlignment="1">
      <alignment vertical="center" wrapText="1"/>
    </xf>
    <xf numFmtId="0" fontId="45" fillId="0" borderId="1" xfId="0" applyFont="1" applyBorder="1" applyAlignment="1">
      <alignment vertical="center" wrapText="1"/>
    </xf>
    <xf numFmtId="0" fontId="41" fillId="0" borderId="1" xfId="0" applyNumberFormat="1" applyFont="1" applyFill="1" applyBorder="1" applyAlignment="1">
      <alignment horizontal="left" vertical="center" wrapText="1"/>
    </xf>
    <xf numFmtId="0" fontId="46" fillId="0" borderId="3" xfId="3" applyFont="1" applyBorder="1" applyAlignment="1">
      <alignment horizontal="center" vertical="center"/>
    </xf>
    <xf numFmtId="43" fontId="0" fillId="0" borderId="0" xfId="5" applyFont="1" applyAlignment="1">
      <alignment wrapText="1"/>
    </xf>
    <xf numFmtId="43" fontId="0" fillId="0" borderId="0" xfId="0" applyNumberFormat="1">
      <alignment wrapText="1"/>
    </xf>
    <xf numFmtId="0" fontId="41" fillId="0" borderId="1" xfId="0" applyFont="1" applyBorder="1" applyAlignment="1">
      <alignment horizontal="left" vertical="center" wrapText="1"/>
    </xf>
    <xf numFmtId="0" fontId="32" fillId="13" borderId="26" xfId="0" applyFont="1" applyFill="1" applyBorder="1" applyAlignment="1">
      <alignment horizontal="center" vertical="center" wrapText="1"/>
    </xf>
    <xf numFmtId="0" fontId="32" fillId="13" borderId="30" xfId="0" applyFont="1" applyFill="1" applyBorder="1" applyAlignment="1">
      <alignment horizontal="center" vertical="center" wrapText="1"/>
    </xf>
    <xf numFmtId="0" fontId="32" fillId="13" borderId="29" xfId="0" applyFont="1" applyFill="1" applyBorder="1" applyAlignment="1">
      <alignment horizontal="center" vertical="center" wrapText="1"/>
    </xf>
    <xf numFmtId="0" fontId="41" fillId="0" borderId="6" xfId="0" applyFont="1" applyBorder="1" applyAlignment="1">
      <alignment vertical="center" wrapText="1"/>
    </xf>
    <xf numFmtId="14" fontId="41" fillId="0" borderId="8" xfId="0" applyNumberFormat="1" applyFont="1" applyBorder="1" applyAlignment="1">
      <alignment vertical="center" wrapText="1"/>
    </xf>
    <xf numFmtId="169" fontId="0" fillId="0" borderId="0" xfId="5" applyNumberFormat="1" applyFont="1" applyAlignment="1">
      <alignment wrapText="1"/>
    </xf>
    <xf numFmtId="169" fontId="0" fillId="0" borderId="1" xfId="5" applyNumberFormat="1" applyFont="1" applyBorder="1" applyAlignment="1">
      <alignment wrapText="1"/>
    </xf>
    <xf numFmtId="14" fontId="8" fillId="0" borderId="8" xfId="0" applyNumberFormat="1" applyFont="1" applyBorder="1" applyAlignment="1">
      <alignment horizontal="left" vertical="center" wrapText="1"/>
    </xf>
    <xf numFmtId="0" fontId="7" fillId="0" borderId="9" xfId="0" applyFont="1" applyFill="1" applyBorder="1" applyAlignment="1">
      <alignment vertical="center" wrapText="1"/>
    </xf>
    <xf numFmtId="0" fontId="49" fillId="0" borderId="1" xfId="0" applyNumberFormat="1" applyFont="1" applyFill="1" applyBorder="1" applyAlignment="1">
      <alignment horizontal="left" vertical="center" wrapText="1"/>
    </xf>
    <xf numFmtId="0" fontId="49" fillId="0" borderId="6" xfId="0" applyNumberFormat="1" applyFont="1" applyFill="1" applyBorder="1" applyAlignment="1">
      <alignment vertical="center" wrapText="1"/>
    </xf>
    <xf numFmtId="14" fontId="49" fillId="0" borderId="8" xfId="0" applyNumberFormat="1" applyFont="1" applyBorder="1" applyAlignment="1">
      <alignment vertical="center" wrapText="1"/>
    </xf>
    <xf numFmtId="0" fontId="50" fillId="0" borderId="9" xfId="0" applyFont="1" applyFill="1" applyBorder="1" applyAlignment="1">
      <alignment vertical="center" wrapText="1"/>
    </xf>
    <xf numFmtId="0" fontId="45" fillId="0" borderId="1" xfId="0" applyFont="1" applyBorder="1" applyAlignment="1">
      <alignment horizontal="left" vertical="center" wrapText="1"/>
    </xf>
    <xf numFmtId="0" fontId="45" fillId="0" borderId="1" xfId="0" applyFont="1" applyFill="1" applyBorder="1" applyAlignment="1">
      <alignment vertical="center" wrapText="1"/>
    </xf>
    <xf numFmtId="0" fontId="45" fillId="4" borderId="1" xfId="0" applyFont="1" applyFill="1" applyBorder="1" applyAlignment="1">
      <alignment vertical="center" wrapText="1"/>
    </xf>
    <xf numFmtId="164" fontId="45" fillId="0" borderId="1" xfId="0" applyNumberFormat="1" applyFont="1" applyBorder="1" applyAlignment="1">
      <alignment vertical="center"/>
    </xf>
    <xf numFmtId="164" fontId="45" fillId="17" borderId="1" xfId="0" applyNumberFormat="1" applyFont="1" applyFill="1" applyBorder="1" applyAlignment="1">
      <alignment vertical="center"/>
    </xf>
    <xf numFmtId="0" fontId="45" fillId="17" borderId="1" xfId="0" applyFont="1" applyFill="1" applyBorder="1" applyAlignment="1">
      <alignment vertical="center" wrapText="1"/>
    </xf>
    <xf numFmtId="0" fontId="8" fillId="4" borderId="0" xfId="0" applyFont="1" applyFill="1" applyBorder="1" applyAlignment="1">
      <alignment vertical="center" wrapText="1"/>
    </xf>
    <xf numFmtId="167" fontId="41" fillId="0" borderId="5" xfId="0" applyNumberFormat="1" applyFont="1" applyBorder="1" applyAlignment="1">
      <alignment vertical="center" wrapText="1"/>
    </xf>
    <xf numFmtId="0" fontId="41" fillId="0" borderId="9" xfId="0" applyNumberFormat="1" applyFont="1" applyFill="1" applyBorder="1" applyAlignment="1">
      <alignment vertical="center" wrapText="1"/>
    </xf>
    <xf numFmtId="0" fontId="44" fillId="0" borderId="6" xfId="0" applyFont="1" applyBorder="1" applyAlignment="1">
      <alignment vertical="center" wrapText="1"/>
    </xf>
    <xf numFmtId="165" fontId="8" fillId="0" borderId="6" xfId="0" applyNumberFormat="1" applyFont="1" applyBorder="1" applyAlignment="1">
      <alignment horizontal="center" vertical="center" wrapText="1"/>
    </xf>
    <xf numFmtId="165" fontId="8" fillId="0" borderId="9" xfId="0" applyNumberFormat="1" applyFont="1" applyBorder="1" applyAlignment="1">
      <alignment horizontal="center" vertical="center" wrapText="1"/>
    </xf>
    <xf numFmtId="168" fontId="8" fillId="0" borderId="6" xfId="0" applyNumberFormat="1" applyFont="1" applyBorder="1" applyAlignment="1">
      <alignment horizontal="center" vertical="center" wrapText="1"/>
    </xf>
    <xf numFmtId="165" fontId="41" fillId="0" borderId="9" xfId="0" applyNumberFormat="1" applyFont="1" applyBorder="1" applyAlignment="1">
      <alignment horizontal="center" vertical="center" wrapText="1"/>
    </xf>
    <xf numFmtId="165" fontId="49" fillId="0" borderId="6" xfId="0" applyNumberFormat="1" applyFont="1" applyBorder="1" applyAlignment="1">
      <alignment horizontal="center" vertical="center" wrapText="1"/>
    </xf>
    <xf numFmtId="43" fontId="8" fillId="0" borderId="0" xfId="5" applyFont="1" applyAlignment="1">
      <alignment horizontal="center" vertical="center" wrapText="1"/>
    </xf>
    <xf numFmtId="0" fontId="2" fillId="0" borderId="0" xfId="1" applyAlignment="1">
      <alignment horizontal="center" vertical="center"/>
    </xf>
    <xf numFmtId="14" fontId="8" fillId="0" borderId="1" xfId="0" applyNumberFormat="1" applyFont="1" applyBorder="1" applyAlignment="1">
      <alignment horizontal="center" vertical="center" wrapText="1"/>
    </xf>
    <xf numFmtId="14" fontId="8" fillId="0" borderId="8" xfId="0" applyNumberFormat="1" applyFont="1" applyBorder="1" applyAlignment="1">
      <alignment horizontal="center" vertical="center" wrapText="1"/>
    </xf>
    <xf numFmtId="14" fontId="41" fillId="0" borderId="8" xfId="0" applyNumberFormat="1" applyFont="1" applyBorder="1" applyAlignment="1">
      <alignment horizontal="center" vertical="center" wrapText="1"/>
    </xf>
    <xf numFmtId="14" fontId="8" fillId="0" borderId="9" xfId="0" applyNumberFormat="1" applyFont="1" applyBorder="1" applyAlignment="1">
      <alignment horizontal="center" vertical="center" wrapText="1"/>
    </xf>
    <xf numFmtId="167" fontId="8" fillId="0" borderId="7" xfId="0" applyNumberFormat="1" applyFont="1" applyBorder="1" applyAlignment="1">
      <alignment horizontal="center" vertical="center" wrapText="1"/>
    </xf>
    <xf numFmtId="167" fontId="8" fillId="0" borderId="5" xfId="0" applyNumberFormat="1" applyFont="1" applyBorder="1" applyAlignment="1">
      <alignment horizontal="center" vertical="center" wrapText="1"/>
    </xf>
    <xf numFmtId="164" fontId="45" fillId="18" borderId="1" xfId="0" applyNumberFormat="1" applyFont="1" applyFill="1" applyBorder="1" applyAlignment="1">
      <alignment vertical="center"/>
    </xf>
    <xf numFmtId="164" fontId="45" fillId="4" borderId="1" xfId="0" applyNumberFormat="1" applyFont="1" applyFill="1" applyBorder="1" applyAlignment="1">
      <alignment vertical="center"/>
    </xf>
    <xf numFmtId="0" fontId="57" fillId="0" borderId="23" xfId="3" applyFont="1" applyBorder="1" applyAlignment="1">
      <alignment horizontal="center" vertical="center" wrapText="1"/>
    </xf>
    <xf numFmtId="0" fontId="56" fillId="0" borderId="1" xfId="0" applyFont="1" applyFill="1" applyBorder="1">
      <alignment wrapText="1"/>
    </xf>
    <xf numFmtId="0" fontId="58"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165" fontId="8" fillId="0" borderId="0" xfId="0" applyNumberFormat="1" applyFont="1">
      <alignment wrapText="1"/>
    </xf>
    <xf numFmtId="0" fontId="56" fillId="0" borderId="1" xfId="0" applyFont="1" applyFill="1" applyBorder="1" applyAlignment="1">
      <alignment horizontal="center" vertical="center" wrapText="1"/>
    </xf>
    <xf numFmtId="165" fontId="30" fillId="10" borderId="0" xfId="4" applyFont="1" applyFill="1" applyBorder="1" applyAlignment="1">
      <alignment vertical="center" wrapText="1"/>
    </xf>
    <xf numFmtId="0" fontId="33" fillId="10" borderId="0" xfId="0" applyFont="1" applyFill="1" applyBorder="1" applyAlignment="1">
      <alignment vertical="center" wrapText="1"/>
    </xf>
    <xf numFmtId="0" fontId="60" fillId="0" borderId="1" xfId="0" applyFont="1" applyFill="1" applyBorder="1" applyAlignment="1">
      <alignment horizontal="center" vertical="center" wrapText="1"/>
    </xf>
    <xf numFmtId="0" fontId="8" fillId="0" borderId="1" xfId="0" applyFont="1" applyFill="1" applyBorder="1">
      <alignment wrapText="1"/>
    </xf>
    <xf numFmtId="0" fontId="8" fillId="0" borderId="34" xfId="0" applyFont="1" applyFill="1" applyBorder="1">
      <alignment wrapText="1"/>
    </xf>
    <xf numFmtId="167" fontId="41" fillId="0" borderId="7" xfId="0" applyNumberFormat="1" applyFont="1" applyBorder="1" applyAlignment="1">
      <alignment vertical="center" wrapText="1"/>
    </xf>
    <xf numFmtId="0" fontId="61" fillId="0" borderId="33" xfId="0" applyFont="1" applyBorder="1" applyAlignment="1">
      <alignment vertical="center" wrapText="1"/>
    </xf>
    <xf numFmtId="0" fontId="61" fillId="0" borderId="33" xfId="0" applyFont="1" applyBorder="1" applyAlignment="1">
      <alignment vertical="center"/>
    </xf>
    <xf numFmtId="0" fontId="62" fillId="0" borderId="9" xfId="0" applyFont="1" applyBorder="1" applyAlignment="1">
      <alignment horizontal="center" vertical="center" wrapText="1"/>
    </xf>
    <xf numFmtId="0" fontId="33" fillId="9" borderId="0" xfId="0" applyFont="1" applyFill="1" applyBorder="1" applyAlignment="1">
      <alignment vertical="center" wrapText="1"/>
    </xf>
    <xf numFmtId="0" fontId="3" fillId="9" borderId="25" xfId="0" applyFont="1" applyFill="1" applyBorder="1" applyAlignment="1">
      <alignment vertical="center" wrapText="1"/>
    </xf>
    <xf numFmtId="165" fontId="30" fillId="9" borderId="0" xfId="4" applyFont="1" applyFill="1" applyBorder="1" applyAlignment="1">
      <alignment vertical="center" wrapText="1"/>
    </xf>
    <xf numFmtId="165" fontId="29" fillId="9" borderId="0" xfId="4" applyFont="1"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3" fillId="10" borderId="0" xfId="0" applyFont="1" applyFill="1" applyBorder="1" applyAlignment="1">
      <alignment vertical="center" wrapText="1"/>
    </xf>
    <xf numFmtId="165" fontId="29" fillId="10" borderId="0" xfId="4" applyFont="1" applyFill="1" applyBorder="1" applyAlignment="1">
      <alignment vertical="center" wrapText="1"/>
    </xf>
    <xf numFmtId="0" fontId="39" fillId="0" borderId="1" xfId="3" applyFont="1" applyBorder="1" applyAlignment="1">
      <alignment horizontal="center" vertical="center" wrapText="1"/>
    </xf>
    <xf numFmtId="0" fontId="44" fillId="0" borderId="9" xfId="0" applyFont="1" applyBorder="1" applyAlignment="1">
      <alignment vertical="center" wrapText="1"/>
    </xf>
    <xf numFmtId="165" fontId="41" fillId="0" borderId="6" xfId="0" applyNumberFormat="1" applyFont="1" applyBorder="1" applyAlignment="1">
      <alignment horizontal="center" vertical="center" wrapText="1"/>
    </xf>
    <xf numFmtId="0" fontId="63" fillId="0" borderId="9" xfId="0" applyFont="1" applyBorder="1" applyAlignment="1">
      <alignment vertical="center" wrapText="1"/>
    </xf>
    <xf numFmtId="0" fontId="41" fillId="0" borderId="6" xfId="0" applyNumberFormat="1" applyFont="1" applyFill="1" applyBorder="1" applyAlignment="1">
      <alignment vertical="center" wrapText="1"/>
    </xf>
    <xf numFmtId="171" fontId="0" fillId="0" borderId="0" xfId="0" applyNumberFormat="1" applyAlignment="1">
      <alignment vertical="center" wrapText="1"/>
    </xf>
    <xf numFmtId="171" fontId="39" fillId="0" borderId="3" xfId="3" applyNumberFormat="1" applyFont="1" applyBorder="1" applyAlignment="1">
      <alignment horizontal="center" vertical="center" wrapText="1"/>
    </xf>
    <xf numFmtId="171" fontId="8" fillId="0" borderId="1" xfId="0" applyNumberFormat="1" applyFont="1" applyBorder="1" applyAlignment="1">
      <alignment vertical="center" wrapText="1"/>
    </xf>
    <xf numFmtId="171" fontId="45" fillId="0" borderId="1" xfId="0" applyNumberFormat="1" applyFont="1" applyBorder="1" applyAlignment="1">
      <alignment vertical="center"/>
    </xf>
    <xf numFmtId="171" fontId="45" fillId="17" borderId="1" xfId="0" applyNumberFormat="1" applyFont="1" applyFill="1" applyBorder="1" applyAlignment="1">
      <alignment vertical="center"/>
    </xf>
    <xf numFmtId="171" fontId="41" fillId="0" borderId="1" xfId="0" applyNumberFormat="1" applyFont="1" applyBorder="1" applyAlignment="1">
      <alignment vertical="center" wrapText="1"/>
    </xf>
    <xf numFmtId="171" fontId="8" fillId="0" borderId="1" xfId="0" applyNumberFormat="1" applyFont="1" applyBorder="1" applyAlignment="1">
      <alignment vertical="center"/>
    </xf>
    <xf numFmtId="171" fontId="51" fillId="0" borderId="1" xfId="0" applyNumberFormat="1" applyFont="1" applyBorder="1" applyAlignment="1">
      <alignment vertical="center"/>
    </xf>
    <xf numFmtId="171" fontId="51" fillId="4" borderId="1" xfId="0" applyNumberFormat="1" applyFont="1" applyFill="1" applyBorder="1" applyAlignment="1"/>
    <xf numFmtId="171" fontId="51" fillId="0" borderId="1" xfId="0" applyNumberFormat="1" applyFont="1" applyBorder="1" applyAlignment="1"/>
    <xf numFmtId="171" fontId="51" fillId="4" borderId="1" xfId="0" applyNumberFormat="1" applyFont="1" applyFill="1" applyBorder="1" applyAlignment="1">
      <alignment vertical="center"/>
    </xf>
    <xf numFmtId="171" fontId="8" fillId="0" borderId="8" xfId="0" applyNumberFormat="1" applyFont="1" applyBorder="1" applyAlignment="1">
      <alignment vertical="center" wrapText="1"/>
    </xf>
    <xf numFmtId="171" fontId="8" fillId="0" borderId="0" xfId="0" applyNumberFormat="1" applyFont="1" applyAlignment="1">
      <alignment vertical="center" wrapText="1"/>
    </xf>
    <xf numFmtId="171" fontId="51" fillId="17" borderId="1" xfId="0" applyNumberFormat="1" applyFont="1" applyFill="1" applyBorder="1" applyAlignment="1"/>
    <xf numFmtId="171" fontId="51" fillId="17" borderId="1" xfId="0" applyNumberFormat="1" applyFont="1" applyFill="1" applyBorder="1" applyAlignment="1">
      <alignment vertical="center"/>
    </xf>
    <xf numFmtId="171" fontId="8" fillId="0" borderId="9" xfId="0" applyNumberFormat="1" applyFont="1" applyBorder="1" applyAlignment="1">
      <alignment vertical="center" wrapText="1"/>
    </xf>
    <xf numFmtId="171" fontId="8" fillId="0" borderId="0" xfId="5" applyNumberFormat="1" applyFont="1" applyAlignment="1">
      <alignmen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vertical="center" wrapText="1"/>
    </xf>
    <xf numFmtId="43" fontId="8" fillId="0" borderId="0" xfId="5" applyFont="1" applyAlignment="1">
      <alignment wrapText="1"/>
    </xf>
    <xf numFmtId="167" fontId="41" fillId="4" borderId="5" xfId="0" applyNumberFormat="1" applyFont="1" applyFill="1" applyBorder="1" applyAlignment="1">
      <alignment vertical="center" wrapText="1"/>
    </xf>
    <xf numFmtId="0" fontId="41" fillId="4" borderId="1" xfId="0" applyFont="1" applyFill="1" applyBorder="1" applyAlignment="1">
      <alignment horizontal="left" vertical="center" wrapText="1"/>
    </xf>
    <xf numFmtId="0" fontId="41" fillId="4" borderId="1" xfId="0" applyFont="1" applyFill="1" applyBorder="1" applyAlignment="1">
      <alignment vertical="center" wrapText="1"/>
    </xf>
    <xf numFmtId="1" fontId="41" fillId="4" borderId="1" xfId="0" applyNumberFormat="1" applyFont="1" applyFill="1" applyBorder="1" applyAlignment="1">
      <alignment vertical="center" wrapText="1"/>
    </xf>
    <xf numFmtId="171" fontId="41" fillId="4" borderId="1" xfId="0" applyNumberFormat="1" applyFont="1" applyFill="1" applyBorder="1" applyAlignment="1">
      <alignment vertical="center" wrapText="1"/>
    </xf>
    <xf numFmtId="165" fontId="41" fillId="4" borderId="6" xfId="0" applyNumberFormat="1" applyFont="1" applyFill="1" applyBorder="1" applyAlignment="1">
      <alignment horizontal="center" vertical="center" wrapText="1"/>
    </xf>
    <xf numFmtId="0" fontId="41" fillId="4" borderId="6" xfId="0" applyFont="1" applyFill="1" applyBorder="1" applyAlignment="1">
      <alignment vertical="center" wrapText="1"/>
    </xf>
    <xf numFmtId="14" fontId="41" fillId="4" borderId="8" xfId="0" applyNumberFormat="1" applyFont="1" applyFill="1" applyBorder="1" applyAlignment="1">
      <alignment horizontal="center" vertical="center" wrapText="1"/>
    </xf>
    <xf numFmtId="14" fontId="41" fillId="4" borderId="8" xfId="0" applyNumberFormat="1" applyFont="1" applyFill="1" applyBorder="1" applyAlignment="1">
      <alignment vertical="center" wrapText="1"/>
    </xf>
    <xf numFmtId="0" fontId="63" fillId="4" borderId="6" xfId="0" applyFont="1" applyFill="1" applyBorder="1" applyAlignment="1">
      <alignment vertical="center" wrapText="1"/>
    </xf>
    <xf numFmtId="171" fontId="8" fillId="0" borderId="0" xfId="0" applyNumberFormat="1" applyFont="1" applyAlignment="1">
      <alignment horizontal="center" vertical="center" wrapText="1"/>
    </xf>
    <xf numFmtId="0" fontId="16" fillId="0" borderId="1" xfId="0" applyFont="1" applyBorder="1" applyAlignment="1"/>
    <xf numFmtId="165" fontId="14" fillId="0" borderId="1" xfId="4" applyFont="1" applyBorder="1" applyAlignment="1">
      <alignment horizontal="center" wrapText="1"/>
    </xf>
    <xf numFmtId="165" fontId="14" fillId="0" borderId="4" xfId="4" applyFont="1" applyFill="1" applyBorder="1" applyAlignment="1">
      <alignment horizontal="center" wrapText="1"/>
    </xf>
    <xf numFmtId="165" fontId="14" fillId="0" borderId="6" xfId="4" applyFont="1" applyFill="1" applyBorder="1" applyAlignment="1">
      <alignment horizontal="center" wrapText="1"/>
    </xf>
    <xf numFmtId="165" fontId="14" fillId="0" borderId="1" xfId="4" applyFont="1" applyFill="1" applyBorder="1" applyAlignment="1">
      <alignment horizontal="center" wrapText="1"/>
    </xf>
    <xf numFmtId="0" fontId="0" fillId="0" borderId="1" xfId="0" applyFill="1" applyBorder="1" applyAlignment="1">
      <alignment horizontal="left" wrapText="1"/>
    </xf>
    <xf numFmtId="165" fontId="16" fillId="20" borderId="17" xfId="0" applyNumberFormat="1" applyFont="1" applyFill="1" applyBorder="1" applyAlignment="1">
      <alignment horizontal="center" wrapText="1"/>
    </xf>
    <xf numFmtId="0" fontId="0" fillId="20" borderId="0" xfId="0" applyFill="1" applyAlignment="1">
      <alignment horizontal="left"/>
    </xf>
    <xf numFmtId="0" fontId="14" fillId="21" borderId="19" xfId="0" applyFont="1" applyFill="1" applyBorder="1" applyAlignment="1">
      <alignment horizontal="center" vertical="center" wrapText="1"/>
    </xf>
    <xf numFmtId="0" fontId="3" fillId="21" borderId="1" xfId="0" applyFont="1" applyFill="1" applyBorder="1" applyAlignment="1">
      <alignment horizontal="left" vertical="center" wrapText="1"/>
    </xf>
    <xf numFmtId="171" fontId="45" fillId="17" borderId="1" xfId="0" applyNumberFormat="1" applyFont="1" applyFill="1" applyBorder="1" applyAlignment="1"/>
    <xf numFmtId="171" fontId="45" fillId="0" borderId="1" xfId="0" applyNumberFormat="1" applyFont="1" applyBorder="1" applyAlignment="1"/>
    <xf numFmtId="0" fontId="3" fillId="0" borderId="0" xfId="0" applyFont="1" applyAlignment="1">
      <alignment horizontal="left" vertical="center"/>
    </xf>
    <xf numFmtId="0" fontId="7" fillId="0" borderId="0" xfId="0" applyFont="1" applyFill="1" applyBorder="1" applyAlignment="1">
      <alignment vertical="center"/>
    </xf>
    <xf numFmtId="49" fontId="66" fillId="22" borderId="0" xfId="7" applyNumberFormat="1" applyFont="1" applyFill="1" applyAlignment="1"/>
    <xf numFmtId="0" fontId="29" fillId="0" borderId="0" xfId="0" applyFont="1" applyAlignment="1">
      <alignment vertical="center" wrapText="1"/>
    </xf>
    <xf numFmtId="0" fontId="33" fillId="0" borderId="0" xfId="0" applyFont="1" applyAlignment="1">
      <alignment vertical="center" wrapText="1"/>
    </xf>
    <xf numFmtId="0" fontId="30" fillId="0" borderId="0" xfId="0" applyFont="1" applyAlignment="1">
      <alignment vertical="center" wrapText="1"/>
    </xf>
    <xf numFmtId="0" fontId="36" fillId="0" borderId="0" xfId="0" applyFont="1" applyAlignment="1">
      <alignment vertical="center" wrapText="1"/>
    </xf>
    <xf numFmtId="0" fontId="29" fillId="0" borderId="0" xfId="0" applyFont="1" applyAlignment="1">
      <alignment horizontal="center" vertical="center" wrapText="1"/>
    </xf>
    <xf numFmtId="0" fontId="34" fillId="0" borderId="0" xfId="0" applyFont="1" applyAlignment="1">
      <alignment horizontal="center" vertical="center" wrapText="1"/>
    </xf>
    <xf numFmtId="0" fontId="33" fillId="0" borderId="0" xfId="0" applyFont="1" applyAlignment="1">
      <alignment horizontal="center" vertical="center" wrapText="1"/>
    </xf>
    <xf numFmtId="0" fontId="29" fillId="15" borderId="27" xfId="0" applyFont="1" applyFill="1" applyBorder="1" applyAlignment="1">
      <alignment vertical="center" wrapText="1"/>
    </xf>
    <xf numFmtId="0" fontId="33" fillId="15" borderId="28" xfId="0" applyFont="1" applyFill="1" applyBorder="1" applyAlignment="1">
      <alignment vertical="center" wrapText="1"/>
    </xf>
    <xf numFmtId="165" fontId="29" fillId="15" borderId="28" xfId="4" applyFont="1" applyFill="1" applyBorder="1" applyAlignment="1">
      <alignment vertical="center" wrapText="1"/>
    </xf>
    <xf numFmtId="0" fontId="29" fillId="15" borderId="0" xfId="0" applyFont="1" applyFill="1" applyBorder="1" applyAlignment="1">
      <alignment vertical="center" wrapText="1"/>
    </xf>
    <xf numFmtId="0" fontId="33" fillId="15" borderId="0" xfId="0" applyFont="1" applyFill="1" applyBorder="1" applyAlignment="1">
      <alignment vertical="center" wrapText="1"/>
    </xf>
    <xf numFmtId="165" fontId="30" fillId="15" borderId="0" xfId="4" applyFont="1" applyFill="1" applyBorder="1" applyAlignment="1">
      <alignment vertical="center" wrapText="1"/>
    </xf>
    <xf numFmtId="165" fontId="29" fillId="15" borderId="0" xfId="4" applyFont="1" applyFill="1" applyBorder="1" applyAlignment="1">
      <alignment vertical="center" wrapText="1"/>
    </xf>
    <xf numFmtId="0" fontId="3" fillId="15" borderId="0" xfId="0" applyFont="1" applyFill="1" applyBorder="1" applyAlignment="1">
      <alignment vertical="center" wrapText="1"/>
    </xf>
    <xf numFmtId="0" fontId="29" fillId="6" borderId="28" xfId="0" applyFont="1" applyFill="1" applyBorder="1" applyAlignment="1">
      <alignment vertical="center" wrapText="1"/>
    </xf>
    <xf numFmtId="0" fontId="33" fillId="6" borderId="28" xfId="0" applyFont="1" applyFill="1" applyBorder="1" applyAlignment="1">
      <alignment vertical="center"/>
    </xf>
    <xf numFmtId="0" fontId="29" fillId="6" borderId="0" xfId="0" applyFont="1" applyFill="1" applyBorder="1" applyAlignment="1">
      <alignment vertical="center" wrapText="1"/>
    </xf>
    <xf numFmtId="0" fontId="33" fillId="6" borderId="0" xfId="0" applyFont="1" applyFill="1" applyBorder="1" applyAlignment="1">
      <alignment vertical="center"/>
    </xf>
    <xf numFmtId="165" fontId="30" fillId="6" borderId="0" xfId="4" applyFont="1" applyFill="1" applyBorder="1" applyAlignment="1">
      <alignment vertical="center" wrapText="1"/>
    </xf>
    <xf numFmtId="165" fontId="29" fillId="6" borderId="0" xfId="4" applyFont="1" applyFill="1" applyBorder="1" applyAlignment="1">
      <alignment vertical="center" wrapText="1"/>
    </xf>
    <xf numFmtId="0" fontId="53" fillId="6" borderId="0" xfId="0" applyFont="1" applyFill="1" applyBorder="1" applyAlignment="1">
      <alignment vertical="center"/>
    </xf>
    <xf numFmtId="0" fontId="33" fillId="6" borderId="0" xfId="0" applyFont="1" applyFill="1" applyBorder="1" applyAlignment="1">
      <alignment vertical="center" wrapText="1"/>
    </xf>
    <xf numFmtId="0" fontId="47" fillId="6" borderId="0" xfId="0" applyFont="1" applyFill="1" applyBorder="1" applyAlignment="1">
      <alignment vertical="center"/>
    </xf>
    <xf numFmtId="165" fontId="54" fillId="6" borderId="0" xfId="4" applyFont="1" applyFill="1" applyBorder="1" applyAlignment="1">
      <alignment vertical="center" wrapText="1"/>
    </xf>
    <xf numFmtId="0" fontId="3" fillId="6" borderId="0" xfId="0" applyFont="1" applyFill="1" applyBorder="1" applyAlignment="1">
      <alignment vertical="center" wrapText="1"/>
    </xf>
    <xf numFmtId="0" fontId="53" fillId="6" borderId="0" xfId="0" applyFont="1" applyFill="1" applyBorder="1" applyAlignment="1">
      <alignment vertical="center" wrapText="1"/>
    </xf>
    <xf numFmtId="0" fontId="33" fillId="7" borderId="28" xfId="0" applyFont="1" applyFill="1" applyBorder="1" applyAlignment="1">
      <alignment vertical="center" wrapText="1"/>
    </xf>
    <xf numFmtId="0" fontId="29" fillId="7" borderId="0" xfId="0" applyFont="1" applyFill="1" applyBorder="1" applyAlignment="1">
      <alignment vertical="center" wrapText="1"/>
    </xf>
    <xf numFmtId="0" fontId="33" fillId="7" borderId="0" xfId="0" applyFont="1" applyFill="1" applyBorder="1" applyAlignment="1">
      <alignment vertical="center" wrapText="1"/>
    </xf>
    <xf numFmtId="165" fontId="30" fillId="7" borderId="0" xfId="4" applyFont="1" applyFill="1" applyBorder="1" applyAlignment="1">
      <alignment vertical="center" wrapText="1"/>
    </xf>
    <xf numFmtId="165" fontId="29" fillId="7" borderId="0" xfId="4" applyFont="1" applyFill="1" applyBorder="1" applyAlignment="1">
      <alignment vertical="center" wrapText="1"/>
    </xf>
    <xf numFmtId="0" fontId="29" fillId="9" borderId="32" xfId="0" applyFont="1" applyFill="1" applyBorder="1" applyAlignment="1">
      <alignment vertical="center" wrapText="1"/>
    </xf>
    <xf numFmtId="0" fontId="33" fillId="9" borderId="28" xfId="0" applyFont="1" applyFill="1" applyBorder="1" applyAlignment="1">
      <alignment vertical="center" wrapText="1"/>
    </xf>
    <xf numFmtId="165" fontId="29" fillId="9" borderId="28" xfId="4" applyFont="1" applyFill="1" applyBorder="1" applyAlignment="1">
      <alignment vertical="center" wrapText="1"/>
    </xf>
    <xf numFmtId="0" fontId="29" fillId="9" borderId="25" xfId="0" applyFont="1" applyFill="1" applyBorder="1" applyAlignment="1">
      <alignment vertical="center" wrapText="1"/>
    </xf>
    <xf numFmtId="0" fontId="29" fillId="11" borderId="32" xfId="0" applyFont="1" applyFill="1" applyBorder="1" applyAlignment="1">
      <alignment vertical="center" wrapText="1"/>
    </xf>
    <xf numFmtId="0" fontId="33" fillId="11" borderId="28" xfId="0" applyFont="1" applyFill="1" applyBorder="1" applyAlignment="1">
      <alignment vertical="center"/>
    </xf>
    <xf numFmtId="0" fontId="33" fillId="11" borderId="28" xfId="0" applyFont="1" applyFill="1" applyBorder="1" applyAlignment="1">
      <alignment vertical="center" wrapText="1"/>
    </xf>
    <xf numFmtId="165" fontId="29" fillId="11" borderId="28" xfId="4" applyFont="1" applyFill="1" applyBorder="1" applyAlignment="1">
      <alignment vertical="center" wrapText="1"/>
    </xf>
    <xf numFmtId="0" fontId="3" fillId="11" borderId="25" xfId="0" applyFont="1" applyFill="1" applyBorder="1" applyAlignment="1">
      <alignment vertical="center" wrapText="1"/>
    </xf>
    <xf numFmtId="0" fontId="33" fillId="11" borderId="0" xfId="0" applyFont="1" applyFill="1" applyBorder="1" applyAlignment="1">
      <alignment vertical="center"/>
    </xf>
    <xf numFmtId="0" fontId="33" fillId="11" borderId="0" xfId="0" applyFont="1" applyFill="1" applyBorder="1" applyAlignment="1">
      <alignment vertical="center" wrapText="1"/>
    </xf>
    <xf numFmtId="165" fontId="30" fillId="11" borderId="0" xfId="4" applyFont="1" applyFill="1" applyBorder="1" applyAlignment="1">
      <alignment vertical="center" wrapText="1"/>
    </xf>
    <xf numFmtId="165" fontId="29" fillId="11" borderId="0" xfId="4" applyFont="1" applyFill="1" applyBorder="1" applyAlignment="1">
      <alignment vertical="center" wrapText="1"/>
    </xf>
    <xf numFmtId="0" fontId="0" fillId="19" borderId="0" xfId="0" applyFill="1" applyBorder="1" applyAlignment="1">
      <alignment vertical="center" wrapText="1"/>
    </xf>
    <xf numFmtId="0" fontId="29" fillId="10" borderId="32" xfId="0" applyFont="1" applyFill="1" applyBorder="1" applyAlignment="1">
      <alignment vertical="center" wrapText="1"/>
    </xf>
    <xf numFmtId="0" fontId="33" fillId="10" borderId="28" xfId="0" applyFont="1" applyFill="1" applyBorder="1" applyAlignment="1">
      <alignment vertical="center" wrapText="1"/>
    </xf>
    <xf numFmtId="165" fontId="29" fillId="10" borderId="28" xfId="4" applyFont="1" applyFill="1" applyBorder="1" applyAlignment="1">
      <alignment vertical="center" wrapText="1"/>
    </xf>
    <xf numFmtId="0" fontId="3" fillId="10" borderId="25" xfId="0" applyFont="1" applyFill="1" applyBorder="1" applyAlignment="1">
      <alignment vertical="center" wrapText="1"/>
    </xf>
    <xf numFmtId="0" fontId="3" fillId="10" borderId="25" xfId="0" applyFont="1" applyFill="1" applyBorder="1" applyAlignment="1">
      <alignment vertical="center"/>
    </xf>
    <xf numFmtId="0" fontId="33" fillId="10" borderId="0" xfId="0" applyFont="1" applyFill="1" applyBorder="1" applyAlignment="1">
      <alignment vertical="center"/>
    </xf>
    <xf numFmtId="0" fontId="0" fillId="0" borderId="0" xfId="0" applyFont="1" applyFill="1" applyBorder="1" applyAlignment="1">
      <alignment vertical="center" wrapText="1"/>
    </xf>
    <xf numFmtId="0" fontId="3" fillId="0" borderId="0" xfId="0" applyFont="1" applyAlignment="1">
      <alignment vertical="center" wrapText="1"/>
    </xf>
    <xf numFmtId="165" fontId="29" fillId="0" borderId="0" xfId="4" applyFont="1" applyAlignment="1">
      <alignment vertical="center" wrapText="1"/>
    </xf>
    <xf numFmtId="168" fontId="30" fillId="0" borderId="0" xfId="4" applyNumberFormat="1" applyFont="1" applyAlignment="1">
      <alignment vertical="center" wrapText="1"/>
    </xf>
    <xf numFmtId="168" fontId="31" fillId="5" borderId="0" xfId="0" applyNumberFormat="1" applyFont="1" applyFill="1" applyAlignment="1">
      <alignment vertical="center" wrapText="1"/>
    </xf>
    <xf numFmtId="165" fontId="30" fillId="5" borderId="0" xfId="0" applyNumberFormat="1" applyFont="1" applyFill="1" applyAlignment="1">
      <alignment vertical="center" wrapText="1"/>
    </xf>
    <xf numFmtId="169" fontId="31" fillId="0" borderId="0" xfId="5" applyNumberFormat="1" applyFont="1" applyAlignment="1">
      <alignment vertical="center" wrapText="1"/>
    </xf>
    <xf numFmtId="165" fontId="30" fillId="0" borderId="0" xfId="0" applyNumberFormat="1" applyFont="1" applyFill="1" applyAlignment="1">
      <alignment vertical="center" wrapText="1"/>
    </xf>
    <xf numFmtId="169" fontId="48" fillId="0" borderId="0" xfId="5" applyNumberFormat="1" applyFont="1" applyAlignment="1">
      <alignment vertical="center" wrapText="1"/>
    </xf>
    <xf numFmtId="168" fontId="30" fillId="5" borderId="0" xfId="0" applyNumberFormat="1" applyFont="1" applyFill="1" applyAlignment="1">
      <alignment vertical="center" wrapText="1"/>
    </xf>
    <xf numFmtId="165" fontId="30" fillId="0" borderId="0" xfId="0" applyNumberFormat="1" applyFont="1" applyAlignment="1">
      <alignment vertical="center" wrapText="1"/>
    </xf>
    <xf numFmtId="165" fontId="30" fillId="0" borderId="0" xfId="4" applyFont="1" applyAlignment="1">
      <alignment vertical="center" wrapText="1"/>
    </xf>
    <xf numFmtId="169" fontId="30" fillId="0" borderId="0" xfId="5" applyNumberFormat="1" applyFont="1" applyAlignment="1">
      <alignment vertical="center" wrapText="1"/>
    </xf>
    <xf numFmtId="0" fontId="56" fillId="0" borderId="1" xfId="0" applyFont="1" applyFill="1" applyBorder="1" applyAlignment="1">
      <alignment vertical="center" wrapText="1"/>
    </xf>
    <xf numFmtId="0" fontId="16" fillId="20" borderId="35" xfId="0" applyFont="1" applyFill="1" applyBorder="1">
      <alignment wrapText="1"/>
    </xf>
    <xf numFmtId="0" fontId="0" fillId="20" borderId="36" xfId="0" applyFill="1" applyBorder="1" applyAlignment="1">
      <alignment horizontal="left"/>
    </xf>
    <xf numFmtId="165" fontId="16" fillId="20" borderId="34" xfId="0" applyNumberFormat="1" applyFont="1" applyFill="1" applyBorder="1" applyAlignment="1">
      <alignment horizontal="center" wrapText="1"/>
    </xf>
    <xf numFmtId="169" fontId="0" fillId="0" borderId="1" xfId="5" applyNumberFormat="1" applyFont="1" applyFill="1" applyBorder="1" applyAlignment="1">
      <alignment wrapText="1"/>
    </xf>
    <xf numFmtId="169" fontId="0" fillId="0" borderId="8" xfId="5" applyNumberFormat="1" applyFont="1" applyFill="1" applyBorder="1" applyAlignment="1">
      <alignment wrapText="1"/>
    </xf>
    <xf numFmtId="0" fontId="38" fillId="21" borderId="20" xfId="0" applyFont="1" applyFill="1" applyBorder="1" applyAlignment="1">
      <alignment horizontal="center" vertical="center" wrapText="1"/>
    </xf>
    <xf numFmtId="0" fontId="38" fillId="21" borderId="24" xfId="0" applyFont="1" applyFill="1" applyBorder="1" applyAlignment="1">
      <alignment horizontal="center" vertical="center" wrapText="1"/>
    </xf>
    <xf numFmtId="0" fontId="22" fillId="21" borderId="1" xfId="0" applyFont="1" applyFill="1" applyBorder="1" applyAlignment="1">
      <alignment horizontal="center" vertical="center" wrapText="1"/>
    </xf>
    <xf numFmtId="0" fontId="55" fillId="0" borderId="33" xfId="0" applyFont="1" applyBorder="1" applyAlignment="1">
      <alignment vertical="center"/>
    </xf>
    <xf numFmtId="171" fontId="14" fillId="0" borderId="1" xfId="0" applyNumberFormat="1" applyFont="1" applyBorder="1" applyAlignment="1">
      <alignment vertical="center"/>
    </xf>
    <xf numFmtId="171" fontId="14" fillId="17" borderId="1" xfId="0" applyNumberFormat="1" applyFont="1" applyFill="1" applyBorder="1" applyAlignment="1"/>
    <xf numFmtId="171" fontId="14" fillId="0" borderId="1" xfId="0" applyNumberFormat="1" applyFont="1" applyBorder="1" applyAlignment="1"/>
    <xf numFmtId="171" fontId="14" fillId="17" borderId="1" xfId="0" applyNumberFormat="1" applyFont="1" applyFill="1" applyBorder="1" applyAlignment="1">
      <alignment vertical="center"/>
    </xf>
    <xf numFmtId="0" fontId="3" fillId="0" borderId="1" xfId="0" applyFont="1" applyBorder="1" applyAlignment="1">
      <alignment horizontal="center" vertical="center"/>
    </xf>
    <xf numFmtId="0" fontId="0" fillId="0" borderId="1" xfId="0" applyBorder="1" applyAlignment="1">
      <alignment vertical="center" wrapText="1"/>
    </xf>
    <xf numFmtId="0" fontId="29" fillId="23" borderId="32" xfId="0" applyFont="1" applyFill="1" applyBorder="1" applyAlignment="1">
      <alignment vertical="center" wrapText="1"/>
    </xf>
    <xf numFmtId="0" fontId="33" fillId="23" borderId="28" xfId="0" applyFont="1" applyFill="1" applyBorder="1" applyAlignment="1">
      <alignment vertical="center" wrapText="1"/>
    </xf>
    <xf numFmtId="165" fontId="29" fillId="23" borderId="28" xfId="4" applyFont="1" applyFill="1" applyBorder="1" applyAlignment="1">
      <alignment vertical="center" wrapText="1"/>
    </xf>
    <xf numFmtId="0" fontId="3" fillId="23" borderId="25" xfId="0" applyFont="1" applyFill="1" applyBorder="1" applyAlignment="1">
      <alignment vertical="center" wrapText="1"/>
    </xf>
    <xf numFmtId="0" fontId="33" fillId="23" borderId="0" xfId="0" applyFont="1" applyFill="1" applyBorder="1" applyAlignment="1">
      <alignment vertical="center" wrapText="1"/>
    </xf>
    <xf numFmtId="165" fontId="30" fillId="23" borderId="0" xfId="4" applyFont="1" applyFill="1" applyBorder="1" applyAlignment="1">
      <alignment vertical="center" wrapText="1"/>
    </xf>
    <xf numFmtId="165" fontId="29" fillId="23" borderId="0" xfId="4" applyFont="1" applyFill="1" applyBorder="1" applyAlignment="1">
      <alignment vertical="center" wrapText="1"/>
    </xf>
    <xf numFmtId="0" fontId="3" fillId="23" borderId="25" xfId="0" applyFont="1" applyFill="1" applyBorder="1" applyAlignment="1">
      <alignment vertical="center"/>
    </xf>
    <xf numFmtId="0" fontId="33" fillId="23" borderId="0" xfId="0" applyFont="1" applyFill="1" applyBorder="1" applyAlignment="1">
      <alignment vertical="center"/>
    </xf>
    <xf numFmtId="0" fontId="3" fillId="23" borderId="0" xfId="0" applyFont="1" applyFill="1" applyBorder="1" applyAlignment="1">
      <alignment vertical="center" wrapText="1"/>
    </xf>
    <xf numFmtId="0" fontId="29" fillId="17" borderId="32" xfId="0" applyFont="1" applyFill="1" applyBorder="1" applyAlignment="1">
      <alignment vertical="center" wrapText="1"/>
    </xf>
    <xf numFmtId="0" fontId="33" fillId="17" borderId="28" xfId="0" applyFont="1" applyFill="1" applyBorder="1" applyAlignment="1">
      <alignment vertical="center" wrapText="1"/>
    </xf>
    <xf numFmtId="165" fontId="29" fillId="17" borderId="28" xfId="4" applyFont="1" applyFill="1" applyBorder="1" applyAlignment="1">
      <alignment vertical="center" wrapText="1"/>
    </xf>
    <xf numFmtId="0" fontId="29" fillId="17" borderId="25" xfId="0" applyFont="1" applyFill="1" applyBorder="1" applyAlignment="1">
      <alignment vertical="center" wrapText="1"/>
    </xf>
    <xf numFmtId="0" fontId="33" fillId="17" borderId="0" xfId="0" applyFont="1" applyFill="1" applyBorder="1" applyAlignment="1">
      <alignment vertical="center" wrapText="1"/>
    </xf>
    <xf numFmtId="165" fontId="30" fillId="17" borderId="0" xfId="4" applyFont="1" applyFill="1" applyBorder="1" applyAlignment="1">
      <alignment vertical="center" wrapText="1"/>
    </xf>
    <xf numFmtId="165" fontId="29" fillId="17" borderId="0" xfId="4" applyFont="1" applyFill="1" applyBorder="1" applyAlignment="1">
      <alignment vertical="center" wrapText="1"/>
    </xf>
    <xf numFmtId="0" fontId="3" fillId="17" borderId="25" xfId="0" applyFont="1" applyFill="1" applyBorder="1" applyAlignment="1">
      <alignment vertical="center" wrapText="1"/>
    </xf>
    <xf numFmtId="0" fontId="29" fillId="23" borderId="25" xfId="0" applyFont="1" applyFill="1" applyBorder="1" applyAlignment="1">
      <alignment vertical="center" wrapText="1"/>
    </xf>
    <xf numFmtId="0" fontId="33" fillId="23" borderId="0" xfId="0" applyFont="1" applyFill="1" applyBorder="1">
      <alignment wrapText="1"/>
    </xf>
    <xf numFmtId="0" fontId="8" fillId="0" borderId="28" xfId="0" applyFont="1" applyBorder="1" applyAlignment="1">
      <alignment vertical="center" wrapText="1"/>
    </xf>
    <xf numFmtId="0" fontId="8" fillId="0" borderId="5" xfId="0" applyFont="1" applyBorder="1" applyAlignment="1">
      <alignment vertical="center" wrapText="1"/>
    </xf>
    <xf numFmtId="0" fontId="41" fillId="0" borderId="28" xfId="0" applyFont="1" applyBorder="1" applyAlignment="1">
      <alignment vertical="center" wrapText="1"/>
    </xf>
    <xf numFmtId="0" fontId="8" fillId="0" borderId="26" xfId="0" applyFont="1" applyBorder="1" applyAlignment="1">
      <alignment vertical="center" wrapText="1"/>
    </xf>
    <xf numFmtId="0" fontId="3" fillId="21" borderId="5" xfId="0" applyFont="1" applyFill="1" applyBorder="1" applyAlignment="1">
      <alignment horizontal="center" vertical="center" wrapText="1"/>
    </xf>
    <xf numFmtId="165" fontId="14" fillId="0" borderId="3" xfId="4" applyFont="1" applyFill="1" applyBorder="1" applyAlignment="1">
      <alignment horizontal="center" wrapText="1"/>
    </xf>
    <xf numFmtId="0" fontId="16" fillId="0" borderId="0" xfId="0" applyFont="1" applyFill="1" applyBorder="1">
      <alignment wrapText="1"/>
    </xf>
    <xf numFmtId="165" fontId="16" fillId="0" borderId="0" xfId="0" applyNumberFormat="1" applyFont="1" applyFill="1" applyBorder="1" applyAlignment="1">
      <alignment horizontal="center" wrapText="1"/>
    </xf>
    <xf numFmtId="0" fontId="0" fillId="0" borderId="0" xfId="0" applyFill="1" applyAlignment="1">
      <alignment horizontal="left"/>
    </xf>
    <xf numFmtId="171" fontId="41" fillId="0" borderId="8" xfId="0" applyNumberFormat="1" applyFont="1" applyBorder="1" applyAlignment="1">
      <alignment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17" fontId="68" fillId="0" borderId="1" xfId="0" applyNumberFormat="1" applyFont="1" applyBorder="1" applyAlignment="1">
      <alignment horizontal="center" vertical="center" wrapText="1"/>
    </xf>
    <xf numFmtId="0" fontId="68" fillId="0" borderId="1" xfId="0" applyFont="1" applyBorder="1" applyAlignment="1">
      <alignment horizontal="center" vertical="center" wrapText="1"/>
    </xf>
    <xf numFmtId="0" fontId="67" fillId="0" borderId="1" xfId="0" applyFont="1" applyBorder="1" applyAlignment="1">
      <alignment vertical="center" wrapText="1"/>
    </xf>
    <xf numFmtId="17" fontId="67" fillId="0" borderId="1" xfId="0" applyNumberFormat="1" applyFont="1" applyBorder="1" applyAlignment="1">
      <alignment horizontal="center" vertical="center" wrapText="1"/>
    </xf>
    <xf numFmtId="0" fontId="67" fillId="0" borderId="1" xfId="0" applyFont="1" applyBorder="1" applyAlignment="1">
      <alignment horizontal="center" vertical="center" wrapText="1"/>
    </xf>
    <xf numFmtId="0" fontId="0" fillId="0" borderId="5" xfId="0" applyBorder="1">
      <alignment wrapText="1"/>
    </xf>
    <xf numFmtId="0" fontId="0" fillId="0" borderId="6" xfId="0" applyBorder="1">
      <alignment wrapText="1"/>
    </xf>
    <xf numFmtId="0" fontId="0" fillId="0" borderId="6" xfId="0" applyBorder="1" applyAlignment="1">
      <alignment vertical="center" wrapText="1"/>
    </xf>
    <xf numFmtId="0" fontId="29" fillId="24" borderId="1" xfId="0" applyFont="1" applyFill="1" applyBorder="1" applyAlignment="1">
      <alignment horizontal="center" vertical="center" wrapText="1"/>
    </xf>
    <xf numFmtId="0" fontId="0" fillId="0" borderId="5" xfId="0" applyBorder="1" applyAlignment="1">
      <alignment vertical="center" wrapText="1"/>
    </xf>
    <xf numFmtId="0" fontId="68" fillId="0" borderId="5" xfId="0" applyFont="1" applyBorder="1" applyAlignment="1">
      <alignment vertical="center" wrapText="1"/>
    </xf>
    <xf numFmtId="0" fontId="67" fillId="0" borderId="5" xfId="0" applyFont="1" applyBorder="1" applyAlignment="1">
      <alignment vertical="center" wrapText="1"/>
    </xf>
    <xf numFmtId="0" fontId="3"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16" fillId="25" borderId="20" xfId="0" applyFont="1" applyFill="1" applyBorder="1" applyAlignment="1">
      <alignment horizontal="center" vertical="center" wrapText="1"/>
    </xf>
    <xf numFmtId="0" fontId="16" fillId="25" borderId="21" xfId="0" applyFont="1" applyFill="1" applyBorder="1" applyAlignment="1">
      <alignment horizontal="center" vertical="center" wrapText="1"/>
    </xf>
    <xf numFmtId="0" fontId="16" fillId="25" borderId="19" xfId="0" applyFont="1" applyFill="1" applyBorder="1" applyAlignment="1">
      <alignment horizontal="center" vertical="center" wrapText="1"/>
    </xf>
    <xf numFmtId="0" fontId="16" fillId="6" borderId="17" xfId="0" applyFont="1" applyFill="1" applyBorder="1" applyAlignment="1">
      <alignment horizontal="center" vertical="center" wrapText="1"/>
    </xf>
    <xf numFmtId="165" fontId="16" fillId="6" borderId="17" xfId="0" applyNumberFormat="1" applyFont="1" applyFill="1" applyBorder="1" applyAlignment="1">
      <alignment horizontal="center" vertical="center" wrapText="1"/>
    </xf>
    <xf numFmtId="165" fontId="16" fillId="6" borderId="37" xfId="0" applyNumberFormat="1" applyFont="1" applyFill="1" applyBorder="1" applyAlignment="1">
      <alignment horizontal="center" vertical="center" wrapText="1"/>
    </xf>
    <xf numFmtId="0" fontId="16" fillId="0" borderId="0" xfId="0" applyFont="1" applyAlignment="1">
      <alignment vertical="center" wrapText="1"/>
    </xf>
    <xf numFmtId="0" fontId="68" fillId="0" borderId="1" xfId="0" applyFont="1" applyBorder="1" applyAlignment="1">
      <alignment vertical="center" wrapText="1"/>
    </xf>
    <xf numFmtId="0" fontId="71" fillId="0" borderId="6" xfId="0" applyFont="1" applyBorder="1" applyAlignment="1">
      <alignment vertical="center" wrapText="1"/>
    </xf>
    <xf numFmtId="0" fontId="71" fillId="0" borderId="1" xfId="0" applyNumberFormat="1" applyFont="1" applyFill="1" applyBorder="1" applyAlignment="1">
      <alignment vertical="center" wrapText="1"/>
    </xf>
    <xf numFmtId="0" fontId="72" fillId="0" borderId="6" xfId="0" applyFont="1" applyBorder="1" applyAlignment="1">
      <alignment vertical="center" wrapText="1"/>
    </xf>
    <xf numFmtId="0" fontId="71" fillId="0" borderId="9" xfId="0" applyFont="1" applyBorder="1" applyAlignment="1">
      <alignment vertical="center" wrapText="1"/>
    </xf>
    <xf numFmtId="0" fontId="73" fillId="0" borderId="3" xfId="0" applyFont="1" applyBorder="1" applyAlignment="1">
      <alignment vertical="center" wrapText="1"/>
    </xf>
    <xf numFmtId="0" fontId="73" fillId="0" borderId="1" xfId="0" applyFont="1" applyBorder="1" applyAlignment="1">
      <alignment vertical="center" wrapText="1"/>
    </xf>
    <xf numFmtId="0" fontId="72" fillId="4" borderId="6" xfId="0" applyFont="1" applyFill="1" applyBorder="1" applyAlignment="1">
      <alignment vertical="center" wrapText="1"/>
    </xf>
    <xf numFmtId="16" fontId="71" fillId="0" borderId="6" xfId="0" applyNumberFormat="1" applyFont="1" applyBorder="1" applyAlignment="1">
      <alignment vertical="center" wrapText="1"/>
    </xf>
    <xf numFmtId="0" fontId="71" fillId="0" borderId="1" xfId="0" applyFont="1" applyBorder="1" applyAlignment="1">
      <alignment vertical="center" wrapText="1"/>
    </xf>
    <xf numFmtId="0" fontId="71" fillId="0" borderId="8" xfId="0" applyFont="1" applyBorder="1" applyAlignment="1">
      <alignment vertical="center" wrapText="1"/>
    </xf>
    <xf numFmtId="0" fontId="72" fillId="0" borderId="1" xfId="0" applyFont="1" applyBorder="1" applyAlignment="1">
      <alignment vertical="center" wrapText="1"/>
    </xf>
    <xf numFmtId="0" fontId="74" fillId="0" borderId="1" xfId="0" applyFont="1" applyFill="1" applyBorder="1" applyAlignment="1">
      <alignment wrapText="1"/>
    </xf>
    <xf numFmtId="167" fontId="41" fillId="0" borderId="7" xfId="0" applyNumberFormat="1" applyFont="1" applyBorder="1" applyAlignment="1">
      <alignment horizontal="center" vertical="center" wrapText="1"/>
    </xf>
    <xf numFmtId="0" fontId="41" fillId="0" borderId="5" xfId="0" applyFont="1" applyBorder="1" applyAlignment="1">
      <alignment vertical="center" wrapText="1"/>
    </xf>
    <xf numFmtId="0" fontId="68" fillId="23" borderId="1" xfId="0" applyFont="1" applyFill="1" applyBorder="1" applyAlignment="1">
      <alignment horizontal="center" vertical="center" wrapText="1"/>
    </xf>
    <xf numFmtId="0" fontId="71" fillId="0" borderId="6" xfId="0" applyFont="1" applyBorder="1" applyAlignment="1">
      <alignment horizontal="center" vertical="center" wrapText="1"/>
    </xf>
    <xf numFmtId="169" fontId="0" fillId="0" borderId="0" xfId="0" applyNumberFormat="1">
      <alignment wrapText="1"/>
    </xf>
    <xf numFmtId="0" fontId="0" fillId="0" borderId="1" xfId="0" quotePrefix="1" applyBorder="1" applyAlignment="1"/>
    <xf numFmtId="0" fontId="68" fillId="0" borderId="1" xfId="0" applyFont="1" applyFill="1" applyBorder="1" applyAlignment="1">
      <alignment horizontal="center" vertical="center" wrapText="1"/>
    </xf>
    <xf numFmtId="0" fontId="18" fillId="0" borderId="0" xfId="0" applyFont="1" applyAlignment="1"/>
    <xf numFmtId="49" fontId="14" fillId="0" borderId="38" xfId="0" applyNumberFormat="1" applyFont="1" applyBorder="1">
      <alignment wrapText="1"/>
    </xf>
    <xf numFmtId="49" fontId="14" fillId="0" borderId="25" xfId="0" applyNumberFormat="1" applyFont="1" applyBorder="1">
      <alignment wrapText="1"/>
    </xf>
    <xf numFmtId="165" fontId="14" fillId="0" borderId="39" xfId="4" applyFont="1" applyBorder="1" applyAlignment="1">
      <alignment wrapText="1"/>
    </xf>
    <xf numFmtId="165" fontId="14" fillId="0" borderId="40" xfId="4" applyFont="1" applyBorder="1" applyAlignment="1">
      <alignment wrapText="1"/>
    </xf>
    <xf numFmtId="165" fontId="14" fillId="0" borderId="41" xfId="4" applyFont="1" applyBorder="1" applyAlignment="1">
      <alignment wrapText="1"/>
    </xf>
    <xf numFmtId="0" fontId="15" fillId="0" borderId="10" xfId="0" applyFont="1" applyBorder="1" applyAlignment="1">
      <alignment horizontal="center" wrapText="1"/>
    </xf>
    <xf numFmtId="165" fontId="14" fillId="0" borderId="42" xfId="4" applyFont="1" applyBorder="1" applyAlignment="1">
      <alignment wrapText="1"/>
    </xf>
    <xf numFmtId="49" fontId="16" fillId="0" borderId="43" xfId="0" applyNumberFormat="1" applyFont="1" applyBorder="1">
      <alignment wrapText="1"/>
    </xf>
    <xf numFmtId="165" fontId="16" fillId="0" borderId="43" xfId="4" applyFont="1" applyBorder="1" applyAlignment="1">
      <alignment wrapText="1"/>
    </xf>
    <xf numFmtId="49" fontId="25" fillId="0" borderId="10" xfId="0" applyNumberFormat="1" applyFont="1" applyBorder="1" applyAlignment="1">
      <alignment horizontal="center" wrapText="1"/>
    </xf>
    <xf numFmtId="49" fontId="24" fillId="0" borderId="10" xfId="0" applyNumberFormat="1" applyFont="1" applyBorder="1" applyAlignment="1">
      <alignment horizontal="center" wrapText="1"/>
    </xf>
    <xf numFmtId="0" fontId="7" fillId="0" borderId="0" xfId="0" applyFont="1" applyAlignment="1">
      <alignment vertical="center" wrapText="1"/>
    </xf>
    <xf numFmtId="0" fontId="0" fillId="0" borderId="1" xfId="0" applyFill="1" applyBorder="1">
      <alignment wrapText="1"/>
    </xf>
    <xf numFmtId="0" fontId="67" fillId="0" borderId="1" xfId="0" applyFont="1" applyBorder="1">
      <alignment wrapText="1"/>
    </xf>
    <xf numFmtId="0" fontId="0" fillId="0" borderId="1" xfId="0" applyFont="1" applyBorder="1">
      <alignment wrapText="1"/>
    </xf>
    <xf numFmtId="166" fontId="0" fillId="0" borderId="0" xfId="0" applyNumberFormat="1">
      <alignment wrapText="1"/>
    </xf>
    <xf numFmtId="172" fontId="0" fillId="0" borderId="0" xfId="0" applyNumberFormat="1" applyAlignment="1">
      <alignment horizontal="center" vertical="center" wrapText="1"/>
    </xf>
    <xf numFmtId="172" fontId="0" fillId="0" borderId="0" xfId="0" applyNumberFormat="1">
      <alignment wrapText="1"/>
    </xf>
    <xf numFmtId="0" fontId="3" fillId="0" borderId="0" xfId="0" applyFont="1">
      <alignment wrapText="1"/>
    </xf>
    <xf numFmtId="0" fontId="0" fillId="0" borderId="0" xfId="0">
      <alignment wrapText="1"/>
    </xf>
    <xf numFmtId="0" fontId="0" fillId="0" borderId="1" xfId="0" applyBorder="1">
      <alignment wrapText="1"/>
    </xf>
    <xf numFmtId="1" fontId="0" fillId="0" borderId="1" xfId="0" applyNumberFormat="1" applyBorder="1">
      <alignment wrapText="1"/>
    </xf>
    <xf numFmtId="0" fontId="0" fillId="0" borderId="5" xfId="0" applyBorder="1" applyAlignment="1">
      <alignment horizontal="left" wrapText="1"/>
    </xf>
    <xf numFmtId="0" fontId="0" fillId="0" borderId="37" xfId="0" applyBorder="1" applyAlignment="1">
      <alignment horizontal="left"/>
    </xf>
    <xf numFmtId="0" fontId="0" fillId="0" borderId="0" xfId="0" applyFill="1" applyAlignment="1">
      <alignment horizontal="center" wrapText="1"/>
    </xf>
    <xf numFmtId="49" fontId="66" fillId="0" borderId="0" xfId="7" applyNumberFormat="1" applyFont="1" applyFill="1" applyAlignment="1"/>
    <xf numFmtId="0" fontId="3" fillId="0" borderId="0" xfId="0" applyFont="1" applyAlignment="1"/>
    <xf numFmtId="167" fontId="8" fillId="0" borderId="8" xfId="0" applyNumberFormat="1" applyFont="1" applyBorder="1" applyAlignment="1">
      <alignment horizontal="center" vertical="center" wrapText="1"/>
    </xf>
    <xf numFmtId="167" fontId="76" fillId="0" borderId="5" xfId="0" applyNumberFormat="1" applyFont="1" applyBorder="1" applyAlignment="1">
      <alignment vertical="center" wrapText="1"/>
    </xf>
    <xf numFmtId="0" fontId="76" fillId="0" borderId="1" xfId="0" applyFont="1" applyBorder="1" applyAlignment="1">
      <alignment horizontal="left" vertical="center" wrapText="1"/>
    </xf>
    <xf numFmtId="0" fontId="76" fillId="0" borderId="1" xfId="0" applyFont="1" applyBorder="1" applyAlignment="1">
      <alignment vertical="center" wrapText="1"/>
    </xf>
    <xf numFmtId="0" fontId="76" fillId="0" borderId="8" xfId="0" applyFont="1" applyBorder="1" applyAlignment="1">
      <alignment vertical="center" wrapText="1"/>
    </xf>
    <xf numFmtId="0" fontId="77" fillId="0" borderId="1" xfId="0" applyFont="1" applyBorder="1">
      <alignment wrapText="1"/>
    </xf>
    <xf numFmtId="171" fontId="76" fillId="0" borderId="1" xfId="0" applyNumberFormat="1" applyFont="1" applyBorder="1" applyAlignment="1">
      <alignment vertical="center" wrapText="1"/>
    </xf>
    <xf numFmtId="165" fontId="76" fillId="0" borderId="6" xfId="0" applyNumberFormat="1" applyFont="1" applyBorder="1" applyAlignment="1">
      <alignment horizontal="center" vertical="center" wrapText="1"/>
    </xf>
    <xf numFmtId="167" fontId="76" fillId="0" borderId="5" xfId="0" applyNumberFormat="1" applyFont="1" applyBorder="1" applyAlignment="1">
      <alignment horizontal="center" vertical="center" wrapText="1"/>
    </xf>
    <xf numFmtId="0" fontId="76" fillId="0" borderId="6" xfId="0" applyFont="1" applyBorder="1" applyAlignment="1">
      <alignment vertical="center" wrapText="1"/>
    </xf>
    <xf numFmtId="14" fontId="76" fillId="0" borderId="8" xfId="0" applyNumberFormat="1" applyFont="1" applyBorder="1" applyAlignment="1">
      <alignment vertical="center" wrapText="1"/>
    </xf>
    <xf numFmtId="0" fontId="47" fillId="6" borderId="0" xfId="0" applyFont="1" applyFill="1" applyBorder="1" applyAlignment="1">
      <alignment vertical="center" wrapText="1"/>
    </xf>
    <xf numFmtId="0" fontId="32" fillId="13" borderId="44" xfId="0" applyFont="1" applyFill="1" applyBorder="1" applyAlignment="1">
      <alignment horizontal="center" vertical="center" wrapText="1"/>
    </xf>
    <xf numFmtId="0" fontId="32" fillId="12" borderId="44" xfId="0" applyFont="1" applyFill="1" applyBorder="1" applyAlignment="1">
      <alignment horizontal="center" vertical="center" wrapText="1"/>
    </xf>
    <xf numFmtId="0" fontId="29" fillId="15" borderId="28" xfId="0" applyFont="1" applyFill="1" applyBorder="1" applyAlignment="1">
      <alignment horizontal="center" vertical="center" wrapText="1"/>
    </xf>
    <xf numFmtId="0" fontId="30" fillId="15" borderId="0" xfId="0" applyFont="1" applyFill="1" applyBorder="1" applyAlignment="1">
      <alignment horizontal="center" vertical="center" wrapText="1"/>
    </xf>
    <xf numFmtId="0" fontId="30" fillId="6" borderId="0" xfId="0" applyFont="1" applyFill="1" applyBorder="1" applyAlignment="1">
      <alignment horizontal="center" vertical="center" wrapText="1"/>
    </xf>
    <xf numFmtId="1" fontId="30" fillId="7" borderId="0" xfId="0" applyNumberFormat="1" applyFont="1" applyFill="1" applyBorder="1" applyAlignment="1">
      <alignment horizontal="center" vertical="center" wrapText="1"/>
    </xf>
    <xf numFmtId="1" fontId="29" fillId="9" borderId="28" xfId="0" applyNumberFormat="1" applyFont="1" applyFill="1" applyBorder="1" applyAlignment="1">
      <alignment horizontal="center" vertical="center" wrapText="1"/>
    </xf>
    <xf numFmtId="1" fontId="30" fillId="9" borderId="0" xfId="0" applyNumberFormat="1" applyFont="1" applyFill="1" applyBorder="1" applyAlignment="1">
      <alignment horizontal="center" vertical="center" wrapText="1"/>
    </xf>
    <xf numFmtId="1" fontId="29" fillId="11" borderId="28" xfId="0" applyNumberFormat="1" applyFont="1" applyFill="1" applyBorder="1" applyAlignment="1">
      <alignment horizontal="center" vertical="center" wrapText="1"/>
    </xf>
    <xf numFmtId="1" fontId="30" fillId="11" borderId="0" xfId="0" applyNumberFormat="1" applyFont="1" applyFill="1" applyBorder="1" applyAlignment="1">
      <alignment horizontal="center" vertical="center" wrapText="1"/>
    </xf>
    <xf numFmtId="1" fontId="30" fillId="23" borderId="0" xfId="0" applyNumberFormat="1" applyFont="1" applyFill="1" applyBorder="1" applyAlignment="1">
      <alignment horizontal="center" vertical="center" wrapText="1"/>
    </xf>
    <xf numFmtId="0" fontId="30" fillId="10" borderId="0" xfId="0" applyFont="1" applyFill="1" applyBorder="1" applyAlignment="1">
      <alignment horizontal="center" vertical="center" wrapText="1"/>
    </xf>
    <xf numFmtId="1" fontId="29" fillId="17" borderId="28" xfId="0" applyNumberFormat="1" applyFont="1" applyFill="1" applyBorder="1" applyAlignment="1">
      <alignment horizontal="center" vertical="center" wrapText="1"/>
    </xf>
    <xf numFmtId="1" fontId="30" fillId="17" borderId="0" xfId="0" applyNumberFormat="1" applyFont="1" applyFill="1" applyBorder="1" applyAlignment="1">
      <alignment horizontal="center" vertical="center" wrapText="1"/>
    </xf>
    <xf numFmtId="1" fontId="29" fillId="10" borderId="28" xfId="0" applyNumberFormat="1" applyFont="1" applyFill="1" applyBorder="1" applyAlignment="1">
      <alignment horizontal="center" vertical="center" wrapText="1"/>
    </xf>
    <xf numFmtId="1" fontId="0" fillId="5" borderId="1" xfId="0" applyNumberFormat="1" applyFill="1" applyBorder="1">
      <alignment wrapText="1"/>
    </xf>
    <xf numFmtId="0" fontId="80" fillId="15" borderId="0" xfId="0" applyFont="1" applyFill="1" applyBorder="1" applyAlignment="1">
      <alignment vertical="center" wrapText="1"/>
    </xf>
    <xf numFmtId="0" fontId="80" fillId="6" borderId="0" xfId="0" applyFont="1" applyFill="1" applyBorder="1" applyAlignment="1">
      <alignment vertical="center"/>
    </xf>
    <xf numFmtId="0" fontId="81" fillId="6" borderId="0" xfId="0" applyFont="1" applyFill="1" applyBorder="1" applyAlignment="1">
      <alignment vertical="center"/>
    </xf>
    <xf numFmtId="0" fontId="82" fillId="6" borderId="0" xfId="0" applyFont="1" applyFill="1" applyBorder="1" applyAlignment="1">
      <alignment vertical="center"/>
    </xf>
    <xf numFmtId="0" fontId="80" fillId="6" borderId="0" xfId="0" applyFont="1" applyFill="1" applyBorder="1" applyAlignment="1">
      <alignment vertical="center" wrapText="1"/>
    </xf>
    <xf numFmtId="0" fontId="81" fillId="6" borderId="0" xfId="0" applyFont="1" applyFill="1" applyBorder="1" applyAlignment="1">
      <alignment vertical="center" wrapText="1"/>
    </xf>
    <xf numFmtId="0" fontId="82" fillId="6" borderId="0" xfId="0" applyFont="1" applyFill="1" applyBorder="1" applyAlignment="1">
      <alignment vertical="center" wrapText="1"/>
    </xf>
    <xf numFmtId="0" fontId="80" fillId="7" borderId="0" xfId="0" applyFont="1" applyFill="1" applyBorder="1" applyAlignment="1">
      <alignment vertical="center" wrapText="1"/>
    </xf>
    <xf numFmtId="0" fontId="80" fillId="9" borderId="0" xfId="0" applyFont="1" applyFill="1" applyBorder="1" applyAlignment="1">
      <alignment vertical="center" wrapText="1"/>
    </xf>
    <xf numFmtId="0" fontId="80" fillId="11" borderId="0" xfId="0" applyFont="1" applyFill="1" applyBorder="1" applyAlignment="1">
      <alignment vertical="center" wrapText="1"/>
    </xf>
    <xf numFmtId="0" fontId="80" fillId="11" borderId="0" xfId="0" applyFont="1" applyFill="1" applyBorder="1" applyAlignment="1">
      <alignment vertical="center"/>
    </xf>
    <xf numFmtId="0" fontId="80" fillId="23" borderId="0" xfId="0" applyFont="1" applyFill="1" applyBorder="1">
      <alignment wrapText="1"/>
    </xf>
    <xf numFmtId="0" fontId="80" fillId="23" borderId="0" xfId="0" applyFont="1" applyFill="1" applyBorder="1" applyAlignment="1">
      <alignment vertical="center" wrapText="1"/>
    </xf>
    <xf numFmtId="0" fontId="80" fillId="23" borderId="0" xfId="0" applyFont="1" applyFill="1" applyBorder="1" applyAlignment="1">
      <alignment vertical="center"/>
    </xf>
    <xf numFmtId="0" fontId="80" fillId="17" borderId="0" xfId="0" applyFont="1" applyFill="1" applyBorder="1" applyAlignment="1">
      <alignment vertical="center" wrapText="1"/>
    </xf>
    <xf numFmtId="0" fontId="80" fillId="10" borderId="0" xfId="0" applyFont="1" applyFill="1" applyBorder="1" applyAlignment="1">
      <alignment vertical="center" wrapText="1"/>
    </xf>
    <xf numFmtId="169" fontId="8" fillId="0" borderId="0" xfId="5" applyNumberFormat="1" applyFont="1" applyAlignment="1">
      <alignment vertical="center" wrapText="1"/>
    </xf>
    <xf numFmtId="0" fontId="35" fillId="26" borderId="31"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5" fillId="26" borderId="29" xfId="0" applyFont="1" applyFill="1" applyBorder="1" applyAlignment="1">
      <alignment horizontal="center" vertical="center" wrapText="1"/>
    </xf>
    <xf numFmtId="0" fontId="35" fillId="26" borderId="30" xfId="0" applyFont="1" applyFill="1" applyBorder="1" applyAlignment="1">
      <alignment horizontal="center" vertical="center" wrapText="1"/>
    </xf>
    <xf numFmtId="0" fontId="14" fillId="0" borderId="0" xfId="0" applyFont="1" applyAlignment="1">
      <alignment horizontal="center" vertical="center" wrapText="1"/>
    </xf>
    <xf numFmtId="0" fontId="83" fillId="0" borderId="0" xfId="0" applyFont="1" applyAlignment="1">
      <alignment horizontal="center" vertical="center" wrapText="1"/>
    </xf>
    <xf numFmtId="0" fontId="14" fillId="0" borderId="0" xfId="0" applyFont="1" applyAlignment="1">
      <alignment horizontal="center" vertical="center"/>
    </xf>
    <xf numFmtId="0" fontId="84" fillId="0" borderId="0" xfId="0" applyFont="1" applyAlignment="1">
      <alignment horizontal="center" vertical="center" wrapText="1"/>
    </xf>
    <xf numFmtId="49" fontId="25" fillId="0" borderId="10" xfId="0" applyNumberFormat="1" applyFont="1" applyBorder="1" applyAlignment="1">
      <alignment horizontal="center" vertical="center" wrapText="1"/>
    </xf>
    <xf numFmtId="0" fontId="14" fillId="0" borderId="16" xfId="0" applyFont="1" applyBorder="1" applyAlignment="1">
      <alignment horizontal="center" vertical="center"/>
    </xf>
    <xf numFmtId="0" fontId="14" fillId="0" borderId="11" xfId="0" applyFont="1" applyBorder="1" applyAlignment="1">
      <alignment horizontal="center" vertical="center"/>
    </xf>
    <xf numFmtId="49" fontId="14" fillId="0" borderId="0" xfId="0" applyNumberFormat="1" applyFont="1" applyBorder="1">
      <alignment wrapText="1"/>
    </xf>
    <xf numFmtId="0" fontId="14" fillId="0" borderId="41" xfId="0" applyFont="1" applyBorder="1" applyAlignment="1">
      <alignment horizontal="center" vertical="center" wrapText="1"/>
    </xf>
    <xf numFmtId="0" fontId="14" fillId="0" borderId="45" xfId="0" applyFont="1" applyBorder="1" applyAlignment="1">
      <alignment horizontal="center" vertical="center" wrapText="1"/>
    </xf>
    <xf numFmtId="0" fontId="84" fillId="0" borderId="0"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169" fontId="14" fillId="0" borderId="0" xfId="5" applyNumberFormat="1" applyFont="1" applyAlignment="1">
      <alignment wrapText="1"/>
    </xf>
    <xf numFmtId="165" fontId="14" fillId="0" borderId="0" xfId="0" applyNumberFormat="1" applyFont="1">
      <alignment wrapText="1"/>
    </xf>
    <xf numFmtId="169" fontId="14" fillId="0" borderId="0" xfId="0" applyNumberFormat="1" applyFont="1">
      <alignment wrapText="1"/>
    </xf>
    <xf numFmtId="169" fontId="29" fillId="7" borderId="28" xfId="5" applyNumberFormat="1" applyFont="1" applyFill="1" applyBorder="1" applyAlignment="1">
      <alignment horizontal="center" vertical="center" wrapText="1"/>
    </xf>
    <xf numFmtId="49" fontId="25" fillId="6" borderId="10" xfId="0" applyNumberFormat="1" applyFont="1" applyFill="1" applyBorder="1" applyAlignment="1">
      <alignment horizontal="center" wrapText="1"/>
    </xf>
    <xf numFmtId="49" fontId="25" fillId="6" borderId="10" xfId="0" applyNumberFormat="1" applyFont="1" applyFill="1" applyBorder="1" applyAlignment="1">
      <alignment horizontal="center" vertical="center" wrapText="1"/>
    </xf>
    <xf numFmtId="0" fontId="14" fillId="6" borderId="43" xfId="0" applyFont="1" applyFill="1" applyBorder="1" applyAlignment="1">
      <alignment horizontal="center" vertical="center" wrapText="1"/>
    </xf>
    <xf numFmtId="49" fontId="16" fillId="6" borderId="17" xfId="0" applyNumberFormat="1" applyFont="1" applyFill="1" applyBorder="1" applyAlignment="1">
      <alignment horizontal="center" vertical="center" wrapText="1"/>
    </xf>
    <xf numFmtId="0" fontId="14" fillId="6" borderId="46" xfId="0"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169" fontId="14" fillId="6" borderId="43" xfId="5" applyNumberFormat="1" applyFont="1" applyFill="1" applyBorder="1" applyAlignment="1">
      <alignment horizontal="center" vertical="center" wrapText="1"/>
    </xf>
    <xf numFmtId="169" fontId="16" fillId="6" borderId="43" xfId="5" applyNumberFormat="1"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2" fillId="0" borderId="10" xfId="0" applyFont="1" applyBorder="1" applyAlignment="1">
      <alignment horizontal="center" vertical="center" wrapText="1"/>
    </xf>
    <xf numFmtId="49" fontId="85" fillId="6" borderId="10" xfId="0" applyNumberFormat="1" applyFont="1" applyFill="1" applyBorder="1" applyAlignment="1">
      <alignment horizontal="center" vertical="center" wrapText="1"/>
    </xf>
    <xf numFmtId="0" fontId="86" fillId="6" borderId="10" xfId="0" applyFont="1" applyFill="1" applyBorder="1" applyAlignment="1">
      <alignment horizontal="center" vertical="center" wrapText="1"/>
    </xf>
    <xf numFmtId="0" fontId="51" fillId="6" borderId="50" xfId="0" applyFont="1" applyFill="1" applyBorder="1" applyAlignment="1">
      <alignment horizontal="center" vertical="center" wrapText="1"/>
    </xf>
    <xf numFmtId="49" fontId="85" fillId="6" borderId="35" xfId="0" applyNumberFormat="1" applyFont="1" applyFill="1" applyBorder="1" applyAlignment="1">
      <alignment horizontal="center" vertical="center" wrapText="1"/>
    </xf>
    <xf numFmtId="0" fontId="85" fillId="6" borderId="50" xfId="0" applyFont="1" applyFill="1" applyBorder="1" applyAlignment="1">
      <alignment horizontal="center" vertical="center" wrapText="1"/>
    </xf>
    <xf numFmtId="169" fontId="85" fillId="6" borderId="43" xfId="5" applyNumberFormat="1" applyFont="1" applyFill="1" applyBorder="1" applyAlignment="1">
      <alignment horizontal="center" vertical="center" wrapText="1"/>
    </xf>
    <xf numFmtId="49" fontId="14" fillId="0" borderId="38" xfId="0" applyNumberFormat="1" applyFont="1" applyBorder="1" applyAlignment="1">
      <alignment vertical="center" wrapText="1"/>
    </xf>
    <xf numFmtId="49" fontId="14" fillId="0" borderId="25" xfId="0" applyNumberFormat="1" applyFont="1" applyBorder="1" applyAlignment="1">
      <alignment vertical="center" wrapText="1"/>
    </xf>
    <xf numFmtId="49" fontId="25" fillId="28" borderId="10" xfId="0" applyNumberFormat="1" applyFont="1" applyFill="1" applyBorder="1" applyAlignment="1">
      <alignment horizontal="center" vertical="center" wrapText="1"/>
    </xf>
    <xf numFmtId="0" fontId="12" fillId="28" borderId="10" xfId="0" applyFont="1" applyFill="1" applyBorder="1" applyAlignment="1">
      <alignment horizontal="center" vertical="center" wrapText="1"/>
    </xf>
    <xf numFmtId="49" fontId="85" fillId="27" borderId="43" xfId="0" applyNumberFormat="1" applyFont="1" applyFill="1" applyBorder="1" applyAlignment="1">
      <alignment horizontal="center" vertical="center" wrapText="1"/>
    </xf>
    <xf numFmtId="165" fontId="85" fillId="27" borderId="43" xfId="4" applyFont="1" applyFill="1" applyBorder="1" applyAlignment="1">
      <alignment horizontal="center" vertical="center" wrapText="1"/>
    </xf>
    <xf numFmtId="49" fontId="16" fillId="0" borderId="43" xfId="0" applyNumberFormat="1" applyFont="1" applyBorder="1" applyAlignment="1">
      <alignment horizontal="center" vertical="center" wrapText="1"/>
    </xf>
    <xf numFmtId="165" fontId="16" fillId="0" borderId="43" xfId="4" applyFont="1" applyBorder="1" applyAlignment="1">
      <alignment horizontal="center" vertical="center" wrapText="1"/>
    </xf>
    <xf numFmtId="169" fontId="33" fillId="23" borderId="28" xfId="5" applyNumberFormat="1" applyFont="1" applyFill="1" applyBorder="1" applyAlignment="1">
      <alignment vertical="center" wrapText="1"/>
    </xf>
    <xf numFmtId="169" fontId="29" fillId="23" borderId="28" xfId="5" applyNumberFormat="1" applyFont="1" applyFill="1" applyBorder="1" applyAlignment="1">
      <alignment vertical="center" wrapText="1"/>
    </xf>
    <xf numFmtId="0" fontId="79" fillId="0" borderId="0" xfId="0" applyFont="1" applyFill="1">
      <alignment wrapText="1"/>
    </xf>
    <xf numFmtId="0" fontId="87" fillId="0" borderId="3" xfId="3" applyFont="1" applyBorder="1" applyAlignment="1">
      <alignment horizontal="center" vertical="center"/>
    </xf>
    <xf numFmtId="0" fontId="8" fillId="29" borderId="1" xfId="0" applyFont="1" applyFill="1" applyBorder="1" applyAlignment="1">
      <alignment vertical="center" wrapText="1"/>
    </xf>
    <xf numFmtId="1" fontId="8" fillId="29" borderId="1" xfId="0" applyNumberFormat="1" applyFont="1" applyFill="1" applyBorder="1" applyAlignment="1">
      <alignment vertical="center" wrapText="1"/>
    </xf>
    <xf numFmtId="0" fontId="8" fillId="18" borderId="1" xfId="0" applyFont="1" applyFill="1" applyBorder="1" applyAlignment="1">
      <alignment vertical="center" wrapText="1"/>
    </xf>
    <xf numFmtId="1" fontId="8" fillId="18" borderId="1" xfId="0" applyNumberFormat="1" applyFont="1" applyFill="1" applyBorder="1" applyAlignment="1">
      <alignment vertical="center" wrapText="1"/>
    </xf>
    <xf numFmtId="168" fontId="8" fillId="29" borderId="1" xfId="0" applyNumberFormat="1" applyFont="1" applyFill="1" applyBorder="1" applyAlignment="1">
      <alignment vertical="center" wrapText="1"/>
    </xf>
    <xf numFmtId="168" fontId="8" fillId="18" borderId="1" xfId="0" applyNumberFormat="1" applyFont="1" applyFill="1" applyBorder="1" applyAlignment="1">
      <alignment vertical="center" wrapText="1"/>
    </xf>
    <xf numFmtId="0" fontId="8" fillId="29" borderId="8" xfId="0" applyFont="1" applyFill="1" applyBorder="1" applyAlignment="1">
      <alignment horizontal="left" vertical="center" wrapText="1"/>
    </xf>
    <xf numFmtId="0" fontId="41" fillId="29" borderId="1" xfId="0" applyFont="1" applyFill="1" applyBorder="1" applyAlignment="1">
      <alignment vertical="center" wrapText="1"/>
    </xf>
    <xf numFmtId="0" fontId="41" fillId="18" borderId="1" xfId="0" applyFont="1" applyFill="1" applyBorder="1" applyAlignment="1">
      <alignment vertical="center" wrapText="1"/>
    </xf>
    <xf numFmtId="0" fontId="8" fillId="18" borderId="8" xfId="0" applyFont="1" applyFill="1" applyBorder="1" applyAlignment="1">
      <alignment horizontal="left" vertical="center" wrapText="1"/>
    </xf>
    <xf numFmtId="167" fontId="8" fillId="18" borderId="8" xfId="0" applyNumberFormat="1" applyFont="1" applyFill="1" applyBorder="1" applyAlignment="1">
      <alignment vertical="center" wrapText="1"/>
    </xf>
    <xf numFmtId="167" fontId="8" fillId="29" borderId="8" xfId="0" applyNumberFormat="1" applyFont="1" applyFill="1" applyBorder="1" applyAlignment="1">
      <alignment vertical="center" wrapText="1"/>
    </xf>
    <xf numFmtId="168" fontId="0" fillId="0" borderId="0" xfId="0" applyNumberFormat="1">
      <alignment wrapText="1"/>
    </xf>
    <xf numFmtId="167" fontId="76" fillId="0" borderId="7" xfId="0" applyNumberFormat="1" applyFont="1" applyBorder="1" applyAlignment="1">
      <alignment vertical="center" wrapText="1"/>
    </xf>
    <xf numFmtId="0" fontId="8" fillId="0" borderId="8" xfId="0" applyNumberFormat="1" applyFont="1" applyFill="1" applyBorder="1" applyAlignment="1">
      <alignment horizontal="left" vertical="center" wrapText="1"/>
    </xf>
    <xf numFmtId="0" fontId="49" fillId="0" borderId="8" xfId="0" applyNumberFormat="1" applyFont="1" applyFill="1" applyBorder="1" applyAlignment="1">
      <alignment horizontal="left" vertical="center" wrapText="1"/>
    </xf>
    <xf numFmtId="167" fontId="8" fillId="0" borderId="8" xfId="0" applyNumberFormat="1" applyFont="1" applyBorder="1" applyAlignment="1">
      <alignment vertical="center" wrapText="1"/>
    </xf>
    <xf numFmtId="0" fontId="8" fillId="0" borderId="5" xfId="0" applyFont="1" applyBorder="1" applyAlignment="1">
      <alignment horizontal="left" vertical="center" wrapText="1"/>
    </xf>
    <xf numFmtId="0" fontId="76" fillId="0" borderId="8" xfId="0" applyFont="1" applyBorder="1" applyAlignment="1">
      <alignment horizontal="left" vertical="center" wrapText="1"/>
    </xf>
    <xf numFmtId="0" fontId="55" fillId="0" borderId="1" xfId="0" applyFont="1" applyBorder="1" applyAlignment="1">
      <alignment vertical="center"/>
    </xf>
    <xf numFmtId="0" fontId="8" fillId="0" borderId="33" xfId="0" applyFont="1" applyBorder="1" applyAlignment="1">
      <alignment horizontal="left" vertical="center" wrapText="1"/>
    </xf>
    <xf numFmtId="0" fontId="8" fillId="0" borderId="8" xfId="0" applyNumberFormat="1" applyFont="1" applyFill="1" applyBorder="1" applyAlignment="1">
      <alignment vertical="center" wrapText="1"/>
    </xf>
    <xf numFmtId="171" fontId="51" fillId="4" borderId="8" xfId="0" applyNumberFormat="1" applyFont="1" applyFill="1" applyBorder="1" applyAlignment="1"/>
    <xf numFmtId="171" fontId="8" fillId="0" borderId="9" xfId="0" applyNumberFormat="1" applyFont="1" applyBorder="1" applyAlignment="1">
      <alignment vertical="center"/>
    </xf>
    <xf numFmtId="171" fontId="8" fillId="0" borderId="0" xfId="0" applyNumberFormat="1" applyFont="1" applyBorder="1" applyAlignment="1">
      <alignment vertical="center" wrapText="1"/>
    </xf>
    <xf numFmtId="165" fontId="49" fillId="0" borderId="9" xfId="0" applyNumberFormat="1" applyFont="1" applyBorder="1" applyAlignment="1">
      <alignment horizontal="center" vertical="center" wrapText="1"/>
    </xf>
    <xf numFmtId="165" fontId="41" fillId="4" borderId="9" xfId="0" applyNumberFormat="1" applyFont="1" applyFill="1" applyBorder="1" applyAlignment="1">
      <alignment horizontal="center" vertical="center" wrapText="1"/>
    </xf>
    <xf numFmtId="0" fontId="73" fillId="0" borderId="6" xfId="0" applyFont="1" applyBorder="1" applyAlignment="1">
      <alignment vertical="center" wrapText="1"/>
    </xf>
    <xf numFmtId="0" fontId="73" fillId="0" borderId="9" xfId="0" applyFont="1" applyBorder="1" applyAlignment="1">
      <alignment vertical="center" wrapText="1"/>
    </xf>
    <xf numFmtId="0" fontId="71" fillId="0" borderId="6" xfId="0" applyNumberFormat="1" applyFont="1" applyFill="1" applyBorder="1" applyAlignment="1">
      <alignment vertical="center" wrapText="1"/>
    </xf>
    <xf numFmtId="0" fontId="71" fillId="0" borderId="3" xfId="0" applyFont="1" applyBorder="1" applyAlignment="1">
      <alignment vertical="center" wrapText="1"/>
    </xf>
    <xf numFmtId="0" fontId="78" fillId="0" borderId="6" xfId="0" applyFont="1" applyBorder="1" applyAlignment="1">
      <alignment vertical="center" wrapText="1"/>
    </xf>
    <xf numFmtId="0" fontId="71" fillId="0" borderId="1" xfId="0" applyFont="1" applyBorder="1" applyAlignment="1">
      <alignment horizontal="center" vertical="center" wrapText="1"/>
    </xf>
    <xf numFmtId="0" fontId="72" fillId="0" borderId="8" xfId="0" applyFont="1" applyBorder="1" applyAlignment="1">
      <alignment vertical="center" wrapText="1"/>
    </xf>
    <xf numFmtId="14" fontId="8" fillId="0" borderId="7"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67" fontId="41" fillId="0" borderId="8" xfId="0" applyNumberFormat="1" applyFont="1" applyBorder="1" applyAlignment="1">
      <alignment horizontal="center" vertical="center" wrapText="1"/>
    </xf>
    <xf numFmtId="167" fontId="76" fillId="0" borderId="8" xfId="0" applyNumberFormat="1" applyFont="1" applyBorder="1" applyAlignment="1">
      <alignment horizontal="center" vertical="center" wrapText="1"/>
    </xf>
    <xf numFmtId="0" fontId="45" fillId="4" borderId="9" xfId="0" applyFont="1" applyFill="1" applyBorder="1" applyAlignment="1">
      <alignment vertical="center" wrapText="1"/>
    </xf>
    <xf numFmtId="0" fontId="8" fillId="0" borderId="0" xfId="0" applyFont="1" applyBorder="1" applyAlignment="1">
      <alignment vertical="center" wrapText="1"/>
    </xf>
    <xf numFmtId="0" fontId="45" fillId="17" borderId="6" xfId="0" applyFont="1" applyFill="1" applyBorder="1" applyAlignment="1">
      <alignment vertical="center" wrapText="1"/>
    </xf>
    <xf numFmtId="0" fontId="45" fillId="0" borderId="6" xfId="0" applyFont="1" applyBorder="1" applyAlignment="1">
      <alignment vertical="center" wrapText="1"/>
    </xf>
    <xf numFmtId="0" fontId="45" fillId="0" borderId="9" xfId="0" applyFont="1" applyBorder="1" applyAlignment="1">
      <alignment vertical="center" wrapText="1"/>
    </xf>
    <xf numFmtId="0" fontId="45" fillId="4" borderId="6" xfId="0" applyFont="1" applyFill="1" applyBorder="1" applyAlignment="1">
      <alignment vertical="center" wrapText="1"/>
    </xf>
    <xf numFmtId="0" fontId="45" fillId="0" borderId="9" xfId="0" applyFont="1" applyBorder="1" applyAlignment="1">
      <alignment horizontal="left" vertical="center" wrapText="1"/>
    </xf>
    <xf numFmtId="0" fontId="45" fillId="0" borderId="6" xfId="0" applyFont="1" applyFill="1" applyBorder="1" applyAlignment="1">
      <alignment vertical="center" wrapText="1"/>
    </xf>
    <xf numFmtId="0" fontId="45" fillId="0" borderId="6" xfId="0" applyFont="1" applyBorder="1" applyAlignment="1">
      <alignment horizontal="left" vertical="center" wrapText="1"/>
    </xf>
    <xf numFmtId="0" fontId="14" fillId="0" borderId="6" xfId="0" applyFont="1" applyBorder="1">
      <alignment wrapText="1"/>
    </xf>
    <xf numFmtId="167" fontId="8" fillId="0" borderId="2" xfId="0" applyNumberFormat="1" applyFont="1" applyBorder="1" applyAlignment="1">
      <alignment vertical="center" wrapText="1"/>
    </xf>
    <xf numFmtId="0" fontId="8" fillId="0" borderId="3" xfId="0" applyFont="1" applyBorder="1" applyAlignment="1">
      <alignment horizontal="left" vertical="center" wrapText="1"/>
    </xf>
    <xf numFmtId="0" fontId="8" fillId="0" borderId="23" xfId="0" applyFont="1" applyBorder="1" applyAlignment="1">
      <alignment vertical="center" wrapText="1"/>
    </xf>
    <xf numFmtId="0" fontId="8" fillId="0" borderId="3" xfId="0" applyFont="1" applyBorder="1" applyAlignment="1">
      <alignment vertical="center" wrapText="1"/>
    </xf>
    <xf numFmtId="1" fontId="8" fillId="0" borderId="3" xfId="0" applyNumberFormat="1" applyFont="1" applyBorder="1" applyAlignment="1">
      <alignment vertical="center" wrapText="1"/>
    </xf>
    <xf numFmtId="171" fontId="8" fillId="0" borderId="3" xfId="0" applyNumberFormat="1" applyFont="1" applyBorder="1" applyAlignment="1">
      <alignment vertical="center" wrapText="1"/>
    </xf>
    <xf numFmtId="165" fontId="8" fillId="0" borderId="4" xfId="0" applyNumberFormat="1" applyFont="1" applyBorder="1" applyAlignment="1">
      <alignment horizontal="center" vertical="center" wrapText="1"/>
    </xf>
    <xf numFmtId="14" fontId="8" fillId="0" borderId="23" xfId="0" applyNumberFormat="1" applyFont="1" applyBorder="1" applyAlignment="1">
      <alignment horizontal="center" vertical="center" wrapText="1"/>
    </xf>
    <xf numFmtId="0" fontId="8" fillId="0" borderId="4" xfId="0" applyFont="1" applyBorder="1" applyAlignment="1">
      <alignment vertical="center" wrapText="1"/>
    </xf>
    <xf numFmtId="14" fontId="8" fillId="0" borderId="23" xfId="0" applyNumberFormat="1" applyFont="1" applyBorder="1" applyAlignment="1">
      <alignment vertical="center" wrapText="1"/>
    </xf>
    <xf numFmtId="0" fontId="26" fillId="0" borderId="51" xfId="0" applyFont="1" applyBorder="1" applyAlignment="1">
      <alignment vertical="center" wrapText="1"/>
    </xf>
    <xf numFmtId="0" fontId="58" fillId="0" borderId="3" xfId="0" applyFont="1" applyFill="1" applyBorder="1" applyAlignment="1">
      <alignment horizontal="center" vertical="center" wrapText="1"/>
    </xf>
    <xf numFmtId="43" fontId="8" fillId="0" borderId="0" xfId="5" applyFont="1" applyBorder="1" applyAlignment="1">
      <alignment wrapText="1"/>
    </xf>
    <xf numFmtId="167" fontId="8" fillId="0" borderId="1" xfId="0" applyNumberFormat="1" applyFont="1" applyBorder="1" applyAlignment="1">
      <alignment horizontal="center" vertical="center" wrapText="1"/>
    </xf>
    <xf numFmtId="0" fontId="8" fillId="0" borderId="27" xfId="0" applyFont="1" applyBorder="1">
      <alignment wrapText="1"/>
    </xf>
    <xf numFmtId="43" fontId="8" fillId="0" borderId="27" xfId="5" applyFont="1" applyBorder="1" applyAlignment="1">
      <alignment wrapText="1"/>
    </xf>
    <xf numFmtId="0" fontId="26" fillId="0" borderId="8" xfId="0" applyFont="1" applyBorder="1" applyAlignment="1">
      <alignment vertical="center" wrapText="1"/>
    </xf>
    <xf numFmtId="167" fontId="8" fillId="0" borderId="26" xfId="0" applyNumberFormat="1" applyFont="1" applyBorder="1" applyAlignment="1">
      <alignment vertical="center" wrapText="1"/>
    </xf>
    <xf numFmtId="0" fontId="8" fillId="0" borderId="26" xfId="0" applyFont="1" applyBorder="1" applyAlignment="1">
      <alignment horizontal="left" vertical="center" wrapText="1"/>
    </xf>
    <xf numFmtId="0" fontId="0" fillId="0" borderId="26" xfId="0" applyFont="1" applyBorder="1">
      <alignment wrapText="1"/>
    </xf>
    <xf numFmtId="171" fontId="8" fillId="0" borderId="26" xfId="0" applyNumberFormat="1" applyFont="1" applyBorder="1" applyAlignment="1">
      <alignment vertical="center" wrapText="1"/>
    </xf>
    <xf numFmtId="165" fontId="8" fillId="0" borderId="26" xfId="0" applyNumberFormat="1" applyFont="1" applyBorder="1" applyAlignment="1">
      <alignment horizontal="center" vertical="center" wrapText="1"/>
    </xf>
    <xf numFmtId="167" fontId="8" fillId="0" borderId="26" xfId="0" applyNumberFormat="1" applyFont="1" applyBorder="1" applyAlignment="1">
      <alignment horizontal="center" vertical="center" wrapText="1"/>
    </xf>
    <xf numFmtId="14" fontId="8" fillId="0" borderId="26" xfId="0" applyNumberFormat="1" applyFont="1" applyBorder="1" applyAlignment="1">
      <alignment vertical="center" wrapText="1"/>
    </xf>
    <xf numFmtId="0" fontId="26" fillId="0" borderId="26" xfId="0" applyFont="1" applyBorder="1" applyAlignment="1">
      <alignment vertical="center" wrapText="1"/>
    </xf>
    <xf numFmtId="0" fontId="58" fillId="0" borderId="26" xfId="0" applyFont="1" applyFill="1" applyBorder="1" applyAlignment="1">
      <alignment horizontal="center" vertical="center" wrapText="1"/>
    </xf>
    <xf numFmtId="167" fontId="8" fillId="0" borderId="0" xfId="0" applyNumberFormat="1" applyFont="1" applyBorder="1" applyAlignment="1">
      <alignment vertical="center" wrapText="1"/>
    </xf>
    <xf numFmtId="0" fontId="8" fillId="0" borderId="0" xfId="0" applyFont="1" applyBorder="1" applyAlignment="1">
      <alignment horizontal="left" vertical="center" wrapText="1"/>
    </xf>
    <xf numFmtId="0" fontId="0" fillId="0" borderId="0" xfId="0" applyFont="1" applyBorder="1">
      <alignment wrapText="1"/>
    </xf>
    <xf numFmtId="165" fontId="8" fillId="0" borderId="0" xfId="0" applyNumberFormat="1" applyFont="1" applyBorder="1" applyAlignment="1">
      <alignment horizontal="center" vertical="center" wrapText="1"/>
    </xf>
    <xf numFmtId="167" fontId="8" fillId="0" borderId="0" xfId="0" applyNumberFormat="1" applyFont="1" applyBorder="1" applyAlignment="1">
      <alignment horizontal="center" vertical="center" wrapText="1"/>
    </xf>
    <xf numFmtId="14" fontId="8" fillId="0" borderId="0" xfId="0" applyNumberFormat="1" applyFont="1" applyBorder="1" applyAlignment="1">
      <alignment vertical="center" wrapText="1"/>
    </xf>
    <xf numFmtId="0" fontId="26" fillId="0" borderId="0" xfId="0" applyFont="1" applyBorder="1" applyAlignment="1">
      <alignment vertical="center" wrapText="1"/>
    </xf>
    <xf numFmtId="0" fontId="58" fillId="0" borderId="0" xfId="0" applyFont="1" applyFill="1" applyBorder="1" applyAlignment="1">
      <alignment horizontal="center" vertical="center" wrapText="1"/>
    </xf>
    <xf numFmtId="167" fontId="8" fillId="0" borderId="27" xfId="0" applyNumberFormat="1" applyFont="1" applyBorder="1" applyAlignment="1">
      <alignment vertical="center" wrapText="1"/>
    </xf>
    <xf numFmtId="0" fontId="8" fillId="0" borderId="27" xfId="0" applyFont="1" applyBorder="1" applyAlignment="1">
      <alignment horizontal="left" vertical="center" wrapText="1"/>
    </xf>
    <xf numFmtId="0" fontId="8" fillId="0" borderId="27" xfId="0" applyFont="1" applyBorder="1" applyAlignment="1">
      <alignment vertical="center" wrapText="1"/>
    </xf>
    <xf numFmtId="0" fontId="0" fillId="0" borderId="27" xfId="0" applyFont="1" applyBorder="1">
      <alignment wrapText="1"/>
    </xf>
    <xf numFmtId="171" fontId="8" fillId="0" borderId="27" xfId="0" applyNumberFormat="1" applyFont="1" applyBorder="1" applyAlignment="1">
      <alignment vertical="center" wrapText="1"/>
    </xf>
    <xf numFmtId="165" fontId="8" fillId="0" borderId="27" xfId="0" applyNumberFormat="1" applyFont="1" applyBorder="1" applyAlignment="1">
      <alignment horizontal="center" vertical="center" wrapText="1"/>
    </xf>
    <xf numFmtId="167" fontId="8" fillId="0" borderId="27" xfId="0" applyNumberFormat="1" applyFont="1" applyBorder="1" applyAlignment="1">
      <alignment horizontal="center" vertical="center" wrapText="1"/>
    </xf>
    <xf numFmtId="14" fontId="8" fillId="0" borderId="27" xfId="0" applyNumberFormat="1" applyFont="1" applyBorder="1" applyAlignment="1">
      <alignment vertical="center" wrapText="1"/>
    </xf>
    <xf numFmtId="0" fontId="26" fillId="0" borderId="27" xfId="0" applyFont="1" applyBorder="1" applyAlignment="1">
      <alignment vertical="center" wrapText="1"/>
    </xf>
    <xf numFmtId="0" fontId="58" fillId="0" borderId="27" xfId="0" applyFont="1" applyFill="1" applyBorder="1" applyAlignment="1">
      <alignment horizontal="center" vertical="center" wrapText="1"/>
    </xf>
    <xf numFmtId="0" fontId="71" fillId="0" borderId="26" xfId="0" applyFont="1" applyBorder="1" applyAlignment="1">
      <alignment vertical="center" wrapText="1"/>
    </xf>
    <xf numFmtId="0" fontId="71" fillId="0" borderId="0" xfId="0" applyFont="1" applyBorder="1" applyAlignment="1">
      <alignment vertical="center" wrapText="1"/>
    </xf>
    <xf numFmtId="0" fontId="71" fillId="0" borderId="27" xfId="0" applyFont="1" applyBorder="1" applyAlignment="1">
      <alignment vertical="center" wrapText="1"/>
    </xf>
    <xf numFmtId="0" fontId="56" fillId="0" borderId="26" xfId="0" applyFont="1" applyFill="1" applyBorder="1">
      <alignment wrapText="1"/>
    </xf>
    <xf numFmtId="0" fontId="56" fillId="0" borderId="0" xfId="0" applyFont="1" applyFill="1" applyBorder="1">
      <alignment wrapText="1"/>
    </xf>
    <xf numFmtId="0" fontId="56" fillId="0" borderId="27" xfId="0" applyFont="1" applyFill="1" applyBorder="1">
      <alignment wrapText="1"/>
    </xf>
    <xf numFmtId="167" fontId="76" fillId="0" borderId="26" xfId="0" applyNumberFormat="1" applyFont="1" applyBorder="1" applyAlignment="1">
      <alignment vertical="center" wrapText="1"/>
    </xf>
    <xf numFmtId="0" fontId="76" fillId="0" borderId="26" xfId="0" applyFont="1" applyBorder="1" applyAlignment="1">
      <alignment horizontal="left" vertical="center" wrapText="1"/>
    </xf>
    <xf numFmtId="0" fontId="76" fillId="0" borderId="26" xfId="0" applyFont="1" applyBorder="1" applyAlignment="1">
      <alignment vertical="center" wrapText="1"/>
    </xf>
    <xf numFmtId="0" fontId="77" fillId="0" borderId="26" xfId="0" applyFont="1" applyBorder="1">
      <alignment wrapText="1"/>
    </xf>
    <xf numFmtId="171" fontId="76" fillId="0" borderId="26" xfId="0" applyNumberFormat="1" applyFont="1" applyBorder="1" applyAlignment="1">
      <alignment vertical="center" wrapText="1"/>
    </xf>
    <xf numFmtId="165" fontId="76" fillId="0" borderId="26" xfId="0" applyNumberFormat="1" applyFont="1" applyBorder="1" applyAlignment="1">
      <alignment horizontal="center" vertical="center" wrapText="1"/>
    </xf>
    <xf numFmtId="167" fontId="76" fillId="0" borderId="26" xfId="0" applyNumberFormat="1" applyFont="1" applyBorder="1" applyAlignment="1">
      <alignment horizontal="center" vertical="center" wrapText="1"/>
    </xf>
    <xf numFmtId="14" fontId="76" fillId="0" borderId="26" xfId="0" applyNumberFormat="1" applyFont="1" applyBorder="1" applyAlignment="1">
      <alignment vertical="center" wrapText="1"/>
    </xf>
    <xf numFmtId="167" fontId="76" fillId="0" borderId="0" xfId="0" applyNumberFormat="1" applyFont="1" applyBorder="1" applyAlignment="1">
      <alignment vertical="center" wrapText="1"/>
    </xf>
    <xf numFmtId="0" fontId="76" fillId="0" borderId="0" xfId="0" applyFont="1" applyBorder="1" applyAlignment="1">
      <alignment horizontal="left" vertical="center" wrapText="1"/>
    </xf>
    <xf numFmtId="0" fontId="76" fillId="0" borderId="0" xfId="0" applyFont="1" applyBorder="1" applyAlignment="1">
      <alignment vertical="center" wrapText="1"/>
    </xf>
    <xf numFmtId="0" fontId="77" fillId="0" borderId="0" xfId="0" applyFont="1" applyBorder="1">
      <alignment wrapText="1"/>
    </xf>
    <xf numFmtId="171" fontId="76" fillId="0" borderId="0" xfId="0" applyNumberFormat="1" applyFont="1" applyBorder="1" applyAlignment="1">
      <alignment vertical="center" wrapText="1"/>
    </xf>
    <xf numFmtId="165" fontId="76" fillId="0" borderId="0" xfId="0" applyNumberFormat="1" applyFont="1" applyBorder="1" applyAlignment="1">
      <alignment horizontal="center" vertical="center" wrapText="1"/>
    </xf>
    <xf numFmtId="167" fontId="76" fillId="0" borderId="0" xfId="0" applyNumberFormat="1" applyFont="1" applyBorder="1" applyAlignment="1">
      <alignment horizontal="center" vertical="center" wrapText="1"/>
    </xf>
    <xf numFmtId="14" fontId="76" fillId="0" borderId="0" xfId="0" applyNumberFormat="1" applyFont="1" applyBorder="1" applyAlignment="1">
      <alignment vertical="center" wrapText="1"/>
    </xf>
    <xf numFmtId="167" fontId="76" fillId="0" borderId="27" xfId="0" applyNumberFormat="1" applyFont="1" applyBorder="1" applyAlignment="1">
      <alignment vertical="center" wrapText="1"/>
    </xf>
    <xf numFmtId="0" fontId="76" fillId="0" borderId="27" xfId="0" applyFont="1" applyBorder="1" applyAlignment="1">
      <alignment horizontal="left" vertical="center" wrapText="1"/>
    </xf>
    <xf numFmtId="0" fontId="76" fillId="0" borderId="27" xfId="0" applyFont="1" applyBorder="1" applyAlignment="1">
      <alignment vertical="center" wrapText="1"/>
    </xf>
    <xf numFmtId="0" fontId="77" fillId="0" borderId="27" xfId="0" applyFont="1" applyBorder="1">
      <alignment wrapText="1"/>
    </xf>
    <xf numFmtId="171" fontId="76" fillId="0" borderId="27" xfId="0" applyNumberFormat="1" applyFont="1" applyBorder="1" applyAlignment="1">
      <alignment vertical="center" wrapText="1"/>
    </xf>
    <xf numFmtId="165" fontId="76" fillId="0" borderId="27" xfId="0" applyNumberFormat="1" applyFont="1" applyBorder="1" applyAlignment="1">
      <alignment horizontal="center" vertical="center" wrapText="1"/>
    </xf>
    <xf numFmtId="167" fontId="76" fillId="0" borderId="27" xfId="0" applyNumberFormat="1" applyFont="1" applyBorder="1" applyAlignment="1">
      <alignment horizontal="center" vertical="center" wrapText="1"/>
    </xf>
    <xf numFmtId="167" fontId="8" fillId="0" borderId="28" xfId="0" applyNumberFormat="1" applyFont="1" applyBorder="1" applyAlignment="1">
      <alignment vertical="center" wrapText="1"/>
    </xf>
    <xf numFmtId="0" fontId="41" fillId="0" borderId="28" xfId="0" applyFont="1" applyBorder="1" applyAlignment="1">
      <alignment horizontal="left" vertical="center" wrapText="1"/>
    </xf>
    <xf numFmtId="0" fontId="67" fillId="0" borderId="28" xfId="0" applyFont="1" applyBorder="1">
      <alignment wrapText="1"/>
    </xf>
    <xf numFmtId="171" fontId="41" fillId="0" borderId="28" xfId="0" applyNumberFormat="1" applyFont="1" applyBorder="1" applyAlignment="1">
      <alignment vertical="center" wrapText="1"/>
    </xf>
    <xf numFmtId="165" fontId="41" fillId="0" borderId="26" xfId="0" applyNumberFormat="1" applyFont="1" applyBorder="1" applyAlignment="1">
      <alignment horizontal="center" vertical="center" wrapText="1"/>
    </xf>
    <xf numFmtId="0" fontId="72" fillId="0" borderId="28" xfId="0" applyFont="1" applyBorder="1" applyAlignment="1">
      <alignment vertical="center" wrapText="1"/>
    </xf>
    <xf numFmtId="14" fontId="8" fillId="0" borderId="28" xfId="0" applyNumberFormat="1" applyFont="1" applyBorder="1" applyAlignment="1">
      <alignment horizontal="center" vertical="center" wrapText="1"/>
    </xf>
    <xf numFmtId="14" fontId="8" fillId="0" borderId="28" xfId="0" applyNumberFormat="1" applyFont="1" applyBorder="1" applyAlignment="1">
      <alignment vertical="center" wrapText="1"/>
    </xf>
    <xf numFmtId="0" fontId="26" fillId="0" borderId="28" xfId="0" applyFont="1" applyBorder="1" applyAlignment="1">
      <alignment vertical="center" wrapText="1"/>
    </xf>
    <xf numFmtId="0" fontId="58" fillId="0" borderId="28" xfId="0" applyFont="1" applyFill="1" applyBorder="1" applyAlignment="1">
      <alignment horizontal="center" vertical="center" wrapText="1"/>
    </xf>
    <xf numFmtId="0" fontId="72" fillId="0" borderId="3" xfId="0" applyFont="1" applyBorder="1" applyAlignment="1">
      <alignment vertical="center" wrapText="1"/>
    </xf>
    <xf numFmtId="167" fontId="41" fillId="0" borderId="1" xfId="0" applyNumberFormat="1" applyFont="1" applyBorder="1" applyAlignment="1">
      <alignment horizontal="center" vertical="center" wrapText="1"/>
    </xf>
    <xf numFmtId="0" fontId="41" fillId="0" borderId="0" xfId="0" applyFont="1" applyBorder="1" applyAlignment="1">
      <alignment vertical="center" wrapText="1"/>
    </xf>
    <xf numFmtId="167" fontId="41" fillId="0" borderId="28" xfId="0" applyNumberFormat="1" applyFont="1" applyBorder="1" applyAlignment="1">
      <alignment vertical="center" wrapText="1"/>
    </xf>
    <xf numFmtId="167" fontId="41" fillId="0" borderId="28" xfId="0" applyNumberFormat="1" applyFont="1" applyBorder="1" applyAlignment="1">
      <alignment horizontal="center" vertical="center" wrapText="1"/>
    </xf>
    <xf numFmtId="14" fontId="41" fillId="0" borderId="26" xfId="0" applyNumberFormat="1" applyFont="1" applyBorder="1" applyAlignment="1">
      <alignment vertical="center" wrapText="1"/>
    </xf>
    <xf numFmtId="0" fontId="7" fillId="0" borderId="26" xfId="0" applyFont="1" applyFill="1" applyBorder="1" applyAlignment="1">
      <alignment vertical="center" wrapText="1"/>
    </xf>
    <xf numFmtId="171" fontId="51" fillId="0" borderId="0" xfId="0" applyNumberFormat="1" applyFont="1" applyBorder="1" applyAlignment="1">
      <alignment vertical="center"/>
    </xf>
    <xf numFmtId="171" fontId="45" fillId="17" borderId="8" xfId="0" applyNumberFormat="1" applyFont="1" applyFill="1" applyBorder="1" applyAlignment="1">
      <alignment vertical="center"/>
    </xf>
    <xf numFmtId="171" fontId="45" fillId="17" borderId="8" xfId="0" applyNumberFormat="1" applyFont="1" applyFill="1" applyBorder="1" applyAlignment="1"/>
    <xf numFmtId="16" fontId="71" fillId="0" borderId="1" xfId="0" applyNumberFormat="1" applyFont="1" applyBorder="1" applyAlignment="1">
      <alignment vertical="center" wrapText="1"/>
    </xf>
    <xf numFmtId="0" fontId="45" fillId="17" borderId="9" xfId="0" applyFont="1" applyFill="1" applyBorder="1" applyAlignment="1">
      <alignment vertical="center" wrapText="1"/>
    </xf>
    <xf numFmtId="0" fontId="45" fillId="0" borderId="9" xfId="0" applyFont="1" applyFill="1" applyBorder="1" applyAlignment="1">
      <alignment vertical="center" wrapText="1"/>
    </xf>
    <xf numFmtId="0" fontId="45" fillId="4" borderId="0" xfId="0" applyFont="1" applyFill="1" applyBorder="1" applyAlignment="1">
      <alignment vertical="center" wrapText="1"/>
    </xf>
    <xf numFmtId="0" fontId="45" fillId="0" borderId="0" xfId="0" applyFont="1" applyBorder="1" applyAlignment="1">
      <alignment vertical="center" wrapText="1"/>
    </xf>
    <xf numFmtId="0" fontId="45" fillId="17" borderId="0" xfId="0" applyFont="1" applyFill="1" applyBorder="1" applyAlignment="1">
      <alignment vertical="center" wrapText="1"/>
    </xf>
    <xf numFmtId="0" fontId="0" fillId="0" borderId="28" xfId="0" applyFont="1" applyBorder="1">
      <alignment wrapText="1"/>
    </xf>
    <xf numFmtId="171" fontId="8" fillId="0" borderId="28" xfId="0" applyNumberFormat="1" applyFont="1" applyBorder="1" applyAlignment="1">
      <alignment vertical="center" wrapText="1"/>
    </xf>
    <xf numFmtId="0" fontId="71" fillId="0" borderId="28" xfId="0" applyFont="1" applyBorder="1" applyAlignment="1">
      <alignment vertical="center" wrapText="1"/>
    </xf>
    <xf numFmtId="0" fontId="41" fillId="0" borderId="26" xfId="0" applyFont="1" applyBorder="1" applyAlignment="1">
      <alignment vertical="center" wrapText="1"/>
    </xf>
    <xf numFmtId="165" fontId="41" fillId="0" borderId="28" xfId="0" applyNumberFormat="1" applyFont="1" applyBorder="1" applyAlignment="1">
      <alignment horizontal="center" vertical="center" wrapText="1"/>
    </xf>
    <xf numFmtId="167" fontId="41" fillId="0" borderId="26" xfId="0" applyNumberFormat="1" applyFont="1" applyBorder="1" applyAlignment="1">
      <alignment horizontal="center" vertical="center" wrapText="1"/>
    </xf>
    <xf numFmtId="171" fontId="8" fillId="0" borderId="8" xfId="0" applyNumberFormat="1" applyFont="1" applyBorder="1" applyAlignment="1">
      <alignment vertical="center"/>
    </xf>
    <xf numFmtId="168" fontId="8" fillId="0" borderId="9" xfId="0" applyNumberFormat="1" applyFont="1" applyBorder="1" applyAlignment="1">
      <alignment horizontal="center" vertical="center" wrapText="1"/>
    </xf>
    <xf numFmtId="167" fontId="8" fillId="0" borderId="9" xfId="0" applyNumberFormat="1" applyFont="1" applyBorder="1" applyAlignment="1">
      <alignment horizontal="center" vertical="center" wrapText="1"/>
    </xf>
    <xf numFmtId="0" fontId="41" fillId="0" borderId="26" xfId="0" applyFont="1" applyBorder="1" applyAlignment="1">
      <alignment horizontal="left" vertical="center" wrapText="1"/>
    </xf>
    <xf numFmtId="0" fontId="56" fillId="0" borderId="28" xfId="0" applyFont="1" applyFill="1" applyBorder="1">
      <alignment wrapText="1"/>
    </xf>
    <xf numFmtId="43" fontId="8" fillId="0" borderId="0" xfId="0" applyNumberFormat="1" applyFont="1">
      <alignment wrapText="1"/>
    </xf>
    <xf numFmtId="171" fontId="8" fillId="0" borderId="0" xfId="0" applyNumberFormat="1" applyFont="1">
      <alignment wrapText="1"/>
    </xf>
    <xf numFmtId="43" fontId="8" fillId="0" borderId="0" xfId="0" applyNumberFormat="1" applyFont="1" applyBorder="1">
      <alignment wrapText="1"/>
    </xf>
    <xf numFmtId="171" fontId="8" fillId="0" borderId="0" xfId="0" applyNumberFormat="1" applyFont="1" applyBorder="1">
      <alignment wrapText="1"/>
    </xf>
    <xf numFmtId="171" fontId="0" fillId="0" borderId="0" xfId="0" applyNumberFormat="1">
      <alignment wrapText="1"/>
    </xf>
    <xf numFmtId="0" fontId="41" fillId="0" borderId="5" xfId="0" applyFont="1" applyBorder="1" applyAlignment="1">
      <alignment horizontal="left" vertical="center" wrapText="1"/>
    </xf>
    <xf numFmtId="167" fontId="41" fillId="0" borderId="1" xfId="0" applyNumberFormat="1" applyFont="1" applyBorder="1" applyAlignment="1">
      <alignment vertical="center" wrapText="1"/>
    </xf>
    <xf numFmtId="0" fontId="61" fillId="0" borderId="1" xfId="0" applyFont="1" applyBorder="1" applyAlignment="1">
      <alignment vertical="center"/>
    </xf>
    <xf numFmtId="0" fontId="61" fillId="0" borderId="1" xfId="0" applyFont="1" applyBorder="1" applyAlignment="1">
      <alignment vertical="center" wrapText="1"/>
    </xf>
    <xf numFmtId="0" fontId="8" fillId="0" borderId="33" xfId="0" applyFont="1" applyBorder="1" applyAlignment="1">
      <alignment vertical="center" wrapText="1"/>
    </xf>
    <xf numFmtId="0" fontId="44" fillId="10" borderId="8" xfId="0" applyFont="1" applyFill="1" applyBorder="1">
      <alignment wrapText="1"/>
    </xf>
    <xf numFmtId="0" fontId="8" fillId="4" borderId="1" xfId="0" applyFont="1" applyFill="1" applyBorder="1" applyAlignment="1">
      <alignment vertical="center" wrapText="1"/>
    </xf>
    <xf numFmtId="164" fontId="45" fillId="0" borderId="8" xfId="0" applyNumberFormat="1" applyFont="1" applyBorder="1" applyAlignment="1">
      <alignment vertical="center"/>
    </xf>
    <xf numFmtId="168" fontId="43" fillId="0" borderId="1" xfId="0" applyNumberFormat="1" applyFont="1" applyBorder="1" applyAlignment="1">
      <alignment vertical="center" wrapText="1"/>
    </xf>
    <xf numFmtId="168" fontId="42" fillId="0" borderId="8" xfId="0" applyNumberFormat="1" applyFont="1" applyBorder="1" applyAlignment="1">
      <alignment vertical="center" wrapText="1"/>
    </xf>
    <xf numFmtId="165" fontId="41" fillId="0" borderId="6" xfId="0" applyNumberFormat="1" applyFont="1" applyBorder="1" applyAlignment="1">
      <alignment vertical="center" wrapText="1"/>
    </xf>
    <xf numFmtId="168" fontId="8" fillId="0" borderId="6" xfId="0" applyNumberFormat="1" applyFont="1" applyBorder="1" applyAlignment="1">
      <alignment vertical="center" wrapText="1"/>
    </xf>
    <xf numFmtId="0" fontId="41" fillId="0" borderId="1" xfId="0" applyNumberFormat="1" applyFont="1" applyFill="1" applyBorder="1" applyAlignment="1">
      <alignment vertical="center" wrapText="1"/>
    </xf>
    <xf numFmtId="167" fontId="8" fillId="0" borderId="8" xfId="0" applyNumberFormat="1" applyFont="1" applyFill="1" applyBorder="1" applyAlignment="1">
      <alignment vertical="center" wrapText="1"/>
    </xf>
    <xf numFmtId="14" fontId="8" fillId="0" borderId="7" xfId="0" applyNumberFormat="1" applyFont="1" applyBorder="1" applyAlignment="1">
      <alignment vertical="center" wrapText="1"/>
    </xf>
    <xf numFmtId="14" fontId="8" fillId="0" borderId="5" xfId="0" applyNumberFormat="1" applyFont="1" applyBorder="1" applyAlignment="1">
      <alignment vertical="center" wrapText="1"/>
    </xf>
    <xf numFmtId="14" fontId="8" fillId="0" borderId="5" xfId="0" applyNumberFormat="1" applyFont="1" applyFill="1" applyBorder="1" applyAlignment="1">
      <alignment vertical="center" wrapText="1"/>
    </xf>
    <xf numFmtId="14" fontId="41" fillId="0" borderId="5" xfId="0" applyNumberFormat="1" applyFont="1" applyBorder="1" applyAlignment="1">
      <alignment vertical="center" wrapText="1"/>
    </xf>
    <xf numFmtId="0" fontId="61" fillId="0" borderId="9" xfId="0" applyFont="1" applyBorder="1" applyAlignment="1">
      <alignment vertical="center" wrapText="1"/>
    </xf>
    <xf numFmtId="0" fontId="26" fillId="0" borderId="6" xfId="0" applyFont="1" applyFill="1" applyBorder="1" applyAlignment="1">
      <alignment vertical="center" wrapText="1"/>
    </xf>
    <xf numFmtId="0" fontId="62" fillId="0" borderId="1" xfId="0" applyFont="1" applyBorder="1" applyAlignment="1">
      <alignment horizontal="center" vertical="center" wrapText="1"/>
    </xf>
    <xf numFmtId="0" fontId="58" fillId="0" borderId="9" xfId="0" applyFont="1" applyFill="1" applyBorder="1" applyAlignment="1">
      <alignment horizontal="center" vertical="center" wrapText="1"/>
    </xf>
    <xf numFmtId="167" fontId="8" fillId="0" borderId="26" xfId="0" applyNumberFormat="1" applyFont="1" applyFill="1" applyBorder="1" applyAlignment="1">
      <alignment vertical="center" wrapText="1"/>
    </xf>
    <xf numFmtId="0" fontId="8" fillId="0" borderId="26" xfId="0" applyNumberFormat="1" applyFont="1" applyFill="1" applyBorder="1" applyAlignment="1">
      <alignment horizontal="left" vertical="center" wrapText="1"/>
    </xf>
    <xf numFmtId="0" fontId="8" fillId="0" borderId="26" xfId="0" applyNumberFormat="1" applyFont="1" applyFill="1" applyBorder="1" applyAlignment="1">
      <alignment vertical="center" wrapText="1"/>
    </xf>
    <xf numFmtId="0" fontId="0" fillId="0" borderId="26" xfId="0" applyFill="1" applyBorder="1">
      <alignment wrapText="1"/>
    </xf>
    <xf numFmtId="168" fontId="8" fillId="0" borderId="26" xfId="0" applyNumberFormat="1" applyFont="1" applyBorder="1" applyAlignment="1">
      <alignment vertical="center" wrapText="1"/>
    </xf>
    <xf numFmtId="165" fontId="8" fillId="0" borderId="26" xfId="0" applyNumberFormat="1" applyFont="1" applyBorder="1" applyAlignment="1">
      <alignment vertical="center" wrapText="1"/>
    </xf>
    <xf numFmtId="0" fontId="26" fillId="0" borderId="26" xfId="0" applyFont="1" applyFill="1" applyBorder="1" applyAlignment="1">
      <alignment vertical="center" wrapText="1"/>
    </xf>
    <xf numFmtId="0" fontId="79" fillId="0" borderId="0" xfId="0" applyFont="1" applyFill="1" applyBorder="1">
      <alignment wrapText="1"/>
    </xf>
    <xf numFmtId="167" fontId="8" fillId="0" borderId="0" xfId="0" applyNumberFormat="1" applyFont="1" applyFill="1" applyBorder="1" applyAlignment="1">
      <alignment vertical="center" wrapText="1"/>
    </xf>
    <xf numFmtId="0" fontId="8" fillId="0" borderId="0" xfId="0" applyNumberFormat="1" applyFont="1" applyFill="1" applyBorder="1" applyAlignment="1">
      <alignment horizontal="left" vertical="center" wrapText="1"/>
    </xf>
    <xf numFmtId="0" fontId="8" fillId="0" borderId="0" xfId="0" applyNumberFormat="1" applyFont="1" applyFill="1" applyBorder="1" applyAlignment="1">
      <alignment vertical="center" wrapText="1"/>
    </xf>
    <xf numFmtId="0" fontId="0" fillId="0" borderId="0" xfId="0" applyFill="1" applyBorder="1">
      <alignment wrapText="1"/>
    </xf>
    <xf numFmtId="168" fontId="8" fillId="0" borderId="0" xfId="0" applyNumberFormat="1" applyFont="1" applyBorder="1" applyAlignment="1">
      <alignment vertical="center" wrapText="1"/>
    </xf>
    <xf numFmtId="165" fontId="8" fillId="0" borderId="0" xfId="0" applyNumberFormat="1" applyFont="1" applyBorder="1" applyAlignment="1">
      <alignment vertical="center" wrapText="1"/>
    </xf>
    <xf numFmtId="0" fontId="26" fillId="0" borderId="0" xfId="0" applyFont="1" applyFill="1" applyBorder="1" applyAlignment="1">
      <alignment vertical="center" wrapText="1"/>
    </xf>
    <xf numFmtId="167" fontId="8" fillId="0" borderId="27" xfId="0" applyNumberFormat="1" applyFont="1" applyFill="1" applyBorder="1" applyAlignment="1">
      <alignment vertical="center" wrapText="1"/>
    </xf>
    <xf numFmtId="0" fontId="8" fillId="0" borderId="27" xfId="0" applyNumberFormat="1" applyFont="1" applyFill="1" applyBorder="1" applyAlignment="1">
      <alignment horizontal="left" vertical="center" wrapText="1"/>
    </xf>
    <xf numFmtId="0" fontId="8" fillId="0" borderId="27" xfId="0" applyNumberFormat="1" applyFont="1" applyFill="1" applyBorder="1" applyAlignment="1">
      <alignment vertical="center" wrapText="1"/>
    </xf>
    <xf numFmtId="0" fontId="0" fillId="0" borderId="27" xfId="0" applyFill="1" applyBorder="1">
      <alignment wrapText="1"/>
    </xf>
    <xf numFmtId="168" fontId="8" fillId="0" borderId="27" xfId="0" applyNumberFormat="1" applyFont="1" applyBorder="1" applyAlignment="1">
      <alignment vertical="center" wrapText="1"/>
    </xf>
    <xf numFmtId="165" fontId="8" fillId="0" borderId="27" xfId="0" applyNumberFormat="1" applyFont="1" applyBorder="1" applyAlignment="1">
      <alignment vertical="center" wrapText="1"/>
    </xf>
    <xf numFmtId="0" fontId="26" fillId="0" borderId="27" xfId="0" applyFont="1" applyFill="1" applyBorder="1" applyAlignment="1">
      <alignment vertical="center" wrapText="1"/>
    </xf>
    <xf numFmtId="0" fontId="8" fillId="0" borderId="26" xfId="0" applyFont="1" applyFill="1" applyBorder="1" applyAlignment="1">
      <alignment vertical="center" wrapText="1"/>
    </xf>
    <xf numFmtId="1" fontId="8" fillId="0" borderId="26" xfId="0" applyNumberFormat="1" applyFont="1" applyBorder="1" applyAlignment="1">
      <alignment vertical="center" wrapText="1"/>
    </xf>
    <xf numFmtId="0" fontId="8" fillId="0" borderId="0" xfId="0" applyFont="1" applyFill="1" applyBorder="1" applyAlignment="1">
      <alignment vertical="center" wrapText="1"/>
    </xf>
    <xf numFmtId="1" fontId="8" fillId="0" borderId="0" xfId="0" applyNumberFormat="1" applyFont="1" applyBorder="1" applyAlignment="1">
      <alignment vertical="center" wrapText="1"/>
    </xf>
    <xf numFmtId="1" fontId="8" fillId="0" borderId="27" xfId="0" applyNumberFormat="1" applyFont="1" applyBorder="1" applyAlignment="1">
      <alignment vertical="center" wrapText="1"/>
    </xf>
    <xf numFmtId="0" fontId="8" fillId="0" borderId="27" xfId="0" applyFont="1" applyFill="1" applyBorder="1" applyAlignment="1">
      <alignment vertical="center" wrapText="1"/>
    </xf>
    <xf numFmtId="0" fontId="41" fillId="0" borderId="26" xfId="0" applyFont="1" applyFill="1" applyBorder="1" applyAlignment="1">
      <alignment vertical="center" wrapText="1"/>
    </xf>
    <xf numFmtId="1" fontId="41" fillId="0" borderId="26" xfId="0" applyNumberFormat="1" applyFont="1" applyBorder="1" applyAlignment="1">
      <alignment vertical="center" wrapText="1"/>
    </xf>
    <xf numFmtId="168" fontId="41" fillId="0" borderId="26" xfId="0" applyNumberFormat="1" applyFont="1" applyBorder="1" applyAlignment="1">
      <alignment vertical="center" wrapText="1"/>
    </xf>
    <xf numFmtId="0" fontId="41" fillId="0" borderId="27" xfId="0" applyFont="1" applyBorder="1" applyAlignment="1">
      <alignment horizontal="left" vertical="center" wrapText="1"/>
    </xf>
    <xf numFmtId="0" fontId="41" fillId="0" borderId="27" xfId="0" applyFont="1" applyBorder="1" applyAlignment="1">
      <alignment vertical="center" wrapText="1"/>
    </xf>
    <xf numFmtId="0" fontId="41" fillId="0" borderId="27" xfId="0" applyFont="1" applyFill="1" applyBorder="1" applyAlignment="1">
      <alignment vertical="center" wrapText="1"/>
    </xf>
    <xf numFmtId="1" fontId="41" fillId="0" borderId="27" xfId="0" applyNumberFormat="1" applyFont="1" applyBorder="1" applyAlignment="1">
      <alignment vertical="center" wrapText="1"/>
    </xf>
    <xf numFmtId="168" fontId="41" fillId="0" borderId="27" xfId="0" applyNumberFormat="1" applyFont="1" applyBorder="1" applyAlignment="1">
      <alignment vertical="center" wrapText="1"/>
    </xf>
    <xf numFmtId="0" fontId="8" fillId="0" borderId="5" xfId="0" applyNumberFormat="1" applyFont="1" applyFill="1" applyBorder="1" applyAlignment="1">
      <alignment horizontal="left" vertical="center" wrapText="1"/>
    </xf>
    <xf numFmtId="167" fontId="8" fillId="0" borderId="1" xfId="0" applyNumberFormat="1" applyFont="1" applyBorder="1" applyAlignment="1">
      <alignment vertical="center" wrapText="1"/>
    </xf>
    <xf numFmtId="167" fontId="8" fillId="0" borderId="1" xfId="0" applyNumberFormat="1" applyFont="1" applyFill="1" applyBorder="1" applyAlignment="1">
      <alignment vertical="center" wrapText="1"/>
    </xf>
    <xf numFmtId="165" fontId="79" fillId="0" borderId="0" xfId="0" applyNumberFormat="1" applyFont="1" applyFill="1" applyBorder="1">
      <alignment wrapText="1"/>
    </xf>
    <xf numFmtId="168" fontId="79" fillId="0" borderId="0" xfId="0" applyNumberFormat="1" applyFont="1" applyFill="1">
      <alignment wrapText="1"/>
    </xf>
    <xf numFmtId="168" fontId="79" fillId="0" borderId="0" xfId="0" applyNumberFormat="1" applyFont="1" applyFill="1" applyBorder="1">
      <alignment wrapText="1"/>
    </xf>
    <xf numFmtId="0" fontId="8" fillId="0" borderId="33" xfId="0" applyNumberFormat="1" applyFont="1" applyFill="1" applyBorder="1" applyAlignment="1">
      <alignment vertical="center" wrapText="1"/>
    </xf>
    <xf numFmtId="164" fontId="45" fillId="17" borderId="8" xfId="0" applyNumberFormat="1" applyFont="1" applyFill="1" applyBorder="1" applyAlignment="1">
      <alignment vertical="center"/>
    </xf>
    <xf numFmtId="164" fontId="45" fillId="4" borderId="8" xfId="0" applyNumberFormat="1" applyFont="1" applyFill="1" applyBorder="1" applyAlignment="1">
      <alignment vertical="center"/>
    </xf>
    <xf numFmtId="0" fontId="45" fillId="0" borderId="8" xfId="0" applyFont="1" applyBorder="1" applyAlignment="1">
      <alignment vertical="center" wrapText="1"/>
    </xf>
    <xf numFmtId="168" fontId="8" fillId="0" borderId="0" xfId="0" applyNumberFormat="1" applyFont="1">
      <alignment wrapText="1"/>
    </xf>
    <xf numFmtId="169" fontId="79" fillId="0" borderId="0" xfId="5" applyNumberFormat="1" applyFont="1" applyFill="1" applyBorder="1" applyAlignment="1">
      <alignment wrapText="1"/>
    </xf>
    <xf numFmtId="168" fontId="79" fillId="0" borderId="0" xfId="0" applyNumberFormat="1" applyFont="1" applyFill="1" applyAlignment="1">
      <alignment vertical="center" wrapText="1"/>
    </xf>
    <xf numFmtId="0" fontId="41" fillId="0" borderId="0" xfId="0" applyFont="1" applyBorder="1" applyAlignment="1">
      <alignment horizontal="left" vertical="center" wrapText="1"/>
    </xf>
    <xf numFmtId="0" fontId="41" fillId="0" borderId="0" xfId="0" applyFont="1" applyFill="1" applyBorder="1" applyAlignment="1">
      <alignment vertical="center" wrapText="1"/>
    </xf>
    <xf numFmtId="1" fontId="41" fillId="0" borderId="0" xfId="0" applyNumberFormat="1" applyFont="1" applyBorder="1" applyAlignment="1">
      <alignment vertical="center" wrapText="1"/>
    </xf>
    <xf numFmtId="168" fontId="41" fillId="0" borderId="0" xfId="0" applyNumberFormat="1" applyFont="1" applyBorder="1" applyAlignment="1">
      <alignment vertical="center" wrapText="1"/>
    </xf>
    <xf numFmtId="168" fontId="8" fillId="0" borderId="0" xfId="0" applyNumberFormat="1" applyFont="1" applyFill="1" applyBorder="1">
      <alignment wrapText="1"/>
    </xf>
    <xf numFmtId="0" fontId="14" fillId="0" borderId="54" xfId="0" applyFont="1" applyBorder="1">
      <alignment wrapText="1"/>
    </xf>
    <xf numFmtId="0" fontId="12" fillId="6" borderId="56" xfId="5" applyNumberFormat="1" applyFont="1" applyFill="1" applyBorder="1" applyAlignment="1">
      <alignment vertical="center" wrapText="1"/>
    </xf>
    <xf numFmtId="0" fontId="14" fillId="0" borderId="11" xfId="0" applyFont="1" applyBorder="1" applyAlignment="1">
      <alignment horizontal="center" vertical="center" wrapText="1"/>
    </xf>
    <xf numFmtId="49" fontId="16" fillId="3" borderId="10" xfId="0" applyNumberFormat="1" applyFont="1" applyFill="1" applyBorder="1" applyAlignment="1">
      <alignment vertical="center"/>
    </xf>
    <xf numFmtId="169" fontId="16" fillId="3" borderId="10" xfId="5" applyNumberFormat="1" applyFont="1" applyFill="1" applyBorder="1" applyAlignment="1">
      <alignment vertical="center"/>
    </xf>
    <xf numFmtId="0" fontId="8" fillId="0" borderId="6" xfId="0" applyFont="1" applyFill="1" applyBorder="1" applyAlignment="1">
      <alignment vertical="center" wrapText="1"/>
    </xf>
    <xf numFmtId="0" fontId="8" fillId="0" borderId="26" xfId="0" applyFont="1" applyFill="1" applyBorder="1" applyAlignment="1">
      <alignment horizontal="left" vertical="center" wrapText="1"/>
    </xf>
    <xf numFmtId="1" fontId="8" fillId="0" borderId="26" xfId="0" applyNumberFormat="1" applyFont="1" applyFill="1" applyBorder="1" applyAlignment="1">
      <alignment vertical="center" wrapText="1"/>
    </xf>
    <xf numFmtId="168" fontId="8" fillId="0" borderId="26" xfId="0" applyNumberFormat="1" applyFont="1" applyFill="1" applyBorder="1" applyAlignment="1">
      <alignment vertical="center" wrapText="1"/>
    </xf>
    <xf numFmtId="14" fontId="8" fillId="0" borderId="26" xfId="0" applyNumberFormat="1" applyFont="1" applyFill="1" applyBorder="1" applyAlignment="1">
      <alignment vertical="center" wrapText="1"/>
    </xf>
    <xf numFmtId="0" fontId="8" fillId="0" borderId="26" xfId="0" applyNumberFormat="1" applyFont="1" applyBorder="1" applyAlignment="1">
      <alignment vertical="center" wrapText="1"/>
    </xf>
    <xf numFmtId="0" fontId="8" fillId="0" borderId="0" xfId="0" applyFont="1" applyFill="1" applyBorder="1" applyAlignment="1">
      <alignment horizontal="left" vertical="center" wrapText="1"/>
    </xf>
    <xf numFmtId="1" fontId="8" fillId="0" borderId="0" xfId="0" applyNumberFormat="1" applyFont="1" applyFill="1" applyBorder="1" applyAlignment="1">
      <alignment vertical="center" wrapText="1"/>
    </xf>
    <xf numFmtId="168" fontId="8" fillId="0" borderId="0" xfId="0" applyNumberFormat="1" applyFont="1" applyFill="1" applyBorder="1" applyAlignment="1">
      <alignment vertical="center" wrapText="1"/>
    </xf>
    <xf numFmtId="14" fontId="8" fillId="0" borderId="0" xfId="0" applyNumberFormat="1" applyFont="1" applyFill="1" applyBorder="1" applyAlignment="1">
      <alignment vertical="center" wrapText="1"/>
    </xf>
    <xf numFmtId="0" fontId="8" fillId="0" borderId="0" xfId="0" applyNumberFormat="1" applyFont="1" applyBorder="1" applyAlignment="1">
      <alignment vertical="center" wrapText="1"/>
    </xf>
    <xf numFmtId="0" fontId="8" fillId="0" borderId="27" xfId="0" applyFont="1" applyFill="1" applyBorder="1" applyAlignment="1">
      <alignment horizontal="left" vertical="center" wrapText="1"/>
    </xf>
    <xf numFmtId="1" fontId="8" fillId="0" borderId="27" xfId="0" applyNumberFormat="1" applyFont="1" applyFill="1" applyBorder="1" applyAlignment="1">
      <alignment vertical="center" wrapText="1"/>
    </xf>
    <xf numFmtId="168" fontId="8" fillId="0" borderId="27" xfId="0" applyNumberFormat="1" applyFont="1" applyFill="1" applyBorder="1" applyAlignment="1">
      <alignment vertical="center" wrapText="1"/>
    </xf>
    <xf numFmtId="0" fontId="8" fillId="0" borderId="27" xfId="0" applyNumberFormat="1" applyFont="1" applyBorder="1" applyAlignment="1">
      <alignment vertical="center" wrapText="1"/>
    </xf>
    <xf numFmtId="165" fontId="8" fillId="0" borderId="26" xfId="0" applyNumberFormat="1" applyFont="1" applyFill="1" applyBorder="1" applyAlignment="1">
      <alignment vertical="center" wrapText="1"/>
    </xf>
    <xf numFmtId="165" fontId="8" fillId="0" borderId="0" xfId="0" applyNumberFormat="1" applyFont="1" applyFill="1" applyBorder="1" applyAlignment="1">
      <alignment vertical="center" wrapText="1"/>
    </xf>
    <xf numFmtId="165" fontId="8" fillId="0" borderId="27" xfId="0" applyNumberFormat="1" applyFont="1" applyFill="1" applyBorder="1" applyAlignment="1">
      <alignment vertical="center" wrapText="1"/>
    </xf>
    <xf numFmtId="0" fontId="8" fillId="0" borderId="1" xfId="0" applyNumberFormat="1" applyFont="1" applyBorder="1" applyAlignment="1">
      <alignment vertical="center" wrapText="1"/>
    </xf>
    <xf numFmtId="0" fontId="8" fillId="0" borderId="9" xfId="0" applyFont="1" applyFill="1" applyBorder="1" applyAlignment="1">
      <alignment vertical="center" wrapText="1"/>
    </xf>
    <xf numFmtId="169" fontId="8" fillId="0" borderId="0" xfId="5" applyNumberFormat="1" applyFont="1" applyAlignment="1">
      <alignment wrapText="1"/>
    </xf>
    <xf numFmtId="169" fontId="8" fillId="0" borderId="0" xfId="5" applyNumberFormat="1" applyFont="1" applyBorder="1" applyAlignment="1">
      <alignment wrapText="1"/>
    </xf>
    <xf numFmtId="0" fontId="8" fillId="0" borderId="8" xfId="0" applyNumberFormat="1" applyFont="1" applyBorder="1" applyAlignment="1">
      <alignment vertical="center" wrapText="1"/>
    </xf>
    <xf numFmtId="0" fontId="8" fillId="0" borderId="9" xfId="0" applyNumberFormat="1" applyFont="1" applyBorder="1" applyAlignment="1">
      <alignment vertical="center" wrapText="1"/>
    </xf>
    <xf numFmtId="165" fontId="8" fillId="0" borderId="0" xfId="0" applyNumberFormat="1" applyFont="1" applyFill="1" applyBorder="1">
      <alignment wrapText="1"/>
    </xf>
    <xf numFmtId="165" fontId="8" fillId="0" borderId="0" xfId="0" applyNumberFormat="1" applyFont="1" applyBorder="1">
      <alignment wrapText="1"/>
    </xf>
    <xf numFmtId="168" fontId="8" fillId="0" borderId="0" xfId="0" applyNumberFormat="1" applyFont="1" applyBorder="1">
      <alignment wrapText="1"/>
    </xf>
    <xf numFmtId="49" fontId="16" fillId="3" borderId="10" xfId="0" applyNumberFormat="1" applyFont="1" applyFill="1" applyBorder="1" applyAlignment="1">
      <alignment horizontal="center" vertical="center"/>
    </xf>
    <xf numFmtId="49" fontId="14" fillId="0" borderId="0" xfId="0" applyNumberFormat="1" applyFont="1" applyAlignment="1">
      <alignment horizontal="center" vertical="center" wrapText="1"/>
    </xf>
    <xf numFmtId="49" fontId="14" fillId="0" borderId="25"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169" fontId="14" fillId="30" borderId="41" xfId="5" applyNumberFormat="1" applyFont="1" applyFill="1" applyBorder="1" applyAlignment="1">
      <alignment vertical="center" wrapText="1"/>
    </xf>
    <xf numFmtId="169" fontId="14" fillId="30" borderId="40" xfId="5" applyNumberFormat="1" applyFont="1" applyFill="1" applyBorder="1" applyAlignment="1">
      <alignment vertical="center" wrapText="1"/>
    </xf>
    <xf numFmtId="169" fontId="14" fillId="30" borderId="42" xfId="5" applyNumberFormat="1" applyFont="1" applyFill="1" applyBorder="1" applyAlignment="1">
      <alignment vertical="center" wrapText="1"/>
    </xf>
    <xf numFmtId="169" fontId="14" fillId="9" borderId="41" xfId="5" applyNumberFormat="1" applyFont="1" applyFill="1" applyBorder="1" applyAlignment="1">
      <alignment vertical="center" wrapText="1"/>
    </xf>
    <xf numFmtId="169" fontId="14" fillId="9" borderId="42" xfId="5" applyNumberFormat="1" applyFont="1" applyFill="1" applyBorder="1" applyAlignment="1">
      <alignment vertical="center" wrapText="1"/>
    </xf>
    <xf numFmtId="169" fontId="14" fillId="7" borderId="41" xfId="5" applyNumberFormat="1" applyFont="1" applyFill="1" applyBorder="1" applyAlignment="1">
      <alignment vertical="center" wrapText="1"/>
    </xf>
    <xf numFmtId="169" fontId="14" fillId="7" borderId="42" xfId="5" applyNumberFormat="1" applyFont="1" applyFill="1" applyBorder="1" applyAlignment="1">
      <alignment vertical="center" wrapText="1"/>
    </xf>
    <xf numFmtId="169" fontId="14" fillId="4" borderId="41" xfId="5" applyNumberFormat="1" applyFont="1" applyFill="1" applyBorder="1" applyAlignment="1">
      <alignment vertical="center" wrapText="1"/>
    </xf>
    <xf numFmtId="169" fontId="14" fillId="4" borderId="42" xfId="5" applyNumberFormat="1" applyFont="1" applyFill="1" applyBorder="1" applyAlignment="1">
      <alignment vertical="center" wrapText="1"/>
    </xf>
    <xf numFmtId="0" fontId="7" fillId="5" borderId="50" xfId="0" applyFont="1" applyFill="1" applyBorder="1" applyAlignment="1">
      <alignment horizontal="center" vertical="center" wrapText="1"/>
    </xf>
    <xf numFmtId="49" fontId="7" fillId="5" borderId="35" xfId="0" applyNumberFormat="1" applyFont="1" applyFill="1" applyBorder="1" applyAlignment="1">
      <alignment horizontal="center" vertical="center" wrapText="1"/>
    </xf>
    <xf numFmtId="169" fontId="14" fillId="11" borderId="41" xfId="5" applyNumberFormat="1" applyFont="1" applyFill="1" applyBorder="1" applyAlignment="1">
      <alignment vertical="center" wrapText="1"/>
    </xf>
    <xf numFmtId="169" fontId="14" fillId="11" borderId="42" xfId="5" applyNumberFormat="1" applyFont="1" applyFill="1" applyBorder="1" applyAlignment="1">
      <alignment vertical="center" wrapText="1"/>
    </xf>
    <xf numFmtId="169" fontId="14" fillId="9" borderId="40" xfId="5" applyNumberFormat="1" applyFont="1" applyFill="1" applyBorder="1" applyAlignment="1">
      <alignment vertical="center" wrapText="1"/>
    </xf>
    <xf numFmtId="169" fontId="16" fillId="30" borderId="52" xfId="5" applyNumberFormat="1" applyFont="1" applyFill="1" applyBorder="1" applyAlignment="1">
      <alignment horizontal="center" vertical="center" wrapText="1"/>
    </xf>
    <xf numFmtId="169" fontId="16" fillId="7" borderId="52" xfId="5" applyNumberFormat="1" applyFont="1" applyFill="1" applyBorder="1" applyAlignment="1">
      <alignment horizontal="center" vertical="center" wrapText="1"/>
    </xf>
    <xf numFmtId="169" fontId="16" fillId="11" borderId="52" xfId="5" applyNumberFormat="1" applyFont="1" applyFill="1" applyBorder="1" applyAlignment="1">
      <alignment horizontal="center" vertical="center" wrapText="1"/>
    </xf>
    <xf numFmtId="169" fontId="16" fillId="4" borderId="52" xfId="5" applyNumberFormat="1" applyFont="1" applyFill="1" applyBorder="1" applyAlignment="1">
      <alignment horizontal="center" vertical="center" wrapText="1"/>
    </xf>
    <xf numFmtId="169" fontId="16" fillId="9" borderId="52" xfId="5" applyNumberFormat="1" applyFont="1" applyFill="1" applyBorder="1" applyAlignment="1">
      <alignment horizontal="center" vertical="center" wrapText="1"/>
    </xf>
    <xf numFmtId="169" fontId="14" fillId="0" borderId="0" xfId="5" applyNumberFormat="1" applyFont="1" applyAlignment="1">
      <alignment vertical="center" wrapText="1"/>
    </xf>
    <xf numFmtId="169" fontId="14" fillId="4" borderId="40" xfId="5" applyNumberFormat="1" applyFont="1" applyFill="1" applyBorder="1" applyAlignment="1">
      <alignment vertical="center" wrapText="1"/>
    </xf>
    <xf numFmtId="169" fontId="16" fillId="3" borderId="10" xfId="5" applyNumberFormat="1" applyFont="1" applyFill="1" applyBorder="1" applyAlignment="1">
      <alignment vertical="center" wrapText="1"/>
    </xf>
    <xf numFmtId="169" fontId="7" fillId="5" borderId="43" xfId="5" applyNumberFormat="1" applyFont="1" applyFill="1" applyBorder="1" applyAlignment="1">
      <alignment vertical="center" wrapText="1"/>
    </xf>
    <xf numFmtId="169" fontId="14" fillId="0" borderId="0" xfId="5" applyNumberFormat="1" applyFont="1" applyAlignment="1">
      <alignment horizontal="center" vertical="center" wrapText="1"/>
    </xf>
    <xf numFmtId="169" fontId="16" fillId="3" borderId="10" xfId="5" applyNumberFormat="1" applyFont="1" applyFill="1" applyBorder="1" applyAlignment="1">
      <alignment horizontal="center" vertical="center"/>
    </xf>
    <xf numFmtId="169" fontId="14" fillId="4" borderId="41" xfId="5" applyNumberFormat="1" applyFont="1" applyFill="1" applyBorder="1" applyAlignment="1">
      <alignment horizontal="center" vertical="center" wrapText="1"/>
    </xf>
    <xf numFmtId="169" fontId="14" fillId="4" borderId="42" xfId="5" applyNumberFormat="1" applyFont="1" applyFill="1" applyBorder="1" applyAlignment="1">
      <alignment horizontal="center" vertical="center" wrapText="1"/>
    </xf>
    <xf numFmtId="169" fontId="14" fillId="4" borderId="40" xfId="5" applyNumberFormat="1" applyFont="1" applyFill="1" applyBorder="1" applyAlignment="1">
      <alignment horizontal="center" vertical="center" wrapText="1"/>
    </xf>
    <xf numFmtId="169" fontId="16" fillId="3" borderId="10" xfId="5" applyNumberFormat="1" applyFont="1" applyFill="1" applyBorder="1" applyAlignment="1">
      <alignment horizontal="center" vertical="center" wrapText="1"/>
    </xf>
    <xf numFmtId="169" fontId="7" fillId="5" borderId="43" xfId="5" applyNumberFormat="1" applyFont="1" applyFill="1" applyBorder="1" applyAlignment="1">
      <alignment horizontal="center" vertical="center" wrapText="1"/>
    </xf>
    <xf numFmtId="169" fontId="14" fillId="11" borderId="40" xfId="5" applyNumberFormat="1" applyFont="1" applyFill="1" applyBorder="1" applyAlignment="1">
      <alignment vertical="center" wrapText="1"/>
    </xf>
    <xf numFmtId="169" fontId="14" fillId="7" borderId="40" xfId="5" applyNumberFormat="1" applyFont="1" applyFill="1" applyBorder="1" applyAlignment="1">
      <alignment vertical="center" wrapText="1"/>
    </xf>
    <xf numFmtId="169" fontId="14" fillId="11" borderId="41" xfId="5" applyNumberFormat="1" applyFont="1" applyFill="1" applyBorder="1" applyAlignment="1">
      <alignment horizontal="center" vertical="center" wrapText="1"/>
    </xf>
    <xf numFmtId="169" fontId="14" fillId="11" borderId="42" xfId="5" applyNumberFormat="1" applyFont="1" applyFill="1" applyBorder="1" applyAlignment="1">
      <alignment horizontal="center" vertical="center" wrapText="1"/>
    </xf>
    <xf numFmtId="169" fontId="14" fillId="11" borderId="40" xfId="5" applyNumberFormat="1" applyFont="1" applyFill="1" applyBorder="1" applyAlignment="1">
      <alignment horizontal="center" vertical="center" wrapText="1"/>
    </xf>
    <xf numFmtId="169" fontId="14" fillId="7" borderId="41" xfId="5" applyNumberFormat="1" applyFont="1" applyFill="1" applyBorder="1" applyAlignment="1">
      <alignment horizontal="center" vertical="center" wrapText="1"/>
    </xf>
    <xf numFmtId="169" fontId="14" fillId="7" borderId="42" xfId="5" applyNumberFormat="1" applyFont="1" applyFill="1" applyBorder="1" applyAlignment="1">
      <alignment horizontal="center" vertical="center" wrapText="1"/>
    </xf>
    <xf numFmtId="169" fontId="14" fillId="7" borderId="40" xfId="5" applyNumberFormat="1" applyFont="1" applyFill="1" applyBorder="1" applyAlignment="1">
      <alignment horizontal="center" vertical="center" wrapText="1"/>
    </xf>
    <xf numFmtId="169" fontId="14" fillId="30" borderId="41" xfId="5" applyNumberFormat="1" applyFont="1" applyFill="1" applyBorder="1" applyAlignment="1">
      <alignment horizontal="center" vertical="center" wrapText="1"/>
    </xf>
    <xf numFmtId="169" fontId="14" fillId="30" borderId="42" xfId="5" applyNumberFormat="1" applyFont="1" applyFill="1" applyBorder="1" applyAlignment="1">
      <alignment horizontal="center" vertical="center" wrapText="1"/>
    </xf>
    <xf numFmtId="169" fontId="14" fillId="30" borderId="40" xfId="5" applyNumberFormat="1" applyFont="1" applyFill="1" applyBorder="1" applyAlignment="1">
      <alignment horizontal="center" vertical="center" wrapText="1"/>
    </xf>
    <xf numFmtId="49" fontId="14" fillId="0" borderId="0" xfId="0" applyNumberFormat="1" applyFont="1" applyAlignment="1">
      <alignment vertical="center" wrapText="1"/>
    </xf>
    <xf numFmtId="49" fontId="14" fillId="0" borderId="11" xfId="0" applyNumberFormat="1" applyFont="1" applyBorder="1" applyAlignment="1">
      <alignment vertical="center" wrapText="1"/>
    </xf>
    <xf numFmtId="49" fontId="14" fillId="0" borderId="52" xfId="0" applyNumberFormat="1" applyFont="1" applyBorder="1" applyAlignment="1">
      <alignment vertical="center" wrapText="1"/>
    </xf>
    <xf numFmtId="49" fontId="7" fillId="0" borderId="25" xfId="0" applyNumberFormat="1" applyFont="1" applyBorder="1" applyAlignment="1">
      <alignment vertical="center" wrapText="1"/>
    </xf>
    <xf numFmtId="49" fontId="16" fillId="0" borderId="25" xfId="0" applyNumberFormat="1" applyFont="1" applyBorder="1" applyAlignment="1">
      <alignment vertical="center" wrapText="1"/>
    </xf>
    <xf numFmtId="0" fontId="14" fillId="0" borderId="0" xfId="0" applyFont="1" applyAlignment="1">
      <alignment vertical="center" wrapText="1"/>
    </xf>
    <xf numFmtId="0" fontId="8" fillId="0" borderId="0" xfId="0" applyFont="1" applyFill="1">
      <alignment wrapText="1"/>
    </xf>
    <xf numFmtId="167" fontId="41" fillId="23" borderId="5" xfId="0" applyNumberFormat="1" applyFont="1" applyFill="1" applyBorder="1" applyAlignment="1">
      <alignment vertical="center" wrapText="1"/>
    </xf>
    <xf numFmtId="0" fontId="41" fillId="23" borderId="8" xfId="0" applyFont="1" applyFill="1" applyBorder="1" applyAlignment="1">
      <alignment horizontal="left" vertical="center" wrapText="1"/>
    </xf>
    <xf numFmtId="0" fontId="41" fillId="23" borderId="1" xfId="0" applyNumberFormat="1" applyFont="1" applyFill="1" applyBorder="1" applyAlignment="1">
      <alignment vertical="center" wrapText="1"/>
    </xf>
    <xf numFmtId="0" fontId="41" fillId="23" borderId="8" xfId="0" applyFont="1" applyFill="1" applyBorder="1" applyAlignment="1">
      <alignment vertical="center" wrapText="1"/>
    </xf>
    <xf numFmtId="0" fontId="67" fillId="23" borderId="1" xfId="0" applyFont="1" applyFill="1" applyBorder="1">
      <alignment wrapText="1"/>
    </xf>
    <xf numFmtId="168" fontId="41" fillId="23" borderId="1" xfId="0" applyNumberFormat="1" applyFont="1" applyFill="1" applyBorder="1" applyAlignment="1">
      <alignment vertical="center" wrapText="1"/>
    </xf>
    <xf numFmtId="165" fontId="41" fillId="23" borderId="6" xfId="0" applyNumberFormat="1" applyFont="1" applyFill="1" applyBorder="1" applyAlignment="1">
      <alignment vertical="center" wrapText="1"/>
    </xf>
    <xf numFmtId="14" fontId="41" fillId="23" borderId="8" xfId="0" applyNumberFormat="1" applyFont="1" applyFill="1" applyBorder="1" applyAlignment="1">
      <alignment vertical="center" wrapText="1"/>
    </xf>
    <xf numFmtId="0" fontId="41" fillId="23" borderId="6" xfId="0" applyNumberFormat="1" applyFont="1" applyFill="1" applyBorder="1" applyAlignment="1">
      <alignment vertical="center" wrapText="1"/>
    </xf>
    <xf numFmtId="0" fontId="63" fillId="23" borderId="9" xfId="0" applyFont="1" applyFill="1" applyBorder="1" applyAlignment="1">
      <alignment vertical="center" wrapText="1"/>
    </xf>
    <xf numFmtId="49" fontId="14" fillId="0" borderId="25" xfId="0" applyNumberFormat="1" applyFont="1" applyFill="1" applyBorder="1" applyAlignment="1">
      <alignment vertical="center" wrapText="1"/>
    </xf>
    <xf numFmtId="49" fontId="14" fillId="0" borderId="25" xfId="0" applyNumberFormat="1" applyFont="1" applyFill="1" applyBorder="1" applyAlignment="1">
      <alignment horizontal="center" vertical="center" wrapText="1"/>
    </xf>
    <xf numFmtId="0" fontId="14" fillId="0" borderId="0" xfId="0" applyFont="1" applyFill="1">
      <alignment wrapText="1"/>
    </xf>
    <xf numFmtId="0" fontId="14" fillId="0" borderId="40" xfId="5" applyNumberFormat="1" applyFont="1" applyBorder="1" applyAlignment="1">
      <alignment horizontal="center" vertical="center" wrapText="1"/>
    </xf>
    <xf numFmtId="1" fontId="14" fillId="0" borderId="40" xfId="5" applyNumberFormat="1" applyFont="1" applyBorder="1" applyAlignment="1">
      <alignment horizontal="center" vertical="center" wrapText="1"/>
    </xf>
    <xf numFmtId="49" fontId="14" fillId="0" borderId="40" xfId="0" applyNumberFormat="1" applyFont="1" applyBorder="1" applyAlignment="1">
      <alignment horizontal="center" vertical="center" wrapText="1"/>
    </xf>
    <xf numFmtId="0" fontId="14" fillId="0" borderId="40" xfId="0" applyFont="1" applyBorder="1" applyAlignment="1">
      <alignment horizontal="center" vertical="center" wrapText="1"/>
    </xf>
    <xf numFmtId="0" fontId="12" fillId="6" borderId="10" xfId="0" applyFont="1" applyFill="1" applyBorder="1" applyAlignment="1">
      <alignment horizontal="center" vertical="center" wrapText="1"/>
    </xf>
    <xf numFmtId="165" fontId="14" fillId="0" borderId="39" xfId="4" applyFont="1" applyBorder="1" applyAlignment="1">
      <alignment horizontal="center" vertical="center" wrapText="1"/>
    </xf>
    <xf numFmtId="165" fontId="14" fillId="0" borderId="40" xfId="4" applyFont="1" applyBorder="1" applyAlignment="1">
      <alignment horizontal="center" vertical="center" wrapText="1"/>
    </xf>
    <xf numFmtId="165" fontId="14" fillId="0" borderId="18" xfId="4" applyFont="1" applyBorder="1" applyAlignment="1">
      <alignment horizontal="center" vertical="center" wrapText="1"/>
    </xf>
    <xf numFmtId="165" fontId="14" fillId="0" borderId="15" xfId="4" applyFont="1" applyBorder="1" applyAlignment="1">
      <alignment horizontal="center" vertical="center" wrapText="1"/>
    </xf>
    <xf numFmtId="49"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14" fillId="0" borderId="39" xfId="5" applyNumberFormat="1" applyFont="1" applyBorder="1" applyAlignment="1">
      <alignment horizontal="center" vertical="center" wrapText="1"/>
    </xf>
    <xf numFmtId="0" fontId="14" fillId="0" borderId="41" xfId="5" applyNumberFormat="1" applyFont="1" applyBorder="1" applyAlignment="1">
      <alignment horizontal="center" vertical="center" wrapText="1"/>
    </xf>
    <xf numFmtId="165" fontId="14" fillId="0" borderId="0" xfId="0" applyNumberFormat="1" applyFont="1" applyAlignment="1">
      <alignment horizontal="center" vertical="center" wrapText="1"/>
    </xf>
    <xf numFmtId="169" fontId="14" fillId="0" borderId="0" xfId="0" applyNumberFormat="1" applyFont="1" applyAlignment="1">
      <alignment horizontal="center" vertical="center" wrapText="1"/>
    </xf>
    <xf numFmtId="169" fontId="0" fillId="0" borderId="1" xfId="5" applyNumberFormat="1" applyFont="1" applyBorder="1" applyAlignment="1">
      <alignment horizontal="center" vertical="center" wrapText="1"/>
    </xf>
    <xf numFmtId="0" fontId="0" fillId="0" borderId="0" xfId="0" applyFont="1" applyAlignment="1">
      <alignment vertical="center" wrapText="1"/>
    </xf>
    <xf numFmtId="0" fontId="8" fillId="0" borderId="1" xfId="0" applyFont="1" applyBorder="1" applyAlignment="1"/>
    <xf numFmtId="0" fontId="8" fillId="0" borderId="1" xfId="0" applyFont="1" applyBorder="1" applyAlignment="1">
      <alignment vertical="center"/>
    </xf>
    <xf numFmtId="164" fontId="8" fillId="0" borderId="1" xfId="0" applyNumberFormat="1" applyFont="1" applyBorder="1" applyAlignment="1">
      <alignment vertical="center"/>
    </xf>
    <xf numFmtId="167" fontId="8" fillId="0" borderId="5" xfId="0" applyNumberFormat="1" applyFont="1" applyBorder="1" applyAlignment="1">
      <alignment vertical="center"/>
    </xf>
    <xf numFmtId="167" fontId="8" fillId="0" borderId="1" xfId="0" applyNumberFormat="1" applyFont="1" applyBorder="1" applyAlignment="1">
      <alignment vertical="center"/>
    </xf>
    <xf numFmtId="167" fontId="8" fillId="0" borderId="5" xfId="0" applyNumberFormat="1" applyFont="1" applyBorder="1" applyAlignment="1"/>
    <xf numFmtId="167" fontId="41" fillId="0" borderId="5" xfId="0" applyNumberFormat="1" applyFont="1" applyFill="1" applyBorder="1" applyAlignment="1">
      <alignment vertical="center" wrapText="1"/>
    </xf>
    <xf numFmtId="0" fontId="41" fillId="0" borderId="1" xfId="0" applyFont="1" applyFill="1" applyBorder="1" applyAlignment="1">
      <alignment horizontal="left" vertical="center" wrapText="1"/>
    </xf>
    <xf numFmtId="1" fontId="41" fillId="0" borderId="1" xfId="0" applyNumberFormat="1" applyFont="1" applyFill="1" applyBorder="1" applyAlignment="1">
      <alignment vertical="center" wrapText="1"/>
    </xf>
    <xf numFmtId="14" fontId="41" fillId="0" borderId="1" xfId="0" applyNumberFormat="1" applyFont="1" applyFill="1" applyBorder="1" applyAlignment="1">
      <alignment vertical="center" wrapText="1"/>
    </xf>
    <xf numFmtId="14" fontId="41" fillId="0" borderId="8" xfId="0" applyNumberFormat="1" applyFont="1" applyFill="1" applyBorder="1" applyAlignment="1">
      <alignment vertical="center" wrapText="1"/>
    </xf>
    <xf numFmtId="167" fontId="41" fillId="0" borderId="5" xfId="0" applyNumberFormat="1" applyFont="1" applyBorder="1" applyAlignment="1">
      <alignment horizontal="center" vertical="center" wrapText="1"/>
    </xf>
    <xf numFmtId="167" fontId="7" fillId="0" borderId="5" xfId="0" applyNumberFormat="1"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3" fillId="0" borderId="1" xfId="0" applyFont="1" applyBorder="1">
      <alignment wrapText="1"/>
    </xf>
    <xf numFmtId="171" fontId="7" fillId="0" borderId="1" xfId="0" applyNumberFormat="1" applyFont="1" applyBorder="1" applyAlignment="1">
      <alignment vertical="center" wrapText="1"/>
    </xf>
    <xf numFmtId="165" fontId="7" fillId="0" borderId="6" xfId="0" applyNumberFormat="1" applyFont="1" applyBorder="1" applyAlignment="1">
      <alignment horizontal="center" vertical="center" wrapText="1"/>
    </xf>
    <xf numFmtId="167" fontId="7" fillId="0" borderId="5" xfId="0" applyNumberFormat="1" applyFont="1" applyBorder="1" applyAlignment="1">
      <alignment horizontal="center" vertical="center" wrapText="1"/>
    </xf>
    <xf numFmtId="0" fontId="7" fillId="0" borderId="6" xfId="0" applyFont="1" applyBorder="1" applyAlignment="1">
      <alignment vertical="center" wrapText="1"/>
    </xf>
    <xf numFmtId="14" fontId="7" fillId="0" borderId="8" xfId="0" applyNumberFormat="1" applyFont="1" applyBorder="1" applyAlignment="1">
      <alignment vertical="center" wrapText="1"/>
    </xf>
    <xf numFmtId="167" fontId="90" fillId="0" borderId="0" xfId="0" applyNumberFormat="1" applyFont="1" applyFill="1" applyBorder="1" applyAlignment="1">
      <alignment vertical="center" wrapText="1"/>
    </xf>
    <xf numFmtId="0" fontId="90" fillId="0" borderId="0" xfId="0" applyNumberFormat="1" applyFont="1" applyFill="1" applyBorder="1" applyAlignment="1">
      <alignment horizontal="left" vertical="center" wrapText="1"/>
    </xf>
    <xf numFmtId="0" fontId="90" fillId="0" borderId="0" xfId="0" applyNumberFormat="1" applyFont="1" applyFill="1" applyBorder="1" applyAlignment="1">
      <alignment vertical="center" wrapText="1"/>
    </xf>
    <xf numFmtId="165" fontId="90" fillId="0" borderId="0" xfId="0" applyNumberFormat="1" applyFont="1" applyBorder="1" applyAlignment="1">
      <alignment vertical="center" wrapText="1"/>
    </xf>
    <xf numFmtId="168" fontId="90" fillId="0" borderId="0" xfId="0" applyNumberFormat="1" applyFont="1" applyBorder="1" applyAlignment="1">
      <alignment vertical="center" wrapText="1"/>
    </xf>
    <xf numFmtId="0" fontId="90" fillId="0" borderId="0" xfId="0" applyNumberFormat="1" applyFont="1" applyFill="1" applyBorder="1">
      <alignment wrapText="1"/>
    </xf>
    <xf numFmtId="165" fontId="33" fillId="6" borderId="28" xfId="0" applyNumberFormat="1" applyFont="1" applyFill="1" applyBorder="1" applyAlignment="1">
      <alignment vertical="center"/>
    </xf>
    <xf numFmtId="0" fontId="52" fillId="0" borderId="33" xfId="0" applyFont="1" applyBorder="1" applyAlignment="1">
      <alignment vertical="center" wrapText="1"/>
    </xf>
    <xf numFmtId="167" fontId="8" fillId="0" borderId="0" xfId="0" applyNumberFormat="1" applyFont="1" applyAlignment="1">
      <alignment vertical="center" wrapText="1"/>
    </xf>
    <xf numFmtId="168" fontId="14" fillId="0" borderId="0" xfId="0" applyNumberFormat="1" applyFont="1" applyAlignment="1">
      <alignment vertical="center" wrapText="1"/>
    </xf>
    <xf numFmtId="2" fontId="52" fillId="0" borderId="33" xfId="0" applyNumberFormat="1" applyFont="1" applyBorder="1" applyAlignment="1">
      <alignment vertical="center" wrapText="1"/>
    </xf>
    <xf numFmtId="43" fontId="30" fillId="0" borderId="0" xfId="5" applyFont="1" applyAlignment="1">
      <alignment vertical="center" wrapText="1"/>
    </xf>
    <xf numFmtId="0" fontId="91" fillId="0" borderId="1" xfId="0" applyNumberFormat="1" applyFont="1" applyFill="1" applyBorder="1" applyAlignment="1">
      <alignment horizontal="left" vertical="center" wrapText="1"/>
    </xf>
    <xf numFmtId="0" fontId="32" fillId="31" borderId="44" xfId="0" applyFont="1" applyFill="1" applyBorder="1" applyAlignment="1">
      <alignment horizontal="center" vertical="center" wrapText="1"/>
    </xf>
    <xf numFmtId="0" fontId="32" fillId="31" borderId="26" xfId="0" applyFont="1" applyFill="1" applyBorder="1" applyAlignment="1">
      <alignment horizontal="center" vertical="center" wrapText="1"/>
    </xf>
    <xf numFmtId="0" fontId="32" fillId="31" borderId="30" xfId="0" applyFont="1" applyFill="1" applyBorder="1" applyAlignment="1">
      <alignment horizontal="center" vertical="center" wrapText="1"/>
    </xf>
    <xf numFmtId="0" fontId="32" fillId="31" borderId="29" xfId="0" applyFont="1" applyFill="1" applyBorder="1" applyAlignment="1">
      <alignment horizontal="center" vertical="center" wrapText="1"/>
    </xf>
    <xf numFmtId="1" fontId="41" fillId="0" borderId="8" xfId="0" applyNumberFormat="1" applyFont="1" applyBorder="1" applyAlignment="1">
      <alignment vertical="center" wrapText="1"/>
    </xf>
    <xf numFmtId="171" fontId="41" fillId="0" borderId="9" xfId="0" applyNumberFormat="1" applyFont="1" applyBorder="1" applyAlignment="1">
      <alignment vertical="center" wrapText="1"/>
    </xf>
    <xf numFmtId="0" fontId="16" fillId="0" borderId="18" xfId="0" applyFont="1" applyBorder="1" applyAlignment="1">
      <alignment vertical="center"/>
    </xf>
    <xf numFmtId="165" fontId="14" fillId="0" borderId="1" xfId="4" applyFont="1" applyBorder="1" applyAlignment="1">
      <alignment horizontal="center" vertical="center" wrapText="1"/>
    </xf>
    <xf numFmtId="165" fontId="14" fillId="0" borderId="1" xfId="4" applyFont="1" applyFill="1" applyBorder="1" applyAlignment="1">
      <alignment horizontal="center" vertical="center" wrapText="1"/>
    </xf>
    <xf numFmtId="167" fontId="0" fillId="0" borderId="0" xfId="0" applyNumberFormat="1" applyAlignment="1">
      <alignment vertical="center" wrapText="1"/>
    </xf>
    <xf numFmtId="167"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quotePrefix="1"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67" fontId="0" fillId="0" borderId="3" xfId="0" applyNumberFormat="1" applyBorder="1" applyAlignment="1">
      <alignment horizontal="center" vertical="center" wrapText="1"/>
    </xf>
    <xf numFmtId="0" fontId="75" fillId="0" borderId="57" xfId="0" applyFont="1" applyBorder="1" applyAlignment="1">
      <alignment horizontal="center" vertical="center" wrapText="1"/>
    </xf>
    <xf numFmtId="0" fontId="75" fillId="0" borderId="57" xfId="0" applyFont="1" applyBorder="1" applyAlignment="1">
      <alignment vertical="center" wrapText="1"/>
    </xf>
    <xf numFmtId="0" fontId="8" fillId="4" borderId="1" xfId="0" applyFont="1" applyFill="1" applyBorder="1" applyAlignment="1">
      <alignment horizontal="left" vertical="center" wrapText="1"/>
    </xf>
    <xf numFmtId="171" fontId="8" fillId="4" borderId="1" xfId="0" applyNumberFormat="1" applyFont="1" applyFill="1" applyBorder="1" applyAlignment="1">
      <alignment vertical="center" wrapText="1"/>
    </xf>
    <xf numFmtId="0" fontId="71" fillId="4" borderId="6" xfId="0" applyFont="1" applyFill="1" applyBorder="1" applyAlignment="1">
      <alignment vertical="center" wrapText="1"/>
    </xf>
    <xf numFmtId="0" fontId="8" fillId="4" borderId="6" xfId="0" applyFont="1" applyFill="1" applyBorder="1" applyAlignment="1">
      <alignment vertical="center" wrapText="1"/>
    </xf>
    <xf numFmtId="14" fontId="8" fillId="4" borderId="8" xfId="0" applyNumberFormat="1" applyFont="1" applyFill="1" applyBorder="1" applyAlignment="1">
      <alignment vertical="center" wrapText="1"/>
    </xf>
    <xf numFmtId="0" fontId="26" fillId="4" borderId="6" xfId="0" applyFont="1" applyFill="1" applyBorder="1" applyAlignment="1">
      <alignment vertical="center" wrapText="1"/>
    </xf>
    <xf numFmtId="171" fontId="14" fillId="4" borderId="1" xfId="0" applyNumberFormat="1" applyFont="1" applyFill="1" applyBorder="1" applyAlignment="1">
      <alignment vertical="center"/>
    </xf>
    <xf numFmtId="0" fontId="8" fillId="17" borderId="1" xfId="0" applyFont="1" applyFill="1" applyBorder="1" applyAlignment="1">
      <alignment vertical="center" wrapText="1"/>
    </xf>
    <xf numFmtId="171" fontId="8" fillId="17" borderId="1" xfId="0" applyNumberFormat="1" applyFont="1" applyFill="1" applyBorder="1" applyAlignment="1">
      <alignment vertical="center"/>
    </xf>
    <xf numFmtId="0" fontId="92" fillId="0" borderId="33" xfId="0" applyFont="1" applyBorder="1" applyAlignment="1">
      <alignment vertical="center"/>
    </xf>
    <xf numFmtId="0" fontId="94" fillId="0" borderId="33" xfId="0" applyFont="1" applyBorder="1" applyAlignment="1">
      <alignment vertical="center" wrapText="1"/>
    </xf>
    <xf numFmtId="14"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0" fontId="0" fillId="0" borderId="3" xfId="0" quotePrefix="1" applyBorder="1" applyAlignment="1">
      <alignment horizontal="center" vertical="center" wrapText="1"/>
    </xf>
    <xf numFmtId="0" fontId="0" fillId="0" borderId="1" xfId="0" quotePrefix="1" applyBorder="1" applyAlignment="1">
      <alignment vertical="center" wrapText="1"/>
    </xf>
    <xf numFmtId="0" fontId="75" fillId="0" borderId="1" xfId="0" applyFont="1" applyBorder="1" applyAlignment="1">
      <alignment horizontal="center" vertical="center" wrapText="1"/>
    </xf>
    <xf numFmtId="0" fontId="75" fillId="0" borderId="57" xfId="0" applyFont="1" applyBorder="1" applyAlignment="1">
      <alignment horizontal="center" vertical="center" wrapText="1"/>
    </xf>
    <xf numFmtId="3" fontId="0" fillId="0" borderId="1" xfId="0" quotePrefix="1" applyNumberFormat="1" applyBorder="1" applyAlignment="1">
      <alignment horizontal="center" vertical="center" wrapText="1"/>
    </xf>
    <xf numFmtId="0" fontId="34" fillId="0" borderId="1" xfId="0" applyFont="1" applyBorder="1" applyAlignment="1">
      <alignment horizontal="center" vertical="center" wrapText="1"/>
    </xf>
    <xf numFmtId="0" fontId="32" fillId="13" borderId="1" xfId="0" applyFont="1" applyFill="1" applyBorder="1" applyAlignment="1">
      <alignment horizontal="center" vertical="center" wrapText="1"/>
    </xf>
    <xf numFmtId="0" fontId="35" fillId="26" borderId="1" xfId="0" applyFont="1" applyFill="1" applyBorder="1" applyAlignment="1">
      <alignment horizontal="center" vertical="center" wrapText="1"/>
    </xf>
    <xf numFmtId="0" fontId="97" fillId="0" borderId="1" xfId="0" applyFont="1" applyBorder="1" applyAlignment="1"/>
    <xf numFmtId="0" fontId="32" fillId="32" borderId="1" xfId="0" applyFont="1" applyFill="1" applyBorder="1" applyAlignment="1">
      <alignment horizontal="center" vertical="center" wrapText="1"/>
    </xf>
    <xf numFmtId="169" fontId="89" fillId="0" borderId="1" xfId="5" applyNumberFormat="1" applyFont="1" applyBorder="1" applyAlignment="1">
      <alignment wrapText="1"/>
    </xf>
    <xf numFmtId="0" fontId="0" fillId="0" borderId="1" xfId="0" applyFill="1" applyBorder="1" applyAlignment="1">
      <alignment vertical="center" wrapText="1"/>
    </xf>
    <xf numFmtId="0" fontId="32" fillId="31" borderId="1" xfId="0" applyFont="1" applyFill="1" applyBorder="1" applyAlignment="1">
      <alignment horizontal="center" vertical="center" wrapText="1"/>
    </xf>
    <xf numFmtId="169" fontId="89" fillId="0" borderId="1" xfId="0" applyNumberFormat="1" applyFont="1" applyBorder="1" applyAlignment="1">
      <alignment vertical="center" wrapText="1"/>
    </xf>
    <xf numFmtId="169" fontId="89" fillId="0" borderId="1" xfId="0" applyNumberFormat="1" applyFont="1" applyBorder="1" applyAlignment="1">
      <alignment horizontal="center" vertical="center" wrapText="1"/>
    </xf>
    <xf numFmtId="169" fontId="0" fillId="0" borderId="1" xfId="5" applyNumberFormat="1" applyFont="1" applyBorder="1" applyAlignment="1">
      <alignment vertical="center" wrapText="1"/>
    </xf>
    <xf numFmtId="169" fontId="0" fillId="0" borderId="3" xfId="5" applyNumberFormat="1" applyFont="1" applyBorder="1" applyAlignment="1">
      <alignment horizontal="center" vertical="center" wrapText="1"/>
    </xf>
    <xf numFmtId="167" fontId="0" fillId="0" borderId="1" xfId="0" applyNumberFormat="1" applyBorder="1" applyAlignment="1">
      <alignment vertical="center" wrapText="1"/>
    </xf>
    <xf numFmtId="167" fontId="0" fillId="0" borderId="3" xfId="0" applyNumberFormat="1" applyBorder="1" applyAlignment="1">
      <alignment vertical="center" wrapText="1"/>
    </xf>
    <xf numFmtId="0" fontId="75" fillId="0" borderId="20" xfId="0" applyFont="1" applyBorder="1" applyAlignment="1">
      <alignment horizontal="center" vertical="center" wrapText="1"/>
    </xf>
    <xf numFmtId="0" fontId="0" fillId="0" borderId="59" xfId="0" applyBorder="1" applyAlignment="1">
      <alignment vertical="center" wrapText="1"/>
    </xf>
    <xf numFmtId="17" fontId="0" fillId="0" borderId="1" xfId="0" applyNumberFormat="1" applyBorder="1" applyAlignment="1">
      <alignment vertical="center" wrapText="1"/>
    </xf>
    <xf numFmtId="0" fontId="0" fillId="0" borderId="3" xfId="0" quotePrefix="1" applyBorder="1" applyAlignment="1">
      <alignment vertical="center" wrapText="1"/>
    </xf>
    <xf numFmtId="0" fontId="88" fillId="0" borderId="0" xfId="0" applyFont="1" applyAlignment="1">
      <alignment horizontal="center" vertical="center" wrapText="1"/>
    </xf>
    <xf numFmtId="167" fontId="0" fillId="0" borderId="0" xfId="0" applyNumberFormat="1" applyAlignment="1">
      <alignment horizontal="center" vertical="center" wrapText="1"/>
    </xf>
    <xf numFmtId="167" fontId="98" fillId="0" borderId="0" xfId="0" applyNumberFormat="1" applyFont="1" applyAlignment="1">
      <alignment vertical="center" wrapText="1"/>
    </xf>
    <xf numFmtId="0" fontId="98" fillId="0" borderId="0" xfId="0" applyFont="1" applyAlignment="1">
      <alignment horizontal="left" vertical="center" wrapText="1"/>
    </xf>
    <xf numFmtId="0" fontId="98" fillId="0" borderId="0" xfId="0" applyFont="1" applyAlignment="1">
      <alignment vertical="center" wrapText="1"/>
    </xf>
    <xf numFmtId="165" fontId="98" fillId="0" borderId="0" xfId="0" applyNumberFormat="1" applyFont="1" applyAlignment="1">
      <alignment vertical="center" wrapText="1"/>
    </xf>
    <xf numFmtId="171" fontId="99" fillId="0" borderId="0" xfId="0" applyNumberFormat="1" applyFont="1" applyAlignment="1">
      <alignment vertical="center" wrapText="1"/>
    </xf>
    <xf numFmtId="171" fontId="98" fillId="0" borderId="0" xfId="0" applyNumberFormat="1" applyFont="1" applyAlignment="1">
      <alignment vertical="center" wrapText="1"/>
    </xf>
    <xf numFmtId="167" fontId="98" fillId="0" borderId="0" xfId="0" applyNumberFormat="1" applyFont="1" applyAlignment="1">
      <alignment horizontal="center" vertical="center" wrapText="1"/>
    </xf>
    <xf numFmtId="0" fontId="100" fillId="0" borderId="0" xfId="0" applyFont="1" applyAlignment="1">
      <alignment vertical="center" wrapText="1"/>
    </xf>
    <xf numFmtId="165" fontId="14" fillId="0" borderId="40" xfId="4" applyFont="1" applyBorder="1" applyAlignment="1">
      <alignment vertical="center" wrapText="1"/>
    </xf>
    <xf numFmtId="169" fontId="14" fillId="0" borderId="40" xfId="5" applyNumberFormat="1" applyFont="1" applyBorder="1" applyAlignment="1">
      <alignment horizontal="center" vertical="center" wrapText="1"/>
    </xf>
    <xf numFmtId="0" fontId="75" fillId="0" borderId="1" xfId="0" applyFont="1" applyBorder="1" applyAlignment="1">
      <alignment horizontal="center" vertical="center" wrapText="1"/>
    </xf>
    <xf numFmtId="0" fontId="75" fillId="0" borderId="57" xfId="0" applyFont="1" applyBorder="1" applyAlignment="1">
      <alignment horizontal="center" vertical="center" wrapText="1"/>
    </xf>
    <xf numFmtId="0" fontId="75" fillId="0" borderId="20" xfId="0" applyFont="1" applyBorder="1" applyAlignment="1">
      <alignment horizontal="center" vertical="center" wrapText="1"/>
    </xf>
    <xf numFmtId="0" fontId="30" fillId="7" borderId="0" xfId="0" applyFont="1" applyFill="1" applyBorder="1" applyAlignment="1">
      <alignment horizontal="center" vertical="center" wrapText="1"/>
    </xf>
    <xf numFmtId="165" fontId="98" fillId="0" borderId="0" xfId="0" applyNumberFormat="1" applyFont="1" applyAlignment="1">
      <alignment horizontal="center" vertical="center" wrapText="1"/>
    </xf>
    <xf numFmtId="49" fontId="16" fillId="0" borderId="11" xfId="0" applyNumberFormat="1" applyFont="1" applyFill="1" applyBorder="1" applyAlignment="1">
      <alignment vertical="center" wrapText="1"/>
    </xf>
    <xf numFmtId="0" fontId="8" fillId="0" borderId="11" xfId="0" applyFont="1" applyFill="1" applyBorder="1" applyAlignment="1">
      <alignment vertical="center" wrapText="1"/>
    </xf>
    <xf numFmtId="49" fontId="101" fillId="0" borderId="11" xfId="0" applyNumberFormat="1" applyFont="1" applyFill="1" applyBorder="1" applyAlignment="1">
      <alignment vertical="center" wrapText="1"/>
    </xf>
    <xf numFmtId="169" fontId="33" fillId="6" borderId="28" xfId="5" applyNumberFormat="1" applyFont="1" applyFill="1" applyBorder="1" applyAlignment="1">
      <alignment vertical="center"/>
    </xf>
    <xf numFmtId="0" fontId="12" fillId="28" borderId="10" xfId="0" applyFont="1" applyFill="1" applyBorder="1" applyAlignment="1">
      <alignment horizontal="center" wrapText="1"/>
    </xf>
    <xf numFmtId="0" fontId="12" fillId="0" borderId="10" xfId="0" applyFont="1" applyBorder="1" applyAlignment="1">
      <alignment horizontal="center" wrapText="1"/>
    </xf>
    <xf numFmtId="169" fontId="14" fillId="0" borderId="41" xfId="5" applyNumberFormat="1" applyFont="1" applyBorder="1" applyAlignment="1">
      <alignment horizontal="center" vertical="center" wrapText="1"/>
    </xf>
    <xf numFmtId="0" fontId="12" fillId="6" borderId="10" xfId="0" applyFont="1" applyFill="1" applyBorder="1" applyAlignment="1">
      <alignment horizontal="center" wrapText="1"/>
    </xf>
    <xf numFmtId="0" fontId="13" fillId="6" borderId="10" xfId="0" applyFont="1" applyFill="1" applyBorder="1" applyAlignment="1">
      <alignment horizontal="center" wrapText="1"/>
    </xf>
    <xf numFmtId="1" fontId="14" fillId="0" borderId="41" xfId="5" applyNumberFormat="1" applyFont="1" applyBorder="1" applyAlignment="1">
      <alignment horizontal="center" vertical="center" wrapText="1"/>
    </xf>
    <xf numFmtId="43" fontId="0" fillId="0" borderId="0" xfId="5" applyFont="1" applyAlignment="1">
      <alignment vertical="center" wrapText="1"/>
    </xf>
    <xf numFmtId="0" fontId="93" fillId="0" borderId="1" xfId="0" applyFont="1" applyFill="1" applyBorder="1" applyAlignment="1">
      <alignment vertical="center" wrapText="1"/>
    </xf>
    <xf numFmtId="169" fontId="102" fillId="0" borderId="0" xfId="5" applyNumberFormat="1" applyFont="1" applyFill="1" applyBorder="1" applyAlignment="1">
      <alignment vertical="center"/>
    </xf>
    <xf numFmtId="0" fontId="102" fillId="0" borderId="0" xfId="0" applyFont="1" applyFill="1" applyBorder="1" applyAlignment="1">
      <alignment vertical="center"/>
    </xf>
    <xf numFmtId="169" fontId="37" fillId="0" borderId="0" xfId="5" applyNumberFormat="1" applyFont="1" applyAlignment="1">
      <alignment horizontal="center" vertical="center" wrapText="1"/>
    </xf>
    <xf numFmtId="169" fontId="37" fillId="0" borderId="0" xfId="5" applyNumberFormat="1" applyFont="1" applyAlignment="1">
      <alignment vertical="center" wrapText="1"/>
    </xf>
    <xf numFmtId="0" fontId="32" fillId="31" borderId="27" xfId="0" applyFont="1" applyFill="1" applyBorder="1" applyAlignment="1">
      <alignment horizontal="center" vertical="center" wrapText="1"/>
    </xf>
    <xf numFmtId="0" fontId="32" fillId="12" borderId="27" xfId="0" applyFont="1" applyFill="1" applyBorder="1" applyAlignment="1">
      <alignment horizontal="center" vertical="center" wrapText="1"/>
    </xf>
    <xf numFmtId="0" fontId="32" fillId="13" borderId="27" xfId="0" applyFont="1" applyFill="1" applyBorder="1" applyAlignment="1">
      <alignment horizontal="center" vertical="center" wrapText="1"/>
    </xf>
    <xf numFmtId="0" fontId="35" fillId="26" borderId="27" xfId="0" applyFont="1" applyFill="1" applyBorder="1" applyAlignment="1">
      <alignment horizontal="center" vertical="center" wrapText="1"/>
    </xf>
    <xf numFmtId="0" fontId="32" fillId="8" borderId="27"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2" fillId="13" borderId="6" xfId="0" applyFont="1" applyFill="1" applyBorder="1" applyAlignment="1">
      <alignment horizontal="center" vertical="center" wrapText="1"/>
    </xf>
    <xf numFmtId="0" fontId="32" fillId="13" borderId="28" xfId="0" applyFont="1" applyFill="1" applyBorder="1" applyAlignment="1">
      <alignment horizontal="center" vertical="center" wrapText="1"/>
    </xf>
    <xf numFmtId="0" fontId="32" fillId="13" borderId="5" xfId="0" applyFont="1" applyFill="1" applyBorder="1" applyAlignment="1">
      <alignment horizontal="center" vertical="center" wrapText="1"/>
    </xf>
    <xf numFmtId="49" fontId="14" fillId="3" borderId="0" xfId="0" applyNumberFormat="1" applyFont="1" applyFill="1" applyAlignment="1">
      <alignment horizontal="center" vertical="center"/>
    </xf>
    <xf numFmtId="49" fontId="14" fillId="3" borderId="0" xfId="0" applyNumberFormat="1" applyFont="1" applyFill="1" applyAlignment="1">
      <alignment horizontal="center"/>
    </xf>
    <xf numFmtId="49" fontId="16" fillId="3" borderId="0" xfId="0" applyNumberFormat="1" applyFont="1" applyFill="1" applyAlignment="1">
      <alignment horizontal="center" vertical="center"/>
    </xf>
    <xf numFmtId="0" fontId="13" fillId="4" borderId="39" xfId="5" applyNumberFormat="1" applyFont="1" applyFill="1" applyBorder="1" applyAlignment="1">
      <alignment horizontal="center" vertical="center" wrapText="1"/>
    </xf>
    <xf numFmtId="49" fontId="16" fillId="3" borderId="53" xfId="0" applyNumberFormat="1" applyFont="1" applyFill="1" applyBorder="1" applyAlignment="1">
      <alignment horizontal="center" vertical="center"/>
    </xf>
    <xf numFmtId="49" fontId="16" fillId="3" borderId="56" xfId="0" applyNumberFormat="1" applyFont="1" applyFill="1" applyBorder="1" applyAlignment="1">
      <alignment horizontal="center" vertical="center"/>
    </xf>
    <xf numFmtId="49" fontId="16" fillId="3" borderId="55" xfId="0" applyNumberFormat="1" applyFont="1" applyFill="1" applyBorder="1" applyAlignment="1">
      <alignment horizontal="center" vertical="center"/>
    </xf>
    <xf numFmtId="0" fontId="88" fillId="0" borderId="0" xfId="0" applyFont="1" applyAlignment="1">
      <alignment horizontal="center" vertical="center" wrapText="1"/>
    </xf>
    <xf numFmtId="0" fontId="13" fillId="9" borderId="39" xfId="5" applyNumberFormat="1" applyFont="1" applyFill="1" applyBorder="1" applyAlignment="1">
      <alignment horizontal="center" vertical="center" wrapText="1"/>
    </xf>
    <xf numFmtId="49" fontId="16" fillId="6" borderId="16" xfId="0" applyNumberFormat="1" applyFont="1" applyFill="1" applyBorder="1" applyAlignment="1">
      <alignment horizontal="center" vertical="center" wrapText="1"/>
    </xf>
    <xf numFmtId="49" fontId="16" fillId="6" borderId="52" xfId="0" applyNumberFormat="1" applyFont="1" applyFill="1" applyBorder="1" applyAlignment="1">
      <alignment horizontal="center" vertical="center" wrapText="1"/>
    </xf>
    <xf numFmtId="0" fontId="16" fillId="30" borderId="39" xfId="5" applyNumberFormat="1" applyFont="1" applyFill="1" applyBorder="1" applyAlignment="1">
      <alignment horizontal="center" vertical="center" wrapText="1"/>
    </xf>
    <xf numFmtId="0" fontId="16" fillId="7" borderId="39" xfId="5" applyNumberFormat="1" applyFont="1" applyFill="1" applyBorder="1" applyAlignment="1">
      <alignment horizontal="center" vertical="center" wrapText="1"/>
    </xf>
    <xf numFmtId="0" fontId="16" fillId="11" borderId="39" xfId="5" applyNumberFormat="1" applyFont="1" applyFill="1" applyBorder="1" applyAlignment="1">
      <alignment horizontal="center" vertical="center" wrapText="1"/>
    </xf>
    <xf numFmtId="0" fontId="75" fillId="0" borderId="1" xfId="0" applyFont="1" applyBorder="1" applyAlignment="1">
      <alignment horizontal="center" vertical="center" wrapText="1"/>
    </xf>
    <xf numFmtId="0" fontId="75" fillId="0" borderId="57" xfId="0" applyFont="1" applyBorder="1" applyAlignment="1">
      <alignment horizontal="center" vertical="center" wrapText="1"/>
    </xf>
    <xf numFmtId="0" fontId="75" fillId="0" borderId="1" xfId="0" applyFont="1" applyFill="1" applyBorder="1" applyAlignment="1">
      <alignment horizontal="center" vertical="center" wrapText="1"/>
    </xf>
    <xf numFmtId="0" fontId="75" fillId="0" borderId="57" xfId="0" applyFont="1" applyFill="1" applyBorder="1" applyAlignment="1">
      <alignment horizontal="center" vertical="center" wrapText="1"/>
    </xf>
    <xf numFmtId="167" fontId="75" fillId="0" borderId="1" xfId="0" applyNumberFormat="1" applyFont="1" applyFill="1" applyBorder="1" applyAlignment="1">
      <alignment horizontal="center" vertical="center" wrapText="1"/>
    </xf>
    <xf numFmtId="167" fontId="75" fillId="0" borderId="57" xfId="0" applyNumberFormat="1" applyFont="1" applyFill="1" applyBorder="1" applyAlignment="1">
      <alignment horizontal="center" vertical="center" wrapText="1"/>
    </xf>
    <xf numFmtId="167" fontId="75" fillId="0" borderId="8" xfId="0" applyNumberFormat="1" applyFont="1" applyFill="1" applyBorder="1" applyAlignment="1">
      <alignment horizontal="center" vertical="center" wrapText="1"/>
    </xf>
    <xf numFmtId="167" fontId="75" fillId="0" borderId="58" xfId="0" applyNumberFormat="1" applyFont="1" applyFill="1" applyBorder="1" applyAlignment="1">
      <alignment horizontal="center" vertical="center" wrapText="1"/>
    </xf>
    <xf numFmtId="0" fontId="75" fillId="0" borderId="8" xfId="0" applyFont="1" applyBorder="1" applyAlignment="1">
      <alignment horizontal="center" vertical="center" wrapText="1"/>
    </xf>
    <xf numFmtId="0" fontId="75" fillId="0" borderId="58" xfId="0" applyFont="1" applyBorder="1" applyAlignment="1">
      <alignment horizontal="center" vertical="center" wrapText="1"/>
    </xf>
    <xf numFmtId="0" fontId="75" fillId="0" borderId="6" xfId="0" applyFont="1" applyBorder="1" applyAlignment="1">
      <alignment horizontal="center" vertical="center" wrapText="1"/>
    </xf>
    <xf numFmtId="0" fontId="75" fillId="0" borderId="5" xfId="0" applyFont="1" applyBorder="1" applyAlignment="1">
      <alignment horizontal="center" vertical="center" wrapText="1"/>
    </xf>
    <xf numFmtId="0" fontId="75" fillId="0" borderId="60" xfId="0" applyFont="1" applyBorder="1" applyAlignment="1">
      <alignment horizontal="center" vertical="center" wrapText="1"/>
    </xf>
    <xf numFmtId="167" fontId="75" fillId="0" borderId="60" xfId="0" applyNumberFormat="1" applyFont="1" applyFill="1" applyBorder="1" applyAlignment="1">
      <alignment horizontal="center" vertical="center" wrapText="1"/>
    </xf>
    <xf numFmtId="0" fontId="75" fillId="0" borderId="20" xfId="0" applyFont="1" applyBorder="1" applyAlignment="1">
      <alignment horizontal="center" vertical="center" wrapText="1"/>
    </xf>
    <xf numFmtId="167" fontId="75" fillId="0" borderId="20" xfId="0" applyNumberFormat="1" applyFont="1" applyFill="1" applyBorder="1" applyAlignment="1">
      <alignment horizontal="center" vertical="center" wrapText="1"/>
    </xf>
    <xf numFmtId="0" fontId="69" fillId="0" borderId="27" xfId="0" applyFont="1" applyBorder="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29" fillId="24" borderId="6" xfId="0" applyFont="1" applyFill="1" applyBorder="1" applyAlignment="1">
      <alignment horizontal="center" vertical="center" wrapText="1"/>
    </xf>
    <xf numFmtId="0" fontId="29" fillId="24" borderId="5" xfId="0" applyFont="1" applyFill="1" applyBorder="1" applyAlignment="1">
      <alignment horizontal="center" vertical="center" wrapText="1"/>
    </xf>
  </cellXfs>
  <cellStyles count="18">
    <cellStyle name="Comma" xfId="5" builtinId="3"/>
    <cellStyle name="Comma [0]" xfId="4" builtinId="6"/>
    <cellStyle name="Comma [0] 2" xfId="9" xr:uid="{00000000-0005-0000-0000-000002000000}"/>
    <cellStyle name="Comma 2" xfId="10" xr:uid="{00000000-0005-0000-0000-000003000000}"/>
    <cellStyle name="Comma 3" xfId="11" xr:uid="{00000000-0005-0000-0000-000004000000}"/>
    <cellStyle name="Comma 4" xfId="12" xr:uid="{00000000-0005-0000-0000-000005000000}"/>
    <cellStyle name="Comma 5" xfId="13" xr:uid="{00000000-0005-0000-0000-000006000000}"/>
    <cellStyle name="Comma 6" xfId="14" xr:uid="{00000000-0005-0000-0000-000007000000}"/>
    <cellStyle name="Comma 7" xfId="15" xr:uid="{00000000-0005-0000-0000-000008000000}"/>
    <cellStyle name="Comma 8" xfId="16" xr:uid="{00000000-0005-0000-0000-000009000000}"/>
    <cellStyle name="Comma 9" xfId="17" xr:uid="{00000000-0005-0000-0000-00000A000000}"/>
    <cellStyle name="Excel Built-in Normal" xfId="6" xr:uid="{00000000-0005-0000-0000-00000B000000}"/>
    <cellStyle name="Excel Built-in Normal 2" xfId="8" xr:uid="{00000000-0005-0000-0000-00000C000000}"/>
    <cellStyle name="Heading 1" xfId="2" builtinId="16" customBuiltin="1"/>
    <cellStyle name="Heading 2" xfId="3" builtinId="17" customBuiltin="1"/>
    <cellStyle name="Normal" xfId="0" builtinId="0" customBuiltin="1"/>
    <cellStyle name="Normal 2" xfId="7" xr:uid="{00000000-0005-0000-0000-000010000000}"/>
    <cellStyle name="Title" xfId="1" builtinId="15" customBuiltin="1"/>
  </cellStyles>
  <dxfs count="186">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strike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center"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0"/>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71" formatCode="_-[$Rp-421]* #,##0_-;\-[$Rp-421]* #,##0_-;_-[$Rp-421]* &quot;-&quot;??_-;_-@_-"/>
      <alignment horizontal="general" vertical="center" textRotation="0" wrapText="1" indent="0" justifyLastLine="0" shrinkToFit="0" readingOrder="0"/>
    </dxf>
    <dxf>
      <font>
        <strike val="0"/>
        <outline val="0"/>
        <shadow val="0"/>
        <u val="none"/>
        <vertAlign val="baseline"/>
        <sz val="12"/>
        <color auto="1"/>
        <name val="Cambria"/>
        <scheme val="major"/>
      </font>
      <numFmt numFmtId="165" formatCode="_-* #,##0_-;\-* #,##0_-;_-* &quot;-&quot;_-;_-@_-"/>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71" formatCode="_-[$Rp-421]* #,##0_-;\-[$Rp-421]* #,##0_-;_-[$Rp-421]* &quot;-&quot;??_-;_-@_-"/>
      <alignment horizontal="general" vertical="center" textRotation="0" wrapText="1" indent="0" justifyLastLine="0" shrinkToFit="0" readingOrder="0"/>
    </dxf>
    <dxf>
      <font>
        <strike val="0"/>
        <outline val="0"/>
        <shadow val="0"/>
        <u val="none"/>
        <vertAlign val="baseline"/>
        <sz val="12"/>
        <color auto="1"/>
        <name val="Cambria"/>
        <scheme val="major"/>
      </font>
      <numFmt numFmtId="171" formatCode="_-[$Rp-421]* #,##0_-;\-[$Rp-421]* #,##0_-;_-[$Rp-421]* &quot;-&quot;??_-;_-@_-"/>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numFmt numFmtId="171" formatCode="_-[$Rp-421]* #,##0_-;\-[$Rp-421]* #,##0_-;_-[$Rp-421]* &quot;-&quot;??_-;_-@_-"/>
      <alignment horizontal="general"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alignment horizontal="left"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strike val="0"/>
        <outline val="0"/>
        <shadow val="0"/>
        <u val="none"/>
        <vertAlign val="baseline"/>
        <sz val="12"/>
        <color auto="1"/>
        <name val="Cambria"/>
        <scheme val="major"/>
      </font>
      <numFmt numFmtId="167" formatCode="[$-421]dd\ mmmm\ yyyy;@"/>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alignment vertical="center" textRotation="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Cambria"/>
        <scheme val="none"/>
      </font>
      <alignment vertical="center" textRotation="0" indent="0" justifyLastLine="0" shrinkToFit="0" readingOrder="0"/>
    </dxf>
    <dxf>
      <border>
        <bottom style="thin">
          <color rgb="FF000000"/>
        </bottom>
      </border>
    </dxf>
    <dxf>
      <font>
        <strike val="0"/>
        <outline val="0"/>
        <shadow val="0"/>
        <u val="none"/>
        <vertAlign val="baseline"/>
        <sz val="16"/>
        <color auto="1"/>
        <name val="Cambria"/>
        <scheme val="maj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strike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center"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0"/>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center" vertical="center" textRotation="0" wrapText="1" indent="0" justifyLastLine="0" shrinkToFit="0" readingOrder="0"/>
    </dxf>
    <dxf>
      <font>
        <strike val="0"/>
        <outline val="0"/>
        <shadow val="0"/>
        <u val="none"/>
        <vertAlign val="baseline"/>
        <sz val="12"/>
        <color auto="1"/>
        <name val="Cambria"/>
        <scheme val="major"/>
      </font>
      <numFmt numFmtId="165" formatCode="_-* #,##0_-;\-* #,##0_-;_-* &quot;-&quot;_-;_-@_-"/>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71" formatCode="_-[$Rp-421]* #,##0_-;\-[$Rp-421]* #,##0_-;_-[$Rp-421]* &quot;-&quot;??_-;_-@_-"/>
      <alignment horizontal="general" vertical="center" textRotation="0" wrapText="1" indent="0" justifyLastLine="0" shrinkToFit="0" readingOrder="0"/>
    </dxf>
    <dxf>
      <font>
        <strike val="0"/>
        <outline val="0"/>
        <shadow val="0"/>
        <u val="none"/>
        <vertAlign val="baseline"/>
        <sz val="12"/>
        <color auto="1"/>
        <name val="Cambria"/>
        <scheme val="major"/>
      </font>
      <numFmt numFmtId="171" formatCode="_-[$Rp-421]* #,##0_-;\-[$Rp-421]* #,##0_-;_-[$Rp-421]* &quot;-&quot;??_-;_-@_-"/>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numFmt numFmtId="171" formatCode="_-[$Rp-421]* #,##0_-;\-[$Rp-421]* #,##0_-;_-[$Rp-421]* &quot;-&quot;??_-;_-@_-"/>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alignment horizontal="left"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strike val="0"/>
        <outline val="0"/>
        <shadow val="0"/>
        <u val="none"/>
        <vertAlign val="baseline"/>
        <sz val="12"/>
        <color auto="1"/>
        <name val="Cambria"/>
        <scheme val="major"/>
      </font>
      <numFmt numFmtId="167" formatCode="[$-421]dd\ mmmm\ yyyy;@"/>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Cambria"/>
        <scheme val="none"/>
      </font>
    </dxf>
    <dxf>
      <border>
        <bottom style="thin">
          <color rgb="FF000000"/>
        </bottom>
      </border>
    </dxf>
    <dxf>
      <font>
        <strike val="0"/>
        <outline val="0"/>
        <shadow val="0"/>
        <u val="none"/>
        <vertAlign val="baseline"/>
        <sz val="16"/>
        <color auto="1"/>
        <name val="Cambria"/>
        <scheme val="major"/>
      </font>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border diagonalUp="0" diagonalDown="0">
        <left style="thin">
          <color indexed="64"/>
        </left>
        <right style="thin">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strike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73"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dxf>
    <dxf>
      <font>
        <strike val="0"/>
        <outline val="0"/>
        <shadow val="0"/>
        <u val="none"/>
        <vertAlign val="baseline"/>
        <sz val="12"/>
        <color auto="1"/>
        <name val="Cambria"/>
        <scheme val="major"/>
      </font>
      <numFmt numFmtId="165" formatCode="_-* #,##0_-;\-* #,##0_-;_-* &quot;-&quot;_-;_-@_-"/>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8" formatCode="&quot;Rp&quot;#,##0"/>
      <alignment horizontal="general" vertical="center" textRotation="0" wrapText="1" indent="0" justifyLastLine="0" shrinkToFit="0" readingOrder="0"/>
    </dxf>
    <dxf>
      <font>
        <strike val="0"/>
        <outline val="0"/>
        <shadow val="0"/>
        <u val="none"/>
        <vertAlign val="baseline"/>
        <sz val="12"/>
        <color auto="1"/>
        <name val="Cambria"/>
        <scheme val="major"/>
      </font>
      <numFmt numFmtId="168" formatCode="&quot;Rp&quot;#,##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mbria"/>
        <scheme val="major"/>
      </font>
      <numFmt numFmtId="168" formatCode="&quot;Rp&quot;#,##0"/>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alignment horizontal="left" vertical="center" textRotation="0" wrapText="1" indent="0" justifyLastLine="0" shrinkToFit="0" readingOrder="0"/>
    </dxf>
    <dxf>
      <font>
        <strike val="0"/>
        <outline val="0"/>
        <shadow val="0"/>
        <u val="none"/>
        <vertAlign val="baseline"/>
        <sz val="12"/>
        <color auto="1"/>
        <name val="Cambria"/>
        <scheme val="major"/>
      </font>
      <numFmt numFmtId="0" formatCode="Genera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alignment horizontal="general" vertical="center" textRotation="0" wrapText="1" indent="0" justifyLastLine="0" shrinkToFit="0" readingOrder="0"/>
    </dxf>
    <dxf>
      <font>
        <strike val="0"/>
        <outline val="0"/>
        <shadow val="0"/>
        <u val="none"/>
        <vertAlign val="baseline"/>
        <sz val="12"/>
        <color auto="1"/>
        <name val="Cambria"/>
        <scheme val="major"/>
      </font>
      <numFmt numFmtId="167" formatCode="[$-421]dd\ mmmm\ yyyy;@"/>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mbria"/>
        <scheme val="major"/>
      </font>
    </dxf>
    <dxf>
      <border>
        <bottom style="thin">
          <color indexed="64"/>
        </bottom>
      </border>
    </dxf>
    <dxf>
      <font>
        <strike val="0"/>
        <outline val="0"/>
        <shadow val="0"/>
        <u val="none"/>
        <vertAlign val="baseline"/>
        <sz val="16"/>
        <color auto="1"/>
        <name val="Cambria"/>
        <scheme val="maj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2"/>
        <color auto="1"/>
        <name val="Cambria"/>
        <scheme val="major"/>
      </font>
      <numFmt numFmtId="0" formatCode="General"/>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173"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5" formatCode="_-* #,##0_-;\-* #,##0_-;_-* &quot;-&quot;_-;_-@_-"/>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8" formatCode="&quot;Rp&quot;#,##0"/>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8" formatCode="&quot;Rp&quot;#,##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8" formatCode="&quot;Rp&quot;#,##0"/>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8" formatCode="&quot;Rp&quot;#,##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7" formatCode="[$-421]dd\ mmmm\ yyyy;@"/>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mbria"/>
        <scheme val="major"/>
      </font>
    </dxf>
    <dxf>
      <border>
        <bottom style="thin">
          <color indexed="64"/>
        </bottom>
      </border>
    </dxf>
    <dxf>
      <font>
        <strike val="0"/>
        <outline val="0"/>
        <shadow val="0"/>
        <u val="none"/>
        <vertAlign val="baseline"/>
        <sz val="12"/>
        <color auto="1"/>
        <name val="Cambria"/>
        <scheme val="maj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border diagonalUp="0" diagonalDown="0" outline="0">
        <left/>
        <right/>
        <top/>
        <bottom/>
      </border>
    </dxf>
    <dxf>
      <font>
        <strike val="0"/>
        <outline val="0"/>
        <shadow val="0"/>
        <u val="none"/>
        <vertAlign val="baseline"/>
        <sz val="12"/>
        <color auto="1"/>
        <name val="Cambria"/>
        <scheme val="major"/>
      </font>
      <numFmt numFmtId="0" formatCode="General"/>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173"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5" formatCode="_-* #,##0_-;\-* #,##0_-;_-* &quot;-&quot;_-;_-@_-"/>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8" formatCode="&quot;Rp&quot;#,##0"/>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8" formatCode="&quot;Rp&quot;#,##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8" formatCode="&quot;Rp&quot;#,##0"/>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8" formatCode="&quot;Rp&quot;#,##0"/>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5" formatCode="_-* #,##0_-;\-* #,##0_-;_-* &quot;-&quot;_-;_-@_-"/>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2"/>
        <color auto="1"/>
        <name val="Cambria"/>
        <scheme val="maj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0" formatCode="Genera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mbria"/>
        <scheme val="major"/>
      </font>
      <numFmt numFmtId="167" formatCode="[$-421]dd\ mmmm\ yy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strike val="0"/>
        <outline val="0"/>
        <shadow val="0"/>
        <u val="none"/>
        <vertAlign val="baseline"/>
        <sz val="12"/>
        <color auto="1"/>
        <name val="Cambria"/>
        <scheme val="major"/>
      </font>
      <numFmt numFmtId="167" formatCode="[$-421]dd\ mmmm\ yyyy;@"/>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Cambria"/>
        <scheme val="none"/>
      </font>
    </dxf>
    <dxf>
      <border>
        <bottom style="thin">
          <color rgb="FF000000"/>
        </bottom>
      </border>
    </dxf>
    <dxf>
      <font>
        <strike val="0"/>
        <outline val="0"/>
        <shadow val="0"/>
        <u val="none"/>
        <vertAlign val="baseline"/>
        <sz val="12"/>
        <color auto="1"/>
        <name val="Cambria"/>
        <scheme val="major"/>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5" tint="0.79998168889431442"/>
          <bgColor theme="5" tint="0.79998168889431442"/>
        </patternFill>
      </fill>
    </dxf>
    <dxf>
      <fill>
        <patternFill patternType="solid">
          <fgColor theme="5" tint="0.79995117038483843"/>
          <bgColor theme="6" tint="0.79998168889431442"/>
        </patternFill>
      </fill>
    </dxf>
    <dxf>
      <font>
        <b/>
        <color theme="1"/>
      </font>
    </dxf>
    <dxf>
      <font>
        <b/>
        <color theme="1"/>
      </font>
    </dxf>
    <dxf>
      <font>
        <b/>
        <color theme="1"/>
      </font>
      <border>
        <top style="double">
          <color theme="5"/>
        </top>
      </border>
    </dxf>
    <dxf>
      <font>
        <b/>
        <color theme="0"/>
      </font>
      <fill>
        <patternFill patternType="solid">
          <fgColor theme="5"/>
          <bgColor theme="5"/>
        </patternFill>
      </fill>
    </dxf>
    <dxf>
      <font>
        <color theme="1"/>
      </font>
      <border>
        <left style="thin">
          <color theme="5" tint="0.39997558519241921"/>
        </left>
        <right style="thin">
          <color theme="5" tint="0.39997558519241921"/>
        </right>
        <top style="thin">
          <color theme="5" tint="0.39997558519241921"/>
        </top>
        <bottom style="thin">
          <color theme="5" tint="0.39997558519241921"/>
        </bottom>
        <horizontal style="thin">
          <color theme="5" tint="0.39997558519241921"/>
        </horizontal>
      </border>
    </dxf>
    <dxf>
      <font>
        <b val="0"/>
        <i val="0"/>
        <color theme="1" tint="0.24994659260841701"/>
      </font>
      <fill>
        <patternFill>
          <bgColor theme="0"/>
        </patternFill>
      </fill>
    </dxf>
    <dxf>
      <font>
        <b val="0"/>
        <i val="0"/>
        <color theme="1" tint="0.24994659260841701"/>
      </font>
      <fill>
        <patternFill>
          <bgColor theme="6" tint="0.79998168889431442"/>
        </patternFill>
      </fill>
      <border diagonalUp="0" diagonalDown="0">
        <left/>
        <right/>
        <top style="thin">
          <color theme="6" tint="0.39994506668294322"/>
        </top>
        <bottom style="thin">
          <color theme="6" tint="0.39994506668294322"/>
        </bottom>
        <vertical/>
        <horizontal/>
      </border>
    </dxf>
    <dxf>
      <font>
        <b/>
        <i val="0"/>
        <color theme="0"/>
      </font>
      <fill>
        <patternFill>
          <bgColor theme="5" tint="-0.24994659260841701"/>
        </patternFill>
      </fill>
      <border diagonalUp="0" diagonalDown="0">
        <left/>
        <right/>
        <top/>
        <bottom/>
        <vertical/>
        <horizontal/>
      </border>
    </dxf>
  </dxfs>
  <tableStyles count="2" defaultTableStyle="Christmas card list" defaultPivotStyle="PivotStyleLight16">
    <tableStyle name="Christmas card list" pivot="0" count="3" xr9:uid="{00000000-0011-0000-FFFF-FFFF00000000}">
      <tableStyleElement type="headerRow" dxfId="185"/>
      <tableStyleElement type="firstRowStripe" dxfId="184"/>
      <tableStyleElement type="secondRowStripe" dxfId="183"/>
    </tableStyle>
    <tableStyle name="List" pivot="0" count="7" xr9:uid="{00000000-0011-0000-FFFF-FFFF01000000}">
      <tableStyleElement type="wholeTable" dxfId="182"/>
      <tableStyleElement type="headerRow" dxfId="181"/>
      <tableStyleElement type="totalRow" dxfId="180"/>
      <tableStyleElement type="firstColumn" dxfId="179"/>
      <tableStyleElement type="lastColumn" dxfId="178"/>
      <tableStyleElement type="firstRowStripe" dxfId="177"/>
      <tableStyleElement type="firstColumnStripe" dxfId="17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A7C5C4"/>
      <rgbColor rgb="00F9F4E3"/>
      <rgbColor rgb="00535C9B"/>
      <rgbColor rgb="00F5D28B"/>
      <rgbColor rgb="00D6864A"/>
      <rgbColor rgb="00CCCCFF"/>
      <rgbColor rgb="00000080"/>
      <rgbColor rgb="00D0E6E3"/>
      <rgbColor rgb="00FFFF00"/>
      <rgbColor rgb="0000FFFF"/>
      <rgbColor rgb="00800080"/>
      <rgbColor rgb="00800000"/>
      <rgbColor rgb="00008080"/>
      <rgbColor rgb="000000FF"/>
      <rgbColor rgb="0000CCFF"/>
      <rgbColor rgb="00CCFFFF"/>
      <rgbColor rgb="00EAEAEA"/>
      <rgbColor rgb="00FFFF99"/>
      <rgbColor rgb="0099CCFF"/>
      <rgbColor rgb="00FF99CC"/>
      <rgbColor rgb="00CC99FF"/>
      <rgbColor rgb="00FFCC99"/>
      <rgbColor rgb="003366FF"/>
      <rgbColor rgb="0033CCCC"/>
      <rgbColor rgb="0099CC00"/>
      <rgbColor rgb="00FFCC00"/>
      <rgbColor rgb="00FF9900"/>
      <rgbColor rgb="00FF6600"/>
      <rgbColor rgb="00755290"/>
      <rgbColor rgb="00969696"/>
      <rgbColor rgb="00003366"/>
      <rgbColor rgb="00339966"/>
      <rgbColor rgb="00003300"/>
      <rgbColor rgb="00333300"/>
      <rgbColor rgb="00993300"/>
      <rgbColor rgb="00993366"/>
      <rgbColor rgb="00333399"/>
      <rgbColor rgb="00333333"/>
    </indexedColors>
    <mruColors>
      <color rgb="FFC5E4ED"/>
      <color rgb="FFB0DAE6"/>
      <color rgb="FFFEECDE"/>
      <color rgb="FFA5D6E3"/>
      <color rgb="FFEAF0F6"/>
      <color rgb="FFFDDFC7"/>
      <color rgb="FF9FD3E1"/>
      <color rgb="FF8AC9DA"/>
      <color rgb="FFEFD2D1"/>
      <color rgb="FFFCD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Bantuan Disalurkan </a:t>
            </a:r>
          </a:p>
          <a:p>
            <a:pPr>
              <a:defRPr sz="1400" b="0" i="0" u="none" strike="noStrike" kern="1200" cap="none" spc="20" baseline="0">
                <a:solidFill>
                  <a:schemeClr val="tx1">
                    <a:lumMod val="50000"/>
                    <a:lumOff val="50000"/>
                  </a:schemeClr>
                </a:solidFill>
                <a:latin typeface="+mn-lt"/>
                <a:ea typeface="+mn-ea"/>
                <a:cs typeface="+mn-cs"/>
              </a:defRPr>
            </a:pPr>
            <a:r>
              <a:rPr lang="id-ID"/>
              <a:t>2020-202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Yearly!$C$2</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Yearly!$B$3:$B$14</c:f>
              <c:strCache>
                <c:ptCount val="12"/>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strCache>
            </c:strRef>
          </c:cat>
          <c:val>
            <c:numRef>
              <c:f>Yearly!$C$3:$C$14</c:f>
              <c:numCache>
                <c:formatCode>_-* #,##0_-;\-* #,##0_-;_-* "-"_-;_-@_-</c:formatCode>
                <c:ptCount val="12"/>
                <c:pt idx="0">
                  <c:v>0</c:v>
                </c:pt>
                <c:pt idx="1">
                  <c:v>0</c:v>
                </c:pt>
                <c:pt idx="2">
                  <c:v>0</c:v>
                </c:pt>
                <c:pt idx="3">
                  <c:v>0</c:v>
                </c:pt>
                <c:pt idx="4">
                  <c:v>0</c:v>
                </c:pt>
                <c:pt idx="5">
                  <c:v>0</c:v>
                </c:pt>
                <c:pt idx="6">
                  <c:v>0</c:v>
                </c:pt>
                <c:pt idx="7">
                  <c:v>62800000</c:v>
                </c:pt>
                <c:pt idx="8">
                  <c:v>13187300</c:v>
                </c:pt>
                <c:pt idx="9">
                  <c:v>104017491</c:v>
                </c:pt>
                <c:pt idx="10">
                  <c:v>240958000</c:v>
                </c:pt>
                <c:pt idx="11">
                  <c:v>150996360</c:v>
                </c:pt>
              </c:numCache>
            </c:numRef>
          </c:val>
          <c:extLst>
            <c:ext xmlns:c16="http://schemas.microsoft.com/office/drawing/2014/chart" uri="{C3380CC4-5D6E-409C-BE32-E72D297353CC}">
              <c16:uniqueId val="{00000000-47B1-47BD-AF70-6AE66578C2A2}"/>
            </c:ext>
          </c:extLst>
        </c:ser>
        <c:ser>
          <c:idx val="1"/>
          <c:order val="1"/>
          <c:tx>
            <c:strRef>
              <c:f>Yearly!$D$2</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Yearly!$B$3:$B$14</c:f>
              <c:strCache>
                <c:ptCount val="12"/>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strCache>
            </c:strRef>
          </c:cat>
          <c:val>
            <c:numRef>
              <c:f>Yearly!$D$3:$D$14</c:f>
              <c:numCache>
                <c:formatCode>_-* #,##0_-;\-* #,##0_-;_-* "-"_-;_-@_-</c:formatCode>
                <c:ptCount val="12"/>
                <c:pt idx="0">
                  <c:v>27748259</c:v>
                </c:pt>
                <c:pt idx="1">
                  <c:v>11721990</c:v>
                </c:pt>
                <c:pt idx="2">
                  <c:v>47635735</c:v>
                </c:pt>
                <c:pt idx="3">
                  <c:v>0</c:v>
                </c:pt>
                <c:pt idx="4">
                  <c:v>13500000</c:v>
                </c:pt>
                <c:pt idx="5">
                  <c:v>19453000</c:v>
                </c:pt>
                <c:pt idx="6">
                  <c:v>16245000</c:v>
                </c:pt>
                <c:pt idx="7">
                  <c:v>61515500</c:v>
                </c:pt>
                <c:pt idx="8">
                  <c:v>266962000</c:v>
                </c:pt>
                <c:pt idx="9">
                  <c:v>32500028</c:v>
                </c:pt>
                <c:pt idx="10">
                  <c:v>350314500</c:v>
                </c:pt>
                <c:pt idx="11">
                  <c:v>123910000</c:v>
                </c:pt>
              </c:numCache>
            </c:numRef>
          </c:val>
          <c:extLst>
            <c:ext xmlns:c16="http://schemas.microsoft.com/office/drawing/2014/chart" uri="{C3380CC4-5D6E-409C-BE32-E72D297353CC}">
              <c16:uniqueId val="{00000001-47B1-47BD-AF70-6AE66578C2A2}"/>
            </c:ext>
          </c:extLst>
        </c:ser>
        <c:ser>
          <c:idx val="2"/>
          <c:order val="2"/>
          <c:tx>
            <c:strRef>
              <c:f>Yearly!$E$2</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Yearly!$B$3:$B$14</c:f>
              <c:strCache>
                <c:ptCount val="12"/>
                <c:pt idx="0">
                  <c:v>Januari</c:v>
                </c:pt>
                <c:pt idx="1">
                  <c:v>Februari</c:v>
                </c:pt>
                <c:pt idx="2">
                  <c:v>Maret</c:v>
                </c:pt>
                <c:pt idx="3">
                  <c:v>April</c:v>
                </c:pt>
                <c:pt idx="4">
                  <c:v>Mei</c:v>
                </c:pt>
                <c:pt idx="5">
                  <c:v>Juni</c:v>
                </c:pt>
                <c:pt idx="6">
                  <c:v>Juli</c:v>
                </c:pt>
                <c:pt idx="7">
                  <c:v>Agustus</c:v>
                </c:pt>
                <c:pt idx="8">
                  <c:v>September</c:v>
                </c:pt>
                <c:pt idx="9">
                  <c:v>Oktober</c:v>
                </c:pt>
                <c:pt idx="10">
                  <c:v>November</c:v>
                </c:pt>
                <c:pt idx="11">
                  <c:v>Desember</c:v>
                </c:pt>
              </c:strCache>
            </c:strRef>
          </c:cat>
          <c:val>
            <c:numRef>
              <c:f>Yearly!$E$3:$E$14</c:f>
              <c:numCache>
                <c:formatCode>_-* #,##0_-;\-* #,##0_-;_-* "-"_-;_-@_-</c:formatCode>
                <c:ptCount val="12"/>
                <c:pt idx="0">
                  <c:v>186270000</c:v>
                </c:pt>
                <c:pt idx="1">
                  <c:v>142518200</c:v>
                </c:pt>
                <c:pt idx="2">
                  <c:v>128022400</c:v>
                </c:pt>
                <c:pt idx="3">
                  <c:v>277730424</c:v>
                </c:pt>
                <c:pt idx="4">
                  <c:v>137580254</c:v>
                </c:pt>
                <c:pt idx="5">
                  <c:v>193676200</c:v>
                </c:pt>
                <c:pt idx="6">
                  <c:v>153000000</c:v>
                </c:pt>
                <c:pt idx="7">
                  <c:v>306140823</c:v>
                </c:pt>
                <c:pt idx="8">
                  <c:v>167926242</c:v>
                </c:pt>
                <c:pt idx="9">
                  <c:v>222099000</c:v>
                </c:pt>
                <c:pt idx="10">
                  <c:v>688385100</c:v>
                </c:pt>
                <c:pt idx="11">
                  <c:v>770723441</c:v>
                </c:pt>
              </c:numCache>
            </c:numRef>
          </c:val>
          <c:extLst>
            <c:ext xmlns:c16="http://schemas.microsoft.com/office/drawing/2014/chart" uri="{C3380CC4-5D6E-409C-BE32-E72D297353CC}">
              <c16:uniqueId val="{00000002-3FDB-4E18-916B-E68A20B6E9BB}"/>
            </c:ext>
          </c:extLst>
        </c:ser>
        <c:ser>
          <c:idx val="3"/>
          <c:order val="3"/>
          <c:tx>
            <c:strRef>
              <c:f>Yearly!$F$2</c:f>
              <c:strCache>
                <c:ptCount val="1"/>
                <c:pt idx="0">
                  <c:v>2022</c:v>
                </c:pt>
              </c:strCache>
            </c:strRef>
          </c:tx>
          <c:invertIfNegative val="0"/>
          <c:val>
            <c:numRef>
              <c:f>Yearly!$F$3:$F$14</c:f>
              <c:numCache>
                <c:formatCode>_-* #,##0_-;\-* #,##0_-;_-* "-"_-;_-@_-</c:formatCode>
                <c:ptCount val="12"/>
                <c:pt idx="0">
                  <c:v>510869600</c:v>
                </c:pt>
                <c:pt idx="1">
                  <c:v>224260000</c:v>
                </c:pt>
                <c:pt idx="2">
                  <c:v>610246124</c:v>
                </c:pt>
                <c:pt idx="3">
                  <c:v>446734403</c:v>
                </c:pt>
                <c:pt idx="4">
                  <c:v>472015900</c:v>
                </c:pt>
                <c:pt idx="5">
                  <c:v>343177200</c:v>
                </c:pt>
                <c:pt idx="6">
                  <c:v>342237610</c:v>
                </c:pt>
                <c:pt idx="7">
                  <c:v>592391860</c:v>
                </c:pt>
                <c:pt idx="8">
                  <c:v>457082940</c:v>
                </c:pt>
                <c:pt idx="9">
                  <c:v>382862770</c:v>
                </c:pt>
                <c:pt idx="10">
                  <c:v>514636770</c:v>
                </c:pt>
                <c:pt idx="11">
                  <c:v>670754670.46999991</c:v>
                </c:pt>
              </c:numCache>
            </c:numRef>
          </c:val>
          <c:extLst>
            <c:ext xmlns:c16="http://schemas.microsoft.com/office/drawing/2014/chart" uri="{C3380CC4-5D6E-409C-BE32-E72D297353CC}">
              <c16:uniqueId val="{00000000-968F-45A4-93A0-103E5C455DC2}"/>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Bantuan Disalurkan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Kategori '!$C$4</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'Per Kategori '!$B$5:$B$16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f>'Per Kategori '!$C$5:$C$16</c:f>
              <c:numCache>
                <c:formatCode>_-* #,##0_-;\-* #,##0_-;_-* "-"_-;_-@_-</c:formatCode>
                <c:ptCount val="12"/>
                <c:pt idx="0">
                  <c:v>254244000</c:v>
                </c:pt>
                <c:pt idx="1">
                  <c:v>45500000</c:v>
                </c:pt>
                <c:pt idx="2">
                  <c:v>0</c:v>
                </c:pt>
                <c:pt idx="3">
                  <c:v>1800000</c:v>
                </c:pt>
                <c:pt idx="4">
                  <c:v>0</c:v>
                </c:pt>
                <c:pt idx="5">
                  <c:v>0</c:v>
                </c:pt>
                <c:pt idx="6">
                  <c:v>95258041</c:v>
                </c:pt>
                <c:pt idx="7">
                  <c:v>175157110</c:v>
                </c:pt>
              </c:numCache>
            </c:numRef>
          </c:val>
          <c:extLst>
            <c:ext xmlns:c16="http://schemas.microsoft.com/office/drawing/2014/chart" uri="{C3380CC4-5D6E-409C-BE32-E72D297353CC}">
              <c16:uniqueId val="{00000000-F812-448B-BBAC-1D7605B16431}"/>
            </c:ext>
          </c:extLst>
        </c:ser>
        <c:ser>
          <c:idx val="1"/>
          <c:order val="1"/>
          <c:tx>
            <c:strRef>
              <c:f>'Per Kategori '!$D$4</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'Per Kategori '!$B$5:$B$16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f>'Per Kategori '!$D$5:$D$16</c:f>
              <c:numCache>
                <c:formatCode>_-* #,##0_-;\-* #,##0_-;_-* "-"_-;_-@_-</c:formatCode>
                <c:ptCount val="12"/>
                <c:pt idx="0">
                  <c:v>476857998</c:v>
                </c:pt>
                <c:pt idx="1">
                  <c:v>204876000</c:v>
                </c:pt>
                <c:pt idx="2">
                  <c:v>96880000</c:v>
                </c:pt>
                <c:pt idx="3">
                  <c:v>1440737</c:v>
                </c:pt>
                <c:pt idx="4">
                  <c:v>30000000</c:v>
                </c:pt>
                <c:pt idx="5">
                  <c:v>72075028</c:v>
                </c:pt>
                <c:pt idx="6">
                  <c:v>20000000</c:v>
                </c:pt>
                <c:pt idx="7">
                  <c:v>69376249</c:v>
                </c:pt>
              </c:numCache>
            </c:numRef>
          </c:val>
          <c:extLst>
            <c:ext xmlns:c16="http://schemas.microsoft.com/office/drawing/2014/chart" uri="{C3380CC4-5D6E-409C-BE32-E72D297353CC}">
              <c16:uniqueId val="{00000001-F812-448B-BBAC-1D7605B16431}"/>
            </c:ext>
          </c:extLst>
        </c:ser>
        <c:ser>
          <c:idx val="2"/>
          <c:order val="2"/>
          <c:tx>
            <c:strRef>
              <c:f>'Per Kategori '!$E$4</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'Per Kategori '!$B$5:$B$16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f>'Per Kategori '!$E$5:$E$16</c:f>
              <c:numCache>
                <c:formatCode>_-* #,##0_-;\-* #,##0_-;_-* "-"_-;_-@_-</c:formatCode>
                <c:ptCount val="12"/>
                <c:pt idx="0">
                  <c:v>371324000</c:v>
                </c:pt>
                <c:pt idx="1">
                  <c:v>1511462495</c:v>
                </c:pt>
                <c:pt idx="2">
                  <c:v>281445000</c:v>
                </c:pt>
                <c:pt idx="3">
                  <c:v>2750000</c:v>
                </c:pt>
                <c:pt idx="4">
                  <c:v>542500000</c:v>
                </c:pt>
                <c:pt idx="5">
                  <c:v>508488847</c:v>
                </c:pt>
                <c:pt idx="6">
                  <c:v>6268542</c:v>
                </c:pt>
                <c:pt idx="7">
                  <c:v>149833200</c:v>
                </c:pt>
              </c:numCache>
            </c:numRef>
          </c:val>
          <c:extLst>
            <c:ext xmlns:c16="http://schemas.microsoft.com/office/drawing/2014/chart" uri="{C3380CC4-5D6E-409C-BE32-E72D297353CC}">
              <c16:uniqueId val="{00000002-F812-448B-BBAC-1D7605B16431}"/>
            </c:ext>
          </c:extLst>
        </c:ser>
        <c:ser>
          <c:idx val="3"/>
          <c:order val="3"/>
          <c:tx>
            <c:strRef>
              <c:f>'Per Kategori '!$F$4</c:f>
              <c:strCache>
                <c:ptCount val="1"/>
                <c:pt idx="0">
                  <c:v>2022</c:v>
                </c:pt>
              </c:strCache>
            </c:strRef>
          </c:tx>
          <c:invertIfNegative val="0"/>
          <c:val>
            <c:numRef>
              <c:f>'Per Kategori '!$F$5:$F$16</c:f>
              <c:numCache>
                <c:formatCode>_-* #,##0_-;\-* #,##0_-;_-* "-"_-;_-@_-</c:formatCode>
                <c:ptCount val="12"/>
                <c:pt idx="0">
                  <c:v>416489950</c:v>
                </c:pt>
                <c:pt idx="1">
                  <c:v>2624226223.4699998</c:v>
                </c:pt>
                <c:pt idx="2">
                  <c:v>467315000</c:v>
                </c:pt>
                <c:pt idx="3">
                  <c:v>2325000</c:v>
                </c:pt>
                <c:pt idx="4">
                  <c:v>883114000</c:v>
                </c:pt>
                <c:pt idx="5">
                  <c:v>517898324</c:v>
                </c:pt>
                <c:pt idx="6">
                  <c:v>234437850</c:v>
                </c:pt>
                <c:pt idx="7">
                  <c:v>421463500</c:v>
                </c:pt>
              </c:numCache>
            </c:numRef>
          </c:val>
          <c:extLst>
            <c:ext xmlns:c16="http://schemas.microsoft.com/office/drawing/2014/chart" uri="{C3380CC4-5D6E-409C-BE32-E72D297353CC}">
              <c16:uniqueId val="{00000000-C38F-42CD-89A8-CD49C53427A7}"/>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anak</a:t>
            </a:r>
            <a:r>
              <a:rPr lang="id-ID" baseline="0"/>
              <a:t> yang menerima bantua</a:t>
            </a:r>
            <a:r>
              <a:rPr lang="id-ID"/>
              <a:t>n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anak'!$D$4</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Kategori '!$B$5:$B$16</c15:sqref>
                  </c15:fullRef>
                </c:ext>
              </c:extLst>
              <c:f>('Per Kategori '!$B$5:$B$12,'Per Kategori '!$B$14:$B$16)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extLst>
                <c:ext xmlns:c15="http://schemas.microsoft.com/office/drawing/2012/chart" uri="{02D57815-91ED-43cb-92C2-25804820EDAC}">
                  <c15:fullRef>
                    <c15:sqref>'Per anak'!$D$5:$D$13</c15:sqref>
                  </c15:fullRef>
                </c:ext>
              </c:extLst>
              <c:f>'Per anak'!$D$5:$D$12</c:f>
              <c:numCache>
                <c:formatCode>_-* #,##0_-;\-* #,##0_-;_-* "-"_-;_-@_-</c:formatCode>
                <c:ptCount val="8"/>
                <c:pt idx="0">
                  <c:v>284</c:v>
                </c:pt>
                <c:pt idx="1">
                  <c:v>149</c:v>
                </c:pt>
                <c:pt idx="2">
                  <c:v>0</c:v>
                </c:pt>
                <c:pt idx="3">
                  <c:v>2</c:v>
                </c:pt>
                <c:pt idx="4">
                  <c:v>0</c:v>
                </c:pt>
                <c:pt idx="5">
                  <c:v>32</c:v>
                </c:pt>
                <c:pt idx="6">
                  <c:v>0</c:v>
                </c:pt>
                <c:pt idx="7">
                  <c:v>0</c:v>
                </c:pt>
              </c:numCache>
            </c:numRef>
          </c:val>
          <c:extLst>
            <c:ext xmlns:c16="http://schemas.microsoft.com/office/drawing/2014/chart" uri="{C3380CC4-5D6E-409C-BE32-E72D297353CC}">
              <c16:uniqueId val="{00000000-F65B-4E93-B2B4-B978D928A528}"/>
            </c:ext>
          </c:extLst>
        </c:ser>
        <c:ser>
          <c:idx val="1"/>
          <c:order val="1"/>
          <c:tx>
            <c:strRef>
              <c:f>'Per anak'!$E$4</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Kategori '!$B$5:$B$16</c15:sqref>
                  </c15:fullRef>
                </c:ext>
              </c:extLst>
              <c:f>('Per Kategori '!$B$5:$B$12,'Per Kategori '!$B$14:$B$16)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extLst>
                <c:ext xmlns:c15="http://schemas.microsoft.com/office/drawing/2012/chart" uri="{02D57815-91ED-43cb-92C2-25804820EDAC}">
                  <c15:fullRef>
                    <c15:sqref>'Per anak'!$E$5:$E$13</c15:sqref>
                  </c15:fullRef>
                </c:ext>
              </c:extLst>
              <c:f>'Per anak'!$E$5:$E$12</c:f>
              <c:numCache>
                <c:formatCode>_-* #,##0_-;\-* #,##0_-;_-* "-"_-;_-@_-</c:formatCode>
                <c:ptCount val="8"/>
                <c:pt idx="0">
                  <c:v>368</c:v>
                </c:pt>
                <c:pt idx="1">
                  <c:v>552</c:v>
                </c:pt>
                <c:pt idx="2">
                  <c:v>6</c:v>
                </c:pt>
                <c:pt idx="3">
                  <c:v>1</c:v>
                </c:pt>
                <c:pt idx="4">
                  <c:v>6</c:v>
                </c:pt>
                <c:pt idx="5">
                  <c:v>68</c:v>
                </c:pt>
                <c:pt idx="6">
                  <c:v>1</c:v>
                </c:pt>
                <c:pt idx="7">
                  <c:v>0</c:v>
                </c:pt>
              </c:numCache>
            </c:numRef>
          </c:val>
          <c:extLst>
            <c:ext xmlns:c16="http://schemas.microsoft.com/office/drawing/2014/chart" uri="{C3380CC4-5D6E-409C-BE32-E72D297353CC}">
              <c16:uniqueId val="{00000001-F65B-4E93-B2B4-B978D928A528}"/>
            </c:ext>
          </c:extLst>
        </c:ser>
        <c:ser>
          <c:idx val="2"/>
          <c:order val="2"/>
          <c:tx>
            <c:strRef>
              <c:f>'Per anak'!$F$4</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Kategori '!$B$5:$B$16</c15:sqref>
                  </c15:fullRef>
                </c:ext>
              </c:extLst>
              <c:f>('Per Kategori '!$B$5:$B$12,'Per Kategori '!$B$14:$B$16)</c:f>
              <c:strCache>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strCache>
            </c:strRef>
          </c:cat>
          <c:val>
            <c:numRef>
              <c:extLst>
                <c:ext xmlns:c15="http://schemas.microsoft.com/office/drawing/2012/chart" uri="{02D57815-91ED-43cb-92C2-25804820EDAC}">
                  <c15:fullRef>
                    <c15:sqref>'Per anak'!$F$5:$F$13</c15:sqref>
                  </c15:fullRef>
                </c:ext>
              </c:extLst>
              <c:f>'Per anak'!$F$5:$F$12</c:f>
              <c:numCache>
                <c:formatCode>_-* #,##0_-;\-* #,##0_-;_-* "-"_-;_-@_-</c:formatCode>
                <c:ptCount val="8"/>
                <c:pt idx="0">
                  <c:v>288</c:v>
                </c:pt>
                <c:pt idx="1">
                  <c:v>2408</c:v>
                </c:pt>
                <c:pt idx="2">
                  <c:v>66</c:v>
                </c:pt>
                <c:pt idx="3">
                  <c:v>5</c:v>
                </c:pt>
                <c:pt idx="4">
                  <c:v>398</c:v>
                </c:pt>
                <c:pt idx="5">
                  <c:v>109</c:v>
                </c:pt>
                <c:pt idx="6">
                  <c:v>0</c:v>
                </c:pt>
                <c:pt idx="7">
                  <c:v>0</c:v>
                </c:pt>
              </c:numCache>
            </c:numRef>
          </c:val>
          <c:extLst>
            <c:ext xmlns:c16="http://schemas.microsoft.com/office/drawing/2014/chart" uri="{C3380CC4-5D6E-409C-BE32-E72D297353CC}">
              <c16:uniqueId val="{00000002-F65B-4E93-B2B4-B978D928A528}"/>
            </c:ext>
          </c:extLst>
        </c:ser>
        <c:ser>
          <c:idx val="3"/>
          <c:order val="3"/>
          <c:tx>
            <c:strRef>
              <c:f>'Per anak'!$G$4</c:f>
              <c:strCache>
                <c:ptCount val="1"/>
                <c:pt idx="0">
                  <c:v>2022</c:v>
                </c:pt>
              </c:strCache>
            </c:strRef>
          </c:tx>
          <c:invertIfNegative val="0"/>
          <c:cat>
            <c:strLit>
              <c:ptCount val="8"/>
              <c:pt idx="0">
                <c:v>Bantuan Anak Asuh</c:v>
              </c:pt>
              <c:pt idx="1">
                <c:v>Panti Asuhan / Jompo</c:v>
              </c:pt>
              <c:pt idx="2">
                <c:v>Bantuan Renovasi Gereja</c:v>
              </c:pt>
              <c:pt idx="3">
                <c:v>Sumbangan Duka</c:v>
              </c:pt>
              <c:pt idx="4">
                <c:v>Donasi Pendidikan Seminari</c:v>
              </c:pt>
              <c:pt idx="5">
                <c:v>Donasi Lainnya</c:v>
              </c:pt>
              <c:pt idx="6">
                <c:v>Internal YKP</c:v>
              </c:pt>
              <c:pt idx="7">
                <c:v>PD PAMA</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'Per anak'!$G$5:$G$13</c15:sqref>
                  </c15:fullRef>
                </c:ext>
              </c:extLst>
              <c:f>'Per anak'!$G$5:$G$12</c:f>
              <c:numCache>
                <c:formatCode>_-* #,##0_-;\-* #,##0_-;_-* "-"_-;_-@_-</c:formatCode>
                <c:ptCount val="8"/>
                <c:pt idx="0">
                  <c:v>320</c:v>
                </c:pt>
                <c:pt idx="1">
                  <c:v>2395</c:v>
                </c:pt>
                <c:pt idx="2">
                  <c:v>7</c:v>
                </c:pt>
                <c:pt idx="3">
                  <c:v>2</c:v>
                </c:pt>
                <c:pt idx="4">
                  <c:v>391</c:v>
                </c:pt>
                <c:pt idx="5">
                  <c:v>74</c:v>
                </c:pt>
                <c:pt idx="6">
                  <c:v>1</c:v>
                </c:pt>
                <c:pt idx="7">
                  <c:v>0</c:v>
                </c:pt>
              </c:numCache>
            </c:numRef>
          </c:val>
          <c:extLst>
            <c:ext xmlns:c16="http://schemas.microsoft.com/office/drawing/2014/chart" uri="{C3380CC4-5D6E-409C-BE32-E72D297353CC}">
              <c16:uniqueId val="{00000003-F65B-4E93-B2B4-B978D928A528}"/>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Anak</a:t>
            </a:r>
            <a:r>
              <a:rPr lang="id-ID" baseline="0"/>
              <a:t> Asuh yang menerima bantuan</a:t>
            </a:r>
            <a:r>
              <a:rPr lang="id-ID"/>
              <a:t>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manualLayout>
          <c:layoutTarget val="inner"/>
          <c:xMode val="edge"/>
          <c:yMode val="edge"/>
          <c:x val="6.2069659437765524E-2"/>
          <c:y val="0.19955801104972376"/>
          <c:w val="0.92313607549501819"/>
          <c:h val="0.63074259363988339"/>
        </c:manualLayout>
      </c:layout>
      <c:barChart>
        <c:barDir val="col"/>
        <c:grouping val="clustered"/>
        <c:varyColors val="0"/>
        <c:ser>
          <c:idx val="0"/>
          <c:order val="0"/>
          <c:tx>
            <c:strRef>
              <c:f>'Per anak'!$D$28</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anak'!$C$29:$C$49</c15:sqref>
                  </c15:fullRef>
                </c:ext>
              </c:extLst>
              <c:f>'Per anak'!$C$29:$C$36</c:f>
              <c:strCache>
                <c:ptCount val="8"/>
                <c:pt idx="0">
                  <c:v>BRCB</c:v>
                </c:pt>
                <c:pt idx="1">
                  <c:v>ABKL</c:v>
                </c:pt>
                <c:pt idx="2">
                  <c:v>JIEP</c:v>
                </c:pt>
                <c:pt idx="3">
                  <c:v>INDO</c:v>
                </c:pt>
                <c:pt idx="4">
                  <c:v>BBSO</c:v>
                </c:pt>
                <c:pt idx="5">
                  <c:v>SMMS</c:v>
                </c:pt>
                <c:pt idx="6">
                  <c:v>KIDE</c:v>
                </c:pt>
                <c:pt idx="7">
                  <c:v>MTBU</c:v>
                </c:pt>
              </c:strCache>
            </c:strRef>
          </c:cat>
          <c:val>
            <c:numRef>
              <c:extLst>
                <c:ext xmlns:c15="http://schemas.microsoft.com/office/drawing/2012/chart" uri="{02D57815-91ED-43cb-92C2-25804820EDAC}">
                  <c15:fullRef>
                    <c15:sqref>'Per anak'!$D$29:$D$50</c15:sqref>
                  </c15:fullRef>
                </c:ext>
              </c:extLst>
              <c:f>'Per anak'!$D$29:$D$36</c:f>
              <c:numCache>
                <c:formatCode>General</c:formatCode>
                <c:ptCount val="8"/>
                <c:pt idx="0">
                  <c:v>0</c:v>
                </c:pt>
                <c:pt idx="1">
                  <c:v>29</c:v>
                </c:pt>
                <c:pt idx="2">
                  <c:v>12</c:v>
                </c:pt>
                <c:pt idx="3">
                  <c:v>32</c:v>
                </c:pt>
                <c:pt idx="4">
                  <c:v>67</c:v>
                </c:pt>
                <c:pt idx="5">
                  <c:v>37</c:v>
                </c:pt>
                <c:pt idx="6">
                  <c:v>10</c:v>
                </c:pt>
                <c:pt idx="7">
                  <c:v>0</c:v>
                </c:pt>
              </c:numCache>
            </c:numRef>
          </c:val>
          <c:extLst>
            <c:ext xmlns:c16="http://schemas.microsoft.com/office/drawing/2014/chart" uri="{C3380CC4-5D6E-409C-BE32-E72D297353CC}">
              <c16:uniqueId val="{00000000-D231-4244-8B99-4A545081445B}"/>
            </c:ext>
          </c:extLst>
        </c:ser>
        <c:ser>
          <c:idx val="1"/>
          <c:order val="1"/>
          <c:tx>
            <c:strRef>
              <c:f>'Per anak'!$E$28</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anak'!$C$29:$C$49</c15:sqref>
                  </c15:fullRef>
                </c:ext>
              </c:extLst>
              <c:f>'Per anak'!$C$29:$C$36</c:f>
              <c:strCache>
                <c:ptCount val="8"/>
                <c:pt idx="0">
                  <c:v>BRCB</c:v>
                </c:pt>
                <c:pt idx="1">
                  <c:v>ABKL</c:v>
                </c:pt>
                <c:pt idx="2">
                  <c:v>JIEP</c:v>
                </c:pt>
                <c:pt idx="3">
                  <c:v>INDO</c:v>
                </c:pt>
                <c:pt idx="4">
                  <c:v>BBSO</c:v>
                </c:pt>
                <c:pt idx="5">
                  <c:v>SMMS</c:v>
                </c:pt>
                <c:pt idx="6">
                  <c:v>KIDE</c:v>
                </c:pt>
                <c:pt idx="7">
                  <c:v>MTBU</c:v>
                </c:pt>
              </c:strCache>
            </c:strRef>
          </c:cat>
          <c:val>
            <c:numRef>
              <c:extLst>
                <c:ext xmlns:c15="http://schemas.microsoft.com/office/drawing/2012/chart" uri="{02D57815-91ED-43cb-92C2-25804820EDAC}">
                  <c15:fullRef>
                    <c15:sqref>'Per anak'!$E$29:$E$50</c15:sqref>
                  </c15:fullRef>
                </c:ext>
              </c:extLst>
              <c:f>'Per anak'!$E$29:$E$36</c:f>
              <c:numCache>
                <c:formatCode>General</c:formatCode>
                <c:ptCount val="8"/>
                <c:pt idx="0">
                  <c:v>8</c:v>
                </c:pt>
                <c:pt idx="1">
                  <c:v>57</c:v>
                </c:pt>
                <c:pt idx="2">
                  <c:v>0</c:v>
                </c:pt>
                <c:pt idx="3">
                  <c:v>0</c:v>
                </c:pt>
                <c:pt idx="4">
                  <c:v>0</c:v>
                </c:pt>
                <c:pt idx="5">
                  <c:v>37</c:v>
                </c:pt>
                <c:pt idx="6">
                  <c:v>15</c:v>
                </c:pt>
                <c:pt idx="7">
                  <c:v>9</c:v>
                </c:pt>
              </c:numCache>
            </c:numRef>
          </c:val>
          <c:extLst>
            <c:ext xmlns:c16="http://schemas.microsoft.com/office/drawing/2014/chart" uri="{C3380CC4-5D6E-409C-BE32-E72D297353CC}">
              <c16:uniqueId val="{00000001-D231-4244-8B99-4A545081445B}"/>
            </c:ext>
          </c:extLst>
        </c:ser>
        <c:ser>
          <c:idx val="2"/>
          <c:order val="2"/>
          <c:tx>
            <c:strRef>
              <c:f>'Per anak'!$F$28</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extLst>
                <c:ext xmlns:c15="http://schemas.microsoft.com/office/drawing/2012/chart" uri="{02D57815-91ED-43cb-92C2-25804820EDAC}">
                  <c15:fullRef>
                    <c15:sqref>'Per anak'!$C$29:$C$49</c15:sqref>
                  </c15:fullRef>
                </c:ext>
              </c:extLst>
              <c:f>'Per anak'!$C$29:$C$36</c:f>
              <c:strCache>
                <c:ptCount val="8"/>
                <c:pt idx="0">
                  <c:v>BRCB</c:v>
                </c:pt>
                <c:pt idx="1">
                  <c:v>ABKL</c:v>
                </c:pt>
                <c:pt idx="2">
                  <c:v>JIEP</c:v>
                </c:pt>
                <c:pt idx="3">
                  <c:v>INDO</c:v>
                </c:pt>
                <c:pt idx="4">
                  <c:v>BBSO</c:v>
                </c:pt>
                <c:pt idx="5">
                  <c:v>SMMS</c:v>
                </c:pt>
                <c:pt idx="6">
                  <c:v>KIDE</c:v>
                </c:pt>
                <c:pt idx="7">
                  <c:v>MTBU</c:v>
                </c:pt>
              </c:strCache>
            </c:strRef>
          </c:cat>
          <c:val>
            <c:numRef>
              <c:extLst>
                <c:ext xmlns:c15="http://schemas.microsoft.com/office/drawing/2012/chart" uri="{02D57815-91ED-43cb-92C2-25804820EDAC}">
                  <c15:fullRef>
                    <c15:sqref>'Per anak'!$F$29:$F$50</c15:sqref>
                  </c15:fullRef>
                </c:ext>
              </c:extLst>
              <c:f>'Per anak'!$F$29:$F$36</c:f>
              <c:numCache>
                <c:formatCode>General</c:formatCode>
                <c:ptCount val="8"/>
                <c:pt idx="0">
                  <c:v>0</c:v>
                </c:pt>
                <c:pt idx="1">
                  <c:v>57</c:v>
                </c:pt>
                <c:pt idx="2">
                  <c:v>12</c:v>
                </c:pt>
                <c:pt idx="3">
                  <c:v>32</c:v>
                </c:pt>
                <c:pt idx="4">
                  <c:v>52</c:v>
                </c:pt>
                <c:pt idx="5">
                  <c:v>0</c:v>
                </c:pt>
                <c:pt idx="6">
                  <c:v>15</c:v>
                </c:pt>
                <c:pt idx="7">
                  <c:v>9</c:v>
                </c:pt>
              </c:numCache>
            </c:numRef>
          </c:val>
          <c:extLst>
            <c:ext xmlns:c16="http://schemas.microsoft.com/office/drawing/2014/chart" uri="{C3380CC4-5D6E-409C-BE32-E72D297353CC}">
              <c16:uniqueId val="{00000002-D231-4244-8B99-4A545081445B}"/>
            </c:ext>
          </c:extLst>
        </c:ser>
        <c:ser>
          <c:idx val="3"/>
          <c:order val="3"/>
          <c:tx>
            <c:strRef>
              <c:f>'Per anak'!$G$28</c:f>
              <c:strCache>
                <c:ptCount val="1"/>
                <c:pt idx="0">
                  <c:v>2022</c:v>
                </c:pt>
              </c:strCache>
            </c:strRef>
          </c:tx>
          <c:invertIfNegative val="0"/>
          <c:cat>
            <c:strRef>
              <c:extLst>
                <c:ext xmlns:c15="http://schemas.microsoft.com/office/drawing/2012/chart" uri="{02D57815-91ED-43cb-92C2-25804820EDAC}">
                  <c15:fullRef>
                    <c15:sqref>'Per anak'!$C$29:$C$49</c15:sqref>
                  </c15:fullRef>
                </c:ext>
              </c:extLst>
              <c:f>'Per anak'!$C$29:$C$36</c:f>
              <c:strCache>
                <c:ptCount val="8"/>
                <c:pt idx="0">
                  <c:v>BRCB</c:v>
                </c:pt>
                <c:pt idx="1">
                  <c:v>ABKL</c:v>
                </c:pt>
                <c:pt idx="2">
                  <c:v>JIEP</c:v>
                </c:pt>
                <c:pt idx="3">
                  <c:v>INDO</c:v>
                </c:pt>
                <c:pt idx="4">
                  <c:v>BBSO</c:v>
                </c:pt>
                <c:pt idx="5">
                  <c:v>SMMS</c:v>
                </c:pt>
                <c:pt idx="6">
                  <c:v>KIDE</c:v>
                </c:pt>
                <c:pt idx="7">
                  <c:v>MTBU</c:v>
                </c:pt>
              </c:strCache>
            </c:strRef>
          </c:cat>
          <c:val>
            <c:numRef>
              <c:extLst>
                <c:ext xmlns:c15="http://schemas.microsoft.com/office/drawing/2012/chart" uri="{02D57815-91ED-43cb-92C2-25804820EDAC}">
                  <c15:fullRef>
                    <c15:sqref>'Per anak'!$G$29:$G$50</c15:sqref>
                  </c15:fullRef>
                </c:ext>
              </c:extLst>
              <c:f>'Per anak'!$G$29:$G$36</c:f>
              <c:numCache>
                <c:formatCode>General</c:formatCode>
                <c:ptCount val="8"/>
                <c:pt idx="0">
                  <c:v>0</c:v>
                </c:pt>
                <c:pt idx="1">
                  <c:v>0</c:v>
                </c:pt>
                <c:pt idx="2">
                  <c:v>12</c:v>
                </c:pt>
                <c:pt idx="3">
                  <c:v>39</c:v>
                </c:pt>
                <c:pt idx="4">
                  <c:v>47</c:v>
                </c:pt>
                <c:pt idx="5">
                  <c:v>37</c:v>
                </c:pt>
                <c:pt idx="6">
                  <c:v>0</c:v>
                </c:pt>
                <c:pt idx="7">
                  <c:v>0</c:v>
                </c:pt>
              </c:numCache>
            </c:numRef>
          </c:val>
          <c:extLst>
            <c:ext xmlns:c16="http://schemas.microsoft.com/office/drawing/2014/chart" uri="{C3380CC4-5D6E-409C-BE32-E72D297353CC}">
              <c16:uniqueId val="{00000003-D231-4244-8B99-4A545081445B}"/>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Anak</a:t>
            </a:r>
            <a:r>
              <a:rPr lang="id-ID" baseline="0"/>
              <a:t> Panti &amp; Yayasan yang menerima bantuan</a:t>
            </a:r>
            <a:r>
              <a:rPr lang="id-ID"/>
              <a:t>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anak'!$D$59</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anak'!$D$60:$D$97</c:f>
              <c:numCache>
                <c:formatCode>General</c:formatCode>
                <c:ptCount val="36"/>
                <c:pt idx="0">
                  <c:v>0</c:v>
                </c:pt>
                <c:pt idx="1">
                  <c:v>16</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109</c:v>
                </c:pt>
                <c:pt idx="34">
                  <c:v>24</c:v>
                </c:pt>
              </c:numCache>
            </c:numRef>
          </c:val>
          <c:extLst>
            <c:ext xmlns:c16="http://schemas.microsoft.com/office/drawing/2014/chart" uri="{C3380CC4-5D6E-409C-BE32-E72D297353CC}">
              <c16:uniqueId val="{00000000-F213-449E-9802-8DBC168F79B9}"/>
            </c:ext>
          </c:extLst>
        </c:ser>
        <c:ser>
          <c:idx val="1"/>
          <c:order val="1"/>
          <c:tx>
            <c:strRef>
              <c:f>'Per anak'!$E$59</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anak'!$E$60:$E$97</c:f>
              <c:numCache>
                <c:formatCode>General</c:formatCode>
                <c:ptCount val="36"/>
                <c:pt idx="0">
                  <c:v>70</c:v>
                </c:pt>
                <c:pt idx="1">
                  <c:v>16</c:v>
                </c:pt>
                <c:pt idx="2">
                  <c:v>119</c:v>
                </c:pt>
                <c:pt idx="3">
                  <c:v>98</c:v>
                </c:pt>
                <c:pt idx="4">
                  <c:v>28</c:v>
                </c:pt>
                <c:pt idx="5">
                  <c:v>40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27</c:v>
                </c:pt>
                <c:pt idx="31">
                  <c:v>0</c:v>
                </c:pt>
                <c:pt idx="32">
                  <c:v>0</c:v>
                </c:pt>
                <c:pt idx="33">
                  <c:v>0</c:v>
                </c:pt>
                <c:pt idx="34">
                  <c:v>0</c:v>
                </c:pt>
              </c:numCache>
            </c:numRef>
          </c:val>
          <c:extLst>
            <c:ext xmlns:c16="http://schemas.microsoft.com/office/drawing/2014/chart" uri="{C3380CC4-5D6E-409C-BE32-E72D297353CC}">
              <c16:uniqueId val="{00000001-F213-449E-9802-8DBC168F79B9}"/>
            </c:ext>
          </c:extLst>
        </c:ser>
        <c:ser>
          <c:idx val="2"/>
          <c:order val="2"/>
          <c:tx>
            <c:strRef>
              <c:f>'Per anak'!$F$59</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anak'!$F$60:$F$97</c:f>
              <c:numCache>
                <c:formatCode>General</c:formatCode>
                <c:ptCount val="36"/>
                <c:pt idx="0">
                  <c:v>70</c:v>
                </c:pt>
                <c:pt idx="1">
                  <c:v>86</c:v>
                </c:pt>
                <c:pt idx="2">
                  <c:v>119</c:v>
                </c:pt>
                <c:pt idx="3">
                  <c:v>98</c:v>
                </c:pt>
                <c:pt idx="4">
                  <c:v>28</c:v>
                </c:pt>
                <c:pt idx="5">
                  <c:v>40</c:v>
                </c:pt>
                <c:pt idx="6">
                  <c:v>36</c:v>
                </c:pt>
                <c:pt idx="7">
                  <c:v>83</c:v>
                </c:pt>
                <c:pt idx="8">
                  <c:v>40</c:v>
                </c:pt>
                <c:pt idx="9">
                  <c:v>63</c:v>
                </c:pt>
                <c:pt idx="10">
                  <c:v>57</c:v>
                </c:pt>
                <c:pt idx="11">
                  <c:v>22</c:v>
                </c:pt>
                <c:pt idx="12">
                  <c:v>26</c:v>
                </c:pt>
                <c:pt idx="13">
                  <c:v>150</c:v>
                </c:pt>
                <c:pt idx="14">
                  <c:v>91</c:v>
                </c:pt>
                <c:pt idx="15">
                  <c:v>52</c:v>
                </c:pt>
                <c:pt idx="16">
                  <c:v>52</c:v>
                </c:pt>
                <c:pt idx="17">
                  <c:v>150</c:v>
                </c:pt>
                <c:pt idx="18">
                  <c:v>128</c:v>
                </c:pt>
                <c:pt idx="19">
                  <c:v>12</c:v>
                </c:pt>
                <c:pt idx="20">
                  <c:v>23</c:v>
                </c:pt>
                <c:pt idx="21">
                  <c:v>40</c:v>
                </c:pt>
                <c:pt idx="22">
                  <c:v>69</c:v>
                </c:pt>
                <c:pt idx="23">
                  <c:v>54</c:v>
                </c:pt>
                <c:pt idx="24">
                  <c:v>40</c:v>
                </c:pt>
                <c:pt idx="25">
                  <c:v>128</c:v>
                </c:pt>
                <c:pt idx="26">
                  <c:v>140</c:v>
                </c:pt>
                <c:pt idx="27">
                  <c:v>71</c:v>
                </c:pt>
                <c:pt idx="28">
                  <c:v>56</c:v>
                </c:pt>
                <c:pt idx="29">
                  <c:v>0</c:v>
                </c:pt>
                <c:pt idx="30">
                  <c:v>0</c:v>
                </c:pt>
                <c:pt idx="31">
                  <c:v>0</c:v>
                </c:pt>
                <c:pt idx="32">
                  <c:v>0</c:v>
                </c:pt>
                <c:pt idx="33">
                  <c:v>0</c:v>
                </c:pt>
                <c:pt idx="34">
                  <c:v>0</c:v>
                </c:pt>
              </c:numCache>
            </c:numRef>
          </c:val>
          <c:extLst>
            <c:ext xmlns:c16="http://schemas.microsoft.com/office/drawing/2014/chart" uri="{C3380CC4-5D6E-409C-BE32-E72D297353CC}">
              <c16:uniqueId val="{00000002-F213-449E-9802-8DBC168F79B9}"/>
            </c:ext>
          </c:extLst>
        </c:ser>
        <c:ser>
          <c:idx val="3"/>
          <c:order val="3"/>
          <c:tx>
            <c:strRef>
              <c:f>'Per anak'!$G$59</c:f>
              <c:strCache>
                <c:ptCount val="1"/>
                <c:pt idx="0">
                  <c:v>2022</c:v>
                </c:pt>
              </c:strCache>
            </c:strRef>
          </c:tx>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anak'!$G$60:$G$97</c:f>
              <c:numCache>
                <c:formatCode>General</c:formatCode>
                <c:ptCount val="36"/>
                <c:pt idx="0">
                  <c:v>59</c:v>
                </c:pt>
                <c:pt idx="1">
                  <c:v>86</c:v>
                </c:pt>
                <c:pt idx="2">
                  <c:v>119</c:v>
                </c:pt>
                <c:pt idx="3">
                  <c:v>93</c:v>
                </c:pt>
                <c:pt idx="4">
                  <c:v>27</c:v>
                </c:pt>
                <c:pt idx="5">
                  <c:v>40</c:v>
                </c:pt>
                <c:pt idx="6">
                  <c:v>36</c:v>
                </c:pt>
                <c:pt idx="7">
                  <c:v>129</c:v>
                </c:pt>
                <c:pt idx="8">
                  <c:v>42</c:v>
                </c:pt>
                <c:pt idx="9">
                  <c:v>63</c:v>
                </c:pt>
                <c:pt idx="10">
                  <c:v>61</c:v>
                </c:pt>
                <c:pt idx="11">
                  <c:v>22</c:v>
                </c:pt>
                <c:pt idx="12">
                  <c:v>25</c:v>
                </c:pt>
                <c:pt idx="13">
                  <c:v>118</c:v>
                </c:pt>
                <c:pt idx="14">
                  <c:v>91</c:v>
                </c:pt>
                <c:pt idx="15">
                  <c:v>32</c:v>
                </c:pt>
                <c:pt idx="16">
                  <c:v>78</c:v>
                </c:pt>
                <c:pt idx="17">
                  <c:v>0</c:v>
                </c:pt>
                <c:pt idx="18">
                  <c:v>137</c:v>
                </c:pt>
                <c:pt idx="19">
                  <c:v>12</c:v>
                </c:pt>
                <c:pt idx="20">
                  <c:v>23</c:v>
                </c:pt>
                <c:pt idx="21">
                  <c:v>40</c:v>
                </c:pt>
                <c:pt idx="22">
                  <c:v>45</c:v>
                </c:pt>
                <c:pt idx="23">
                  <c:v>65</c:v>
                </c:pt>
                <c:pt idx="24">
                  <c:v>40</c:v>
                </c:pt>
                <c:pt idx="25">
                  <c:v>142</c:v>
                </c:pt>
                <c:pt idx="26">
                  <c:v>141</c:v>
                </c:pt>
                <c:pt idx="27">
                  <c:v>96</c:v>
                </c:pt>
                <c:pt idx="28">
                  <c:v>56</c:v>
                </c:pt>
                <c:pt idx="29">
                  <c:v>0</c:v>
                </c:pt>
                <c:pt idx="30">
                  <c:v>0</c:v>
                </c:pt>
                <c:pt idx="31">
                  <c:v>65</c:v>
                </c:pt>
                <c:pt idx="32">
                  <c:v>35</c:v>
                </c:pt>
                <c:pt idx="33">
                  <c:v>0</c:v>
                </c:pt>
                <c:pt idx="34">
                  <c:v>0</c:v>
                </c:pt>
              </c:numCache>
            </c:numRef>
          </c:val>
          <c:extLst>
            <c:ext xmlns:c16="http://schemas.microsoft.com/office/drawing/2014/chart" uri="{C3380CC4-5D6E-409C-BE32-E72D297353CC}">
              <c16:uniqueId val="{00000003-F213-449E-9802-8DBC168F79B9}"/>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baseline="0"/>
              <a:t>Lansia / jompo yang menerima bantuan</a:t>
            </a:r>
            <a:r>
              <a:rPr lang="id-ID"/>
              <a:t>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anak'!$D$106</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anak'!$D$107:$D$113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156-480C-B1C6-8D5D004C72C4}"/>
            </c:ext>
          </c:extLst>
        </c:ser>
        <c:ser>
          <c:idx val="1"/>
          <c:order val="1"/>
          <c:tx>
            <c:strRef>
              <c:f>'Per anak'!$E$106</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anak'!$E$107:$E$113</c:f>
              <c:numCache>
                <c:formatCode>General</c:formatCode>
                <c:ptCount val="7"/>
                <c:pt idx="0">
                  <c:v>71</c:v>
                </c:pt>
                <c:pt idx="1">
                  <c:v>19</c:v>
                </c:pt>
                <c:pt idx="2">
                  <c:v>64</c:v>
                </c:pt>
                <c:pt idx="3">
                  <c:v>0</c:v>
                </c:pt>
                <c:pt idx="4">
                  <c:v>0</c:v>
                </c:pt>
                <c:pt idx="5">
                  <c:v>0</c:v>
                </c:pt>
                <c:pt idx="6">
                  <c:v>0</c:v>
                </c:pt>
              </c:numCache>
            </c:numRef>
          </c:val>
          <c:extLst>
            <c:ext xmlns:c16="http://schemas.microsoft.com/office/drawing/2014/chart" uri="{C3380CC4-5D6E-409C-BE32-E72D297353CC}">
              <c16:uniqueId val="{00000001-C156-480C-B1C6-8D5D004C72C4}"/>
            </c:ext>
          </c:extLst>
        </c:ser>
        <c:ser>
          <c:idx val="2"/>
          <c:order val="2"/>
          <c:tx>
            <c:strRef>
              <c:f>'Per anak'!$F$106</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anak'!$F$107:$F$113</c:f>
              <c:numCache>
                <c:formatCode>General</c:formatCode>
                <c:ptCount val="7"/>
                <c:pt idx="0">
                  <c:v>77</c:v>
                </c:pt>
                <c:pt idx="1">
                  <c:v>19</c:v>
                </c:pt>
                <c:pt idx="2">
                  <c:v>64</c:v>
                </c:pt>
                <c:pt idx="3">
                  <c:v>34</c:v>
                </c:pt>
                <c:pt idx="4">
                  <c:v>134</c:v>
                </c:pt>
                <c:pt idx="5">
                  <c:v>42</c:v>
                </c:pt>
                <c:pt idx="6">
                  <c:v>14</c:v>
                </c:pt>
              </c:numCache>
            </c:numRef>
          </c:val>
          <c:extLst>
            <c:ext xmlns:c16="http://schemas.microsoft.com/office/drawing/2014/chart" uri="{C3380CC4-5D6E-409C-BE32-E72D297353CC}">
              <c16:uniqueId val="{00000002-C156-480C-B1C6-8D5D004C72C4}"/>
            </c:ext>
          </c:extLst>
        </c:ser>
        <c:ser>
          <c:idx val="3"/>
          <c:order val="3"/>
          <c:tx>
            <c:strRef>
              <c:f>'Per anak'!$G$106</c:f>
              <c:strCache>
                <c:ptCount val="1"/>
                <c:pt idx="0">
                  <c:v>2022</c:v>
                </c:pt>
              </c:strCache>
            </c:strRef>
          </c:tx>
          <c:invertIfNegative val="0"/>
          <c:cat>
            <c:strRef>
              <c:f>'Per anak'!$C$60:$C$92</c:f>
              <c:strCache>
                <c:ptCount val="33"/>
                <c:pt idx="0">
                  <c:v>Panti Asuhan Pintu Elok</c:v>
                </c:pt>
                <c:pt idx="1">
                  <c:v>Yayasan Kharisma Pertiwi</c:v>
                </c:pt>
                <c:pt idx="2">
                  <c:v>Panti Pelayanan Kasih Bhakti Mandiri</c:v>
                </c:pt>
                <c:pt idx="3">
                  <c:v>Panti Asuhan Pondok Kasih Agape</c:v>
                </c:pt>
                <c:pt idx="4">
                  <c:v>Wisma Tuna Ganda Palsigunung</c:v>
                </c:pt>
                <c:pt idx="5">
                  <c:v>Yayasan Sinar Pelangi</c:v>
                </c:pt>
                <c:pt idx="6">
                  <c:v>Panti Asuhan Hati Bangsa</c:v>
                </c:pt>
                <c:pt idx="7">
                  <c:v>Panti Asuhan Fajar Baru</c:v>
                </c:pt>
                <c:pt idx="8">
                  <c:v>PAUD/PKBM Pondok YEFTA</c:v>
                </c:pt>
                <c:pt idx="9">
                  <c:v>Panti Asuhan Pondok Damai</c:v>
                </c:pt>
                <c:pt idx="10">
                  <c:v>Panti Asuhan Taman Fioreti</c:v>
                </c:pt>
                <c:pt idx="11">
                  <c:v>Panti Asuhan Vita Dulcedo</c:v>
                </c:pt>
                <c:pt idx="12">
                  <c:v>Panti Asuhan Permata Hati</c:v>
                </c:pt>
                <c:pt idx="13">
                  <c:v>Panti Asuhan Rumah Shalom</c:v>
                </c:pt>
                <c:pt idx="14">
                  <c:v>Panti Asuhan Pondok Taruna</c:v>
                </c:pt>
                <c:pt idx="15">
                  <c:v>Panti Asuhan Pelayanan Kasih Anak Calvary</c:v>
                </c:pt>
                <c:pt idx="16">
                  <c:v>Panti Asuhan Abhimata Mitrasamaya</c:v>
                </c:pt>
                <c:pt idx="17">
                  <c:v>LDD (Anak Jalanan)</c:v>
                </c:pt>
                <c:pt idx="18">
                  <c:v>Yayasan Sosial Lumba Lumba</c:v>
                </c:pt>
                <c:pt idx="19">
                  <c:v>Rumah Kerang Putri Kasih</c:v>
                </c:pt>
                <c:pt idx="20">
                  <c:v>Panti Asuhan Bhakti Luhur Susteran Alma</c:v>
                </c:pt>
                <c:pt idx="21">
                  <c:v>Yayasan Magdalena</c:v>
                </c:pt>
                <c:pt idx="22">
                  <c:v>Panti Asuhan Pondok Si Boncel</c:v>
                </c:pt>
                <c:pt idx="23">
                  <c:v>Panti Asuhan Felicia Angel Kids</c:v>
                </c:pt>
                <c:pt idx="24">
                  <c:v>Panti Asuhan Guardian Holly Angel</c:v>
                </c:pt>
                <c:pt idx="25">
                  <c:v>Panti Asuhan Vincentius Putri</c:v>
                </c:pt>
                <c:pt idx="26">
                  <c:v>Panti Asuhan Vincentius Putra</c:v>
                </c:pt>
                <c:pt idx="27">
                  <c:v>Panti Asuhan Kasih Mandiri Bersinar</c:v>
                </c:pt>
                <c:pt idx="28">
                  <c:v>Panti Asuhan Bhakti Kasih ABBA</c:v>
                </c:pt>
                <c:pt idx="29">
                  <c:v>Panti Asuhan ADDA</c:v>
                </c:pt>
                <c:pt idx="30">
                  <c:v>Panti Rawinala </c:v>
                </c:pt>
                <c:pt idx="31">
                  <c:v>Yayasan Mama Sayang</c:v>
                </c:pt>
                <c:pt idx="32">
                  <c:v>Panti Asuhan Parapattan</c:v>
                </c:pt>
              </c:strCache>
            </c:strRef>
          </c:cat>
          <c:val>
            <c:numRef>
              <c:f>'Per anak'!$G$107:$G$113</c:f>
              <c:numCache>
                <c:formatCode>General</c:formatCode>
                <c:ptCount val="7"/>
                <c:pt idx="0">
                  <c:v>68</c:v>
                </c:pt>
                <c:pt idx="1">
                  <c:v>19</c:v>
                </c:pt>
                <c:pt idx="2">
                  <c:v>66</c:v>
                </c:pt>
                <c:pt idx="3">
                  <c:v>34</c:v>
                </c:pt>
                <c:pt idx="4">
                  <c:v>134</c:v>
                </c:pt>
                <c:pt idx="5">
                  <c:v>42</c:v>
                </c:pt>
                <c:pt idx="6">
                  <c:v>14</c:v>
                </c:pt>
              </c:numCache>
            </c:numRef>
          </c:val>
          <c:extLst>
            <c:ext xmlns:c16="http://schemas.microsoft.com/office/drawing/2014/chart" uri="{C3380CC4-5D6E-409C-BE32-E72D297353CC}">
              <c16:uniqueId val="{00000003-C156-480C-B1C6-8D5D004C72C4}"/>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Anak</a:t>
            </a:r>
            <a:r>
              <a:rPr lang="id-ID" baseline="0"/>
              <a:t> Panti &amp; Yayasan yang menerima bantuan</a:t>
            </a:r>
            <a:r>
              <a:rPr lang="id-ID"/>
              <a:t>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anak'!$D$128</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anak'!$D$129:$D$139</c:f>
              <c:numCache>
                <c:formatCode>General</c:formatCode>
                <c:ptCount val="11"/>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C8F-431F-B4CB-1E5DAA22C7BB}"/>
            </c:ext>
          </c:extLst>
        </c:ser>
        <c:ser>
          <c:idx val="1"/>
          <c:order val="1"/>
          <c:tx>
            <c:strRef>
              <c:f>'Per anak'!$E$128</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anak'!$E$129:$E$139</c:f>
              <c:numCache>
                <c:formatCode>0</c:formatCode>
                <c:ptCount val="11"/>
                <c:pt idx="0">
                  <c:v>0</c:v>
                </c:pt>
                <c:pt idx="1">
                  <c:v>0</c:v>
                </c:pt>
                <c:pt idx="2">
                  <c:v>0</c:v>
                </c:pt>
                <c:pt idx="3">
                  <c:v>6</c:v>
                </c:pt>
                <c:pt idx="4">
                  <c:v>0</c:v>
                </c:pt>
                <c:pt idx="5">
                  <c:v>0</c:v>
                </c:pt>
                <c:pt idx="6">
                  <c:v>0</c:v>
                </c:pt>
                <c:pt idx="7">
                  <c:v>0</c:v>
                </c:pt>
                <c:pt idx="8">
                  <c:v>0</c:v>
                </c:pt>
              </c:numCache>
            </c:numRef>
          </c:val>
          <c:extLst>
            <c:ext xmlns:c16="http://schemas.microsoft.com/office/drawing/2014/chart" uri="{C3380CC4-5D6E-409C-BE32-E72D297353CC}">
              <c16:uniqueId val="{00000001-0C8F-431F-B4CB-1E5DAA22C7BB}"/>
            </c:ext>
          </c:extLst>
        </c:ser>
        <c:ser>
          <c:idx val="2"/>
          <c:order val="2"/>
          <c:tx>
            <c:strRef>
              <c:f>'Per anak'!$F$128</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anak'!$F$129:$F$139</c:f>
              <c:numCache>
                <c:formatCode>0</c:formatCode>
                <c:ptCount val="11"/>
                <c:pt idx="0">
                  <c:v>75</c:v>
                </c:pt>
                <c:pt idx="1">
                  <c:v>64</c:v>
                </c:pt>
                <c:pt idx="2">
                  <c:v>78</c:v>
                </c:pt>
                <c:pt idx="3">
                  <c:v>8</c:v>
                </c:pt>
                <c:pt idx="4">
                  <c:v>29</c:v>
                </c:pt>
                <c:pt idx="5">
                  <c:v>35</c:v>
                </c:pt>
                <c:pt idx="6">
                  <c:v>31</c:v>
                </c:pt>
                <c:pt idx="7">
                  <c:v>38</c:v>
                </c:pt>
                <c:pt idx="8">
                  <c:v>40</c:v>
                </c:pt>
              </c:numCache>
            </c:numRef>
          </c:val>
          <c:extLst>
            <c:ext xmlns:c16="http://schemas.microsoft.com/office/drawing/2014/chart" uri="{C3380CC4-5D6E-409C-BE32-E72D297353CC}">
              <c16:uniqueId val="{00000002-0C8F-431F-B4CB-1E5DAA22C7BB}"/>
            </c:ext>
          </c:extLst>
        </c:ser>
        <c:ser>
          <c:idx val="3"/>
          <c:order val="3"/>
          <c:tx>
            <c:strRef>
              <c:f>'Per anak'!$G$128</c:f>
              <c:strCache>
                <c:ptCount val="1"/>
                <c:pt idx="0">
                  <c:v>2022</c:v>
                </c:pt>
              </c:strCache>
            </c:strRef>
          </c:tx>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anak'!$G$129:$G$139</c:f>
              <c:numCache>
                <c:formatCode>0</c:formatCode>
                <c:ptCount val="11"/>
                <c:pt idx="0">
                  <c:v>75</c:v>
                </c:pt>
                <c:pt idx="1">
                  <c:v>64</c:v>
                </c:pt>
                <c:pt idx="2">
                  <c:v>78</c:v>
                </c:pt>
                <c:pt idx="3">
                  <c:v>16</c:v>
                </c:pt>
                <c:pt idx="4">
                  <c:v>29</c:v>
                </c:pt>
                <c:pt idx="5">
                  <c:v>35</c:v>
                </c:pt>
                <c:pt idx="6">
                  <c:v>31</c:v>
                </c:pt>
                <c:pt idx="7">
                  <c:v>38</c:v>
                </c:pt>
                <c:pt idx="8">
                  <c:v>25</c:v>
                </c:pt>
              </c:numCache>
            </c:numRef>
          </c:val>
          <c:extLst>
            <c:ext xmlns:c16="http://schemas.microsoft.com/office/drawing/2014/chart" uri="{C3380CC4-5D6E-409C-BE32-E72D297353CC}">
              <c16:uniqueId val="{00000003-0C8F-431F-B4CB-1E5DAA22C7BB}"/>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id-ID"/>
              <a:t>Anak</a:t>
            </a:r>
            <a:r>
              <a:rPr lang="id-ID" baseline="0"/>
              <a:t> Panti &amp; Yayasan yang menerima bantuan</a:t>
            </a:r>
            <a:r>
              <a:rPr lang="id-ID"/>
              <a:t> </a:t>
            </a:r>
          </a:p>
          <a:p>
            <a:pPr>
              <a:defRPr sz="1400" b="0" i="0" u="none" strike="noStrike" kern="1200" cap="none" spc="20" baseline="0">
                <a:solidFill>
                  <a:schemeClr val="tx1">
                    <a:lumMod val="50000"/>
                    <a:lumOff val="50000"/>
                  </a:schemeClr>
                </a:solidFill>
                <a:latin typeface="+mn-lt"/>
                <a:ea typeface="+mn-ea"/>
                <a:cs typeface="+mn-cs"/>
              </a:defRPr>
            </a:pPr>
            <a:r>
              <a:rPr lang="id-ID"/>
              <a:t>2019-202</a:t>
            </a:r>
            <a:r>
              <a:rPr lang="en-US"/>
              <a:t>2</a:t>
            </a:r>
            <a:endParaRPr lang="id-ID"/>
          </a:p>
        </c:rich>
      </c:tx>
      <c:overlay val="0"/>
      <c:spPr>
        <a:noFill/>
        <a:ln>
          <a:noFill/>
        </a:ln>
        <a:effectLst/>
      </c:spPr>
    </c:title>
    <c:autoTitleDeleted val="0"/>
    <c:plotArea>
      <c:layout/>
      <c:barChart>
        <c:barDir val="col"/>
        <c:grouping val="clustered"/>
        <c:varyColors val="0"/>
        <c:ser>
          <c:idx val="0"/>
          <c:order val="0"/>
          <c:tx>
            <c:strRef>
              <c:f>'Per anak'!$D$151</c:f>
              <c:strCache>
                <c:ptCount val="1"/>
                <c:pt idx="0">
                  <c:v>2019</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anak'!$D$152:$D$177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BFBD-4A09-90E0-4FB7335536C8}"/>
            </c:ext>
          </c:extLst>
        </c:ser>
        <c:ser>
          <c:idx val="1"/>
          <c:order val="1"/>
          <c:tx>
            <c:strRef>
              <c:f>'Per anak'!$E$151</c:f>
              <c:strCache>
                <c:ptCount val="1"/>
                <c:pt idx="0">
                  <c:v>2020</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anak'!$E$152:$E$177</c:f>
              <c:numCache>
                <c:formatCode>0</c:formatCode>
                <c:ptCount val="24"/>
                <c:pt idx="0">
                  <c:v>1</c:v>
                </c:pt>
                <c:pt idx="1">
                  <c:v>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1-BFBD-4A09-90E0-4FB7335536C8}"/>
            </c:ext>
          </c:extLst>
        </c:ser>
        <c:ser>
          <c:idx val="2"/>
          <c:order val="2"/>
          <c:tx>
            <c:strRef>
              <c:f>'Per anak'!$F$151</c:f>
              <c:strCache>
                <c:ptCount val="1"/>
                <c:pt idx="0">
                  <c:v>2021</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50800" algn="tl" rotWithShape="0">
                <a:srgbClr val="000000">
                  <a:alpha val="64000"/>
                </a:srgbClr>
              </a:outerShdw>
            </a:effectLst>
          </c:spPr>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anak'!$F$152:$F$177</c:f>
              <c:numCache>
                <c:formatCode>0</c:formatCode>
                <c:ptCount val="24"/>
                <c:pt idx="0">
                  <c:v>1</c:v>
                </c:pt>
                <c:pt idx="1">
                  <c:v>0</c:v>
                </c:pt>
                <c:pt idx="2">
                  <c:v>0</c:v>
                </c:pt>
                <c:pt idx="3">
                  <c:v>0</c:v>
                </c:pt>
                <c:pt idx="4">
                  <c:v>0</c:v>
                </c:pt>
                <c:pt idx="5">
                  <c:v>0</c:v>
                </c:pt>
                <c:pt idx="6">
                  <c:v>0</c:v>
                </c:pt>
                <c:pt idx="7">
                  <c:v>1</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2-BFBD-4A09-90E0-4FB7335536C8}"/>
            </c:ext>
          </c:extLst>
        </c:ser>
        <c:ser>
          <c:idx val="3"/>
          <c:order val="3"/>
          <c:tx>
            <c:strRef>
              <c:f>'Per anak'!$G$151</c:f>
              <c:strCache>
                <c:ptCount val="1"/>
                <c:pt idx="0">
                  <c:v>2022</c:v>
                </c:pt>
              </c:strCache>
            </c:strRef>
          </c:tx>
          <c:invertIfNegative val="0"/>
          <c:cat>
            <c:strRef>
              <c:f>'Per anak'!$C$129:$C$137</c:f>
              <c:strCache>
                <c:ptCount val="9"/>
                <c:pt idx="0">
                  <c:v>KONGREGASI SANG PENEBUS MAHAKUDUS</c:v>
                </c:pt>
                <c:pt idx="1">
                  <c:v>Seminari St. Yohanes Maria Vianney Sintang</c:v>
                </c:pt>
                <c:pt idx="2">
                  <c:v>Seminari Menengah St Paulus, Nyarumkop Pontianak</c:v>
                </c:pt>
                <c:pt idx="3">
                  <c:v>Seminari Menengah Santo Petrus Keuskupan Banjarmasin</c:v>
                </c:pt>
                <c:pt idx="4">
                  <c:v>Seminari Menengah Pasionis St. Gabriel Sekadau</c:v>
                </c:pt>
                <c:pt idx="5">
                  <c:v>Seminari Menengah Santo Yosef Tarakan</c:v>
                </c:pt>
                <c:pt idx="6">
                  <c:v>Seminari Menengah St Laurentius</c:v>
                </c:pt>
                <c:pt idx="7">
                  <c:v>Seminari Menengah Raja Damai Keuskupan Palangkaraya</c:v>
                </c:pt>
                <c:pt idx="8">
                  <c:v>Sekolah Tinggi Teologi GKE</c:v>
                </c:pt>
              </c:strCache>
            </c:strRef>
          </c:cat>
          <c:val>
            <c:numRef>
              <c:f>'Per anak'!$G$152:$G$177</c:f>
              <c:numCache>
                <c:formatCode>0</c:formatCode>
                <c:ptCount val="24"/>
                <c:pt idx="0">
                  <c:v>1</c:v>
                </c:pt>
                <c:pt idx="1">
                  <c:v>0</c:v>
                </c:pt>
                <c:pt idx="2">
                  <c:v>0</c:v>
                </c:pt>
                <c:pt idx="3">
                  <c:v>0</c:v>
                </c:pt>
                <c:pt idx="4">
                  <c:v>0</c:v>
                </c:pt>
                <c:pt idx="5">
                  <c:v>0</c:v>
                </c:pt>
                <c:pt idx="6">
                  <c:v>0</c:v>
                </c:pt>
                <c:pt idx="7">
                  <c:v>0</c:v>
                </c:pt>
                <c:pt idx="8">
                  <c:v>0</c:v>
                </c:pt>
                <c:pt idx="9">
                  <c:v>0</c:v>
                </c:pt>
                <c:pt idx="10">
                  <c:v>0</c:v>
                </c:pt>
                <c:pt idx="11">
                  <c:v>1</c:v>
                </c:pt>
                <c:pt idx="12">
                  <c:v>1</c:v>
                </c:pt>
                <c:pt idx="13">
                  <c:v>1</c:v>
                </c:pt>
                <c:pt idx="14">
                  <c:v>1</c:v>
                </c:pt>
                <c:pt idx="15">
                  <c:v>1</c:v>
                </c:pt>
                <c:pt idx="16">
                  <c:v>1</c:v>
                </c:pt>
                <c:pt idx="17">
                  <c:v>1</c:v>
                </c:pt>
                <c:pt idx="18">
                  <c:v>1</c:v>
                </c:pt>
                <c:pt idx="19">
                  <c:v>1</c:v>
                </c:pt>
                <c:pt idx="20">
                  <c:v>1</c:v>
                </c:pt>
                <c:pt idx="21">
                  <c:v>1</c:v>
                </c:pt>
                <c:pt idx="22">
                  <c:v>1</c:v>
                </c:pt>
              </c:numCache>
            </c:numRef>
          </c:val>
          <c:extLst>
            <c:ext xmlns:c16="http://schemas.microsoft.com/office/drawing/2014/chart" uri="{C3380CC4-5D6E-409C-BE32-E72D297353CC}">
              <c16:uniqueId val="{00000003-BFBD-4A09-90E0-4FB7335536C8}"/>
            </c:ext>
          </c:extLst>
        </c:ser>
        <c:dLbls>
          <c:showLegendKey val="0"/>
          <c:showVal val="0"/>
          <c:showCatName val="0"/>
          <c:showSerName val="0"/>
          <c:showPercent val="0"/>
          <c:showBubbleSize val="0"/>
        </c:dLbls>
        <c:gapWidth val="150"/>
        <c:axId val="102280192"/>
        <c:axId val="102281984"/>
      </c:barChart>
      <c:catAx>
        <c:axId val="10228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1984"/>
        <c:crosses val="autoZero"/>
        <c:auto val="1"/>
        <c:lblAlgn val="ctr"/>
        <c:lblOffset val="100"/>
        <c:noMultiLvlLbl val="0"/>
      </c:catAx>
      <c:valAx>
        <c:axId val="102281984"/>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0"/>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0228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172357</xdr:colOff>
      <xdr:row>0</xdr:row>
      <xdr:rowOff>36285</xdr:rowOff>
    </xdr:from>
    <xdr:to>
      <xdr:col>3</xdr:col>
      <xdr:colOff>969760</xdr:colOff>
      <xdr:row>0</xdr:row>
      <xdr:rowOff>834571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2357" y="36285"/>
          <a:ext cx="4083528" cy="798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172357</xdr:colOff>
      <xdr:row>0</xdr:row>
      <xdr:rowOff>36285</xdr:rowOff>
    </xdr:from>
    <xdr:to>
      <xdr:col>3</xdr:col>
      <xdr:colOff>837875</xdr:colOff>
      <xdr:row>0</xdr:row>
      <xdr:rowOff>834571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72357" y="36285"/>
          <a:ext cx="4244546" cy="798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172357</xdr:colOff>
      <xdr:row>0</xdr:row>
      <xdr:rowOff>36285</xdr:rowOff>
    </xdr:from>
    <xdr:to>
      <xdr:col>3</xdr:col>
      <xdr:colOff>1292487</xdr:colOff>
      <xdr:row>0</xdr:row>
      <xdr:rowOff>834571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72357" y="36285"/>
          <a:ext cx="4239103" cy="798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172357</xdr:colOff>
      <xdr:row>0</xdr:row>
      <xdr:rowOff>36285</xdr:rowOff>
    </xdr:from>
    <xdr:to>
      <xdr:col>3</xdr:col>
      <xdr:colOff>1109403</xdr:colOff>
      <xdr:row>0</xdr:row>
      <xdr:rowOff>834571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72357" y="36285"/>
          <a:ext cx="4246361" cy="798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172357</xdr:colOff>
      <xdr:row>0</xdr:row>
      <xdr:rowOff>36285</xdr:rowOff>
    </xdr:from>
    <xdr:to>
      <xdr:col>3</xdr:col>
      <xdr:colOff>1109403</xdr:colOff>
      <xdr:row>0</xdr:row>
      <xdr:rowOff>834571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72357" y="36285"/>
          <a:ext cx="4099346" cy="798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352425</xdr:colOff>
      <xdr:row>1</xdr:row>
      <xdr:rowOff>28575</xdr:rowOff>
    </xdr:from>
    <xdr:to>
      <xdr:col>21</xdr:col>
      <xdr:colOff>257175</xdr:colOff>
      <xdr:row>16</xdr:row>
      <xdr:rowOff>38100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215902</xdr:colOff>
      <xdr:row>3</xdr:row>
      <xdr:rowOff>95249</xdr:rowOff>
    </xdr:from>
    <xdr:to>
      <xdr:col>19</xdr:col>
      <xdr:colOff>266700</xdr:colOff>
      <xdr:row>16</xdr:row>
      <xdr:rowOff>85725</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428627</xdr:colOff>
      <xdr:row>2</xdr:row>
      <xdr:rowOff>123824</xdr:rowOff>
    </xdr:from>
    <xdr:to>
      <xdr:col>23</xdr:col>
      <xdr:colOff>61851</xdr:colOff>
      <xdr:row>19</xdr:row>
      <xdr:rowOff>74221</xdr:rowOff>
    </xdr:to>
    <xdr:graphicFrame macro="">
      <xdr:nvGraphicFramePr>
        <xdr:cNvPr id="14" name="Chart 13">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504868</xdr:colOff>
      <xdr:row>26</xdr:row>
      <xdr:rowOff>37655</xdr:rowOff>
    </xdr:from>
    <xdr:to>
      <xdr:col>23</xdr:col>
      <xdr:colOff>406817</xdr:colOff>
      <xdr:row>45</xdr:row>
      <xdr:rowOff>31178</xdr:rowOff>
    </xdr:to>
    <xdr:graphicFrame macro="">
      <xdr:nvGraphicFramePr>
        <xdr:cNvPr id="18" name="Chart 17">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185552</xdr:colOff>
      <xdr:row>58</xdr:row>
      <xdr:rowOff>85724</xdr:rowOff>
    </xdr:from>
    <xdr:to>
      <xdr:col>23</xdr:col>
      <xdr:colOff>309254</xdr:colOff>
      <xdr:row>88</xdr:row>
      <xdr:rowOff>37111</xdr:rowOff>
    </xdr:to>
    <xdr:graphicFrame macro="">
      <xdr:nvGraphicFramePr>
        <xdr:cNvPr id="19" name="Chart 18">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296883</xdr:colOff>
      <xdr:row>104</xdr:row>
      <xdr:rowOff>98962</xdr:rowOff>
    </xdr:from>
    <xdr:to>
      <xdr:col>20</xdr:col>
      <xdr:colOff>247650</xdr:colOff>
      <xdr:row>115</xdr:row>
      <xdr:rowOff>152401</xdr:rowOff>
    </xdr:to>
    <xdr:graphicFrame macro="">
      <xdr:nvGraphicFramePr>
        <xdr:cNvPr id="21" name="Chart 20">
          <a:extLst>
            <a:ext uri="{FF2B5EF4-FFF2-40B4-BE49-F238E27FC236}">
              <a16:creationId xmlns:a16="http://schemas.microsoft.com/office/drawing/2014/main" id="{00000000-0008-0000-0F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148442</xdr:colOff>
      <xdr:row>126</xdr:row>
      <xdr:rowOff>123701</xdr:rowOff>
    </xdr:from>
    <xdr:to>
      <xdr:col>20</xdr:col>
      <xdr:colOff>371104</xdr:colOff>
      <xdr:row>138</xdr:row>
      <xdr:rowOff>86591</xdr:rowOff>
    </xdr:to>
    <xdr:graphicFrame macro="">
      <xdr:nvGraphicFramePr>
        <xdr:cNvPr id="22" name="Chart 21">
          <a:extLst>
            <a:ext uri="{FF2B5EF4-FFF2-40B4-BE49-F238E27FC236}">
              <a16:creationId xmlns:a16="http://schemas.microsoft.com/office/drawing/2014/main" id="{00000000-0008-0000-0F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267885</xdr:colOff>
      <xdr:row>150</xdr:row>
      <xdr:rowOff>177043</xdr:rowOff>
    </xdr:from>
    <xdr:to>
      <xdr:col>25</xdr:col>
      <xdr:colOff>256048</xdr:colOff>
      <xdr:row>161</xdr:row>
      <xdr:rowOff>348226</xdr:rowOff>
    </xdr:to>
    <xdr:graphicFrame macro="">
      <xdr:nvGraphicFramePr>
        <xdr:cNvPr id="23" name="Chart 22">
          <a:extLst>
            <a:ext uri="{FF2B5EF4-FFF2-40B4-BE49-F238E27FC236}">
              <a16:creationId xmlns:a16="http://schemas.microsoft.com/office/drawing/2014/main" id="{00000000-0008-0000-0F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p61101659/AppData/Local/Microsoft/Windows/INetCache/Content.Outlook/ZXSZRUN5/Summary%2520YKP_as%2520of%2520May2021%2520_Update%2520data%2520masbo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ummary%20YKP%20of%2031%20Januari%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p61101659/AppData/Local/Microsoft/Windows/INetCache/Content.Outlook/ZXSZRUN5/file/panti%2520rutin/ALAMAT%2520DAN%2520UPDATE%2520STATUS%2520PENGIRIMAN%2520BELANJA%252024%2520PANT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p61101659/AppData/Local/Microsoft/Windows/INetCache/Content.Outlook/ZXSZRUN5/file/23panti/REVISI%252017MEI21%2520-%2520LIST%2520BELANJA%252023%2520PANT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YKP/Backup%20-%20Summary%20YKP%20of%209%20Mei'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APORAN/report%202019-2022/LAPORAN/SIE%20SOSIAL/2022/HO/31%20Panti/JANUARI%202022/REVISI%20PENAWARAN%20LIST%20BELANJA%2031%20PANTI%20PERIODE%20JAN'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APORAN/report%202019-2022/Summary%20YKP%20of%2028%20Apr'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sers/lYK19001/Downloads/Summary%2520YKP_as%2520of%252018Jan2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1%20-%20S2%20%202023"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Per%20baa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20"/>
      <sheetName val="2021"/>
      <sheetName val="Category"/>
      <sheetName val="S1 2021"/>
      <sheetName val="Yearly"/>
      <sheetName val="S2 2020"/>
      <sheetName val="S2 2021"/>
      <sheetName val="notes"/>
      <sheetName val="Sheet1"/>
    </sheetNames>
    <sheetDataSet>
      <sheetData sheetId="0">
        <row r="21">
          <cell r="D21" t="str">
            <v xml:space="preserve">Suster Yasintha, MCFSM </v>
          </cell>
          <cell r="E21" t="str">
            <v>5bln s/d 20th</v>
          </cell>
          <cell r="F21" t="str">
            <v>TK s/d SMA</v>
          </cell>
          <cell r="G21" t="str">
            <v>Jl. Ry Kampung Sawah no. 14 Rt.7 Rw.1 Jatimurni, Kec. Pondok Melati, Bekasi 17431</v>
          </cell>
        </row>
        <row r="22">
          <cell r="D22" t="str">
            <v>Mikas 0813 8444 5096</v>
          </cell>
          <cell r="E22" t="str">
            <v>7th s/d 17th</v>
          </cell>
          <cell r="F22" t="str">
            <v>SD s/d SMK</v>
          </cell>
          <cell r="G22" t="str">
            <v>Jl. Jembatan 2 Raya, Gg. Pilin 1, No. 5 Rt.1/Rw.2 Penjagalan, Penjaringan, Jak-Ut 14450</v>
          </cell>
        </row>
        <row r="24">
          <cell r="D24" t="str">
            <v>Suster Agustine</v>
          </cell>
          <cell r="E24" t="str">
            <v>4th s/d 23th</v>
          </cell>
          <cell r="F24" t="str">
            <v>TK s/d Kuliah</v>
          </cell>
          <cell r="G24" t="str">
            <v>Jl. Ry Kampung Sawah No. 1 Rt.3 Rw.3 Jatimelati, Kec. Pondok Melati, Bekasi 17415</v>
          </cell>
        </row>
        <row r="25">
          <cell r="D25" t="str">
            <v xml:space="preserve">Ibu Ana </v>
          </cell>
          <cell r="E25" t="str">
            <v>4 bln s/d 21th</v>
          </cell>
          <cell r="F25" t="str">
            <v>PAUD dan Kejar Paket A</v>
          </cell>
        </row>
        <row r="26">
          <cell r="D26" t="str">
            <v>Pak Gideon</v>
          </cell>
          <cell r="E26" t="str">
            <v>8 bln s/d 18th</v>
          </cell>
          <cell r="F26" t="str">
            <v>PG s/d SMA</v>
          </cell>
          <cell r="G26" t="str">
            <v>Jl. Bambu Kuning Selatan Rt. 4 Rw. 2 Sepqnjang Raya, Rawalumbu, Bekasi 17114</v>
          </cell>
        </row>
        <row r="29">
          <cell r="D29" t="str">
            <v>Ibu Ferra 0812 8088 0355</v>
          </cell>
          <cell r="E29" t="str">
            <v>24 th keatas</v>
          </cell>
          <cell r="G29" t="str">
            <v>Jl. AC Lengkeng No. 210 R. 1 Rw. 2 Bojong Menteng. Kec. Rawa Lumbu, Bekasi</v>
          </cell>
        </row>
        <row r="30">
          <cell r="D30" t="str">
            <v>Suster Boni 0813 5202 5960</v>
          </cell>
          <cell r="G30" t="str">
            <v>Perumahan Citra Indah,  Jl. Bukir Raya Blok M5 No. 1, Sukamaju, Kec. Jonggol, Bogor – Jawa Barat</v>
          </cell>
        </row>
        <row r="32">
          <cell r="D32" t="str">
            <v>Ibu Jely 0812 1850 6603</v>
          </cell>
          <cell r="G32" t="str">
            <v>Jl. Abdulrahman No. 14, Cibubur, Kec. Ciracas, Jakarta Timur</v>
          </cell>
        </row>
        <row r="37">
          <cell r="D37" t="str">
            <v xml:space="preserve">Pak Tommy </v>
          </cell>
          <cell r="E37" t="str">
            <v>6 bln s/d 20th</v>
          </cell>
          <cell r="F37" t="str">
            <v>TK s/d Kuliah</v>
          </cell>
          <cell r="G37" t="str">
            <v>Perum Gading Griya Lestari Residence, Blok I 3 No. 2 Pegangsaan II, Kelapa Gading, Jakarta Utara</v>
          </cell>
        </row>
        <row r="41">
          <cell r="D41" t="str">
            <v>Ibu Au 0822 6090 9334</v>
          </cell>
          <cell r="E41" t="str">
            <v>53 thn keatas</v>
          </cell>
          <cell r="G41" t="str">
            <v>Jl. Mesjid Jami Al Barokah No. 37 -38 PD Jaya Kec. Pondok Aren , Tang-Sel, Banten 15220</v>
          </cell>
        </row>
        <row r="43">
          <cell r="D43" t="str">
            <v xml:space="preserve">Ibu Nurbaina Sihombing </v>
          </cell>
          <cell r="E43" t="str">
            <v>7 s/d 18th</v>
          </cell>
          <cell r="F43" t="str">
            <v>SD s/d SMK</v>
          </cell>
          <cell r="G43" t="str">
            <v>Kavling Perumahan Babelan Indah Pos 2, RT.08/RW.13, Kebalen, Kec. Babelan, Bekasi, Jawa Barat 13460</v>
          </cell>
        </row>
        <row r="44">
          <cell r="D44" t="str">
            <v>Ibu Elvine 0812 8588 822</v>
          </cell>
          <cell r="E44" t="str">
            <v>Balita s/d 21th</v>
          </cell>
          <cell r="F44" t="str">
            <v>Balita s/d Kuliah</v>
          </cell>
          <cell r="G44" t="str">
            <v>Komp. Pamulang 2 Jl. Benda Barat 6, Pondok Benda Pamulang</v>
          </cell>
        </row>
        <row r="45">
          <cell r="D45" t="str">
            <v>Ibu Wanty 0812 1007 4037</v>
          </cell>
          <cell r="E45" t="str">
            <v>60 th keatas</v>
          </cell>
          <cell r="G45" t="str">
            <v>Jl Cilincing Kelapa No.2, No 42 RT 1/RW 3 Cilincing , Kec Cilincing Jakarta Utara, DKI Jakarta 14110</v>
          </cell>
        </row>
      </sheetData>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19"/>
      <sheetName val="anak asuh 2019"/>
      <sheetName val="2020"/>
      <sheetName val="anak asuh 2020"/>
      <sheetName val="2021"/>
      <sheetName val="CSsR 21-22"/>
      <sheetName val="anak asuh 2021"/>
      <sheetName val="2022"/>
      <sheetName val="anak asuh 2022"/>
      <sheetName val="2023"/>
      <sheetName val="Category"/>
      <sheetName val="Rekap Donasi seminari thn 2023"/>
      <sheetName val="Pengurus Site per 18 feb 2021"/>
      <sheetName val="Yearly"/>
      <sheetName val="Per Kategori "/>
      <sheetName val="Per anak"/>
      <sheetName val="Program Sosial"/>
      <sheetName val="TOTAL BANTUAN 2019-2022"/>
      <sheetName val="S2 2019"/>
      <sheetName val="S2 2020"/>
      <sheetName val="S1 2022"/>
      <sheetName val="S1-S2  2021"/>
      <sheetName val="S2 2021"/>
      <sheetName val="S1 - S2  2022"/>
      <sheetName val="S1 - S2  2023"/>
      <sheetName val="Data Base P.Asuhan &amp; Jompo"/>
      <sheetName val="Data Base Anak Asuh,Seminari "/>
      <sheetName val="Sheet5"/>
      <sheetName val="Masa Berlaku Proposal"/>
      <sheetName val="Agenda"/>
      <sheetName val="Sheet6"/>
      <sheetName val="Sheet2"/>
      <sheetName val="Sheet2 (2)"/>
      <sheetName val="Sheet4"/>
      <sheetName val="Sheet3"/>
      <sheetName val="notes"/>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01">
          <cell r="BA201">
            <v>0</v>
          </cell>
        </row>
        <row r="202">
          <cell r="BA202">
            <v>0</v>
          </cell>
        </row>
        <row r="203">
          <cell r="BA203">
            <v>0</v>
          </cell>
        </row>
        <row r="204">
          <cell r="BA204">
            <v>0</v>
          </cell>
        </row>
        <row r="205">
          <cell r="BA205">
            <v>0</v>
          </cell>
        </row>
        <row r="206">
          <cell r="BA206">
            <v>0</v>
          </cell>
        </row>
        <row r="207">
          <cell r="BA207">
            <v>0</v>
          </cell>
        </row>
        <row r="208">
          <cell r="BA208">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Pengiriman 24 Panti"/>
      <sheetName val="Sheet2"/>
      <sheetName val="Sheet3"/>
    </sheetNames>
    <sheetDataSet>
      <sheetData sheetId="0" refreshError="1">
        <row r="50">
          <cell r="C50" t="str">
            <v>JL. Kampung Beting Remaja No. 29 Rt. 4 Rw. 19 Kel. Tugu Utara, Koja, Jak-Ut</v>
          </cell>
          <cell r="E50" t="str">
            <v>Anak Asuh</v>
          </cell>
          <cell r="G50" t="str">
            <v>Ibu Beny Magdalena</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Zone"/>
      <sheetName val="Summary List Belanja 23 Panti"/>
      <sheetName val="Rev List Belanja 23 Panti"/>
      <sheetName val="Daftar Panti"/>
      <sheetName val="Sheet1"/>
    </sheetNames>
    <sheetDataSet>
      <sheetData sheetId="0" refreshError="1"/>
      <sheetData sheetId="1" refreshError="1"/>
      <sheetData sheetId="2" refreshError="1"/>
      <sheetData sheetId="3" refreshError="1">
        <row r="4">
          <cell r="C4">
            <v>5497504</v>
          </cell>
        </row>
        <row r="5">
          <cell r="C5">
            <v>5493920</v>
          </cell>
        </row>
        <row r="6">
          <cell r="C6">
            <v>5497880</v>
          </cell>
        </row>
        <row r="7">
          <cell r="C7">
            <v>5499220</v>
          </cell>
        </row>
        <row r="8">
          <cell r="C8">
            <v>5497210</v>
          </cell>
        </row>
        <row r="9">
          <cell r="C9">
            <v>5499280</v>
          </cell>
        </row>
        <row r="10">
          <cell r="C10">
            <v>5498790</v>
          </cell>
        </row>
        <row r="11">
          <cell r="C11">
            <v>5498980</v>
          </cell>
        </row>
        <row r="12">
          <cell r="C12">
            <v>5499760</v>
          </cell>
        </row>
        <row r="13">
          <cell r="C13">
            <v>5497480</v>
          </cell>
        </row>
        <row r="14">
          <cell r="C14">
            <v>5497660</v>
          </cell>
        </row>
        <row r="15">
          <cell r="C15">
            <v>5495810</v>
          </cell>
        </row>
        <row r="16">
          <cell r="C16">
            <v>5497380</v>
          </cell>
        </row>
        <row r="17">
          <cell r="C17">
            <v>5499170</v>
          </cell>
        </row>
        <row r="18">
          <cell r="C18">
            <v>5495160</v>
          </cell>
        </row>
        <row r="19">
          <cell r="C19">
            <v>5496500</v>
          </cell>
        </row>
        <row r="20">
          <cell r="C20">
            <v>5499160</v>
          </cell>
        </row>
        <row r="21">
          <cell r="C21">
            <v>5499120</v>
          </cell>
        </row>
        <row r="22">
          <cell r="C22">
            <v>5498600</v>
          </cell>
        </row>
        <row r="23">
          <cell r="C23">
            <v>5497990</v>
          </cell>
        </row>
        <row r="24">
          <cell r="C24">
            <v>5499550</v>
          </cell>
        </row>
        <row r="25">
          <cell r="C25">
            <v>5499730</v>
          </cell>
        </row>
        <row r="26">
          <cell r="C26">
            <v>5499100</v>
          </cell>
        </row>
      </sheetData>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PER PANTI PER JAN'22"/>
      <sheetName val="PENAWARAN PER JAN'22"/>
      <sheetName val="RESUM 31 PANTI PER JAN'22"/>
      <sheetName val="REV-PENAWARAN PER JAN'22"/>
      <sheetName val="Sheet2"/>
      <sheetName val="REV-PENAWARAN PER JAN'22 "/>
      <sheetName val="Barang Dikirim"/>
      <sheetName val="Barang Dikirim (2)"/>
      <sheetName val="RESUME"/>
      <sheetName val="Sheet6"/>
      <sheetName val="REV-TOTAL PER PANTI PER JAN'22"/>
      <sheetName val="Sheet3"/>
    </sheetNames>
    <sheetDataSet>
      <sheetData sheetId="0" refreshError="1"/>
      <sheetData sheetId="1" refreshError="1"/>
      <sheetData sheetId="2" refreshError="1"/>
      <sheetData sheetId="3" refreshError="1">
        <row r="44">
          <cell r="E44">
            <v>6000600</v>
          </cell>
        </row>
        <row r="90">
          <cell r="E90">
            <v>6000400</v>
          </cell>
        </row>
        <row r="139">
          <cell r="E139">
            <v>5999200</v>
          </cell>
        </row>
        <row r="185">
          <cell r="E185">
            <v>6000600</v>
          </cell>
        </row>
        <row r="233">
          <cell r="E233">
            <v>5999300</v>
          </cell>
        </row>
        <row r="274">
          <cell r="E274">
            <v>6000300</v>
          </cell>
        </row>
        <row r="320">
          <cell r="E320">
            <v>6000700</v>
          </cell>
        </row>
        <row r="369">
          <cell r="E369">
            <v>6000500</v>
          </cell>
        </row>
        <row r="415">
          <cell r="E415">
            <v>5999600</v>
          </cell>
        </row>
        <row r="461">
          <cell r="E461">
            <v>6000500</v>
          </cell>
        </row>
        <row r="503">
          <cell r="E503">
            <v>5999100</v>
          </cell>
        </row>
        <row r="551">
          <cell r="E551">
            <v>6000400</v>
          </cell>
        </row>
        <row r="599">
          <cell r="E599">
            <v>6000800</v>
          </cell>
        </row>
        <row r="646">
          <cell r="E646">
            <v>5999000</v>
          </cell>
        </row>
        <row r="695">
          <cell r="E695">
            <v>5998900</v>
          </cell>
        </row>
        <row r="747">
          <cell r="E747">
            <v>5999100</v>
          </cell>
        </row>
        <row r="792">
          <cell r="E792">
            <v>6000700</v>
          </cell>
        </row>
        <row r="848">
          <cell r="E848">
            <v>5999000</v>
          </cell>
        </row>
        <row r="897">
          <cell r="E897">
            <v>6000200</v>
          </cell>
        </row>
        <row r="948">
          <cell r="E948">
            <v>5999000</v>
          </cell>
        </row>
        <row r="998">
          <cell r="E998">
            <v>6000800</v>
          </cell>
        </row>
        <row r="1049">
          <cell r="E1049">
            <v>5999100</v>
          </cell>
        </row>
        <row r="1085">
          <cell r="E1085">
            <v>6000200</v>
          </cell>
        </row>
        <row r="1122">
          <cell r="E1122">
            <v>5998600</v>
          </cell>
        </row>
        <row r="1172">
          <cell r="E1172">
            <v>5999900</v>
          </cell>
        </row>
        <row r="1217">
          <cell r="E1217">
            <v>5999000</v>
          </cell>
        </row>
        <row r="1269">
          <cell r="E1269">
            <v>6000200</v>
          </cell>
        </row>
        <row r="1312">
          <cell r="E1312">
            <v>5999800</v>
          </cell>
        </row>
        <row r="1361">
          <cell r="E1361">
            <v>5999500</v>
          </cell>
        </row>
        <row r="1408">
          <cell r="E1408">
            <v>6000200</v>
          </cell>
        </row>
        <row r="1454">
          <cell r="E1454">
            <v>6000400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20"/>
      <sheetName val="S2 2020"/>
      <sheetName val="2021"/>
      <sheetName val="2022"/>
      <sheetName val="Category"/>
      <sheetName val="S1 2021"/>
      <sheetName val="Yearly"/>
      <sheetName val="Program Sosial"/>
      <sheetName val="S2 2021"/>
      <sheetName val="notes"/>
      <sheetName val="Sheet1"/>
    </sheetNames>
    <sheetDataSet>
      <sheetData sheetId="0" refreshError="1"/>
      <sheetData sheetId="1" refreshError="1"/>
      <sheetData sheetId="2" refreshError="1"/>
      <sheetData sheetId="3" refreshError="1"/>
      <sheetData sheetId="4" refreshError="1"/>
      <sheetData sheetId="5" refreshError="1">
        <row r="27">
          <cell r="AG27">
            <v>5998500</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20"/>
      <sheetName val="2021"/>
      <sheetName val="2022"/>
      <sheetName val="Category"/>
      <sheetName val="S1 2021"/>
      <sheetName val="Yearly"/>
      <sheetName val="S2 2020"/>
      <sheetName val="S2 2021"/>
      <sheetName val="notes"/>
      <sheetName val="Sheet1"/>
      <sheetName val="Summary YKP_as of 18Jan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 - S2  2023"/>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 baak"/>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List5" displayName="List5" ref="B2:O53" totalsRowCount="1" headerRowDxfId="175" dataDxfId="173" headerRowBorderDxfId="174" tableBorderDxfId="172" headerRowCellStyle="Heading 2" dataCellStyle="Normal">
  <autoFilter ref="B2:O52" xr:uid="{00000000-0009-0000-0100-000004000000}">
    <filterColumn colId="3">
      <filters>
        <filter val="Panti Asuhan / Jompo"/>
      </filters>
    </filterColumn>
  </autoFilter>
  <tableColumns count="14">
    <tableColumn id="1" xr3:uid="{00000000-0010-0000-0000-000001000000}" name="Tanggal Pengajuan" dataDxfId="171" totalsRowDxfId="170" dataCellStyle="Normal"/>
    <tableColumn id="2" xr3:uid="{00000000-0010-0000-0000-000002000000}" name="No Surat " dataDxfId="169" totalsRowDxfId="168" dataCellStyle="Normal"/>
    <tableColumn id="4" xr3:uid="{00000000-0010-0000-0000-000004000000}" name="Site / Lokasi" dataDxfId="167" totalsRowDxfId="166" dataCellStyle="Normal"/>
    <tableColumn id="5" xr3:uid="{00000000-0010-0000-0000-000005000000}" name="Aktivitas" dataDxfId="165" totalsRowDxfId="164" dataCellStyle="Normal"/>
    <tableColumn id="12" xr3:uid="{00000000-0010-0000-0000-00000C000000}" name="Sifat" totalsRowLabel="Total" dataDxfId="163" totalsRowDxfId="162"/>
    <tableColumn id="6" xr3:uid="{00000000-0010-0000-0000-000006000000}" name="Jumlah Anak " totalsRowFunction="sum" totalsRowDxfId="161" dataCellStyle="Normal"/>
    <tableColumn id="3" xr3:uid="{00000000-0010-0000-0000-000003000000}" name="Pengajuan Donasi" totalsRowFunction="sum" dataDxfId="160" totalsRowDxfId="159"/>
    <tableColumn id="8" xr3:uid="{00000000-0010-0000-0000-000008000000}" name="Jumlah Transfer" totalsRowFunction="sum" dataDxfId="158" totalsRowDxfId="157"/>
    <tableColumn id="9" xr3:uid="{00000000-0010-0000-0000-000009000000}" name="Transfer " dataDxfId="156" totalsRowDxfId="155"/>
    <tableColumn id="7" xr3:uid="{00000000-0010-0000-0000-000007000000}" name="Keterangan" dataDxfId="154" totalsRowDxfId="153" dataCellStyle="Normal"/>
    <tableColumn id="13" xr3:uid="{00000000-0010-0000-0000-00000D000000}" name="Tanggal Tr" dataDxfId="152" totalsRowDxfId="151"/>
    <tableColumn id="11" xr3:uid="{00000000-0010-0000-0000-00000B000000}" name="PIC" dataDxfId="150" totalsRowDxfId="149"/>
    <tableColumn id="10" xr3:uid="{00000000-0010-0000-0000-00000A000000}" name="Bulan" dataDxfId="148" totalsRowDxfId="147" dataCellStyle="Normal">
      <calculatedColumnFormula>MONTH(List5[[#This Row],[Tanggal Pengajuan]])</calculatedColumnFormula>
    </tableColumn>
    <tableColumn id="14" xr3:uid="{00000000-0010-0000-0000-00000E000000}" name="Notes" dataDxfId="146" totalsRowDxfId="145" dataCellStyle="Normal"/>
  </tableColumns>
  <tableStyleInfo name="List" showFirstColumn="0" showLastColumn="0" showRowStripes="1" showColumnStripes="0"/>
  <extLst>
    <ext xmlns:x14="http://schemas.microsoft.com/office/spreadsheetml/2009/9/main" uri="{504A1905-F514-4f6f-8877-14C23A59335A}">
      <x14:table altTextSummary="Enter First &amp; Last Name, Address, City, State, &amp; Zip Code, Card Sent/When, and Card Received status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List" displayName="List" ref="B2:O87" totalsRowCount="1" headerRowDxfId="144" dataDxfId="142" headerRowBorderDxfId="143" tableBorderDxfId="141" headerRowCellStyle="Heading 2" dataCellStyle="Normal">
  <autoFilter ref="B2:O86" xr:uid="{00000000-0009-0000-0100-000001000000}"/>
  <tableColumns count="14">
    <tableColumn id="1" xr3:uid="{00000000-0010-0000-0100-000001000000}" name="Tanggal Pengajuan" dataDxfId="140" totalsRowDxfId="139" dataCellStyle="Normal"/>
    <tableColumn id="2" xr3:uid="{00000000-0010-0000-0100-000002000000}" name="No Surat " dataDxfId="138" totalsRowDxfId="137" dataCellStyle="Normal"/>
    <tableColumn id="4" xr3:uid="{00000000-0010-0000-0100-000004000000}" name="Site / Lokasi" dataDxfId="136" totalsRowDxfId="135" dataCellStyle="Normal"/>
    <tableColumn id="5" xr3:uid="{00000000-0010-0000-0100-000005000000}" name="Aktivitas" dataDxfId="134" totalsRowDxfId="133" dataCellStyle="Normal"/>
    <tableColumn id="12" xr3:uid="{00000000-0010-0000-0100-00000C000000}" name="Sifat" totalsRowLabel="Total" dataDxfId="132" totalsRowDxfId="131"/>
    <tableColumn id="6" xr3:uid="{00000000-0010-0000-0100-000006000000}" name="Jumlah Anak " totalsRowFunction="sum" totalsRowDxfId="130" dataCellStyle="Normal"/>
    <tableColumn id="3" xr3:uid="{00000000-0010-0000-0100-000003000000}" name="Pengajuan Donasi" totalsRowFunction="sum" dataDxfId="129" totalsRowDxfId="128"/>
    <tableColumn id="8" xr3:uid="{00000000-0010-0000-0100-000008000000}" name="Jumlah Transfer" totalsRowFunction="sum" dataDxfId="127" totalsRowDxfId="126"/>
    <tableColumn id="9" xr3:uid="{00000000-0010-0000-0100-000009000000}" name="Transfer " dataDxfId="125" totalsRowDxfId="124"/>
    <tableColumn id="7" xr3:uid="{00000000-0010-0000-0100-000007000000}" name="Keterangan" dataDxfId="123" totalsRowDxfId="122" dataCellStyle="Normal"/>
    <tableColumn id="13" xr3:uid="{00000000-0010-0000-0100-00000D000000}" name="Tanggal Tr" dataDxfId="121" totalsRowDxfId="120"/>
    <tableColumn id="11" xr3:uid="{00000000-0010-0000-0100-00000B000000}" name="PIC" dataDxfId="119" totalsRowDxfId="118"/>
    <tableColumn id="10" xr3:uid="{00000000-0010-0000-0100-00000A000000}" name="Bulan" dataDxfId="117" totalsRowDxfId="116" dataCellStyle="Normal">
      <calculatedColumnFormula>MONTH(List[[#This Row],[Tanggal Pengajuan]])</calculatedColumnFormula>
    </tableColumn>
    <tableColumn id="14" xr3:uid="{00000000-0010-0000-0100-00000E000000}" name="Notes" dataDxfId="115" totalsRowDxfId="114" dataCellStyle="Normal"/>
  </tableColumns>
  <tableStyleInfo name="List" showFirstColumn="0" showLastColumn="0" showRowStripes="1" showColumnStripes="0"/>
  <extLst>
    <ext xmlns:x14="http://schemas.microsoft.com/office/spreadsheetml/2009/9/main" uri="{504A1905-F514-4f6f-8877-14C23A59335A}">
      <x14:table altTextSummary="Enter First &amp; Last Name, Address, City, State, &amp; Zip Code, Card Sent/When, and Card Received status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List3" displayName="List3" ref="B2:S481" totalsRowCount="1" headerRowDxfId="113" dataDxfId="111" headerRowBorderDxfId="112" tableBorderDxfId="110" headerRowCellStyle="Heading 2" dataCellStyle="Normal">
  <autoFilter ref="B2:S480" xr:uid="{00000000-0009-0000-0100-000002000000}"/>
  <tableColumns count="18">
    <tableColumn id="1" xr3:uid="{00000000-0010-0000-0200-000001000000}" name="Tanggal Pengajuan" dataDxfId="109" totalsRowDxfId="108" dataCellStyle="Normal"/>
    <tableColumn id="2" xr3:uid="{00000000-0010-0000-0200-000002000000}" name="No PP " dataDxfId="107" totalsRowDxfId="106" dataCellStyle="Normal"/>
    <tableColumn id="4" xr3:uid="{00000000-0010-0000-0200-000004000000}" name="Site / Lokasi" dataDxfId="105" totalsRowDxfId="104" dataCellStyle="Normal"/>
    <tableColumn id="5" xr3:uid="{00000000-0010-0000-0200-000005000000}" name="Aktivitas" dataDxfId="103" totalsRowDxfId="102" dataCellStyle="Normal"/>
    <tableColumn id="12" xr3:uid="{00000000-0010-0000-0200-00000C000000}" name="Sifat" totalsRowLabel="Total" dataDxfId="101" totalsRowDxfId="100"/>
    <tableColumn id="6" xr3:uid="{00000000-0010-0000-0200-000006000000}" name="Jumlah Anak " totalsRowFunction="sum" totalsRowDxfId="99" dataCellStyle="Normal">
      <calculatedColumnFormula>IFERROR(VLOOKUP(List3[[#This Row],[Site / Lokasi]],Data!B:C,2,0),0)</calculatedColumnFormula>
    </tableColumn>
    <tableColumn id="3" xr3:uid="{00000000-0010-0000-0200-000003000000}" name="Pengajuan Donasi" totalsRowFunction="sum" totalsRowDxfId="98"/>
    <tableColumn id="8" xr3:uid="{00000000-0010-0000-0200-000008000000}" name="Jumlah Transfer" totalsRowFunction="sum" dataDxfId="97" totalsRowDxfId="96">
      <calculatedColumnFormula>List3[[#This Row],[Pengajuan Donasi]]</calculatedColumnFormula>
    </tableColumn>
    <tableColumn id="9" xr3:uid="{00000000-0010-0000-0200-000009000000}" name="TRF" dataDxfId="95" totalsRowDxfId="94"/>
    <tableColumn id="7" xr3:uid="{00000000-0010-0000-0200-000007000000}" name="Keterangan" dataDxfId="93" totalsRowDxfId="92" dataCellStyle="Normal"/>
    <tableColumn id="13" xr3:uid="{00000000-0010-0000-0200-00000D000000}" name="Tanggal Trf" dataDxfId="91" totalsRowDxfId="90"/>
    <tableColumn id="11" xr3:uid="{00000000-0010-0000-0200-00000B000000}" name="PIC" dataDxfId="89" totalsRowDxfId="88"/>
    <tableColumn id="10" xr3:uid="{00000000-0010-0000-0200-00000A000000}" name="Bulan" dataDxfId="87" totalsRowDxfId="86" dataCellStyle="Normal">
      <calculatedColumnFormula>MONTH(List3[[#This Row],[Tanggal Pengajuan]])</calculatedColumnFormula>
    </tableColumn>
    <tableColumn id="15" xr3:uid="{00000000-0010-0000-0200-00000F000000}" name="LPJ" dataDxfId="85" totalsRowDxfId="84"/>
    <tableColumn id="14" xr3:uid="{00000000-0010-0000-0200-00000E000000}" name="Notes" dataDxfId="83" totalsRowDxfId="82" dataCellStyle="Normal"/>
    <tableColumn id="16" xr3:uid="{00000000-0010-0000-0200-000010000000}" name="Outstanding" dataDxfId="81" totalsRowDxfId="80" dataCellStyle="Normal"/>
    <tableColumn id="17" xr3:uid="{00000000-0010-0000-0200-000011000000}" name="CrossChek" dataDxfId="79" totalsRowDxfId="78" dataCellStyle="Normal"/>
    <tableColumn id="18" xr3:uid="{00000000-0010-0000-0200-000012000000}" name="Column1" dataDxfId="77" totalsRowDxfId="76" dataCellStyle="Normal"/>
  </tableColumns>
  <tableStyleInfo name="TableStyleDark11" showFirstColumn="0" showLastColumn="0" showRowStripes="1" showColumnStripes="0"/>
  <extLst>
    <ext xmlns:x14="http://schemas.microsoft.com/office/spreadsheetml/2009/9/main" uri="{504A1905-F514-4f6f-8877-14C23A59335A}">
      <x14:table altTextSummary="Enter First &amp; Last Name, Address, City, State, &amp; Zip Code, Card Sent/When, and Card Received status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List34" displayName="List34" ref="B2:R1107" totalsRowCount="1" headerRowDxfId="74" dataDxfId="72" headerRowBorderDxfId="73" tableBorderDxfId="71" headerRowCellStyle="Heading 2" dataCellStyle="Normal">
  <autoFilter ref="B2:R1106" xr:uid="{00000000-0009-0000-0100-000003000000}"/>
  <tableColumns count="17">
    <tableColumn id="1" xr3:uid="{00000000-0010-0000-0300-000001000000}" name="Tanggal Pengajuan" dataDxfId="70" totalsRowDxfId="69" dataCellStyle="Normal"/>
    <tableColumn id="2" xr3:uid="{00000000-0010-0000-0300-000002000000}" name="No PP " dataDxfId="68" totalsRowDxfId="67" dataCellStyle="Normal"/>
    <tableColumn id="4" xr3:uid="{00000000-0010-0000-0300-000004000000}" name="Site / Lokasi" dataDxfId="66" totalsRowDxfId="65" dataCellStyle="Normal"/>
    <tableColumn id="5" xr3:uid="{00000000-0010-0000-0300-000005000000}" name="Aktivitas" dataDxfId="64" totalsRowDxfId="63" dataCellStyle="Normal"/>
    <tableColumn id="12" xr3:uid="{00000000-0010-0000-0300-00000C000000}" name="Sifat" totalsRowLabel="Total" dataDxfId="62" totalsRowDxfId="61"/>
    <tableColumn id="6" xr3:uid="{00000000-0010-0000-0300-000006000000}" name="Jumlah Anak " totalsRowFunction="sum" totalsRowDxfId="60" dataCellStyle="Normal">
      <calculatedColumnFormula>IFERROR(VLOOKUP(List34[[#This Row],[Site / Lokasi]],[7]Data!B:C,2,0),0)</calculatedColumnFormula>
    </tableColumn>
    <tableColumn id="3" xr3:uid="{00000000-0010-0000-0300-000003000000}" name="Pengajuan Donasi" totalsRowFunction="sum" totalsRowDxfId="59"/>
    <tableColumn id="8" xr3:uid="{00000000-0010-0000-0300-000008000000}" name="Jumlah Transfer" totalsRowFunction="sum" dataDxfId="58" totalsRowDxfId="57">
      <calculatedColumnFormula>List34[[#This Row],[Pengajuan Donasi]]</calculatedColumnFormula>
    </tableColumn>
    <tableColumn id="9" xr3:uid="{00000000-0010-0000-0300-000009000000}" name="Transfer " dataDxfId="56" totalsRowDxfId="55">
      <calculatedColumnFormula>IF(List34[[#This Row],[Tanggal Trf]]&gt;0,"Done","-")</calculatedColumnFormula>
    </tableColumn>
    <tableColumn id="7" xr3:uid="{00000000-0010-0000-0300-000007000000}" name="Keterangan" dataDxfId="54" totalsRowDxfId="53" dataCellStyle="Normal"/>
    <tableColumn id="13" xr3:uid="{00000000-0010-0000-0300-00000D000000}" name="Tanggal Trf" dataDxfId="52" totalsRowDxfId="51"/>
    <tableColumn id="11" xr3:uid="{00000000-0010-0000-0300-00000B000000}" name="PIC" dataDxfId="50" totalsRowDxfId="49"/>
    <tableColumn id="10" xr3:uid="{00000000-0010-0000-0300-00000A000000}" name="Bulan" dataDxfId="48" totalsRowDxfId="47" dataCellStyle="Normal">
      <calculatedColumnFormula>MONTH(List34[[#This Row],[Tanggal Pengajuan]])</calculatedColumnFormula>
    </tableColumn>
    <tableColumn id="15" xr3:uid="{00000000-0010-0000-0300-00000F000000}" name="LPJ" dataDxfId="46" totalsRowDxfId="45"/>
    <tableColumn id="14" xr3:uid="{00000000-0010-0000-0300-00000E000000}" name="Notes" dataDxfId="44" totalsRowDxfId="43" dataCellStyle="Normal"/>
    <tableColumn id="16" xr3:uid="{00000000-0010-0000-0300-000010000000}" name="Outstanding" dataDxfId="42" totalsRowDxfId="41" dataCellStyle="Normal"/>
    <tableColumn id="17" xr3:uid="{00000000-0010-0000-0300-000011000000}" name="Crosscek" dataDxfId="40" totalsRowDxfId="39" dataCellStyle="Normal"/>
  </tableColumns>
  <tableStyleInfo name="TableStyleDark11" showFirstColumn="0" showLastColumn="0" showRowStripes="1" showColumnStripes="0"/>
  <extLst>
    <ext xmlns:x14="http://schemas.microsoft.com/office/spreadsheetml/2009/9/main" uri="{504A1905-F514-4f6f-8877-14C23A59335A}">
      <x14:table altTextSummary="Enter First &amp; Last Name, Address, City, State, &amp; Zip Code, Card Sent/When, and Card Received status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List346" displayName="List346" ref="B2:R953" totalsRowCount="1" headerRowDxfId="38" dataDxfId="36" totalsRowDxfId="34" headerRowBorderDxfId="37" tableBorderDxfId="35" headerRowCellStyle="Heading 2" dataCellStyle="Normal">
  <autoFilter ref="B2:R952" xr:uid="{00000000-0009-0000-0100-000005000000}"/>
  <tableColumns count="17">
    <tableColumn id="1" xr3:uid="{00000000-0010-0000-0400-000001000000}" name="Tanggal Pengajuan" dataDxfId="33" totalsRowDxfId="32" dataCellStyle="Normal"/>
    <tableColumn id="2" xr3:uid="{00000000-0010-0000-0400-000002000000}" name="No PP " dataDxfId="31" totalsRowDxfId="30" dataCellStyle="Normal"/>
    <tableColumn id="4" xr3:uid="{00000000-0010-0000-0400-000004000000}" name="Site / Lokasi" dataDxfId="29" totalsRowDxfId="28" dataCellStyle="Normal"/>
    <tableColumn id="5" xr3:uid="{00000000-0010-0000-0400-000005000000}" name="Aktivitas" dataDxfId="27" totalsRowDxfId="26" dataCellStyle="Normal"/>
    <tableColumn id="12" xr3:uid="{00000000-0010-0000-0400-00000C000000}" name="Sifat" totalsRowLabel="Total" dataDxfId="25" totalsRowDxfId="24"/>
    <tableColumn id="6" xr3:uid="{00000000-0010-0000-0400-000006000000}" name="Jumlah Anak " totalsRowFunction="sum" dataDxfId="23" totalsRowDxfId="22" dataCellStyle="Normal">
      <calculatedColumnFormula>IFERROR(VLOOKUP(List346[[#This Row],[Site / Lokasi]],[7]Data!B:C,2,0),0)</calculatedColumnFormula>
    </tableColumn>
    <tableColumn id="3" xr3:uid="{00000000-0010-0000-0400-000003000000}" name="Pengajuan Donasi" totalsRowFunction="sum" dataDxfId="21" totalsRowDxfId="20"/>
    <tableColumn id="8" xr3:uid="{00000000-0010-0000-0400-000008000000}" name="Jumlah Transfer" totalsRowFunction="sum" dataDxfId="19" totalsRowDxfId="18">
      <calculatedColumnFormula>List346[[#This Row],[Pengajuan Donasi]]</calculatedColumnFormula>
    </tableColumn>
    <tableColumn id="9" xr3:uid="{00000000-0010-0000-0400-000009000000}" name="Transfer " dataDxfId="17" totalsRowDxfId="16">
      <calculatedColumnFormula>IF(List346[[#This Row],[Tanggal Trf]]&gt;0,"Done","-")</calculatedColumnFormula>
    </tableColumn>
    <tableColumn id="7" xr3:uid="{00000000-0010-0000-0400-000007000000}" name="Keterangan" dataDxfId="15" totalsRowDxfId="14" dataCellStyle="Normal"/>
    <tableColumn id="13" xr3:uid="{00000000-0010-0000-0400-00000D000000}" name="Tanggal Trf" dataDxfId="13" totalsRowDxfId="12"/>
    <tableColumn id="11" xr3:uid="{00000000-0010-0000-0400-00000B000000}" name="PIC" dataDxfId="11" totalsRowDxfId="10"/>
    <tableColumn id="10" xr3:uid="{00000000-0010-0000-0400-00000A000000}" name="Bulan" dataDxfId="9" totalsRowDxfId="8" dataCellStyle="Normal">
      <calculatedColumnFormula>MONTH(List346[[#This Row],[Tanggal Pengajuan]])</calculatedColumnFormula>
    </tableColumn>
    <tableColumn id="15" xr3:uid="{00000000-0010-0000-0400-00000F000000}" name="LPJ" dataDxfId="7" totalsRowDxfId="6"/>
    <tableColumn id="14" xr3:uid="{00000000-0010-0000-0400-00000E000000}" name="Notes" dataDxfId="5" totalsRowDxfId="4" dataCellStyle="Normal"/>
    <tableColumn id="16" xr3:uid="{00000000-0010-0000-0400-000010000000}" name="Outstanding" dataDxfId="3" totalsRowDxfId="2" dataCellStyle="Normal"/>
    <tableColumn id="17" xr3:uid="{00000000-0010-0000-0400-000011000000}" name="Crosscek" dataDxfId="1" totalsRowDxfId="0" dataCellStyle="Normal"/>
  </tableColumns>
  <tableStyleInfo name="TableStyleDark11" showFirstColumn="0" showLastColumn="0" showRowStripes="1" showColumnStripes="0"/>
  <extLst>
    <ext xmlns:x14="http://schemas.microsoft.com/office/spreadsheetml/2009/9/main" uri="{504A1905-F514-4f6f-8877-14C23A59335A}">
      <x14:table altTextSummary="Enter First &amp; Last Name, Address, City, State, &amp; Zip Code, Card Sent/When, and Card Received status in this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omments" Target="../comments9.xml"/><Relationship Id="rId4"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5.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7.xml"/><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75"/>
  <sheetViews>
    <sheetView showGridLines="0" zoomScaleNormal="100" workbookViewId="0">
      <pane ySplit="1" topLeftCell="A2" activePane="bottomLeft" state="frozen"/>
      <selection pane="bottomLeft" activeCell="J2" sqref="J2"/>
    </sheetView>
  </sheetViews>
  <sheetFormatPr defaultColWidth="8.7421875" defaultRowHeight="15" x14ac:dyDescent="0.2"/>
  <cols>
    <col min="1" max="1" width="5.37890625" style="1" customWidth="1"/>
    <col min="2" max="2" width="41.02734375" style="116" customWidth="1"/>
    <col min="3" max="3" width="18.16015625" style="1" bestFit="1" customWidth="1"/>
    <col min="4" max="4" width="13.5859375" style="159" customWidth="1"/>
    <col min="5" max="5" width="21.5234375" style="1" bestFit="1" customWidth="1"/>
    <col min="6" max="6" width="16.6796875" style="1" bestFit="1" customWidth="1"/>
    <col min="7" max="7" width="20.58203125" style="1" bestFit="1" customWidth="1"/>
    <col min="8" max="8" width="88.11328125" style="1" bestFit="1" customWidth="1"/>
    <col min="9" max="16384" width="8.7421875" style="1"/>
  </cols>
  <sheetData>
    <row r="1" spans="2:9" s="117" customFormat="1" ht="15.75" thickBot="1" x14ac:dyDescent="0.25">
      <c r="B1" s="122" t="s">
        <v>159</v>
      </c>
      <c r="C1" s="122" t="s">
        <v>309</v>
      </c>
      <c r="D1" s="156" t="s">
        <v>12</v>
      </c>
      <c r="E1" s="122" t="s">
        <v>11</v>
      </c>
      <c r="F1" s="122" t="s">
        <v>312</v>
      </c>
      <c r="G1" s="122" t="s">
        <v>313</v>
      </c>
      <c r="H1" s="122" t="s">
        <v>314</v>
      </c>
    </row>
    <row r="2" spans="2:9" x14ac:dyDescent="0.2">
      <c r="B2" s="124" t="s">
        <v>35</v>
      </c>
      <c r="C2" s="120">
        <v>57</v>
      </c>
      <c r="D2" s="157"/>
      <c r="E2" s="120"/>
      <c r="F2" s="5"/>
      <c r="G2" s="120"/>
      <c r="H2" s="120"/>
      <c r="I2" s="1" t="s">
        <v>160</v>
      </c>
    </row>
    <row r="3" spans="2:9" x14ac:dyDescent="0.2">
      <c r="B3" s="118" t="s">
        <v>83</v>
      </c>
      <c r="C3" s="119">
        <v>20</v>
      </c>
      <c r="D3" s="158"/>
      <c r="E3" s="119"/>
      <c r="F3" s="119"/>
      <c r="G3" s="119"/>
      <c r="H3" s="119"/>
      <c r="I3" s="1" t="s">
        <v>161</v>
      </c>
    </row>
    <row r="4" spans="2:9" x14ac:dyDescent="0.2">
      <c r="B4" s="118" t="s">
        <v>79</v>
      </c>
      <c r="C4" s="119">
        <v>44</v>
      </c>
      <c r="D4" s="158"/>
      <c r="E4" s="119"/>
      <c r="F4" s="119"/>
      <c r="G4" s="119"/>
      <c r="H4" s="119"/>
      <c r="I4" s="1" t="s">
        <v>162</v>
      </c>
    </row>
    <row r="5" spans="2:9" x14ac:dyDescent="0.2">
      <c r="B5" s="118" t="s">
        <v>87</v>
      </c>
      <c r="C5" s="119">
        <v>20</v>
      </c>
      <c r="D5" s="158"/>
      <c r="E5" s="119"/>
      <c r="F5" s="119"/>
      <c r="G5" s="119"/>
      <c r="H5" s="119"/>
      <c r="I5" s="1" t="s">
        <v>163</v>
      </c>
    </row>
    <row r="6" spans="2:9" x14ac:dyDescent="0.2">
      <c r="B6" s="118" t="s">
        <v>53</v>
      </c>
      <c r="C6" s="119">
        <v>52</v>
      </c>
      <c r="D6" s="158"/>
      <c r="E6" s="119"/>
      <c r="F6" s="119"/>
      <c r="G6" s="119"/>
      <c r="H6" s="119"/>
      <c r="I6" s="1" t="s">
        <v>164</v>
      </c>
    </row>
    <row r="7" spans="2:9" x14ac:dyDescent="0.2">
      <c r="B7" s="118" t="s">
        <v>106</v>
      </c>
      <c r="C7" s="119">
        <v>0</v>
      </c>
      <c r="D7" s="158"/>
      <c r="E7" s="119"/>
      <c r="F7" s="119"/>
      <c r="G7" s="119"/>
      <c r="H7" s="119"/>
      <c r="I7" s="1" t="s">
        <v>165</v>
      </c>
    </row>
    <row r="8" spans="2:9" x14ac:dyDescent="0.2">
      <c r="B8" s="118" t="s">
        <v>90</v>
      </c>
      <c r="C8" s="119">
        <v>25</v>
      </c>
      <c r="D8" s="158"/>
      <c r="E8" s="119"/>
      <c r="F8" s="119"/>
      <c r="G8" s="119"/>
      <c r="H8" s="119"/>
      <c r="I8" s="1" t="s">
        <v>166</v>
      </c>
    </row>
    <row r="9" spans="2:9" x14ac:dyDescent="0.2">
      <c r="B9" s="118" t="s">
        <v>32</v>
      </c>
      <c r="C9" s="119">
        <v>8</v>
      </c>
      <c r="D9" s="158"/>
      <c r="E9" s="119"/>
      <c r="F9" s="119"/>
      <c r="G9" s="119"/>
      <c r="H9" s="119"/>
      <c r="I9" s="1" t="s">
        <v>167</v>
      </c>
    </row>
    <row r="10" spans="2:9" x14ac:dyDescent="0.2">
      <c r="B10" s="118" t="s">
        <v>70</v>
      </c>
      <c r="C10" s="119">
        <v>1</v>
      </c>
      <c r="D10" s="158"/>
      <c r="E10" s="119"/>
      <c r="F10" s="119"/>
      <c r="G10" s="119"/>
      <c r="H10" s="119"/>
      <c r="I10" s="1" t="s">
        <v>168</v>
      </c>
    </row>
    <row r="11" spans="2:9" x14ac:dyDescent="0.2">
      <c r="B11" s="118" t="s">
        <v>139</v>
      </c>
      <c r="C11" s="119">
        <v>2</v>
      </c>
      <c r="D11" s="158"/>
      <c r="E11" s="119"/>
      <c r="F11" s="119"/>
      <c r="G11" s="119"/>
      <c r="H11" s="119"/>
      <c r="I11" s="1" t="s">
        <v>169</v>
      </c>
    </row>
    <row r="12" spans="2:9" x14ac:dyDescent="0.2">
      <c r="B12" s="118" t="s">
        <v>48</v>
      </c>
      <c r="C12" s="119">
        <v>32</v>
      </c>
      <c r="D12" s="158"/>
      <c r="E12" s="119"/>
      <c r="F12" s="119"/>
      <c r="G12" s="119"/>
      <c r="H12" s="119"/>
      <c r="I12" s="1" t="s">
        <v>170</v>
      </c>
    </row>
    <row r="13" spans="2:9" x14ac:dyDescent="0.2">
      <c r="B13" s="118" t="s">
        <v>25</v>
      </c>
      <c r="C13" s="119">
        <v>1</v>
      </c>
      <c r="D13" s="158"/>
      <c r="E13" s="119"/>
      <c r="F13" s="119"/>
      <c r="G13" s="119"/>
      <c r="H13" s="119"/>
      <c r="I13" s="1" t="s">
        <v>171</v>
      </c>
    </row>
    <row r="14" spans="2:9" x14ac:dyDescent="0.2">
      <c r="B14" s="118" t="s">
        <v>25</v>
      </c>
      <c r="C14" s="119">
        <v>12</v>
      </c>
      <c r="D14" s="158"/>
      <c r="E14" s="119"/>
      <c r="F14" s="119"/>
      <c r="G14" s="119"/>
      <c r="H14" s="119"/>
    </row>
    <row r="15" spans="2:9" x14ac:dyDescent="0.2">
      <c r="B15" s="118" t="s">
        <v>257</v>
      </c>
      <c r="C15" s="119">
        <v>134</v>
      </c>
      <c r="D15" s="158"/>
      <c r="E15" s="119">
        <f>[1]Data!D15</f>
        <v>0</v>
      </c>
      <c r="F15" s="119">
        <f>[1]Data!E15</f>
        <v>0</v>
      </c>
      <c r="G15" s="119">
        <f>[1]Data!F15</f>
        <v>0</v>
      </c>
      <c r="H15" s="119">
        <f>[1]Data!G15</f>
        <v>0</v>
      </c>
    </row>
    <row r="16" spans="2:9" x14ac:dyDescent="0.2">
      <c r="B16" s="118" t="s">
        <v>64</v>
      </c>
      <c r="C16" s="119">
        <v>15</v>
      </c>
      <c r="D16" s="158"/>
      <c r="E16" s="119">
        <f>[1]Data!D16</f>
        <v>0</v>
      </c>
      <c r="F16" s="119">
        <f>[1]Data!E16</f>
        <v>0</v>
      </c>
      <c r="G16" s="119">
        <f>[1]Data!F16</f>
        <v>0</v>
      </c>
      <c r="H16" s="119">
        <f>[1]Data!G16</f>
        <v>0</v>
      </c>
    </row>
    <row r="17" spans="2:8" x14ac:dyDescent="0.2">
      <c r="B17" s="118" t="s">
        <v>114</v>
      </c>
      <c r="C17" s="119">
        <v>115</v>
      </c>
      <c r="D17" s="158"/>
      <c r="E17" s="119">
        <f>[1]Data!D17</f>
        <v>0</v>
      </c>
      <c r="F17" s="119">
        <f>[1]Data!E17</f>
        <v>0</v>
      </c>
      <c r="G17" s="119">
        <f>[1]Data!F17</f>
        <v>0</v>
      </c>
      <c r="H17" s="119">
        <f>[1]Data!G17</f>
        <v>0</v>
      </c>
    </row>
    <row r="18" spans="2:8" x14ac:dyDescent="0.2">
      <c r="B18" s="118" t="s">
        <v>75</v>
      </c>
      <c r="C18" s="119">
        <v>9</v>
      </c>
      <c r="D18" s="158"/>
      <c r="E18" s="119">
        <f>[1]Data!D18</f>
        <v>0</v>
      </c>
      <c r="F18" s="119">
        <f>[1]Data!E18</f>
        <v>0</v>
      </c>
      <c r="G18" s="119">
        <f>[1]Data!F18</f>
        <v>0</v>
      </c>
      <c r="H18" s="119">
        <f>[1]Data!G18</f>
        <v>0</v>
      </c>
    </row>
    <row r="19" spans="2:8" x14ac:dyDescent="0.2">
      <c r="B19" s="118" t="s">
        <v>260</v>
      </c>
      <c r="C19" s="119">
        <v>0</v>
      </c>
      <c r="D19" s="158"/>
      <c r="E19" s="119">
        <f>[1]Data!D19</f>
        <v>0</v>
      </c>
      <c r="F19" s="119">
        <f>[1]Data!E19</f>
        <v>0</v>
      </c>
      <c r="G19" s="119">
        <f>[1]Data!F19</f>
        <v>0</v>
      </c>
      <c r="H19" s="119">
        <f>[1]Data!G19</f>
        <v>0</v>
      </c>
    </row>
    <row r="20" spans="2:8" x14ac:dyDescent="0.2">
      <c r="B20" s="118" t="s">
        <v>235</v>
      </c>
      <c r="C20" s="119">
        <v>0</v>
      </c>
      <c r="D20" s="158"/>
      <c r="E20" s="119">
        <f>[1]Data!D20</f>
        <v>0</v>
      </c>
      <c r="F20" s="119">
        <f>[1]Data!E20</f>
        <v>0</v>
      </c>
      <c r="G20" s="119">
        <f>[1]Data!F20</f>
        <v>0</v>
      </c>
      <c r="H20" s="119">
        <f>[1]Data!G20</f>
        <v>0</v>
      </c>
    </row>
    <row r="21" spans="2:8" x14ac:dyDescent="0.2">
      <c r="B21" s="118" t="s">
        <v>240</v>
      </c>
      <c r="C21" s="119">
        <v>57</v>
      </c>
      <c r="D21" s="157"/>
      <c r="E21" s="120" t="str">
        <f>[1]Data!D21</f>
        <v xml:space="preserve">Suster Yasintha, MCFSM </v>
      </c>
      <c r="F21" s="5" t="str">
        <f>[1]Data!E21</f>
        <v>5bln s/d 20th</v>
      </c>
      <c r="G21" s="120" t="str">
        <f>[1]Data!F21</f>
        <v>TK s/d SMA</v>
      </c>
      <c r="H21" s="119" t="str">
        <f>[1]Data!G21</f>
        <v>Jl. Ry Kampung Sawah no. 14 Rt.7 Rw.1 Jatimurni, Kec. Pondok Melati, Bekasi 17431</v>
      </c>
    </row>
    <row r="22" spans="2:8" x14ac:dyDescent="0.2">
      <c r="B22" s="118" t="s">
        <v>236</v>
      </c>
      <c r="C22" s="119">
        <v>36</v>
      </c>
      <c r="D22" s="158"/>
      <c r="E22" s="121" t="str">
        <f>[1]Data!D22</f>
        <v>Mikas 0813 8444 5096</v>
      </c>
      <c r="F22" s="119" t="str">
        <f>[1]Data!E22</f>
        <v>7th s/d 17th</v>
      </c>
      <c r="G22" s="5" t="str">
        <f>[1]Data!F22</f>
        <v>SD s/d SMK</v>
      </c>
      <c r="H22" s="119" t="str">
        <f>[1]Data!G22</f>
        <v>Jl. Jembatan 2 Raya, Gg. Pilin 1, No. 5 Rt.1/Rw.2 Penjagalan, Penjaringan, Jak-Ut 14450</v>
      </c>
    </row>
    <row r="23" spans="2:8" x14ac:dyDescent="0.2">
      <c r="B23" s="118" t="s">
        <v>261</v>
      </c>
      <c r="C23" s="119">
        <v>0</v>
      </c>
      <c r="D23" s="158"/>
      <c r="E23" s="119">
        <f>[1]Data!D23</f>
        <v>0</v>
      </c>
      <c r="F23" s="119">
        <f>[1]Data!E23</f>
        <v>0</v>
      </c>
      <c r="G23" s="119">
        <f>[1]Data!F23</f>
        <v>0</v>
      </c>
      <c r="H23" s="119">
        <f>[1]Data!G23</f>
        <v>0</v>
      </c>
    </row>
    <row r="24" spans="2:8" x14ac:dyDescent="0.2">
      <c r="B24" s="118" t="s">
        <v>239</v>
      </c>
      <c r="C24" s="119">
        <v>63</v>
      </c>
      <c r="D24" s="158"/>
      <c r="E24" s="119" t="str">
        <f>[1]Data!D24</f>
        <v>Suster Agustine</v>
      </c>
      <c r="F24" s="119" t="str">
        <f>[1]Data!E24</f>
        <v>4th s/d 23th</v>
      </c>
      <c r="G24" s="119" t="str">
        <f>[1]Data!F24</f>
        <v>TK s/d Kuliah</v>
      </c>
      <c r="H24" s="119" t="str">
        <f>[1]Data!G24</f>
        <v>Jl. Ry Kampung Sawah No. 1 Rt.3 Rw.3 Jatimelati, Kec. Pondok Melati, Bekasi 17415</v>
      </c>
    </row>
    <row r="25" spans="2:8" x14ac:dyDescent="0.2">
      <c r="B25" s="118" t="s">
        <v>302</v>
      </c>
      <c r="C25" s="119">
        <v>91</v>
      </c>
      <c r="D25" s="158"/>
      <c r="E25" s="119" t="str">
        <f>[1]Data!D25</f>
        <v xml:space="preserve">Ibu Ana </v>
      </c>
      <c r="F25" s="119" t="str">
        <f>[1]Data!E25</f>
        <v>4 bln s/d 21th</v>
      </c>
      <c r="G25" s="119" t="str">
        <f>[1]Data!F25</f>
        <v>PAUD dan Kejar Paket A</v>
      </c>
      <c r="H25" s="119">
        <f>[1]Data!G25</f>
        <v>0</v>
      </c>
    </row>
    <row r="26" spans="2:8" x14ac:dyDescent="0.2">
      <c r="B26" s="118" t="s">
        <v>278</v>
      </c>
      <c r="C26" s="119">
        <v>150</v>
      </c>
      <c r="D26" s="158"/>
      <c r="E26" s="119" t="str">
        <f>[1]Data!D26</f>
        <v>Pak Gideon</v>
      </c>
      <c r="F26" s="119" t="str">
        <f>[1]Data!E26</f>
        <v>8 bln s/d 18th</v>
      </c>
      <c r="G26" s="119" t="str">
        <f>[1]Data!F26</f>
        <v>PG s/d SMA</v>
      </c>
      <c r="H26" s="119" t="str">
        <f>[1]Data!G26</f>
        <v>Jl. Bambu Kuning Selatan Rt. 4 Rw. 2 Sepqnjang Raya, Rawalumbu, Bekasi 17114</v>
      </c>
    </row>
    <row r="27" spans="2:8" x14ac:dyDescent="0.2">
      <c r="B27" s="118" t="s">
        <v>237</v>
      </c>
      <c r="C27" s="119">
        <v>0</v>
      </c>
      <c r="D27" s="158"/>
      <c r="E27" s="119">
        <f>[1]Data!D27</f>
        <v>0</v>
      </c>
      <c r="F27" s="119">
        <f>[1]Data!E27</f>
        <v>0</v>
      </c>
      <c r="G27" s="119">
        <f>[1]Data!F27</f>
        <v>0</v>
      </c>
      <c r="H27" s="119">
        <f>[1]Data!G27</f>
        <v>0</v>
      </c>
    </row>
    <row r="28" spans="2:8" x14ac:dyDescent="0.2">
      <c r="B28" s="118" t="s">
        <v>252</v>
      </c>
      <c r="C28" s="119">
        <v>0</v>
      </c>
      <c r="D28" s="158"/>
      <c r="E28" s="119">
        <f>[1]Data!D28</f>
        <v>0</v>
      </c>
      <c r="F28" s="119">
        <f>[1]Data!E28</f>
        <v>0</v>
      </c>
      <c r="G28" s="119">
        <f>[1]Data!F28</f>
        <v>0</v>
      </c>
      <c r="H28" s="119">
        <f>[1]Data!G28</f>
        <v>0</v>
      </c>
    </row>
    <row r="29" spans="2:8" x14ac:dyDescent="0.2">
      <c r="B29" s="118" t="s">
        <v>40</v>
      </c>
      <c r="C29" s="119">
        <v>77</v>
      </c>
      <c r="D29" s="158"/>
      <c r="E29" s="119" t="str">
        <f>[1]Data!D29</f>
        <v>Ibu Ferra 0812 8088 0355</v>
      </c>
      <c r="F29" s="119" t="str">
        <f>[1]Data!E29</f>
        <v>24 th keatas</v>
      </c>
      <c r="G29" s="119">
        <f>[1]Data!F29</f>
        <v>0</v>
      </c>
      <c r="H29" s="119" t="str">
        <f>[1]Data!G29</f>
        <v>Jl. AC Lengkeng No. 210 R. 1 Rw. 2 Bojong Menteng. Kec. Rawa Lumbu, Bekasi</v>
      </c>
    </row>
    <row r="30" spans="2:8" x14ac:dyDescent="0.2">
      <c r="B30" s="118" t="s">
        <v>228</v>
      </c>
      <c r="C30" s="119">
        <v>64</v>
      </c>
      <c r="D30" s="158"/>
      <c r="E30" s="119" t="str">
        <f>[1]Data!D30</f>
        <v>Suster Boni 0813 5202 5960</v>
      </c>
      <c r="F30" s="119">
        <f>[1]Data!E30</f>
        <v>0</v>
      </c>
      <c r="G30" s="119">
        <f>[1]Data!F30</f>
        <v>0</v>
      </c>
      <c r="H30" s="119" t="str">
        <f>[1]Data!G30</f>
        <v>Perumahan Citra Indah,  Jl. Bukir Raya Blok M5 No. 1, Sukamaju, Kec. Jonggol, Bogor – Jawa Barat</v>
      </c>
    </row>
    <row r="31" spans="2:8" x14ac:dyDescent="0.2">
      <c r="B31" s="118" t="s">
        <v>250</v>
      </c>
      <c r="C31" s="119">
        <v>0</v>
      </c>
      <c r="D31" s="158"/>
      <c r="E31" s="119">
        <f>[1]Data!D31</f>
        <v>0</v>
      </c>
      <c r="F31" s="119">
        <f>[1]Data!E31</f>
        <v>0</v>
      </c>
      <c r="G31" s="119">
        <f>[1]Data!F31</f>
        <v>0</v>
      </c>
      <c r="H31" s="119">
        <f>[1]Data!G31</f>
        <v>0</v>
      </c>
    </row>
    <row r="32" spans="2:8" x14ac:dyDescent="0.2">
      <c r="B32" s="118" t="s">
        <v>124</v>
      </c>
      <c r="C32" s="119">
        <v>119</v>
      </c>
      <c r="D32" s="158"/>
      <c r="E32" s="119" t="str">
        <f>[1]Data!D32</f>
        <v>Ibu Jely 0812 1850 6603</v>
      </c>
      <c r="F32" s="119">
        <f>[1]Data!E32</f>
        <v>0</v>
      </c>
      <c r="G32" s="119">
        <f>[1]Data!F32</f>
        <v>0</v>
      </c>
      <c r="H32" s="119" t="str">
        <f>[1]Data!G32</f>
        <v>Jl. Abdulrahman No. 14, Cibubur, Kec. Ciracas, Jakarta Timur</v>
      </c>
    </row>
    <row r="33" spans="2:8" x14ac:dyDescent="0.2">
      <c r="B33" s="118" t="s">
        <v>44</v>
      </c>
      <c r="C33" s="119">
        <v>27</v>
      </c>
      <c r="D33" s="158"/>
      <c r="E33" s="119">
        <f>[1]Data!D33</f>
        <v>0</v>
      </c>
      <c r="F33" s="119">
        <f>[1]Data!E33</f>
        <v>0</v>
      </c>
      <c r="G33" s="119">
        <f>[1]Data!F33</f>
        <v>0</v>
      </c>
      <c r="H33" s="119">
        <f>[1]Data!G33</f>
        <v>0</v>
      </c>
    </row>
    <row r="34" spans="2:8" x14ac:dyDescent="0.2">
      <c r="B34" s="118" t="s">
        <v>154</v>
      </c>
      <c r="C34" s="119">
        <v>0</v>
      </c>
      <c r="D34" s="158"/>
      <c r="E34" s="119">
        <f>[1]Data!D34</f>
        <v>0</v>
      </c>
      <c r="F34" s="119">
        <f>[1]Data!E34</f>
        <v>0</v>
      </c>
      <c r="G34" s="119">
        <f>[1]Data!F34</f>
        <v>0</v>
      </c>
      <c r="H34" s="119">
        <f>[1]Data!G34</f>
        <v>0</v>
      </c>
    </row>
    <row r="35" spans="2:8" x14ac:dyDescent="0.2">
      <c r="B35" s="118" t="s">
        <v>238</v>
      </c>
      <c r="C35" s="119">
        <v>0</v>
      </c>
      <c r="D35" s="158"/>
      <c r="E35" s="119">
        <f>[1]Data!D35</f>
        <v>0</v>
      </c>
      <c r="F35" s="119">
        <f>[1]Data!E35</f>
        <v>0</v>
      </c>
      <c r="G35" s="119">
        <f>[1]Data!F35</f>
        <v>0</v>
      </c>
      <c r="H35" s="119">
        <f>[1]Data!G35</f>
        <v>0</v>
      </c>
    </row>
    <row r="36" spans="2:8" x14ac:dyDescent="0.2">
      <c r="B36" s="118" t="s">
        <v>132</v>
      </c>
      <c r="C36" s="119">
        <v>1</v>
      </c>
      <c r="D36" s="158"/>
      <c r="E36" s="119">
        <f>[1]Data!D36</f>
        <v>0</v>
      </c>
      <c r="F36" s="119">
        <f>[1]Data!E36</f>
        <v>0</v>
      </c>
      <c r="G36" s="119">
        <f>[1]Data!F36</f>
        <v>0</v>
      </c>
      <c r="H36" s="119">
        <f>[1]Data!G36</f>
        <v>0</v>
      </c>
    </row>
    <row r="37" spans="2:8" x14ac:dyDescent="0.2">
      <c r="B37" s="118" t="s">
        <v>142</v>
      </c>
      <c r="C37" s="119">
        <v>98</v>
      </c>
      <c r="D37" s="158"/>
      <c r="E37" s="119" t="str">
        <f>[1]Data!D37</f>
        <v xml:space="preserve">Pak Tommy </v>
      </c>
      <c r="F37" s="119" t="str">
        <f>[1]Data!E37</f>
        <v>6 bln s/d 20th</v>
      </c>
      <c r="G37" s="119" t="str">
        <f>[1]Data!F37</f>
        <v>TK s/d Kuliah</v>
      </c>
      <c r="H37" s="119" t="str">
        <f>[1]Data!G37</f>
        <v>Perum Gading Griya Lestari Residence, Blok I 3 No. 2 Pegangsaan II, Kelapa Gading, Jakarta Utara</v>
      </c>
    </row>
    <row r="38" spans="2:8" x14ac:dyDescent="0.2">
      <c r="B38" s="118" t="s">
        <v>222</v>
      </c>
      <c r="C38" s="119">
        <v>38</v>
      </c>
      <c r="D38" s="158"/>
      <c r="E38" s="119">
        <f>[1]Data!D38</f>
        <v>0</v>
      </c>
      <c r="F38" s="119">
        <f>[1]Data!E38</f>
        <v>0</v>
      </c>
      <c r="G38" s="119">
        <f>[1]Data!F38</f>
        <v>0</v>
      </c>
      <c r="H38" s="119">
        <f>[1]Data!G38</f>
        <v>0</v>
      </c>
    </row>
    <row r="39" spans="2:8" x14ac:dyDescent="0.2">
      <c r="B39" s="118" t="s">
        <v>60</v>
      </c>
      <c r="C39" s="119">
        <v>37</v>
      </c>
      <c r="D39" s="158"/>
      <c r="E39" s="119">
        <f>[1]Data!D39</f>
        <v>0</v>
      </c>
      <c r="F39" s="119">
        <f>[1]Data!E39</f>
        <v>0</v>
      </c>
      <c r="G39" s="119">
        <f>[1]Data!F39</f>
        <v>0</v>
      </c>
      <c r="H39" s="119">
        <f>[1]Data!G39</f>
        <v>0</v>
      </c>
    </row>
    <row r="40" spans="2:8" x14ac:dyDescent="0.2">
      <c r="B40" s="118" t="s">
        <v>129</v>
      </c>
      <c r="C40" s="119">
        <v>32</v>
      </c>
      <c r="D40" s="158"/>
      <c r="E40" s="119">
        <f>[1]Data!D40</f>
        <v>0</v>
      </c>
      <c r="F40" s="119">
        <f>[1]Data!E40</f>
        <v>0</v>
      </c>
      <c r="G40" s="119">
        <f>[1]Data!F40</f>
        <v>0</v>
      </c>
      <c r="H40" s="119">
        <f>[1]Data!G40</f>
        <v>0</v>
      </c>
    </row>
    <row r="41" spans="2:8" x14ac:dyDescent="0.2">
      <c r="B41" s="118" t="s">
        <v>95</v>
      </c>
      <c r="C41" s="119">
        <v>19</v>
      </c>
      <c r="D41" s="158"/>
      <c r="E41" s="119" t="str">
        <f>[1]Data!D41</f>
        <v>Ibu Au 0822 6090 9334</v>
      </c>
      <c r="F41" s="119" t="str">
        <f>[1]Data!E41</f>
        <v>53 thn keatas</v>
      </c>
      <c r="G41" s="119">
        <f>[1]Data!F41</f>
        <v>0</v>
      </c>
      <c r="H41" s="119" t="str">
        <f>[1]Data!G41</f>
        <v>Jl. Mesjid Jami Al Barokah No. 37 -38 PD Jaya Kec. Pondok Aren , Tang-Sel, Banten 15220</v>
      </c>
    </row>
    <row r="42" spans="2:8" x14ac:dyDescent="0.2">
      <c r="B42" s="118" t="s">
        <v>256</v>
      </c>
      <c r="C42" s="119">
        <v>86</v>
      </c>
      <c r="D42" s="158"/>
      <c r="E42" s="119">
        <f>[1]Data!D42</f>
        <v>0</v>
      </c>
      <c r="F42" s="119">
        <f>[1]Data!E42</f>
        <v>0</v>
      </c>
      <c r="G42" s="119">
        <f>[1]Data!F42</f>
        <v>0</v>
      </c>
      <c r="H42" s="119">
        <f>[1]Data!G42</f>
        <v>0</v>
      </c>
    </row>
    <row r="43" spans="2:8" x14ac:dyDescent="0.2">
      <c r="B43" s="118" t="s">
        <v>315</v>
      </c>
      <c r="C43" s="119">
        <v>28</v>
      </c>
      <c r="D43" s="158"/>
      <c r="E43" s="119" t="str">
        <f>[1]Data!D43</f>
        <v xml:space="preserve">Ibu Nurbaina Sihombing </v>
      </c>
      <c r="F43" s="119" t="str">
        <f>[1]Data!E43</f>
        <v>7 s/d 18th</v>
      </c>
      <c r="G43" s="5" t="str">
        <f>[1]Data!F43</f>
        <v>SD s/d SMK</v>
      </c>
      <c r="H43" s="119" t="str">
        <f>[1]Data!G43</f>
        <v>Kavling Perumahan Babelan Indah Pos 2, RT.08/RW.13, Kebalen, Kec. Babelan, Bekasi, Jawa Barat 13460</v>
      </c>
    </row>
    <row r="44" spans="2:8" x14ac:dyDescent="0.2">
      <c r="B44" s="118" t="s">
        <v>16</v>
      </c>
      <c r="C44" s="119">
        <v>70</v>
      </c>
      <c r="D44" s="158"/>
      <c r="E44" s="119" t="str">
        <f>[1]Data!D44</f>
        <v>Ibu Elvine 0812 8588 822</v>
      </c>
      <c r="F44" s="119" t="str">
        <f>[1]Data!E44</f>
        <v>Balita s/d 21th</v>
      </c>
      <c r="G44" s="119" t="str">
        <f>[1]Data!F44</f>
        <v>Balita s/d Kuliah</v>
      </c>
      <c r="H44" s="119" t="str">
        <f>[1]Data!G44</f>
        <v>Komp. Pamulang 2 Jl. Benda Barat 6, Pondok Benda Pamulang</v>
      </c>
    </row>
    <row r="45" spans="2:8" x14ac:dyDescent="0.2">
      <c r="B45" s="118" t="s">
        <v>362</v>
      </c>
      <c r="C45" s="119">
        <v>194</v>
      </c>
      <c r="D45" s="158"/>
      <c r="E45" s="119"/>
      <c r="F45" s="119" t="s">
        <v>374</v>
      </c>
      <c r="G45" s="119"/>
      <c r="H45" s="119"/>
    </row>
    <row r="46" spans="2:8" x14ac:dyDescent="0.2">
      <c r="B46" s="118" t="s">
        <v>383</v>
      </c>
      <c r="C46" s="119"/>
      <c r="D46" s="158"/>
      <c r="E46" s="119"/>
      <c r="F46" s="119"/>
      <c r="G46" s="119"/>
      <c r="H46" s="119" t="s">
        <v>384</v>
      </c>
    </row>
    <row r="47" spans="2:8" x14ac:dyDescent="0.2">
      <c r="B47" s="118" t="s">
        <v>386</v>
      </c>
      <c r="C47" s="119">
        <v>63</v>
      </c>
      <c r="D47" s="158"/>
      <c r="E47" s="119"/>
      <c r="F47" s="119"/>
      <c r="G47" s="119"/>
      <c r="H47" s="119"/>
    </row>
    <row r="48" spans="2:8" x14ac:dyDescent="0.2">
      <c r="B48" s="118" t="str">
        <f>Category!C56</f>
        <v>Yayasan Magdalena</v>
      </c>
      <c r="C48" s="119"/>
      <c r="D48" s="158"/>
      <c r="E48" s="119" t="str">
        <f>'[2]Status Pengiriman 24 Panti'!G$50</f>
        <v>Ibu Beny Magdalena</v>
      </c>
      <c r="F48" s="119" t="str">
        <f>'[2]Status Pengiriman 24 Panti'!$E$50</f>
        <v>Anak Asuh</v>
      </c>
      <c r="G48" s="119"/>
      <c r="H48" s="119" t="str">
        <f>'[2]Status Pengiriman 24 Panti'!$C$50</f>
        <v>JL. Kampung Beting Remaja No. 29 Rt. 4 Rw. 19 Kel. Tugu Utara, Koja, Jak-Ut</v>
      </c>
    </row>
    <row r="49" spans="2:8" x14ac:dyDescent="0.2">
      <c r="B49" s="118"/>
      <c r="C49" s="119"/>
      <c r="D49" s="158"/>
      <c r="E49" s="119"/>
      <c r="F49" s="119"/>
      <c r="G49" s="119"/>
      <c r="H49" s="119"/>
    </row>
    <row r="50" spans="2:8" x14ac:dyDescent="0.2">
      <c r="B50" s="118" t="s">
        <v>229</v>
      </c>
      <c r="C50" s="119"/>
      <c r="D50" s="158"/>
      <c r="E50" s="119" t="str">
        <f>[1]Data!D45</f>
        <v>Ibu Wanty 0812 1007 4037</v>
      </c>
      <c r="F50" s="119" t="str">
        <f>[1]Data!E45</f>
        <v>60 th keatas</v>
      </c>
      <c r="G50" s="119">
        <f>[1]Data!F45</f>
        <v>0</v>
      </c>
      <c r="H50" s="119" t="str">
        <f>[1]Data!G45</f>
        <v>Jl Cilincing Kelapa No.2, No 42 RT 1/RW 3 Cilincing , Kec Cilincing Jakarta Utara, DKI Jakarta 14110</v>
      </c>
    </row>
    <row r="51" spans="2:8" ht="41.25" x14ac:dyDescent="0.2">
      <c r="B51" s="381" t="s">
        <v>1099</v>
      </c>
      <c r="C51" s="158">
        <v>60</v>
      </c>
      <c r="D51" s="158"/>
      <c r="E51" s="382" t="s">
        <v>1100</v>
      </c>
      <c r="F51" s="158" t="s">
        <v>1102</v>
      </c>
      <c r="G51" s="158" t="s">
        <v>1103</v>
      </c>
      <c r="H51" s="382" t="s">
        <v>1101</v>
      </c>
    </row>
    <row r="52" spans="2:8" ht="15.75" thickBot="1" x14ac:dyDescent="0.25">
      <c r="B52" s="125" t="s">
        <v>310</v>
      </c>
      <c r="C52" s="123" t="str">
        <f>SUM(C8:C51)&amp;" "&amp;"orang"</f>
        <v>1764 orang</v>
      </c>
      <c r="D52" s="155"/>
      <c r="E52" s="115"/>
      <c r="F52" s="115"/>
      <c r="G52" s="115"/>
      <c r="H52" s="115"/>
    </row>
    <row r="53" spans="2:8" ht="15.75" thickTop="1" x14ac:dyDescent="0.2">
      <c r="B53" s="92"/>
      <c r="C53"/>
      <c r="D53" s="11"/>
    </row>
    <row r="54" spans="2:8" x14ac:dyDescent="0.2">
      <c r="B54" s="92"/>
      <c r="C54"/>
      <c r="D54" s="11"/>
    </row>
    <row r="55" spans="2:8" x14ac:dyDescent="0.2">
      <c r="B55" s="92"/>
      <c r="C55"/>
      <c r="D55" s="11"/>
    </row>
    <row r="56" spans="2:8" x14ac:dyDescent="0.2">
      <c r="B56" s="92"/>
      <c r="C56"/>
      <c r="D56" s="11"/>
    </row>
    <row r="57" spans="2:8" x14ac:dyDescent="0.2">
      <c r="B57" s="92"/>
      <c r="C57"/>
      <c r="D57" s="11"/>
    </row>
    <row r="58" spans="2:8" x14ac:dyDescent="0.2">
      <c r="B58" s="92"/>
      <c r="C58"/>
      <c r="D58" s="11"/>
    </row>
    <row r="59" spans="2:8" x14ac:dyDescent="0.2">
      <c r="B59" s="92"/>
      <c r="C59"/>
      <c r="D59" s="11"/>
    </row>
    <row r="60" spans="2:8" x14ac:dyDescent="0.2">
      <c r="B60" s="92"/>
      <c r="C60"/>
      <c r="D60" s="11"/>
    </row>
    <row r="61" spans="2:8" x14ac:dyDescent="0.2">
      <c r="B61" s="92"/>
      <c r="C61"/>
      <c r="D61" s="11"/>
    </row>
    <row r="62" spans="2:8" x14ac:dyDescent="0.2">
      <c r="B62" s="92"/>
      <c r="C62"/>
      <c r="D62" s="11"/>
    </row>
    <row r="63" spans="2:8" x14ac:dyDescent="0.2">
      <c r="B63" s="92"/>
      <c r="C63"/>
      <c r="D63" s="11"/>
    </row>
    <row r="64" spans="2:8" x14ac:dyDescent="0.2">
      <c r="B64" s="92"/>
      <c r="C64"/>
      <c r="D64" s="11"/>
    </row>
    <row r="65" spans="2:4" x14ac:dyDescent="0.2">
      <c r="B65" s="92"/>
      <c r="C65"/>
      <c r="D65" s="11"/>
    </row>
    <row r="66" spans="2:4" x14ac:dyDescent="0.2">
      <c r="B66" s="92"/>
      <c r="C66"/>
      <c r="D66" s="11"/>
    </row>
    <row r="67" spans="2:4" x14ac:dyDescent="0.2">
      <c r="B67" s="92"/>
      <c r="C67"/>
      <c r="D67" s="11"/>
    </row>
    <row r="68" spans="2:4" x14ac:dyDescent="0.2">
      <c r="B68" s="92"/>
      <c r="C68"/>
      <c r="D68" s="11"/>
    </row>
    <row r="69" spans="2:4" x14ac:dyDescent="0.2">
      <c r="B69" s="92"/>
      <c r="C69"/>
      <c r="D69" s="11"/>
    </row>
    <row r="70" spans="2:4" x14ac:dyDescent="0.2">
      <c r="B70" s="92"/>
      <c r="C70"/>
      <c r="D70" s="11"/>
    </row>
    <row r="71" spans="2:4" x14ac:dyDescent="0.2">
      <c r="B71" s="92"/>
      <c r="C71"/>
      <c r="D71" s="11"/>
    </row>
    <row r="72" spans="2:4" x14ac:dyDescent="0.2">
      <c r="B72" s="92"/>
      <c r="C72"/>
      <c r="D72" s="11"/>
    </row>
    <row r="73" spans="2:4" x14ac:dyDescent="0.2">
      <c r="B73" s="92"/>
      <c r="C73"/>
      <c r="D73" s="11"/>
    </row>
    <row r="74" spans="2:4" x14ac:dyDescent="0.2">
      <c r="B74" s="92"/>
      <c r="C74"/>
      <c r="D74" s="11"/>
    </row>
    <row r="75" spans="2:4" x14ac:dyDescent="0.2">
      <c r="B75" s="92"/>
      <c r="C75"/>
      <c r="D75" s="11"/>
    </row>
  </sheetData>
  <autoFilter ref="B1:H52" xr:uid="{00000000-0009-0000-0000-000000000000}"/>
  <phoneticPr fontId="9" type="noConversion"/>
  <dataValidations count="1">
    <dataValidation type="list" allowBlank="1" showInputMessage="1" showErrorMessage="1" sqref="D2:D51" xr:uid="{00000000-0002-0000-0000-000000000000}">
      <formula1>$I$2:$I$13</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9999"/>
    <pageSetUpPr fitToPage="1"/>
  </sheetPr>
  <dimension ref="B1:U959"/>
  <sheetViews>
    <sheetView showGridLines="0" tabSelected="1" zoomScale="82" zoomScaleNormal="82" workbookViewId="0">
      <pane xSplit="7" ySplit="2" topLeftCell="H3" activePane="bottomRight" state="frozen"/>
      <selection activeCell="AH40" activeCellId="2" sqref="AH27 AH29 AH40"/>
      <selection pane="bottomLeft" activeCell="AH40" activeCellId="2" sqref="AH27 AH29 AH40"/>
      <selection pane="topRight" activeCell="AH40" activeCellId="2" sqref="AH27 AH29 AH40"/>
      <selection pane="bottomRight" activeCell="C3" sqref="C3"/>
    </sheetView>
  </sheetViews>
  <sheetFormatPr defaultColWidth="9.01171875" defaultRowHeight="30" customHeight="1" x14ac:dyDescent="0.2"/>
  <cols>
    <col min="1" max="1" width="2.5546875" style="25" customWidth="1"/>
    <col min="2" max="2" width="21.38671875" style="25" customWidth="1"/>
    <col min="3" max="3" width="23.40625" style="68" customWidth="1"/>
    <col min="4" max="4" width="45.73828125" style="25" customWidth="1"/>
    <col min="5" max="5" width="19.37109375" style="25" customWidth="1"/>
    <col min="6" max="6" width="13.71875" style="25" customWidth="1"/>
    <col min="7" max="7" width="11.56640625" style="25" customWidth="1"/>
    <col min="8" max="8" width="18.83203125" style="268" customWidth="1"/>
    <col min="9" max="9" width="19.50390625" style="268" customWidth="1"/>
    <col min="10" max="10" width="20.984375" style="114" bestFit="1" customWidth="1"/>
    <col min="11" max="11" width="28.78515625" style="25" customWidth="1"/>
    <col min="12" max="12" width="23.26953125" style="114" bestFit="1" customWidth="1"/>
    <col min="13" max="13" width="58.515625" style="25" customWidth="1"/>
    <col min="14" max="14" width="12.10546875" style="25" customWidth="1"/>
    <col min="15" max="15" width="14.796875" style="25" bestFit="1" customWidth="1"/>
    <col min="16" max="16" width="44.2578125" style="25" customWidth="1"/>
    <col min="17" max="17" width="30.53515625" style="112" bestFit="1" customWidth="1"/>
    <col min="18" max="19" width="9.01171875" style="25"/>
    <col min="20" max="20" width="16.6796875" style="152" bestFit="1" customWidth="1"/>
    <col min="21" max="21" width="18.0234375" style="25" bestFit="1" customWidth="1"/>
    <col min="22" max="16384" width="9.01171875" style="25"/>
  </cols>
  <sheetData>
    <row r="1" spans="2:21" s="11" customFormat="1" ht="70.5" customHeight="1" x14ac:dyDescent="0.2">
      <c r="B1" s="10"/>
      <c r="C1" s="64"/>
      <c r="H1" s="256"/>
      <c r="I1" s="256"/>
      <c r="J1" s="54"/>
      <c r="L1" s="219"/>
      <c r="O1" s="10"/>
      <c r="Q1" s="113"/>
      <c r="T1" s="1048"/>
    </row>
    <row r="2" spans="2:21" s="114" customFormat="1" ht="47.1" customHeight="1" x14ac:dyDescent="0.25">
      <c r="B2" s="162" t="s">
        <v>0</v>
      </c>
      <c r="C2" s="147" t="s">
        <v>327</v>
      </c>
      <c r="D2" s="148" t="s">
        <v>2</v>
      </c>
      <c r="E2" s="147" t="s">
        <v>3</v>
      </c>
      <c r="F2" s="147" t="s">
        <v>4</v>
      </c>
      <c r="G2" s="148" t="s">
        <v>5</v>
      </c>
      <c r="H2" s="257" t="s">
        <v>6</v>
      </c>
      <c r="I2" s="257" t="s">
        <v>7</v>
      </c>
      <c r="J2" s="147" t="s">
        <v>8</v>
      </c>
      <c r="K2" s="149" t="s">
        <v>9</v>
      </c>
      <c r="L2" s="150" t="s">
        <v>1007</v>
      </c>
      <c r="M2" s="149" t="s">
        <v>11</v>
      </c>
      <c r="N2" s="149" t="s">
        <v>12</v>
      </c>
      <c r="O2" s="150" t="s">
        <v>255</v>
      </c>
      <c r="P2" s="149" t="s">
        <v>13</v>
      </c>
      <c r="Q2" s="149" t="s">
        <v>363</v>
      </c>
      <c r="R2" s="228" t="s">
        <v>957</v>
      </c>
      <c r="T2" s="218"/>
    </row>
    <row r="3" spans="2:21" ht="30" customHeight="1" x14ac:dyDescent="0.2">
      <c r="B3" s="102">
        <v>44929</v>
      </c>
      <c r="C3" s="67" t="s">
        <v>1830</v>
      </c>
      <c r="D3" s="103" t="s">
        <v>848</v>
      </c>
      <c r="E3" s="103" t="s">
        <v>17</v>
      </c>
      <c r="F3" s="105" t="s">
        <v>18</v>
      </c>
      <c r="G3" s="15">
        <f>IFERROR(+VLOOKUP(D:D,'Data Base P.Asuhan &amp; Jompo'!B:I,7,0),0)</f>
        <v>36</v>
      </c>
      <c r="H3" s="258">
        <v>1539500</v>
      </c>
      <c r="I3" s="258">
        <f>List346[[#This Row],[Pengajuan Donasi]]</f>
        <v>1539500</v>
      </c>
      <c r="J3" s="214" t="str">
        <f>IF(List346[[#This Row],[Tanggal Trf]]&gt;0,"Done","-")</f>
        <v>Done</v>
      </c>
      <c r="K3" s="103" t="s">
        <v>1814</v>
      </c>
      <c r="L3" s="220">
        <v>44938</v>
      </c>
      <c r="M3" s="100" t="s">
        <v>683</v>
      </c>
      <c r="N3" s="100">
        <f>MONTH(List346[[#This Row],[Tanggal Pengajuan]])</f>
        <v>1</v>
      </c>
      <c r="O3" s="62"/>
      <c r="P3" s="100"/>
      <c r="Q3" s="110"/>
      <c r="R3" s="230" t="s">
        <v>958</v>
      </c>
      <c r="T3" s="152">
        <f>+List346[[#This Row],[Pengajuan Donasi]]-List346[[#This Row],[Jumlah Transfer]]</f>
        <v>0</v>
      </c>
      <c r="U3" s="152"/>
    </row>
    <row r="4" spans="2:21" ht="30" customHeight="1" x14ac:dyDescent="0.2">
      <c r="B4" s="102">
        <v>44929</v>
      </c>
      <c r="C4" s="67"/>
      <c r="D4" s="103" t="s">
        <v>238</v>
      </c>
      <c r="E4" s="103" t="s">
        <v>17</v>
      </c>
      <c r="F4" s="105" t="s">
        <v>18</v>
      </c>
      <c r="G4" s="15">
        <f>IFERROR(+VLOOKUP(D:D,'Data Base P.Asuhan &amp; Jompo'!B:I,7,0),0)</f>
        <v>46</v>
      </c>
      <c r="H4" s="258">
        <v>537000</v>
      </c>
      <c r="I4" s="258">
        <f>List346[[#This Row],[Pengajuan Donasi]]</f>
        <v>537000</v>
      </c>
      <c r="J4" s="214" t="str">
        <f>IF(List346[[#This Row],[Tanggal Trf]]&gt;0,"Done","-")</f>
        <v>Done</v>
      </c>
      <c r="K4" s="103" t="s">
        <v>1814</v>
      </c>
      <c r="L4" s="220">
        <v>44938</v>
      </c>
      <c r="M4" s="100" t="s">
        <v>683</v>
      </c>
      <c r="N4" s="100">
        <f>MONTH(List346[[#This Row],[Tanggal Pengajuan]])</f>
        <v>1</v>
      </c>
      <c r="O4" s="62"/>
      <c r="P4" s="100"/>
      <c r="Q4" s="110"/>
      <c r="R4" s="230"/>
      <c r="T4" s="152">
        <f>+List346[[#This Row],[Pengajuan Donasi]]-List346[[#This Row],[Jumlah Transfer]]</f>
        <v>0</v>
      </c>
      <c r="U4" s="152"/>
    </row>
    <row r="5" spans="2:21" ht="30" customHeight="1" x14ac:dyDescent="0.2">
      <c r="B5" s="102">
        <v>44929</v>
      </c>
      <c r="C5" s="67"/>
      <c r="D5" s="103" t="s">
        <v>856</v>
      </c>
      <c r="E5" s="103" t="s">
        <v>17</v>
      </c>
      <c r="F5" s="105" t="s">
        <v>18</v>
      </c>
      <c r="G5" s="15">
        <f>IFERROR(+VLOOKUP(D:D,'Data Base P.Asuhan &amp; Jompo'!B:I,7,0),0)</f>
        <v>32</v>
      </c>
      <c r="H5" s="258">
        <v>1267500</v>
      </c>
      <c r="I5" s="258">
        <f>List346[[#This Row],[Pengajuan Donasi]]</f>
        <v>1267500</v>
      </c>
      <c r="J5" s="214" t="str">
        <f>IF(List346[[#This Row],[Tanggal Trf]]&gt;0,"Done","-")</f>
        <v>Done</v>
      </c>
      <c r="K5" s="103" t="s">
        <v>1814</v>
      </c>
      <c r="L5" s="220">
        <v>44938</v>
      </c>
      <c r="M5" s="100" t="s">
        <v>683</v>
      </c>
      <c r="N5" s="100">
        <f>MONTH(List346[[#This Row],[Tanggal Pengajuan]])</f>
        <v>1</v>
      </c>
      <c r="O5" s="62"/>
      <c r="P5" s="100"/>
      <c r="Q5" s="110"/>
      <c r="R5" s="230"/>
      <c r="T5" s="152">
        <f>+List346[[#This Row],[Pengajuan Donasi]]-List346[[#This Row],[Jumlah Transfer]]</f>
        <v>0</v>
      </c>
      <c r="U5" s="152"/>
    </row>
    <row r="6" spans="2:21" ht="30" customHeight="1" x14ac:dyDescent="0.2">
      <c r="B6" s="102">
        <v>44929</v>
      </c>
      <c r="C6" s="67"/>
      <c r="D6" s="103" t="s">
        <v>862</v>
      </c>
      <c r="E6" s="103" t="s">
        <v>17</v>
      </c>
      <c r="F6" s="105" t="s">
        <v>18</v>
      </c>
      <c r="G6" s="15">
        <f>IFERROR(+VLOOKUP(D:D,'Data Base P.Asuhan &amp; Jompo'!B:I,7,0),0)</f>
        <v>46</v>
      </c>
      <c r="H6" s="258">
        <v>3256000</v>
      </c>
      <c r="I6" s="258">
        <f>List346[[#This Row],[Pengajuan Donasi]]</f>
        <v>3256000</v>
      </c>
      <c r="J6" s="214" t="str">
        <f>IF(List346[[#This Row],[Tanggal Trf]]&gt;0,"Done","-")</f>
        <v>Done</v>
      </c>
      <c r="K6" s="103" t="s">
        <v>1814</v>
      </c>
      <c r="L6" s="220">
        <v>44938</v>
      </c>
      <c r="M6" s="100" t="s">
        <v>683</v>
      </c>
      <c r="N6" s="100">
        <f>MONTH(List346[[#This Row],[Tanggal Pengajuan]])</f>
        <v>1</v>
      </c>
      <c r="O6" s="62"/>
      <c r="P6" s="100"/>
      <c r="Q6" s="110"/>
      <c r="R6" s="230"/>
      <c r="T6" s="152">
        <f>+List346[[#This Row],[Pengajuan Donasi]]-List346[[#This Row],[Jumlah Transfer]]</f>
        <v>0</v>
      </c>
      <c r="U6" s="152"/>
    </row>
    <row r="7" spans="2:21" ht="36" customHeight="1" x14ac:dyDescent="0.2">
      <c r="B7" s="102">
        <v>44929</v>
      </c>
      <c r="C7" s="67" t="s">
        <v>1831</v>
      </c>
      <c r="D7" s="103" t="s">
        <v>229</v>
      </c>
      <c r="E7" s="103" t="s">
        <v>17</v>
      </c>
      <c r="F7" s="105" t="s">
        <v>18</v>
      </c>
      <c r="G7" s="15">
        <f>IFERROR(+VLOOKUP(D:D,'Data Base P.Asuhan &amp; Jompo'!B:I,7,0),0)</f>
        <v>48</v>
      </c>
      <c r="H7" s="258">
        <v>6690000</v>
      </c>
      <c r="I7" s="258">
        <f>List346[[#This Row],[Pengajuan Donasi]]</f>
        <v>6690000</v>
      </c>
      <c r="J7" s="214" t="str">
        <f>IF(List346[[#This Row],[Tanggal Trf]]&gt;0,"Done","-")</f>
        <v>Done</v>
      </c>
      <c r="K7" s="103" t="s">
        <v>1815</v>
      </c>
      <c r="L7" s="220">
        <v>44938</v>
      </c>
      <c r="M7" s="100" t="s">
        <v>683</v>
      </c>
      <c r="N7" s="100">
        <f>MONTH(List346[[#This Row],[Tanggal Pengajuan]])</f>
        <v>1</v>
      </c>
      <c r="O7" s="62"/>
      <c r="P7" s="100"/>
      <c r="Q7" s="110"/>
      <c r="R7" s="230" t="s">
        <v>958</v>
      </c>
      <c r="T7" s="152">
        <f>+List346[[#This Row],[Pengajuan Donasi]]-List346[[#This Row],[Jumlah Transfer]]</f>
        <v>0</v>
      </c>
      <c r="U7" s="152"/>
    </row>
    <row r="8" spans="2:21" ht="36" customHeight="1" x14ac:dyDescent="0.2">
      <c r="B8" s="102">
        <v>44929</v>
      </c>
      <c r="C8" s="67"/>
      <c r="D8" s="103" t="s">
        <v>328</v>
      </c>
      <c r="E8" s="103" t="s">
        <v>17</v>
      </c>
      <c r="F8" s="105" t="s">
        <v>18</v>
      </c>
      <c r="G8" s="15">
        <f>IFERROR(+VLOOKUP(D:D,'Data Base P.Asuhan &amp; Jompo'!B:I,7,0),0)</f>
        <v>0</v>
      </c>
      <c r="H8" s="258">
        <v>2078000</v>
      </c>
      <c r="I8" s="258">
        <f>List346[[#This Row],[Pengajuan Donasi]]</f>
        <v>2078000</v>
      </c>
      <c r="J8" s="214" t="str">
        <f>IF(List346[[#This Row],[Tanggal Trf]]&gt;0,"Done","-")</f>
        <v>Done</v>
      </c>
      <c r="K8" s="103" t="s">
        <v>1815</v>
      </c>
      <c r="L8" s="220">
        <v>44938</v>
      </c>
      <c r="M8" s="100" t="s">
        <v>683</v>
      </c>
      <c r="N8" s="100">
        <f>MONTH(List346[[#This Row],[Tanggal Pengajuan]])</f>
        <v>1</v>
      </c>
      <c r="O8" s="62"/>
      <c r="P8" s="100"/>
      <c r="Q8" s="110"/>
      <c r="R8" s="230"/>
      <c r="T8" s="152">
        <f>+List346[[#This Row],[Pengajuan Donasi]]-List346[[#This Row],[Jumlah Transfer]]</f>
        <v>0</v>
      </c>
      <c r="U8" s="152"/>
    </row>
    <row r="9" spans="2:21" ht="36" customHeight="1" x14ac:dyDescent="0.2">
      <c r="B9" s="102">
        <v>44929</v>
      </c>
      <c r="C9" s="67"/>
      <c r="D9" s="103" t="s">
        <v>865</v>
      </c>
      <c r="E9" s="103" t="s">
        <v>17</v>
      </c>
      <c r="F9" s="105" t="s">
        <v>18</v>
      </c>
      <c r="G9" s="15">
        <f>IFERROR(+VLOOKUP(D:D,'Data Base P.Asuhan &amp; Jompo'!B:I,7,0),0)</f>
        <v>96</v>
      </c>
      <c r="H9" s="258">
        <v>3354000</v>
      </c>
      <c r="I9" s="258">
        <f>List346[[#This Row],[Pengajuan Donasi]]</f>
        <v>3354000</v>
      </c>
      <c r="J9" s="214" t="str">
        <f>IF(List346[[#This Row],[Tanggal Trf]]&gt;0,"Done","-")</f>
        <v>Done</v>
      </c>
      <c r="K9" s="103" t="s">
        <v>1815</v>
      </c>
      <c r="L9" s="220">
        <v>44938</v>
      </c>
      <c r="M9" s="100" t="s">
        <v>683</v>
      </c>
      <c r="N9" s="100">
        <f>MONTH(List346[[#This Row],[Tanggal Pengajuan]])</f>
        <v>1</v>
      </c>
      <c r="O9" s="62"/>
      <c r="P9" s="100"/>
      <c r="Q9" s="110"/>
      <c r="R9" s="230"/>
      <c r="T9" s="152">
        <f>+List346[[#This Row],[Pengajuan Donasi]]-List346[[#This Row],[Jumlah Transfer]]</f>
        <v>0</v>
      </c>
      <c r="U9" s="152"/>
    </row>
    <row r="10" spans="2:21" ht="30" customHeight="1" x14ac:dyDescent="0.2">
      <c r="B10" s="102">
        <v>44929</v>
      </c>
      <c r="C10" s="67" t="s">
        <v>1832</v>
      </c>
      <c r="D10" s="103" t="s">
        <v>48</v>
      </c>
      <c r="E10" s="103" t="s">
        <v>179</v>
      </c>
      <c r="F10" s="105" t="s">
        <v>18</v>
      </c>
      <c r="G10" s="15">
        <f>IFERROR(+VLOOKUP(D:D,'Data Base P.Asuhan &amp; Jompo'!B:I,7,0),0)</f>
        <v>47</v>
      </c>
      <c r="H10" s="258">
        <v>3820000</v>
      </c>
      <c r="I10" s="258">
        <f>List346[[#This Row],[Pengajuan Donasi]]</f>
        <v>3820000</v>
      </c>
      <c r="J10" s="214" t="str">
        <f>IF(List346[[#This Row],[Tanggal Trf]]&gt;0,"Done","-")</f>
        <v>Done</v>
      </c>
      <c r="K10" s="103" t="s">
        <v>1816</v>
      </c>
      <c r="L10" s="220">
        <v>44938</v>
      </c>
      <c r="M10" s="100" t="s">
        <v>445</v>
      </c>
      <c r="N10" s="100">
        <f>MONTH(List346[[#This Row],[Tanggal Pengajuan]])</f>
        <v>1</v>
      </c>
      <c r="O10" s="62"/>
      <c r="P10" s="100"/>
      <c r="Q10" s="110"/>
      <c r="R10" s="230" t="s">
        <v>958</v>
      </c>
      <c r="T10" s="152">
        <f>+List346[[#This Row],[Pengajuan Donasi]]-List346[[#This Row],[Jumlah Transfer]]</f>
        <v>0</v>
      </c>
      <c r="U10" s="152"/>
    </row>
    <row r="11" spans="2:21" ht="30" customHeight="1" x14ac:dyDescent="0.2">
      <c r="B11" s="102">
        <v>44929</v>
      </c>
      <c r="C11" s="67" t="s">
        <v>1833</v>
      </c>
      <c r="D11" s="103" t="s">
        <v>859</v>
      </c>
      <c r="E11" s="103" t="s">
        <v>17</v>
      </c>
      <c r="F11" s="105" t="s">
        <v>18</v>
      </c>
      <c r="G11" s="15">
        <f>IFERROR(+VLOOKUP(D:D,'Data Base P.Asuhan &amp; Jompo'!B:I,7,0),0)</f>
        <v>25</v>
      </c>
      <c r="H11" s="259">
        <v>6000000</v>
      </c>
      <c r="I11" s="258">
        <f>List346[[#This Row],[Pengajuan Donasi]]</f>
        <v>6000000</v>
      </c>
      <c r="J11" s="215" t="str">
        <f>IF(List346[[#This Row],[Tanggal Trf]]&gt;0,"Done","-")</f>
        <v>Done</v>
      </c>
      <c r="K11" s="103" t="s">
        <v>1817</v>
      </c>
      <c r="L11" s="220">
        <v>44938</v>
      </c>
      <c r="M11" s="203" t="s">
        <v>650</v>
      </c>
      <c r="N11" s="20">
        <f>MONTH(List346[[#This Row],[Tanggal Pengajuan]])</f>
        <v>1</v>
      </c>
      <c r="O11" s="62"/>
      <c r="P11" s="100"/>
      <c r="Q11" s="198"/>
      <c r="R11" s="230" t="s">
        <v>958</v>
      </c>
      <c r="T11" s="152">
        <f>+List346[[#This Row],[Pengajuan Donasi]]-List346[[#This Row],[Jumlah Transfer]]</f>
        <v>0</v>
      </c>
      <c r="U11" s="152"/>
    </row>
    <row r="12" spans="2:21" ht="30" customHeight="1" x14ac:dyDescent="0.2">
      <c r="B12" s="102">
        <v>44929</v>
      </c>
      <c r="C12" s="67" t="s">
        <v>1834</v>
      </c>
      <c r="D12" s="103" t="s">
        <v>950</v>
      </c>
      <c r="E12" s="103" t="s">
        <v>26</v>
      </c>
      <c r="F12" s="105" t="s">
        <v>18</v>
      </c>
      <c r="G12" s="15">
        <f>IFERROR(+VLOOKUP(D:D,'Data Base P.Asuhan &amp; Jompo'!B:I,7,0),0)</f>
        <v>1</v>
      </c>
      <c r="H12" s="260">
        <v>5000000</v>
      </c>
      <c r="I12" s="258">
        <f>List346[[#This Row],[Pengajuan Donasi]]</f>
        <v>5000000</v>
      </c>
      <c r="J12" s="215" t="str">
        <f>IF(List346[[#This Row],[Tanggal Trf]]&gt;0,"Done","-")</f>
        <v>Done</v>
      </c>
      <c r="K12" s="103" t="s">
        <v>1818</v>
      </c>
      <c r="L12" s="220">
        <v>44939</v>
      </c>
      <c r="M12" s="208" t="s">
        <v>448</v>
      </c>
      <c r="N12" s="20">
        <f>MONTH(List346[[#This Row],[Tanggal Pengajuan]])</f>
        <v>1</v>
      </c>
      <c r="O12" s="183"/>
      <c r="P12" s="100"/>
      <c r="Q12" s="198"/>
      <c r="R12" s="230" t="s">
        <v>958</v>
      </c>
      <c r="T12" s="152">
        <f>+List346[[#This Row],[Pengajuan Donasi]]-List346[[#This Row],[Jumlah Transfer]]</f>
        <v>0</v>
      </c>
      <c r="U12" s="152"/>
    </row>
    <row r="13" spans="2:21" ht="30" customHeight="1" x14ac:dyDescent="0.2">
      <c r="B13" s="102">
        <v>44929</v>
      </c>
      <c r="C13" s="67"/>
      <c r="D13" s="103" t="s">
        <v>875</v>
      </c>
      <c r="E13" s="103" t="s">
        <v>26</v>
      </c>
      <c r="F13" s="105" t="s">
        <v>18</v>
      </c>
      <c r="G13" s="15">
        <f>IFERROR(+VLOOKUP(D:D,'Data Base P.Asuhan &amp; Jompo'!B:I,7,0),0)</f>
        <v>1</v>
      </c>
      <c r="H13" s="260">
        <v>1000000</v>
      </c>
      <c r="I13" s="258">
        <f>List346[[#This Row],[Pengajuan Donasi]]</f>
        <v>1000000</v>
      </c>
      <c r="J13" s="733" t="str">
        <f>IF(List346[[#This Row],[Tanggal Trf]]&gt;0,"Done","-")</f>
        <v>Done</v>
      </c>
      <c r="K13" s="103" t="s">
        <v>1818</v>
      </c>
      <c r="L13" s="220">
        <v>44939</v>
      </c>
      <c r="M13" s="208" t="s">
        <v>453</v>
      </c>
      <c r="N13" s="20">
        <f>MONTH(List346[[#This Row],[Tanggal Pengajuan]])</f>
        <v>1</v>
      </c>
      <c r="O13" s="183"/>
      <c r="P13" s="100"/>
      <c r="Q13" s="198"/>
      <c r="R13" s="230"/>
      <c r="T13" s="152">
        <f>+List346[[#This Row],[Pengajuan Donasi]]-List346[[#This Row],[Jumlah Transfer]]</f>
        <v>0</v>
      </c>
      <c r="U13" s="152"/>
    </row>
    <row r="14" spans="2:21" ht="30" customHeight="1" x14ac:dyDescent="0.2">
      <c r="B14" s="102">
        <v>44929</v>
      </c>
      <c r="C14" s="67"/>
      <c r="D14" s="103" t="s">
        <v>877</v>
      </c>
      <c r="E14" s="103" t="s">
        <v>26</v>
      </c>
      <c r="F14" s="105" t="s">
        <v>18</v>
      </c>
      <c r="G14" s="15">
        <f>IFERROR(+VLOOKUP(D:D,'Data Base P.Asuhan &amp; Jompo'!B:I,7,0),0)</f>
        <v>1</v>
      </c>
      <c r="H14" s="260">
        <v>1000000</v>
      </c>
      <c r="I14" s="258">
        <f>List346[[#This Row],[Pengajuan Donasi]]</f>
        <v>1000000</v>
      </c>
      <c r="J14" s="733" t="str">
        <f>IF(List346[[#This Row],[Tanggal Trf]]&gt;0,"Done","-")</f>
        <v>Done</v>
      </c>
      <c r="K14" s="103" t="s">
        <v>1818</v>
      </c>
      <c r="L14" s="220">
        <v>44939</v>
      </c>
      <c r="M14" s="208" t="s">
        <v>458</v>
      </c>
      <c r="N14" s="20">
        <f>MONTH(List346[[#This Row],[Tanggal Pengajuan]])</f>
        <v>1</v>
      </c>
      <c r="O14" s="183"/>
      <c r="P14" s="100"/>
      <c r="Q14" s="198"/>
      <c r="R14" s="230"/>
      <c r="T14" s="152">
        <f>+List346[[#This Row],[Pengajuan Donasi]]-List346[[#This Row],[Jumlah Transfer]]</f>
        <v>0</v>
      </c>
      <c r="U14" s="152"/>
    </row>
    <row r="15" spans="2:21" ht="30" customHeight="1" x14ac:dyDescent="0.2">
      <c r="B15" s="102">
        <v>44929</v>
      </c>
      <c r="C15" s="67"/>
      <c r="D15" s="103" t="s">
        <v>878</v>
      </c>
      <c r="E15" s="103" t="s">
        <v>26</v>
      </c>
      <c r="F15" s="105" t="s">
        <v>18</v>
      </c>
      <c r="G15" s="15">
        <f>IFERROR(+VLOOKUP(D:D,'Data Base P.Asuhan &amp; Jompo'!B:I,7,0),0)</f>
        <v>1</v>
      </c>
      <c r="H15" s="260">
        <v>1000000</v>
      </c>
      <c r="I15" s="258">
        <f>List346[[#This Row],[Pengajuan Donasi]]</f>
        <v>1000000</v>
      </c>
      <c r="J15" s="733" t="str">
        <f>IF(List346[[#This Row],[Tanggal Trf]]&gt;0,"Done","-")</f>
        <v>Done</v>
      </c>
      <c r="K15" s="103" t="s">
        <v>1818</v>
      </c>
      <c r="L15" s="220">
        <v>44939</v>
      </c>
      <c r="M15" s="208" t="s">
        <v>460</v>
      </c>
      <c r="N15" s="20">
        <f>MONTH(List346[[#This Row],[Tanggal Pengajuan]])</f>
        <v>1</v>
      </c>
      <c r="O15" s="183"/>
      <c r="P15" s="100"/>
      <c r="Q15" s="198"/>
      <c r="R15" s="230"/>
      <c r="T15" s="152">
        <f>+List346[[#This Row],[Pengajuan Donasi]]-List346[[#This Row],[Jumlah Transfer]]</f>
        <v>0</v>
      </c>
      <c r="U15" s="152"/>
    </row>
    <row r="16" spans="2:21" ht="30" customHeight="1" x14ac:dyDescent="0.2">
      <c r="B16" s="102">
        <v>44929</v>
      </c>
      <c r="C16" s="67"/>
      <c r="D16" s="103" t="s">
        <v>879</v>
      </c>
      <c r="E16" s="103" t="s">
        <v>26</v>
      </c>
      <c r="F16" s="105" t="s">
        <v>18</v>
      </c>
      <c r="G16" s="15">
        <f>IFERROR(+VLOOKUP(D:D,'Data Base P.Asuhan &amp; Jompo'!B:I,7,0),0)</f>
        <v>1</v>
      </c>
      <c r="H16" s="260">
        <v>1000000</v>
      </c>
      <c r="I16" s="258">
        <f>List346[[#This Row],[Pengajuan Donasi]]</f>
        <v>1000000</v>
      </c>
      <c r="J16" s="733" t="str">
        <f>IF(List346[[#This Row],[Tanggal Trf]]&gt;0,"Done","-")</f>
        <v>Done</v>
      </c>
      <c r="K16" s="103" t="s">
        <v>1818</v>
      </c>
      <c r="L16" s="220">
        <v>44939</v>
      </c>
      <c r="M16" s="208" t="s">
        <v>462</v>
      </c>
      <c r="N16" s="20">
        <f>MONTH(List346[[#This Row],[Tanggal Pengajuan]])</f>
        <v>1</v>
      </c>
      <c r="O16" s="183"/>
      <c r="P16" s="100"/>
      <c r="Q16" s="198"/>
      <c r="R16" s="230"/>
      <c r="T16" s="152">
        <f>+List346[[#This Row],[Pengajuan Donasi]]-List346[[#This Row],[Jumlah Transfer]]</f>
        <v>0</v>
      </c>
      <c r="U16" s="152"/>
    </row>
    <row r="17" spans="2:21" ht="30" customHeight="1" x14ac:dyDescent="0.2">
      <c r="B17" s="102">
        <v>44929</v>
      </c>
      <c r="C17" s="67"/>
      <c r="D17" s="103" t="s">
        <v>951</v>
      </c>
      <c r="E17" s="103" t="s">
        <v>26</v>
      </c>
      <c r="F17" s="105" t="s">
        <v>18</v>
      </c>
      <c r="G17" s="15">
        <f>IFERROR(+VLOOKUP(D:D,'Data Base P.Asuhan &amp; Jompo'!B:I,7,0),0)</f>
        <v>1</v>
      </c>
      <c r="H17" s="260">
        <v>1000000</v>
      </c>
      <c r="I17" s="258">
        <f>List346[[#This Row],[Pengajuan Donasi]]</f>
        <v>1000000</v>
      </c>
      <c r="J17" s="733" t="str">
        <f>IF(List346[[#This Row],[Tanggal Trf]]&gt;0,"Done","-")</f>
        <v>Done</v>
      </c>
      <c r="K17" s="103" t="s">
        <v>1818</v>
      </c>
      <c r="L17" s="220">
        <v>44939</v>
      </c>
      <c r="M17" s="208" t="s">
        <v>466</v>
      </c>
      <c r="N17" s="20">
        <f>MONTH(List346[[#This Row],[Tanggal Pengajuan]])</f>
        <v>1</v>
      </c>
      <c r="O17" s="183"/>
      <c r="P17" s="100"/>
      <c r="Q17" s="198"/>
      <c r="R17" s="230"/>
      <c r="T17" s="152">
        <f>+List346[[#This Row],[Pengajuan Donasi]]-List346[[#This Row],[Jumlah Transfer]]</f>
        <v>0</v>
      </c>
      <c r="U17" s="152"/>
    </row>
    <row r="18" spans="2:21" ht="30" customHeight="1" x14ac:dyDescent="0.2">
      <c r="B18" s="102">
        <v>44929</v>
      </c>
      <c r="C18" s="67"/>
      <c r="D18" s="103" t="s">
        <v>880</v>
      </c>
      <c r="E18" s="103" t="s">
        <v>26</v>
      </c>
      <c r="F18" s="105" t="s">
        <v>18</v>
      </c>
      <c r="G18" s="15">
        <f>IFERROR(+VLOOKUP(D:D,'Data Base P.Asuhan &amp; Jompo'!B:I,7,0),0)</f>
        <v>1</v>
      </c>
      <c r="H18" s="260">
        <v>1000000</v>
      </c>
      <c r="I18" s="258">
        <f>List346[[#This Row],[Pengajuan Donasi]]</f>
        <v>1000000</v>
      </c>
      <c r="J18" s="733" t="str">
        <f>IF(List346[[#This Row],[Tanggal Trf]]&gt;0,"Done","-")</f>
        <v>Done</v>
      </c>
      <c r="K18" s="103" t="s">
        <v>1818</v>
      </c>
      <c r="L18" s="220">
        <v>44939</v>
      </c>
      <c r="M18" s="208" t="s">
        <v>470</v>
      </c>
      <c r="N18" s="20">
        <f>MONTH(List346[[#This Row],[Tanggal Pengajuan]])</f>
        <v>1</v>
      </c>
      <c r="O18" s="183"/>
      <c r="P18" s="100"/>
      <c r="Q18" s="198"/>
      <c r="R18" s="230"/>
      <c r="T18" s="152">
        <f>+List346[[#This Row],[Pengajuan Donasi]]-List346[[#This Row],[Jumlah Transfer]]</f>
        <v>0</v>
      </c>
      <c r="U18" s="152"/>
    </row>
    <row r="19" spans="2:21" ht="30" customHeight="1" x14ac:dyDescent="0.2">
      <c r="B19" s="102">
        <v>44929</v>
      </c>
      <c r="C19" s="67"/>
      <c r="D19" s="103" t="s">
        <v>952</v>
      </c>
      <c r="E19" s="103" t="s">
        <v>26</v>
      </c>
      <c r="F19" s="105" t="s">
        <v>18</v>
      </c>
      <c r="G19" s="15">
        <f>IFERROR(+VLOOKUP(D:D,'Data Base P.Asuhan &amp; Jompo'!B:I,7,0),0)</f>
        <v>1</v>
      </c>
      <c r="H19" s="260">
        <v>1000000</v>
      </c>
      <c r="I19" s="258">
        <f>List346[[#This Row],[Pengajuan Donasi]]</f>
        <v>1000000</v>
      </c>
      <c r="J19" s="733" t="str">
        <f>IF(List346[[#This Row],[Tanggal Trf]]&gt;0,"Done","-")</f>
        <v>Done</v>
      </c>
      <c r="K19" s="103" t="s">
        <v>1818</v>
      </c>
      <c r="L19" s="220">
        <v>44939</v>
      </c>
      <c r="M19" s="208" t="s">
        <v>519</v>
      </c>
      <c r="N19" s="20">
        <f>MONTH(List346[[#This Row],[Tanggal Pengajuan]])</f>
        <v>1</v>
      </c>
      <c r="O19" s="183"/>
      <c r="P19" s="100"/>
      <c r="Q19" s="198"/>
      <c r="R19" s="230"/>
      <c r="T19" s="152">
        <f>+List346[[#This Row],[Pengajuan Donasi]]-List346[[#This Row],[Jumlah Transfer]]</f>
        <v>0</v>
      </c>
      <c r="U19" s="152"/>
    </row>
    <row r="20" spans="2:21" ht="30" customHeight="1" x14ac:dyDescent="0.2">
      <c r="B20" s="102">
        <v>44929</v>
      </c>
      <c r="C20" s="67"/>
      <c r="D20" s="103" t="s">
        <v>881</v>
      </c>
      <c r="E20" s="103" t="s">
        <v>26</v>
      </c>
      <c r="F20" s="105" t="s">
        <v>18</v>
      </c>
      <c r="G20" s="15">
        <f>IFERROR(+VLOOKUP(D:D,'Data Base P.Asuhan &amp; Jompo'!B:I,7,0),0)</f>
        <v>1</v>
      </c>
      <c r="H20" s="260">
        <v>1000000</v>
      </c>
      <c r="I20" s="258">
        <f>List346[[#This Row],[Pengajuan Donasi]]</f>
        <v>1000000</v>
      </c>
      <c r="J20" s="733" t="str">
        <f>IF(List346[[#This Row],[Tanggal Trf]]&gt;0,"Done","-")</f>
        <v>Done</v>
      </c>
      <c r="K20" s="103" t="s">
        <v>1818</v>
      </c>
      <c r="L20" s="220">
        <v>44939</v>
      </c>
      <c r="M20" s="208" t="s">
        <v>476</v>
      </c>
      <c r="N20" s="20">
        <f>MONTH(List346[[#This Row],[Tanggal Pengajuan]])</f>
        <v>1</v>
      </c>
      <c r="O20" s="183"/>
      <c r="P20" s="100"/>
      <c r="Q20" s="198"/>
      <c r="R20" s="230"/>
      <c r="T20" s="152">
        <f>+List346[[#This Row],[Pengajuan Donasi]]-List346[[#This Row],[Jumlah Transfer]]</f>
        <v>0</v>
      </c>
      <c r="U20" s="152"/>
    </row>
    <row r="21" spans="2:21" ht="30" customHeight="1" x14ac:dyDescent="0.2">
      <c r="B21" s="102">
        <v>44929</v>
      </c>
      <c r="C21" s="67"/>
      <c r="D21" s="103" t="s">
        <v>953</v>
      </c>
      <c r="E21" s="103" t="s">
        <v>26</v>
      </c>
      <c r="F21" s="105" t="s">
        <v>18</v>
      </c>
      <c r="G21" s="15">
        <f>IFERROR(+VLOOKUP(D:D,'Data Base P.Asuhan &amp; Jompo'!B:I,7,0),0)</f>
        <v>1</v>
      </c>
      <c r="H21" s="260">
        <v>1000000</v>
      </c>
      <c r="I21" s="258">
        <f>List346[[#This Row],[Pengajuan Donasi]]</f>
        <v>1000000</v>
      </c>
      <c r="J21" s="733" t="str">
        <f>IF(List346[[#This Row],[Tanggal Trf]]&gt;0,"Done","-")</f>
        <v>Done</v>
      </c>
      <c r="K21" s="103" t="s">
        <v>1818</v>
      </c>
      <c r="L21" s="220">
        <v>44939</v>
      </c>
      <c r="M21" s="208" t="s">
        <v>873</v>
      </c>
      <c r="N21" s="20">
        <f>MONTH(List346[[#This Row],[Tanggal Pengajuan]])</f>
        <v>1</v>
      </c>
      <c r="O21" s="183"/>
      <c r="P21" s="100"/>
      <c r="Q21" s="198"/>
      <c r="R21" s="230"/>
      <c r="T21" s="152">
        <f>+List346[[#This Row],[Pengajuan Donasi]]-List346[[#This Row],[Jumlah Transfer]]</f>
        <v>0</v>
      </c>
      <c r="U21" s="152"/>
    </row>
    <row r="22" spans="2:21" ht="30" customHeight="1" x14ac:dyDescent="0.2">
      <c r="B22" s="102">
        <v>44929</v>
      </c>
      <c r="C22" s="67"/>
      <c r="D22" s="103" t="s">
        <v>954</v>
      </c>
      <c r="E22" s="103" t="s">
        <v>26</v>
      </c>
      <c r="F22" s="105" t="s">
        <v>18</v>
      </c>
      <c r="G22" s="15">
        <f>IFERROR(+VLOOKUP(D:D,'Data Base P.Asuhan &amp; Jompo'!B:I,7,0),0)</f>
        <v>1</v>
      </c>
      <c r="H22" s="260">
        <v>1000000</v>
      </c>
      <c r="I22" s="258">
        <f>List346[[#This Row],[Pengajuan Donasi]]</f>
        <v>1000000</v>
      </c>
      <c r="J22" s="733" t="str">
        <f>IF(List346[[#This Row],[Tanggal Trf]]&gt;0,"Done","-")</f>
        <v>Done</v>
      </c>
      <c r="K22" s="103" t="s">
        <v>1818</v>
      </c>
      <c r="L22" s="220">
        <v>44939</v>
      </c>
      <c r="M22" s="208" t="s">
        <v>874</v>
      </c>
      <c r="N22" s="20">
        <f>MONTH(List346[[#This Row],[Tanggal Pengajuan]])</f>
        <v>1</v>
      </c>
      <c r="O22" s="183"/>
      <c r="P22" s="100"/>
      <c r="Q22" s="198"/>
      <c r="R22" s="230"/>
      <c r="T22" s="152">
        <f>+List346[[#This Row],[Pengajuan Donasi]]-List346[[#This Row],[Jumlah Transfer]]</f>
        <v>0</v>
      </c>
      <c r="U22" s="152"/>
    </row>
    <row r="23" spans="2:21" ht="30" customHeight="1" x14ac:dyDescent="0.2">
      <c r="B23" s="102">
        <v>44929</v>
      </c>
      <c r="C23" s="67"/>
      <c r="D23" s="103" t="s">
        <v>955</v>
      </c>
      <c r="E23" s="103" t="s">
        <v>26</v>
      </c>
      <c r="F23" s="105" t="s">
        <v>18</v>
      </c>
      <c r="G23" s="15">
        <f>IFERROR(+VLOOKUP(D:D,'Data Base P.Asuhan &amp; Jompo'!B:I,7,0),0)</f>
        <v>1</v>
      </c>
      <c r="H23" s="260">
        <v>1000000</v>
      </c>
      <c r="I23" s="258">
        <f>List346[[#This Row],[Pengajuan Donasi]]</f>
        <v>1000000</v>
      </c>
      <c r="J23" s="733" t="str">
        <f>IF(List346[[#This Row],[Tanggal Trf]]&gt;0,"Done","-")</f>
        <v>Done</v>
      </c>
      <c r="K23" s="103" t="s">
        <v>1818</v>
      </c>
      <c r="L23" s="220">
        <v>44939</v>
      </c>
      <c r="M23" s="208" t="s">
        <v>762</v>
      </c>
      <c r="N23" s="20">
        <f>MONTH(List346[[#This Row],[Tanggal Pengajuan]])</f>
        <v>1</v>
      </c>
      <c r="O23" s="183"/>
      <c r="P23" s="100"/>
      <c r="Q23" s="198"/>
      <c r="R23" s="230"/>
      <c r="T23" s="152">
        <f>+List346[[#This Row],[Pengajuan Donasi]]-List346[[#This Row],[Jumlah Transfer]]</f>
        <v>0</v>
      </c>
      <c r="U23" s="152"/>
    </row>
    <row r="24" spans="2:21" ht="30" customHeight="1" x14ac:dyDescent="0.2">
      <c r="B24" s="102">
        <v>44929</v>
      </c>
      <c r="C24" s="67"/>
      <c r="D24" s="103" t="s">
        <v>1214</v>
      </c>
      <c r="E24" s="103" t="s">
        <v>26</v>
      </c>
      <c r="F24" s="105" t="s">
        <v>18</v>
      </c>
      <c r="G24" s="15">
        <f>IFERROR(+VLOOKUP(D:D,'Data Base P.Asuhan &amp; Jompo'!B:I,7,0),0)</f>
        <v>1</v>
      </c>
      <c r="H24" s="260">
        <v>750000</v>
      </c>
      <c r="I24" s="258">
        <f>List346[[#This Row],[Pengajuan Donasi]]</f>
        <v>750000</v>
      </c>
      <c r="J24" s="733" t="str">
        <f>IF(List346[[#This Row],[Tanggal Trf]]&gt;0,"Done","-")</f>
        <v>Done</v>
      </c>
      <c r="K24" s="103" t="s">
        <v>1818</v>
      </c>
      <c r="L24" s="220">
        <v>44939</v>
      </c>
      <c r="M24" s="208" t="s">
        <v>1217</v>
      </c>
      <c r="N24" s="20">
        <f>MONTH(List346[[#This Row],[Tanggal Pengajuan]])</f>
        <v>1</v>
      </c>
      <c r="O24" s="183"/>
      <c r="P24" s="100"/>
      <c r="Q24" s="198"/>
      <c r="R24" s="230"/>
      <c r="T24" s="152">
        <f>+List346[[#This Row],[Pengajuan Donasi]]-List346[[#This Row],[Jumlah Transfer]]</f>
        <v>0</v>
      </c>
      <c r="U24" s="152"/>
    </row>
    <row r="25" spans="2:21" ht="30" customHeight="1" x14ac:dyDescent="0.2">
      <c r="B25" s="102">
        <v>44929</v>
      </c>
      <c r="C25" s="67"/>
      <c r="D25" s="103" t="s">
        <v>1215</v>
      </c>
      <c r="E25" s="103" t="s">
        <v>26</v>
      </c>
      <c r="F25" s="105" t="s">
        <v>18</v>
      </c>
      <c r="G25" s="15">
        <f>IFERROR(+VLOOKUP(D:D,'Data Base P.Asuhan &amp; Jompo'!B:I,7,0),0)</f>
        <v>1</v>
      </c>
      <c r="H25" s="260">
        <v>750000</v>
      </c>
      <c r="I25" s="258">
        <f>List346[[#This Row],[Pengajuan Donasi]]</f>
        <v>750000</v>
      </c>
      <c r="J25" s="733" t="str">
        <f>IF(List346[[#This Row],[Tanggal Trf]]&gt;0,"Done","-")</f>
        <v>Done</v>
      </c>
      <c r="K25" s="103" t="s">
        <v>1818</v>
      </c>
      <c r="L25" s="220">
        <v>44939</v>
      </c>
      <c r="M25" s="208" t="s">
        <v>1218</v>
      </c>
      <c r="N25" s="20">
        <f>MONTH(List346[[#This Row],[Tanggal Pengajuan]])</f>
        <v>1</v>
      </c>
      <c r="O25" s="183"/>
      <c r="P25" s="100"/>
      <c r="Q25" s="198"/>
      <c r="R25" s="230"/>
      <c r="T25" s="152">
        <f>+List346[[#This Row],[Pengajuan Donasi]]-List346[[#This Row],[Jumlah Transfer]]</f>
        <v>0</v>
      </c>
      <c r="U25" s="152"/>
    </row>
    <row r="26" spans="2:21" ht="30" customHeight="1" x14ac:dyDescent="0.2">
      <c r="B26" s="102">
        <v>44929</v>
      </c>
      <c r="C26" s="67"/>
      <c r="D26" s="103" t="s">
        <v>1216</v>
      </c>
      <c r="E26" s="103" t="s">
        <v>26</v>
      </c>
      <c r="F26" s="105" t="s">
        <v>18</v>
      </c>
      <c r="G26" s="15">
        <f>IFERROR(+VLOOKUP(D:D,'Data Base P.Asuhan &amp; Jompo'!B:I,7,0),0)</f>
        <v>1</v>
      </c>
      <c r="H26" s="260">
        <v>750000</v>
      </c>
      <c r="I26" s="258">
        <f>List346[[#This Row],[Pengajuan Donasi]]</f>
        <v>750000</v>
      </c>
      <c r="J26" s="733" t="str">
        <f>IF(List346[[#This Row],[Tanggal Trf]]&gt;0,"Done","-")</f>
        <v>Done</v>
      </c>
      <c r="K26" s="103" t="s">
        <v>1818</v>
      </c>
      <c r="L26" s="220">
        <v>44939</v>
      </c>
      <c r="M26" s="184" t="s">
        <v>1219</v>
      </c>
      <c r="N26" s="20">
        <f>MONTH(List346[[#This Row],[Tanggal Pengajuan]])</f>
        <v>1</v>
      </c>
      <c r="O26" s="183"/>
      <c r="P26" s="100"/>
      <c r="Q26" s="198"/>
      <c r="R26" s="230"/>
      <c r="T26" s="152">
        <f>+List346[[#This Row],[Pengajuan Donasi]]-List346[[#This Row],[Jumlah Transfer]]</f>
        <v>0</v>
      </c>
      <c r="U26" s="152"/>
    </row>
    <row r="27" spans="2:21" ht="30" customHeight="1" x14ac:dyDescent="0.2">
      <c r="B27" s="102">
        <v>44929</v>
      </c>
      <c r="C27" s="67" t="s">
        <v>1835</v>
      </c>
      <c r="D27" s="103" t="s">
        <v>392</v>
      </c>
      <c r="E27" s="103" t="s">
        <v>57</v>
      </c>
      <c r="F27" s="105" t="s">
        <v>18</v>
      </c>
      <c r="G27" s="15">
        <f>IFERROR(+VLOOKUP(D:D,'Data Base P.Asuhan &amp; Jompo'!B:I,7,0),0)</f>
        <v>85</v>
      </c>
      <c r="H27" s="259">
        <v>10000000</v>
      </c>
      <c r="I27" s="258">
        <f>List346[[#This Row],[Pengajuan Donasi]]</f>
        <v>10000000</v>
      </c>
      <c r="J27" s="214" t="str">
        <f>IF(List346[[#This Row],[Tanggal Trf]]&gt;0,"Done","-")</f>
        <v>Done</v>
      </c>
      <c r="K27" s="103" t="s">
        <v>1819</v>
      </c>
      <c r="L27" s="220">
        <v>44945</v>
      </c>
      <c r="M27" s="208" t="s">
        <v>540</v>
      </c>
      <c r="N27" s="100">
        <f>MONTH(List346[[#This Row],[Tanggal Pengajuan]])</f>
        <v>1</v>
      </c>
      <c r="O27" s="62"/>
      <c r="P27" s="100"/>
      <c r="Q27" s="110"/>
      <c r="R27" s="230" t="s">
        <v>958</v>
      </c>
      <c r="T27" s="152">
        <f>+List346[[#This Row],[Pengajuan Donasi]]-List346[[#This Row],[Jumlah Transfer]]</f>
        <v>0</v>
      </c>
      <c r="U27" s="152"/>
    </row>
    <row r="28" spans="2:21" ht="30" customHeight="1" x14ac:dyDescent="0.2">
      <c r="B28" s="102">
        <v>44929</v>
      </c>
      <c r="C28" s="67" t="s">
        <v>1836</v>
      </c>
      <c r="D28" s="103" t="s">
        <v>429</v>
      </c>
      <c r="E28" s="103" t="s">
        <v>57</v>
      </c>
      <c r="F28" s="105" t="s">
        <v>18</v>
      </c>
      <c r="G28" s="15">
        <f>IFERROR(+VLOOKUP(D:D,'Data Base P.Asuhan &amp; Jompo'!B:I,7,0),0)</f>
        <v>38</v>
      </c>
      <c r="H28" s="259">
        <v>10000000</v>
      </c>
      <c r="I28" s="258">
        <f>List346[[#This Row],[Pengajuan Donasi]]</f>
        <v>10000000</v>
      </c>
      <c r="J28" s="214" t="str">
        <f>IF(List346[[#This Row],[Tanggal Trf]]&gt;0,"Done","-")</f>
        <v>Done</v>
      </c>
      <c r="K28" s="103" t="s">
        <v>1820</v>
      </c>
      <c r="L28" s="220">
        <v>44945</v>
      </c>
      <c r="M28" s="184" t="s">
        <v>537</v>
      </c>
      <c r="N28" s="100">
        <f>MONTH(List346[[#This Row],[Tanggal Pengajuan]])</f>
        <v>1</v>
      </c>
      <c r="O28" s="62"/>
      <c r="P28" s="100"/>
      <c r="Q28" s="110"/>
      <c r="R28" s="230" t="s">
        <v>958</v>
      </c>
      <c r="T28" s="152">
        <f>+List346[[#This Row],[Pengajuan Donasi]]-List346[[#This Row],[Jumlah Transfer]]</f>
        <v>0</v>
      </c>
      <c r="U28" s="152"/>
    </row>
    <row r="29" spans="2:21" ht="30" customHeight="1" x14ac:dyDescent="0.2">
      <c r="B29" s="102">
        <v>44929</v>
      </c>
      <c r="C29" s="67" t="s">
        <v>1837</v>
      </c>
      <c r="D29" s="103" t="s">
        <v>420</v>
      </c>
      <c r="E29" s="103" t="s">
        <v>57</v>
      </c>
      <c r="F29" s="105" t="s">
        <v>18</v>
      </c>
      <c r="G29" s="15">
        <f>IFERROR(+VLOOKUP(D:D,'Data Base P.Asuhan &amp; Jompo'!B:I,7,0),0)</f>
        <v>29</v>
      </c>
      <c r="H29" s="259">
        <v>10000000</v>
      </c>
      <c r="I29" s="258">
        <f>List346[[#This Row],[Pengajuan Donasi]]</f>
        <v>10000000</v>
      </c>
      <c r="J29" s="214" t="str">
        <f>IF(List346[[#This Row],[Tanggal Trf]]&gt;0,"Done","-")</f>
        <v>Done</v>
      </c>
      <c r="K29" s="103" t="s">
        <v>1821</v>
      </c>
      <c r="L29" s="220">
        <v>44945</v>
      </c>
      <c r="M29" s="208" t="s">
        <v>534</v>
      </c>
      <c r="N29" s="100">
        <f>MONTH(List346[[#This Row],[Tanggal Pengajuan]])</f>
        <v>1</v>
      </c>
      <c r="O29" s="62"/>
      <c r="P29" s="100"/>
      <c r="Q29" s="110"/>
      <c r="R29" s="230" t="s">
        <v>958</v>
      </c>
      <c r="T29" s="152">
        <f>+List346[[#This Row],[Pengajuan Donasi]]-List346[[#This Row],[Jumlah Transfer]]</f>
        <v>0</v>
      </c>
      <c r="U29" s="152"/>
    </row>
    <row r="30" spans="2:21" ht="30" customHeight="1" x14ac:dyDescent="0.2">
      <c r="B30" s="102">
        <v>44929</v>
      </c>
      <c r="C30" s="67" t="s">
        <v>1838</v>
      </c>
      <c r="D30" s="103" t="s">
        <v>413</v>
      </c>
      <c r="E30" s="103" t="s">
        <v>57</v>
      </c>
      <c r="F30" s="105" t="s">
        <v>18</v>
      </c>
      <c r="G30" s="15">
        <f>IFERROR(+VLOOKUP(D:D,'Data Base P.Asuhan &amp; Jompo'!B:I,7,0),0)</f>
        <v>22</v>
      </c>
      <c r="H30" s="259">
        <v>10000000</v>
      </c>
      <c r="I30" s="258">
        <f>List346[[#This Row],[Pengajuan Donasi]]</f>
        <v>10000000</v>
      </c>
      <c r="J30" s="214" t="str">
        <f>IF(List346[[#This Row],[Tanggal Trf]]&gt;0,"Done","-")</f>
        <v>Done</v>
      </c>
      <c r="K30" s="103" t="s">
        <v>1822</v>
      </c>
      <c r="L30" s="220">
        <v>44945</v>
      </c>
      <c r="M30" s="184" t="s">
        <v>544</v>
      </c>
      <c r="N30" s="100">
        <f>MONTH(List346[[#This Row],[Tanggal Pengajuan]])</f>
        <v>1</v>
      </c>
      <c r="O30" s="62"/>
      <c r="P30" s="100"/>
      <c r="Q30" s="110"/>
      <c r="R30" s="230" t="s">
        <v>958</v>
      </c>
      <c r="T30" s="152">
        <f>+List346[[#This Row],[Pengajuan Donasi]]-List346[[#This Row],[Jumlah Transfer]]</f>
        <v>0</v>
      </c>
      <c r="U30" s="152"/>
    </row>
    <row r="31" spans="2:21" ht="30" customHeight="1" x14ac:dyDescent="0.2">
      <c r="B31" s="102">
        <v>44929</v>
      </c>
      <c r="C31" s="67" t="s">
        <v>1839</v>
      </c>
      <c r="D31" s="103" t="s">
        <v>407</v>
      </c>
      <c r="E31" s="103" t="s">
        <v>57</v>
      </c>
      <c r="F31" s="105" t="s">
        <v>18</v>
      </c>
      <c r="G31" s="15">
        <f>IFERROR(+VLOOKUP(D:D,'Data Base P.Asuhan &amp; Jompo'!B:I,7,0),0)</f>
        <v>64</v>
      </c>
      <c r="H31" s="259">
        <v>10000000</v>
      </c>
      <c r="I31" s="258">
        <f>List346[[#This Row],[Pengajuan Donasi]]</f>
        <v>10000000</v>
      </c>
      <c r="J31" s="214" t="str">
        <f>IF(List346[[#This Row],[Tanggal Trf]]&gt;0,"Done","-")</f>
        <v>Done</v>
      </c>
      <c r="K31" s="103" t="s">
        <v>1823</v>
      </c>
      <c r="L31" s="220">
        <v>44945</v>
      </c>
      <c r="M31" s="208" t="s">
        <v>661</v>
      </c>
      <c r="N31" s="100">
        <f>MONTH(List346[[#This Row],[Tanggal Pengajuan]])</f>
        <v>1</v>
      </c>
      <c r="O31" s="62"/>
      <c r="P31" s="100"/>
      <c r="Q31" s="110"/>
      <c r="R31" s="230" t="s">
        <v>958</v>
      </c>
      <c r="T31" s="152">
        <f>+List346[[#This Row],[Pengajuan Donasi]]-List346[[#This Row],[Jumlah Transfer]]</f>
        <v>0</v>
      </c>
      <c r="U31" s="152"/>
    </row>
    <row r="32" spans="2:21" ht="30" customHeight="1" x14ac:dyDescent="0.2">
      <c r="B32" s="102">
        <v>44929</v>
      </c>
      <c r="C32" s="67" t="s">
        <v>1840</v>
      </c>
      <c r="D32" s="103" t="s">
        <v>916</v>
      </c>
      <c r="E32" s="103" t="s">
        <v>26</v>
      </c>
      <c r="F32" s="105" t="s">
        <v>18</v>
      </c>
      <c r="G32" s="15">
        <f>IFERROR(+VLOOKUP(D:D,'Data Base P.Asuhan &amp; Jompo'!B:I,7,0),0)</f>
        <v>1</v>
      </c>
      <c r="H32" s="260">
        <v>500000</v>
      </c>
      <c r="I32" s="258">
        <f>List346[[#This Row],[Pengajuan Donasi]]</f>
        <v>500000</v>
      </c>
      <c r="J32" s="214" t="str">
        <f>IF(List346[[#This Row],[Tanggal Trf]]&gt;0,"Done","-")</f>
        <v>Done</v>
      </c>
      <c r="K32" s="103" t="s">
        <v>1824</v>
      </c>
      <c r="L32" s="220">
        <v>44942</v>
      </c>
      <c r="M32" s="721" t="s">
        <v>895</v>
      </c>
      <c r="N32" s="100">
        <f>MONTH(List346[[#This Row],[Tanggal Pengajuan]])</f>
        <v>1</v>
      </c>
      <c r="O32" s="62"/>
      <c r="P32" s="100"/>
      <c r="Q32" s="110"/>
      <c r="R32" s="230" t="s">
        <v>958</v>
      </c>
      <c r="T32" s="152">
        <f>+List346[[#This Row],[Pengajuan Donasi]]-List346[[#This Row],[Jumlah Transfer]]</f>
        <v>0</v>
      </c>
      <c r="U32" s="152"/>
    </row>
    <row r="33" spans="2:21" ht="30" customHeight="1" x14ac:dyDescent="0.2">
      <c r="B33" s="102">
        <v>44929</v>
      </c>
      <c r="C33" s="67"/>
      <c r="D33" s="103" t="s">
        <v>1535</v>
      </c>
      <c r="E33" s="103" t="s">
        <v>26</v>
      </c>
      <c r="F33" s="105" t="s">
        <v>18</v>
      </c>
      <c r="G33" s="15">
        <f>IFERROR(+VLOOKUP(D:D,'Data Base P.Asuhan &amp; Jompo'!B:I,7,0),0)</f>
        <v>1</v>
      </c>
      <c r="H33" s="260">
        <v>500000</v>
      </c>
      <c r="I33" s="258">
        <f>List346[[#This Row],[Pengajuan Donasi]]</f>
        <v>500000</v>
      </c>
      <c r="J33" s="214" t="str">
        <f>IF(List346[[#This Row],[Tanggal Trf]]&gt;0,"Done","-")</f>
        <v>Done</v>
      </c>
      <c r="K33" s="103" t="s">
        <v>1824</v>
      </c>
      <c r="L33" s="220">
        <v>44942</v>
      </c>
      <c r="M33" s="721" t="s">
        <v>1536</v>
      </c>
      <c r="N33" s="100">
        <f>MONTH(List346[[#This Row],[Tanggal Pengajuan]])</f>
        <v>1</v>
      </c>
      <c r="O33" s="62"/>
      <c r="P33" s="100"/>
      <c r="Q33" s="110"/>
      <c r="R33" s="230"/>
      <c r="T33" s="152">
        <f>+List346[[#This Row],[Pengajuan Donasi]]-List346[[#This Row],[Jumlah Transfer]]</f>
        <v>0</v>
      </c>
      <c r="U33" s="152"/>
    </row>
    <row r="34" spans="2:21" ht="30" customHeight="1" x14ac:dyDescent="0.2">
      <c r="B34" s="102">
        <v>44929</v>
      </c>
      <c r="C34" s="67"/>
      <c r="D34" s="103" t="s">
        <v>1537</v>
      </c>
      <c r="E34" s="103" t="s">
        <v>26</v>
      </c>
      <c r="F34" s="105" t="s">
        <v>18</v>
      </c>
      <c r="G34" s="15">
        <f>IFERROR(+VLOOKUP(D:D,'Data Base P.Asuhan &amp; Jompo'!B:I,7,0),0)</f>
        <v>1</v>
      </c>
      <c r="H34" s="260">
        <v>500000</v>
      </c>
      <c r="I34" s="258">
        <f>List346[[#This Row],[Pengajuan Donasi]]</f>
        <v>500000</v>
      </c>
      <c r="J34" s="214" t="str">
        <f>IF(List346[[#This Row],[Tanggal Trf]]&gt;0,"Done","-")</f>
        <v>Done</v>
      </c>
      <c r="K34" s="103" t="s">
        <v>1824</v>
      </c>
      <c r="L34" s="220">
        <v>44942</v>
      </c>
      <c r="M34" s="721" t="s">
        <v>1538</v>
      </c>
      <c r="N34" s="100">
        <f>MONTH(List346[[#This Row],[Tanggal Pengajuan]])</f>
        <v>1</v>
      </c>
      <c r="O34" s="62"/>
      <c r="P34" s="100"/>
      <c r="Q34" s="110"/>
      <c r="R34" s="230"/>
      <c r="T34" s="152">
        <f>+List346[[#This Row],[Pengajuan Donasi]]-List346[[#This Row],[Jumlah Transfer]]</f>
        <v>0</v>
      </c>
      <c r="U34" s="152"/>
    </row>
    <row r="35" spans="2:21" ht="30" customHeight="1" x14ac:dyDescent="0.2">
      <c r="B35" s="102">
        <v>44929</v>
      </c>
      <c r="C35" s="67"/>
      <c r="D35" s="103" t="s">
        <v>919</v>
      </c>
      <c r="E35" s="103" t="s">
        <v>26</v>
      </c>
      <c r="F35" s="105" t="s">
        <v>18</v>
      </c>
      <c r="G35" s="15">
        <f>IFERROR(+VLOOKUP(D:D,'Data Base P.Asuhan &amp; Jompo'!B:I,7,0),0)</f>
        <v>1</v>
      </c>
      <c r="H35" s="260">
        <v>500000</v>
      </c>
      <c r="I35" s="258">
        <f>List346[[#This Row],[Pengajuan Donasi]]</f>
        <v>500000</v>
      </c>
      <c r="J35" s="214" t="str">
        <f>IF(List346[[#This Row],[Tanggal Trf]]&gt;0,"Done","-")</f>
        <v>Done</v>
      </c>
      <c r="K35" s="103" t="s">
        <v>1824</v>
      </c>
      <c r="L35" s="220">
        <v>44942</v>
      </c>
      <c r="M35" s="721" t="s">
        <v>897</v>
      </c>
      <c r="N35" s="100">
        <f>MONTH(List346[[#This Row],[Tanggal Pengajuan]])</f>
        <v>1</v>
      </c>
      <c r="O35" s="62"/>
      <c r="P35" s="100"/>
      <c r="Q35" s="110"/>
      <c r="R35" s="230"/>
      <c r="T35" s="152">
        <f>+List346[[#This Row],[Pengajuan Donasi]]-List346[[#This Row],[Jumlah Transfer]]</f>
        <v>0</v>
      </c>
      <c r="U35" s="152"/>
    </row>
    <row r="36" spans="2:21" ht="30" customHeight="1" x14ac:dyDescent="0.2">
      <c r="B36" s="102">
        <v>44929</v>
      </c>
      <c r="C36" s="67"/>
      <c r="D36" s="103" t="s">
        <v>920</v>
      </c>
      <c r="E36" s="103" t="s">
        <v>26</v>
      </c>
      <c r="F36" s="105" t="s">
        <v>18</v>
      </c>
      <c r="G36" s="15">
        <f>IFERROR(+VLOOKUP(D:D,'Data Base P.Asuhan &amp; Jompo'!B:I,7,0),0)</f>
        <v>1</v>
      </c>
      <c r="H36" s="260">
        <v>500000</v>
      </c>
      <c r="I36" s="258">
        <f>List346[[#This Row],[Pengajuan Donasi]]</f>
        <v>500000</v>
      </c>
      <c r="J36" s="214" t="str">
        <f>IF(List346[[#This Row],[Tanggal Trf]]&gt;0,"Done","-")</f>
        <v>Done</v>
      </c>
      <c r="K36" s="103" t="s">
        <v>1824</v>
      </c>
      <c r="L36" s="220">
        <v>44942</v>
      </c>
      <c r="M36" s="721" t="s">
        <v>915</v>
      </c>
      <c r="N36" s="100">
        <f>MONTH(List346[[#This Row],[Tanggal Pengajuan]])</f>
        <v>1</v>
      </c>
      <c r="O36" s="62"/>
      <c r="P36" s="100"/>
      <c r="Q36" s="110"/>
      <c r="R36" s="230"/>
      <c r="T36" s="152">
        <f>+List346[[#This Row],[Pengajuan Donasi]]-List346[[#This Row],[Jumlah Transfer]]</f>
        <v>0</v>
      </c>
      <c r="U36" s="152"/>
    </row>
    <row r="37" spans="2:21" ht="30" customHeight="1" x14ac:dyDescent="0.2">
      <c r="B37" s="102">
        <v>44929</v>
      </c>
      <c r="C37" s="67"/>
      <c r="D37" s="103" t="s">
        <v>921</v>
      </c>
      <c r="E37" s="103" t="s">
        <v>26</v>
      </c>
      <c r="F37" s="105" t="s">
        <v>18</v>
      </c>
      <c r="G37" s="15">
        <f>IFERROR(+VLOOKUP(D:D,'Data Base P.Asuhan &amp; Jompo'!B:I,7,0),0)</f>
        <v>1</v>
      </c>
      <c r="H37" s="260">
        <v>500000</v>
      </c>
      <c r="I37" s="258">
        <f>List346[[#This Row],[Pengajuan Donasi]]</f>
        <v>500000</v>
      </c>
      <c r="J37" s="214" t="str">
        <f>IF(List346[[#This Row],[Tanggal Trf]]&gt;0,"Done","-")</f>
        <v>Done</v>
      </c>
      <c r="K37" s="103" t="s">
        <v>1824</v>
      </c>
      <c r="L37" s="220">
        <v>44942</v>
      </c>
      <c r="M37" s="721" t="s">
        <v>1539</v>
      </c>
      <c r="N37" s="100">
        <f>MONTH(List346[[#This Row],[Tanggal Pengajuan]])</f>
        <v>1</v>
      </c>
      <c r="O37" s="62"/>
      <c r="P37" s="100"/>
      <c r="Q37" s="110"/>
      <c r="R37" s="230"/>
      <c r="T37" s="152">
        <f>+List346[[#This Row],[Pengajuan Donasi]]-List346[[#This Row],[Jumlah Transfer]]</f>
        <v>0</v>
      </c>
      <c r="U37" s="152"/>
    </row>
    <row r="38" spans="2:21" ht="30" customHeight="1" x14ac:dyDescent="0.2">
      <c r="B38" s="102">
        <v>44929</v>
      </c>
      <c r="C38" s="67"/>
      <c r="D38" s="103" t="s">
        <v>922</v>
      </c>
      <c r="E38" s="103" t="s">
        <v>26</v>
      </c>
      <c r="F38" s="105" t="s">
        <v>18</v>
      </c>
      <c r="G38" s="15">
        <f>IFERROR(+VLOOKUP(D:D,'Data Base P.Asuhan &amp; Jompo'!B:I,7,0),0)</f>
        <v>1</v>
      </c>
      <c r="H38" s="260">
        <v>500000</v>
      </c>
      <c r="I38" s="258">
        <f>List346[[#This Row],[Pengajuan Donasi]]</f>
        <v>500000</v>
      </c>
      <c r="J38" s="214" t="str">
        <f>IF(List346[[#This Row],[Tanggal Trf]]&gt;0,"Done","-")</f>
        <v>Done</v>
      </c>
      <c r="K38" s="103" t="s">
        <v>1824</v>
      </c>
      <c r="L38" s="220">
        <v>44942</v>
      </c>
      <c r="M38" s="721" t="s">
        <v>899</v>
      </c>
      <c r="N38" s="100">
        <f>MONTH(List346[[#This Row],[Tanggal Pengajuan]])</f>
        <v>1</v>
      </c>
      <c r="O38" s="62"/>
      <c r="P38" s="100"/>
      <c r="Q38" s="110"/>
      <c r="R38" s="230"/>
      <c r="T38" s="152">
        <f>+List346[[#This Row],[Pengajuan Donasi]]-List346[[#This Row],[Jumlah Transfer]]</f>
        <v>0</v>
      </c>
      <c r="U38" s="152"/>
    </row>
    <row r="39" spans="2:21" ht="30" customHeight="1" x14ac:dyDescent="0.2">
      <c r="B39" s="102">
        <v>44929</v>
      </c>
      <c r="C39" s="67"/>
      <c r="D39" s="103" t="s">
        <v>923</v>
      </c>
      <c r="E39" s="103" t="s">
        <v>26</v>
      </c>
      <c r="F39" s="105" t="s">
        <v>18</v>
      </c>
      <c r="G39" s="15">
        <f>IFERROR(+VLOOKUP(D:D,'Data Base P.Asuhan &amp; Jompo'!B:I,7,0),0)</f>
        <v>1</v>
      </c>
      <c r="H39" s="260">
        <v>500000</v>
      </c>
      <c r="I39" s="258">
        <f>List346[[#This Row],[Pengajuan Donasi]]</f>
        <v>500000</v>
      </c>
      <c r="J39" s="214" t="str">
        <f>IF(List346[[#This Row],[Tanggal Trf]]&gt;0,"Done","-")</f>
        <v>Done</v>
      </c>
      <c r="K39" s="103" t="s">
        <v>1824</v>
      </c>
      <c r="L39" s="220">
        <v>44942</v>
      </c>
      <c r="M39" s="721" t="s">
        <v>900</v>
      </c>
      <c r="N39" s="100">
        <f>MONTH(List346[[#This Row],[Tanggal Pengajuan]])</f>
        <v>1</v>
      </c>
      <c r="O39" s="62"/>
      <c r="P39" s="100"/>
      <c r="Q39" s="110"/>
      <c r="R39" s="230"/>
      <c r="T39" s="152">
        <f>+List346[[#This Row],[Pengajuan Donasi]]-List346[[#This Row],[Jumlah Transfer]]</f>
        <v>0</v>
      </c>
      <c r="U39" s="152"/>
    </row>
    <row r="40" spans="2:21" ht="30" customHeight="1" x14ac:dyDescent="0.2">
      <c r="B40" s="102">
        <v>44929</v>
      </c>
      <c r="C40" s="67"/>
      <c r="D40" s="103" t="s">
        <v>924</v>
      </c>
      <c r="E40" s="103" t="s">
        <v>26</v>
      </c>
      <c r="F40" s="105" t="s">
        <v>18</v>
      </c>
      <c r="G40" s="15">
        <f>IFERROR(+VLOOKUP(D:D,'Data Base P.Asuhan &amp; Jompo'!B:I,7,0),0)</f>
        <v>1</v>
      </c>
      <c r="H40" s="260">
        <v>500000</v>
      </c>
      <c r="I40" s="258">
        <f>List346[[#This Row],[Pengajuan Donasi]]</f>
        <v>500000</v>
      </c>
      <c r="J40" s="214" t="str">
        <f>IF(List346[[#This Row],[Tanggal Trf]]&gt;0,"Done","-")</f>
        <v>Done</v>
      </c>
      <c r="K40" s="103" t="s">
        <v>1824</v>
      </c>
      <c r="L40" s="220">
        <v>44942</v>
      </c>
      <c r="M40" s="721" t="s">
        <v>901</v>
      </c>
      <c r="N40" s="100">
        <f>MONTH(List346[[#This Row],[Tanggal Pengajuan]])</f>
        <v>1</v>
      </c>
      <c r="O40" s="62"/>
      <c r="P40" s="100"/>
      <c r="Q40" s="110"/>
      <c r="R40" s="230"/>
      <c r="T40" s="152">
        <f>+List346[[#This Row],[Pengajuan Donasi]]-List346[[#This Row],[Jumlah Transfer]]</f>
        <v>0</v>
      </c>
      <c r="U40" s="152"/>
    </row>
    <row r="41" spans="2:21" ht="30" customHeight="1" x14ac:dyDescent="0.2">
      <c r="B41" s="102">
        <v>44929</v>
      </c>
      <c r="C41" s="67"/>
      <c r="D41" s="103" t="s">
        <v>925</v>
      </c>
      <c r="E41" s="103" t="s">
        <v>26</v>
      </c>
      <c r="F41" s="105" t="s">
        <v>18</v>
      </c>
      <c r="G41" s="15">
        <f>IFERROR(+VLOOKUP(D:D,'Data Base P.Asuhan &amp; Jompo'!B:I,7,0),0)</f>
        <v>1</v>
      </c>
      <c r="H41" s="260">
        <v>500000</v>
      </c>
      <c r="I41" s="258">
        <f>List346[[#This Row],[Pengajuan Donasi]]</f>
        <v>500000</v>
      </c>
      <c r="J41" s="214" t="str">
        <f>IF(List346[[#This Row],[Tanggal Trf]]&gt;0,"Done","-")</f>
        <v>Done</v>
      </c>
      <c r="K41" s="103" t="s">
        <v>1824</v>
      </c>
      <c r="L41" s="220">
        <v>44942</v>
      </c>
      <c r="M41" s="721" t="s">
        <v>1014</v>
      </c>
      <c r="N41" s="100">
        <f>MONTH(List346[[#This Row],[Tanggal Pengajuan]])</f>
        <v>1</v>
      </c>
      <c r="O41" s="62"/>
      <c r="P41" s="100"/>
      <c r="Q41" s="110"/>
      <c r="R41" s="230"/>
      <c r="T41" s="152">
        <f>+List346[[#This Row],[Pengajuan Donasi]]-List346[[#This Row],[Jumlah Transfer]]</f>
        <v>0</v>
      </c>
      <c r="U41" s="152"/>
    </row>
    <row r="42" spans="2:21" ht="30" customHeight="1" x14ac:dyDescent="0.2">
      <c r="B42" s="102">
        <v>44929</v>
      </c>
      <c r="C42" s="67"/>
      <c r="D42" s="103" t="s">
        <v>926</v>
      </c>
      <c r="E42" s="103" t="s">
        <v>26</v>
      </c>
      <c r="F42" s="105" t="s">
        <v>18</v>
      </c>
      <c r="G42" s="15">
        <f>IFERROR(+VLOOKUP(D:D,'Data Base P.Asuhan &amp; Jompo'!B:I,7,0),0)</f>
        <v>1</v>
      </c>
      <c r="H42" s="260">
        <v>500000</v>
      </c>
      <c r="I42" s="258">
        <f>List346[[#This Row],[Pengajuan Donasi]]</f>
        <v>500000</v>
      </c>
      <c r="J42" s="214" t="str">
        <f>IF(List346[[#This Row],[Tanggal Trf]]&gt;0,"Done","-")</f>
        <v>Done</v>
      </c>
      <c r="K42" s="103" t="s">
        <v>1824</v>
      </c>
      <c r="L42" s="220">
        <v>44942</v>
      </c>
      <c r="M42" s="721" t="s">
        <v>1540</v>
      </c>
      <c r="N42" s="100">
        <f>MONTH(List346[[#This Row],[Tanggal Pengajuan]])</f>
        <v>1</v>
      </c>
      <c r="O42" s="62"/>
      <c r="P42" s="100"/>
      <c r="Q42" s="110"/>
      <c r="R42" s="230"/>
      <c r="T42" s="152">
        <f>+List346[[#This Row],[Pengajuan Donasi]]-List346[[#This Row],[Jumlah Transfer]]</f>
        <v>0</v>
      </c>
      <c r="U42" s="152"/>
    </row>
    <row r="43" spans="2:21" ht="30" customHeight="1" x14ac:dyDescent="0.2">
      <c r="B43" s="102">
        <v>44929</v>
      </c>
      <c r="C43" s="67"/>
      <c r="D43" s="103" t="s">
        <v>927</v>
      </c>
      <c r="E43" s="103" t="s">
        <v>26</v>
      </c>
      <c r="F43" s="105" t="s">
        <v>18</v>
      </c>
      <c r="G43" s="15">
        <f>IFERROR(+VLOOKUP(D:D,'Data Base P.Asuhan &amp; Jompo'!B:I,7,0),0)</f>
        <v>1</v>
      </c>
      <c r="H43" s="260">
        <v>500000</v>
      </c>
      <c r="I43" s="258">
        <f>List346[[#This Row],[Pengajuan Donasi]]</f>
        <v>500000</v>
      </c>
      <c r="J43" s="214" t="str">
        <f>IF(List346[[#This Row],[Tanggal Trf]]&gt;0,"Done","-")</f>
        <v>Done</v>
      </c>
      <c r="K43" s="103" t="s">
        <v>1824</v>
      </c>
      <c r="L43" s="220">
        <v>44942</v>
      </c>
      <c r="M43" s="721" t="s">
        <v>1541</v>
      </c>
      <c r="N43" s="100">
        <f>MONTH(List346[[#This Row],[Tanggal Pengajuan]])</f>
        <v>1</v>
      </c>
      <c r="O43" s="62"/>
      <c r="P43" s="100"/>
      <c r="Q43" s="110"/>
      <c r="R43" s="230"/>
      <c r="T43" s="152">
        <f>+List346[[#This Row],[Pengajuan Donasi]]-List346[[#This Row],[Jumlah Transfer]]</f>
        <v>0</v>
      </c>
      <c r="U43" s="152"/>
    </row>
    <row r="44" spans="2:21" ht="30" customHeight="1" x14ac:dyDescent="0.2">
      <c r="B44" s="102">
        <v>44929</v>
      </c>
      <c r="C44" s="67"/>
      <c r="D44" s="103" t="s">
        <v>928</v>
      </c>
      <c r="E44" s="103" t="s">
        <v>26</v>
      </c>
      <c r="F44" s="105" t="s">
        <v>18</v>
      </c>
      <c r="G44" s="15">
        <f>IFERROR(+VLOOKUP(D:D,'Data Base P.Asuhan &amp; Jompo'!B:I,7,0),0)</f>
        <v>1</v>
      </c>
      <c r="H44" s="260">
        <v>500000</v>
      </c>
      <c r="I44" s="258">
        <f>List346[[#This Row],[Pengajuan Donasi]]</f>
        <v>500000</v>
      </c>
      <c r="J44" s="214" t="str">
        <f>IF(List346[[#This Row],[Tanggal Trf]]&gt;0,"Done","-")</f>
        <v>Done</v>
      </c>
      <c r="K44" s="103" t="s">
        <v>1824</v>
      </c>
      <c r="L44" s="220">
        <v>44942</v>
      </c>
      <c r="M44" s="721" t="s">
        <v>2195</v>
      </c>
      <c r="N44" s="100">
        <f>MONTH(List346[[#This Row],[Tanggal Pengajuan]])</f>
        <v>1</v>
      </c>
      <c r="O44" s="62"/>
      <c r="P44" s="100"/>
      <c r="Q44" s="110"/>
      <c r="R44" s="230"/>
      <c r="T44" s="152">
        <f>+List346[[#This Row],[Pengajuan Donasi]]-List346[[#This Row],[Jumlah Transfer]]</f>
        <v>0</v>
      </c>
      <c r="U44" s="152"/>
    </row>
    <row r="45" spans="2:21" ht="30" customHeight="1" x14ac:dyDescent="0.2">
      <c r="B45" s="102">
        <v>44929</v>
      </c>
      <c r="C45" s="67"/>
      <c r="D45" s="103" t="s">
        <v>929</v>
      </c>
      <c r="E45" s="103" t="s">
        <v>26</v>
      </c>
      <c r="F45" s="105" t="s">
        <v>18</v>
      </c>
      <c r="G45" s="15">
        <f>IFERROR(+VLOOKUP(D:D,'Data Base P.Asuhan &amp; Jompo'!B:I,7,0),0)</f>
        <v>1</v>
      </c>
      <c r="H45" s="260">
        <v>500000</v>
      </c>
      <c r="I45" s="258">
        <f>List346[[#This Row],[Pengajuan Donasi]]</f>
        <v>500000</v>
      </c>
      <c r="J45" s="214" t="str">
        <f>IF(List346[[#This Row],[Tanggal Trf]]&gt;0,"Done","-")</f>
        <v>Done</v>
      </c>
      <c r="K45" s="103" t="s">
        <v>1824</v>
      </c>
      <c r="L45" s="220">
        <v>44942</v>
      </c>
      <c r="M45" s="721" t="s">
        <v>902</v>
      </c>
      <c r="N45" s="100">
        <f>MONTH(List346[[#This Row],[Tanggal Pengajuan]])</f>
        <v>1</v>
      </c>
      <c r="O45" s="62"/>
      <c r="P45" s="100"/>
      <c r="Q45" s="110"/>
      <c r="R45" s="230"/>
      <c r="T45" s="152">
        <f>+List346[[#This Row],[Pengajuan Donasi]]-List346[[#This Row],[Jumlah Transfer]]</f>
        <v>0</v>
      </c>
      <c r="U45" s="152"/>
    </row>
    <row r="46" spans="2:21" ht="30" customHeight="1" x14ac:dyDescent="0.2">
      <c r="B46" s="102">
        <v>44929</v>
      </c>
      <c r="C46" s="67"/>
      <c r="D46" s="103" t="s">
        <v>930</v>
      </c>
      <c r="E46" s="103" t="s">
        <v>26</v>
      </c>
      <c r="F46" s="105" t="s">
        <v>18</v>
      </c>
      <c r="G46" s="15">
        <f>IFERROR(+VLOOKUP(D:D,'Data Base P.Asuhan &amp; Jompo'!B:I,7,0),0)</f>
        <v>1</v>
      </c>
      <c r="H46" s="260">
        <v>500000</v>
      </c>
      <c r="I46" s="258">
        <f>List346[[#This Row],[Pengajuan Donasi]]</f>
        <v>500000</v>
      </c>
      <c r="J46" s="214" t="str">
        <f>IF(List346[[#This Row],[Tanggal Trf]]&gt;0,"Done","-")</f>
        <v>Done</v>
      </c>
      <c r="K46" s="103" t="s">
        <v>1824</v>
      </c>
      <c r="L46" s="220">
        <v>44942</v>
      </c>
      <c r="M46" s="721" t="s">
        <v>903</v>
      </c>
      <c r="N46" s="100">
        <f>MONTH(List346[[#This Row],[Tanggal Pengajuan]])</f>
        <v>1</v>
      </c>
      <c r="O46" s="62"/>
      <c r="P46" s="100"/>
      <c r="Q46" s="110"/>
      <c r="R46" s="230"/>
      <c r="T46" s="152">
        <f>+List346[[#This Row],[Pengajuan Donasi]]-List346[[#This Row],[Jumlah Transfer]]</f>
        <v>0</v>
      </c>
      <c r="U46" s="152"/>
    </row>
    <row r="47" spans="2:21" ht="30" customHeight="1" x14ac:dyDescent="0.2">
      <c r="B47" s="102">
        <v>44929</v>
      </c>
      <c r="C47" s="67"/>
      <c r="D47" s="103" t="s">
        <v>1974</v>
      </c>
      <c r="E47" s="103" t="s">
        <v>26</v>
      </c>
      <c r="F47" s="105" t="s">
        <v>18</v>
      </c>
      <c r="G47" s="15">
        <f>IFERROR(+VLOOKUP(D:D,'Data Base P.Asuhan &amp; Jompo'!B:I,7,0),0)</f>
        <v>1</v>
      </c>
      <c r="H47" s="260">
        <v>500000</v>
      </c>
      <c r="I47" s="258">
        <f>List346[[#This Row],[Pengajuan Donasi]]</f>
        <v>500000</v>
      </c>
      <c r="J47" s="214" t="str">
        <f>IF(List346[[#This Row],[Tanggal Trf]]&gt;0,"Done","-")</f>
        <v>Done</v>
      </c>
      <c r="K47" s="103" t="s">
        <v>1824</v>
      </c>
      <c r="L47" s="220">
        <v>44942</v>
      </c>
      <c r="M47" s="721" t="s">
        <v>1544</v>
      </c>
      <c r="N47" s="100">
        <f>MONTH(List346[[#This Row],[Tanggal Pengajuan]])</f>
        <v>1</v>
      </c>
      <c r="O47" s="62"/>
      <c r="P47" s="100"/>
      <c r="Q47" s="110"/>
      <c r="R47" s="230"/>
      <c r="T47" s="152">
        <f>+List346[[#This Row],[Pengajuan Donasi]]-List346[[#This Row],[Jumlah Transfer]]</f>
        <v>0</v>
      </c>
      <c r="U47" s="152"/>
    </row>
    <row r="48" spans="2:21" ht="30" customHeight="1" x14ac:dyDescent="0.2">
      <c r="B48" s="102">
        <v>44929</v>
      </c>
      <c r="C48" s="67"/>
      <c r="D48" s="103" t="s">
        <v>1545</v>
      </c>
      <c r="E48" s="103" t="s">
        <v>26</v>
      </c>
      <c r="F48" s="105" t="s">
        <v>18</v>
      </c>
      <c r="G48" s="15">
        <f>IFERROR(+VLOOKUP(D:D,'Data Base P.Asuhan &amp; Jompo'!B:I,7,0),0)</f>
        <v>1</v>
      </c>
      <c r="H48" s="260">
        <v>500000</v>
      </c>
      <c r="I48" s="258">
        <f>List346[[#This Row],[Pengajuan Donasi]]</f>
        <v>500000</v>
      </c>
      <c r="J48" s="214" t="str">
        <f>IF(List346[[#This Row],[Tanggal Trf]]&gt;0,"Done","-")</f>
        <v>Done</v>
      </c>
      <c r="K48" s="103" t="s">
        <v>1824</v>
      </c>
      <c r="L48" s="220">
        <v>44942</v>
      </c>
      <c r="M48" s="721" t="s">
        <v>1546</v>
      </c>
      <c r="N48" s="100">
        <f>MONTH(List346[[#This Row],[Tanggal Pengajuan]])</f>
        <v>1</v>
      </c>
      <c r="O48" s="62"/>
      <c r="P48" s="100"/>
      <c r="Q48" s="110"/>
      <c r="R48" s="230"/>
      <c r="T48" s="152">
        <f>+List346[[#This Row],[Pengajuan Donasi]]-List346[[#This Row],[Jumlah Transfer]]</f>
        <v>0</v>
      </c>
      <c r="U48" s="152"/>
    </row>
    <row r="49" spans="2:21" ht="30" customHeight="1" x14ac:dyDescent="0.2">
      <c r="B49" s="102">
        <v>44929</v>
      </c>
      <c r="C49" s="67" t="s">
        <v>1841</v>
      </c>
      <c r="D49" s="103" t="s">
        <v>256</v>
      </c>
      <c r="E49" s="103" t="s">
        <v>17</v>
      </c>
      <c r="F49" s="105" t="s">
        <v>18</v>
      </c>
      <c r="G49" s="15">
        <f>IFERROR(+VLOOKUP(D:D,'Data Base P.Asuhan &amp; Jompo'!B:I,7,0),0)</f>
        <v>0</v>
      </c>
      <c r="H49" s="259">
        <v>5500000</v>
      </c>
      <c r="I49" s="258">
        <f>List346[[#This Row],[Pengajuan Donasi]]</f>
        <v>5500000</v>
      </c>
      <c r="J49" s="214" t="str">
        <f>IF(List346[[#This Row],[Tanggal Trf]]&gt;0,"Done","-")</f>
        <v>Done</v>
      </c>
      <c r="K49" s="103" t="s">
        <v>1825</v>
      </c>
      <c r="L49" s="220">
        <v>44945</v>
      </c>
      <c r="M49" s="105" t="s">
        <v>136</v>
      </c>
      <c r="N49" s="100">
        <f>MONTH(List346[[#This Row],[Tanggal Pengajuan]])</f>
        <v>1</v>
      </c>
      <c r="O49" s="62"/>
      <c r="P49" s="100"/>
      <c r="Q49" s="110"/>
      <c r="R49" s="230" t="s">
        <v>958</v>
      </c>
      <c r="T49" s="152">
        <f>+List346[[#This Row],[Pengajuan Donasi]]-List346[[#This Row],[Jumlah Transfer]]</f>
        <v>0</v>
      </c>
      <c r="U49" s="152"/>
    </row>
    <row r="50" spans="2:21" ht="30" customHeight="1" x14ac:dyDescent="0.2">
      <c r="B50" s="102">
        <v>44929</v>
      </c>
      <c r="C50" s="67"/>
      <c r="D50" s="103" t="s">
        <v>257</v>
      </c>
      <c r="E50" s="103" t="s">
        <v>17</v>
      </c>
      <c r="F50" s="105" t="s">
        <v>18</v>
      </c>
      <c r="G50" s="15">
        <f>IFERROR(+VLOOKUP(D:D,'Data Base P.Asuhan &amp; Jompo'!B:I,7,0),0)</f>
        <v>0</v>
      </c>
      <c r="H50" s="259">
        <v>5500000</v>
      </c>
      <c r="I50" s="258">
        <f>List346[[#This Row],[Pengajuan Donasi]]</f>
        <v>5500000</v>
      </c>
      <c r="J50" s="214" t="str">
        <f>IF(List346[[#This Row],[Tanggal Trf]]&gt;0,"Done","-")</f>
        <v>Done</v>
      </c>
      <c r="K50" s="103" t="s">
        <v>1825</v>
      </c>
      <c r="L50" s="220">
        <v>44945</v>
      </c>
      <c r="M50" s="105" t="s">
        <v>136</v>
      </c>
      <c r="N50" s="100">
        <f>MONTH(List346[[#This Row],[Tanggal Pengajuan]])</f>
        <v>1</v>
      </c>
      <c r="O50" s="62"/>
      <c r="P50" s="100"/>
      <c r="Q50" s="110"/>
      <c r="R50" s="230"/>
      <c r="T50" s="152">
        <f>+List346[[#This Row],[Pengajuan Donasi]]-List346[[#This Row],[Jumlah Transfer]]</f>
        <v>0</v>
      </c>
      <c r="U50" s="152"/>
    </row>
    <row r="51" spans="2:21" ht="30" customHeight="1" x14ac:dyDescent="0.2">
      <c r="B51" s="102">
        <v>44929</v>
      </c>
      <c r="C51" s="67"/>
      <c r="D51" s="103" t="s">
        <v>222</v>
      </c>
      <c r="E51" s="103" t="s">
        <v>17</v>
      </c>
      <c r="F51" s="105" t="s">
        <v>18</v>
      </c>
      <c r="G51" s="15">
        <f>IFERROR(+VLOOKUP(D:D,'Data Base P.Asuhan &amp; Jompo'!B:I,7,0),0)</f>
        <v>40</v>
      </c>
      <c r="H51" s="259">
        <v>5500000</v>
      </c>
      <c r="I51" s="258">
        <f>List346[[#This Row],[Pengajuan Donasi]]</f>
        <v>5500000</v>
      </c>
      <c r="J51" s="214" t="str">
        <f>IF(List346[[#This Row],[Tanggal Trf]]&gt;0,"Done","-")</f>
        <v>Done</v>
      </c>
      <c r="K51" s="103" t="s">
        <v>1825</v>
      </c>
      <c r="L51" s="220">
        <v>44945</v>
      </c>
      <c r="M51" s="105" t="s">
        <v>136</v>
      </c>
      <c r="N51" s="100">
        <f>MONTH(List346[[#This Row],[Tanggal Pengajuan]])</f>
        <v>1</v>
      </c>
      <c r="O51" s="62"/>
      <c r="P51" s="100"/>
      <c r="Q51" s="110"/>
      <c r="R51" s="230"/>
      <c r="T51" s="152">
        <f>+List346[[#This Row],[Pengajuan Donasi]]-List346[[#This Row],[Jumlah Transfer]]</f>
        <v>0</v>
      </c>
      <c r="U51" s="152"/>
    </row>
    <row r="52" spans="2:21" ht="30" customHeight="1" x14ac:dyDescent="0.2">
      <c r="B52" s="102">
        <v>44929</v>
      </c>
      <c r="C52" s="67" t="s">
        <v>1842</v>
      </c>
      <c r="D52" s="103" t="s">
        <v>558</v>
      </c>
      <c r="E52" s="103" t="s">
        <v>57</v>
      </c>
      <c r="F52" s="105" t="s">
        <v>18</v>
      </c>
      <c r="G52" s="15">
        <f>IFERROR(+VLOOKUP(D:D,'Data Base P.Asuhan &amp; Jompo'!B:I,7,0),0)</f>
        <v>25</v>
      </c>
      <c r="H52" s="260">
        <v>5481000</v>
      </c>
      <c r="I52" s="258">
        <f>List346[[#This Row],[Pengajuan Donasi]]</f>
        <v>5481000</v>
      </c>
      <c r="J52" s="214" t="str">
        <f>IF(List346[[#This Row],[Tanggal Trf]]&gt;0,"Done","-")</f>
        <v>Done</v>
      </c>
      <c r="K52" s="103" t="s">
        <v>1826</v>
      </c>
      <c r="L52" s="220">
        <v>44938</v>
      </c>
      <c r="M52" s="105" t="s">
        <v>556</v>
      </c>
      <c r="N52" s="100">
        <f>MONTH(List346[[#This Row],[Tanggal Pengajuan]])</f>
        <v>1</v>
      </c>
      <c r="O52" s="62"/>
      <c r="P52" s="100"/>
      <c r="Q52" s="110"/>
      <c r="R52" s="230" t="s">
        <v>958</v>
      </c>
      <c r="T52" s="152">
        <f>+List346[[#This Row],[Pengajuan Donasi]]-List346[[#This Row],[Jumlah Transfer]]</f>
        <v>0</v>
      </c>
      <c r="U52" s="152"/>
    </row>
    <row r="53" spans="2:21" ht="30" customHeight="1" x14ac:dyDescent="0.2">
      <c r="B53" s="102">
        <v>44929</v>
      </c>
      <c r="C53" s="67" t="s">
        <v>1843</v>
      </c>
      <c r="D53" s="103" t="s">
        <v>1556</v>
      </c>
      <c r="E53" s="103" t="s">
        <v>107</v>
      </c>
      <c r="F53" s="105" t="s">
        <v>18</v>
      </c>
      <c r="G53" s="15">
        <f>IFERROR(+VLOOKUP(D:D,'Data Base P.Asuhan &amp; Jompo'!B:I,7,0),0)</f>
        <v>1</v>
      </c>
      <c r="H53" s="259">
        <v>15000000</v>
      </c>
      <c r="I53" s="258">
        <f>List346[[#This Row],[Pengajuan Donasi]]</f>
        <v>15000000</v>
      </c>
      <c r="J53" s="214" t="str">
        <f>IF(List346[[#This Row],[Tanggal Trf]]&gt;0,"Done","-")</f>
        <v>Done</v>
      </c>
      <c r="K53" s="103" t="s">
        <v>1827</v>
      </c>
      <c r="L53" s="220">
        <v>44956</v>
      </c>
      <c r="M53" s="105" t="s">
        <v>1703</v>
      </c>
      <c r="N53" s="100">
        <f>MONTH(List346[[#This Row],[Tanggal Pengajuan]])</f>
        <v>1</v>
      </c>
      <c r="O53" s="62"/>
      <c r="P53" s="100"/>
      <c r="Q53" s="110"/>
      <c r="R53" s="230" t="s">
        <v>958</v>
      </c>
      <c r="T53" s="152">
        <f>+List346[[#This Row],[Pengajuan Donasi]]-List346[[#This Row],[Jumlah Transfer]]</f>
        <v>0</v>
      </c>
      <c r="U53" s="152"/>
    </row>
    <row r="54" spans="2:21" ht="30" customHeight="1" x14ac:dyDescent="0.2">
      <c r="B54" s="102">
        <v>44929</v>
      </c>
      <c r="C54" s="67" t="s">
        <v>1844</v>
      </c>
      <c r="D54" s="103" t="s">
        <v>1727</v>
      </c>
      <c r="E54" s="103" t="s">
        <v>26</v>
      </c>
      <c r="F54" s="105" t="s">
        <v>18</v>
      </c>
      <c r="G54" s="15">
        <f>IFERROR(+VLOOKUP(D:D,'Data Base P.Asuhan &amp; Jompo'!B:I,7,0),0)</f>
        <v>1</v>
      </c>
      <c r="H54" s="260">
        <v>500000</v>
      </c>
      <c r="I54" s="258">
        <f>List346[[#This Row],[Pengajuan Donasi]]</f>
        <v>500000</v>
      </c>
      <c r="J54" s="214" t="str">
        <f>IF(List346[[#This Row],[Tanggal Trf]]&gt;0,"Done","-")</f>
        <v>Done</v>
      </c>
      <c r="K54" s="103" t="s">
        <v>1828</v>
      </c>
      <c r="L54" s="220">
        <v>44945</v>
      </c>
      <c r="M54" s="208" t="s">
        <v>1722</v>
      </c>
      <c r="N54" s="100">
        <f>MONTH(List346[[#This Row],[Tanggal Pengajuan]])</f>
        <v>1</v>
      </c>
      <c r="O54" s="62"/>
      <c r="P54" s="100"/>
      <c r="Q54" s="110"/>
      <c r="R54" s="230" t="s">
        <v>958</v>
      </c>
      <c r="T54" s="152">
        <f>+List346[[#This Row],[Pengajuan Donasi]]-List346[[#This Row],[Jumlah Transfer]]</f>
        <v>0</v>
      </c>
      <c r="U54" s="152"/>
    </row>
    <row r="55" spans="2:21" ht="30" customHeight="1" x14ac:dyDescent="0.2">
      <c r="B55" s="102">
        <v>44929</v>
      </c>
      <c r="C55" s="67"/>
      <c r="D55" s="103" t="s">
        <v>1728</v>
      </c>
      <c r="E55" s="103" t="s">
        <v>26</v>
      </c>
      <c r="F55" s="105" t="s">
        <v>18</v>
      </c>
      <c r="G55" s="15">
        <f>IFERROR(+VLOOKUP(D:D,'Data Base P.Asuhan &amp; Jompo'!B:I,7,0),0)</f>
        <v>1</v>
      </c>
      <c r="H55" s="260">
        <v>500000</v>
      </c>
      <c r="I55" s="258">
        <f>List346[[#This Row],[Pengajuan Donasi]]</f>
        <v>500000</v>
      </c>
      <c r="J55" s="214" t="str">
        <f>IF(List346[[#This Row],[Tanggal Trf]]&gt;0,"Done","-")</f>
        <v>Done</v>
      </c>
      <c r="K55" s="103" t="s">
        <v>1828</v>
      </c>
      <c r="L55" s="220">
        <v>44945</v>
      </c>
      <c r="M55" s="208" t="s">
        <v>1723</v>
      </c>
      <c r="N55" s="100">
        <f>MONTH(List346[[#This Row],[Tanggal Pengajuan]])</f>
        <v>1</v>
      </c>
      <c r="O55" s="62"/>
      <c r="P55" s="100"/>
      <c r="Q55" s="110"/>
      <c r="R55" s="230"/>
      <c r="T55" s="152">
        <f>+List346[[#This Row],[Pengajuan Donasi]]-List346[[#This Row],[Jumlah Transfer]]</f>
        <v>0</v>
      </c>
      <c r="U55" s="152"/>
    </row>
    <row r="56" spans="2:21" ht="30" customHeight="1" x14ac:dyDescent="0.2">
      <c r="B56" s="102">
        <v>44929</v>
      </c>
      <c r="C56" s="67"/>
      <c r="D56" s="103" t="s">
        <v>1729</v>
      </c>
      <c r="E56" s="103" t="s">
        <v>26</v>
      </c>
      <c r="F56" s="105" t="s">
        <v>18</v>
      </c>
      <c r="G56" s="15">
        <f>IFERROR(+VLOOKUP(D:D,'Data Base P.Asuhan &amp; Jompo'!B:I,7,0),0)</f>
        <v>1</v>
      </c>
      <c r="H56" s="260">
        <v>500000</v>
      </c>
      <c r="I56" s="258">
        <f>List346[[#This Row],[Pengajuan Donasi]]</f>
        <v>500000</v>
      </c>
      <c r="J56" s="214" t="str">
        <f>IF(List346[[#This Row],[Tanggal Trf]]&gt;0,"Done","-")</f>
        <v>Done</v>
      </c>
      <c r="K56" s="103" t="s">
        <v>1828</v>
      </c>
      <c r="L56" s="220">
        <v>44945</v>
      </c>
      <c r="M56" s="208" t="s">
        <v>1724</v>
      </c>
      <c r="N56" s="100">
        <f>MONTH(List346[[#This Row],[Tanggal Pengajuan]])</f>
        <v>1</v>
      </c>
      <c r="O56" s="62"/>
      <c r="P56" s="100"/>
      <c r="Q56" s="110"/>
      <c r="R56" s="230"/>
      <c r="T56" s="152">
        <f>+List346[[#This Row],[Pengajuan Donasi]]-List346[[#This Row],[Jumlah Transfer]]</f>
        <v>0</v>
      </c>
      <c r="U56" s="152"/>
    </row>
    <row r="57" spans="2:21" ht="30" customHeight="1" x14ac:dyDescent="0.2">
      <c r="B57" s="102">
        <v>44929</v>
      </c>
      <c r="C57" s="67"/>
      <c r="D57" s="103" t="s">
        <v>1730</v>
      </c>
      <c r="E57" s="103" t="s">
        <v>26</v>
      </c>
      <c r="F57" s="105" t="s">
        <v>18</v>
      </c>
      <c r="G57" s="15">
        <f>IFERROR(+VLOOKUP(D:D,'Data Base P.Asuhan &amp; Jompo'!B:I,7,0),0)</f>
        <v>1</v>
      </c>
      <c r="H57" s="260">
        <v>500000</v>
      </c>
      <c r="I57" s="258">
        <f>List346[[#This Row],[Pengajuan Donasi]]</f>
        <v>500000</v>
      </c>
      <c r="J57" s="214" t="str">
        <f>IF(List346[[#This Row],[Tanggal Trf]]&gt;0,"Done","-")</f>
        <v>Done</v>
      </c>
      <c r="K57" s="103" t="s">
        <v>1828</v>
      </c>
      <c r="L57" s="220">
        <v>44945</v>
      </c>
      <c r="M57" s="204" t="s">
        <v>1725</v>
      </c>
      <c r="N57" s="100">
        <f>MONTH(List346[[#This Row],[Tanggal Pengajuan]])</f>
        <v>1</v>
      </c>
      <c r="O57" s="62"/>
      <c r="P57" s="100"/>
      <c r="Q57" s="110"/>
      <c r="R57" s="230"/>
      <c r="T57" s="152">
        <f>+List346[[#This Row],[Pengajuan Donasi]]-List346[[#This Row],[Jumlah Transfer]]</f>
        <v>0</v>
      </c>
      <c r="U57" s="152"/>
    </row>
    <row r="58" spans="2:21" ht="30" customHeight="1" x14ac:dyDescent="0.2">
      <c r="B58" s="102">
        <v>44929</v>
      </c>
      <c r="C58" s="67" t="s">
        <v>1845</v>
      </c>
      <c r="D58" s="14" t="s">
        <v>129</v>
      </c>
      <c r="E58" s="103" t="s">
        <v>179</v>
      </c>
      <c r="F58" s="105" t="s">
        <v>18</v>
      </c>
      <c r="G58" s="15">
        <f>IFERROR(+VLOOKUP(D:D,'Data Base P.Asuhan &amp; Jompo'!B:I,7,0),0)</f>
        <v>40</v>
      </c>
      <c r="H58" s="259">
        <v>10200000</v>
      </c>
      <c r="I58" s="258">
        <f>List346[[#This Row],[Pengajuan Donasi]]</f>
        <v>10200000</v>
      </c>
      <c r="J58" s="214" t="str">
        <f>IF(List346[[#This Row],[Tanggal Trf]]&gt;0,"Done","-")</f>
        <v>Done</v>
      </c>
      <c r="K58" s="103" t="s">
        <v>1829</v>
      </c>
      <c r="L58" s="220">
        <v>44938</v>
      </c>
      <c r="M58" s="100" t="s">
        <v>503</v>
      </c>
      <c r="N58" s="100">
        <f>MONTH(List346[[#This Row],[Tanggal Pengajuan]])</f>
        <v>1</v>
      </c>
      <c r="O58" s="62"/>
      <c r="P58" s="100"/>
      <c r="Q58" s="110"/>
      <c r="R58" s="230" t="s">
        <v>958</v>
      </c>
      <c r="T58" s="152">
        <f>+List346[[#This Row],[Pengajuan Donasi]]-List346[[#This Row],[Jumlah Transfer]]</f>
        <v>0</v>
      </c>
      <c r="U58" s="152"/>
    </row>
    <row r="59" spans="2:21" ht="30" customHeight="1" x14ac:dyDescent="0.2">
      <c r="B59" s="13">
        <v>44929</v>
      </c>
      <c r="C59" s="66" t="s">
        <v>1970</v>
      </c>
      <c r="D59" s="14" t="s">
        <v>872</v>
      </c>
      <c r="E59" s="14" t="s">
        <v>17</v>
      </c>
      <c r="F59" s="105" t="s">
        <v>18</v>
      </c>
      <c r="G59" s="15">
        <f>IFERROR(+VLOOKUP(D:D,'Data Base P.Asuhan &amp; Jompo'!B:I,7,0),0)</f>
        <v>59</v>
      </c>
      <c r="H59" s="258">
        <v>6000000</v>
      </c>
      <c r="I59" s="258">
        <f>List346[[#This Row],[Pengajuan Donasi]]</f>
        <v>6000000</v>
      </c>
      <c r="J59" s="214" t="str">
        <f>IF(List346[[#This Row],[Tanggal Trf]]&gt;0,"Done","-")</f>
        <v>Done</v>
      </c>
      <c r="K59" s="961" t="s">
        <v>1967</v>
      </c>
      <c r="L59" s="220">
        <v>44938</v>
      </c>
      <c r="M59" s="100" t="s">
        <v>1213</v>
      </c>
      <c r="N59" s="100">
        <f>MONTH(List346[[#This Row],[Tanggal Pengajuan]])</f>
        <v>1</v>
      </c>
      <c r="O59" s="62"/>
      <c r="P59" s="100"/>
      <c r="Q59" s="110"/>
      <c r="R59" s="230" t="s">
        <v>958</v>
      </c>
      <c r="T59" s="152">
        <f>+List346[[#This Row],[Pengajuan Donasi]]-List346[[#This Row],[Jumlah Transfer]]</f>
        <v>0</v>
      </c>
      <c r="U59" s="152"/>
    </row>
    <row r="60" spans="2:21" ht="30" customHeight="1" x14ac:dyDescent="0.2">
      <c r="B60" s="13">
        <v>44929</v>
      </c>
      <c r="C60" s="66"/>
      <c r="D60" s="14" t="s">
        <v>870</v>
      </c>
      <c r="E60" s="14" t="s">
        <v>17</v>
      </c>
      <c r="F60" s="105" t="s">
        <v>18</v>
      </c>
      <c r="G60" s="15">
        <f>IFERROR(+VLOOKUP(D:D,'Data Base P.Asuhan &amp; Jompo'!B:I,7,0),0)</f>
        <v>0</v>
      </c>
      <c r="H60" s="258">
        <v>6000000</v>
      </c>
      <c r="I60" s="258">
        <f>List346[[#This Row],[Pengajuan Donasi]]</f>
        <v>6000000</v>
      </c>
      <c r="J60" s="214" t="str">
        <f>IF(List346[[#This Row],[Tanggal Trf]]&gt;0,"Done","-")</f>
        <v>Done</v>
      </c>
      <c r="K60" s="961" t="s">
        <v>1967</v>
      </c>
      <c r="L60" s="220">
        <v>44938</v>
      </c>
      <c r="M60" s="100" t="s">
        <v>1213</v>
      </c>
      <c r="N60" s="100">
        <f>MONTH(List346[[#This Row],[Tanggal Pengajuan]])</f>
        <v>1</v>
      </c>
      <c r="O60" s="62"/>
      <c r="P60" s="100"/>
      <c r="Q60" s="110"/>
      <c r="R60" s="230"/>
      <c r="T60" s="152">
        <f>+List346[[#This Row],[Pengajuan Donasi]]-List346[[#This Row],[Jumlah Transfer]]</f>
        <v>0</v>
      </c>
      <c r="U60" s="152"/>
    </row>
    <row r="61" spans="2:21" ht="30" customHeight="1" x14ac:dyDescent="0.2">
      <c r="B61" s="13">
        <v>44929</v>
      </c>
      <c r="C61" s="66"/>
      <c r="D61" s="14" t="s">
        <v>124</v>
      </c>
      <c r="E61" s="14" t="s">
        <v>17</v>
      </c>
      <c r="F61" s="105" t="s">
        <v>18</v>
      </c>
      <c r="G61" s="15">
        <f>IFERROR(+VLOOKUP(D:D,'Data Base P.Asuhan &amp; Jompo'!B:I,7,0),0)</f>
        <v>75</v>
      </c>
      <c r="H61" s="258">
        <v>6000000</v>
      </c>
      <c r="I61" s="258">
        <f>List346[[#This Row],[Pengajuan Donasi]]</f>
        <v>6000000</v>
      </c>
      <c r="J61" s="214" t="str">
        <f>IF(List346[[#This Row],[Tanggal Trf]]&gt;0,"Done","-")</f>
        <v>Done</v>
      </c>
      <c r="K61" s="961" t="s">
        <v>1967</v>
      </c>
      <c r="L61" s="220">
        <v>44938</v>
      </c>
      <c r="M61" s="100" t="s">
        <v>1213</v>
      </c>
      <c r="N61" s="100">
        <f>MONTH(List346[[#This Row],[Tanggal Pengajuan]])</f>
        <v>1</v>
      </c>
      <c r="O61" s="62"/>
      <c r="P61" s="100"/>
      <c r="Q61" s="110"/>
      <c r="R61" s="230"/>
      <c r="T61" s="152">
        <f>+List346[[#This Row],[Pengajuan Donasi]]-List346[[#This Row],[Jumlah Transfer]]</f>
        <v>0</v>
      </c>
      <c r="U61" s="152"/>
    </row>
    <row r="62" spans="2:21" ht="30" customHeight="1" x14ac:dyDescent="0.2">
      <c r="B62" s="13">
        <v>44929</v>
      </c>
      <c r="C62" s="66"/>
      <c r="D62" s="14" t="s">
        <v>868</v>
      </c>
      <c r="E62" s="14" t="s">
        <v>17</v>
      </c>
      <c r="F62" s="105" t="s">
        <v>18</v>
      </c>
      <c r="G62" s="15">
        <f>IFERROR(+VLOOKUP(D:D,'Data Base P.Asuhan &amp; Jompo'!B:I,7,0),0)</f>
        <v>27</v>
      </c>
      <c r="H62" s="258">
        <v>6000000</v>
      </c>
      <c r="I62" s="258">
        <f>List346[[#This Row],[Pengajuan Donasi]]</f>
        <v>6000000</v>
      </c>
      <c r="J62" s="214" t="str">
        <f>IF(List346[[#This Row],[Tanggal Trf]]&gt;0,"Done","-")</f>
        <v>Done</v>
      </c>
      <c r="K62" s="961" t="s">
        <v>1967</v>
      </c>
      <c r="L62" s="220">
        <v>44938</v>
      </c>
      <c r="M62" s="100" t="s">
        <v>1213</v>
      </c>
      <c r="N62" s="100">
        <f>MONTH(List346[[#This Row],[Tanggal Pengajuan]])</f>
        <v>1</v>
      </c>
      <c r="O62" s="62"/>
      <c r="P62" s="100"/>
      <c r="Q62" s="110"/>
      <c r="R62" s="230"/>
      <c r="T62" s="152">
        <f>+List346[[#This Row],[Pengajuan Donasi]]-List346[[#This Row],[Jumlah Transfer]]</f>
        <v>0</v>
      </c>
      <c r="U62" s="152"/>
    </row>
    <row r="63" spans="2:21" ht="30" customHeight="1" x14ac:dyDescent="0.2">
      <c r="B63" s="13">
        <v>44929</v>
      </c>
      <c r="C63" s="66"/>
      <c r="D63" s="14" t="s">
        <v>848</v>
      </c>
      <c r="E63" s="14" t="s">
        <v>17</v>
      </c>
      <c r="F63" s="105" t="s">
        <v>18</v>
      </c>
      <c r="G63" s="15">
        <f>IFERROR(+VLOOKUP(D:D,'Data Base P.Asuhan &amp; Jompo'!B:I,7,0),0)</f>
        <v>36</v>
      </c>
      <c r="H63" s="258">
        <v>6000000</v>
      </c>
      <c r="I63" s="258">
        <f>List346[[#This Row],[Pengajuan Donasi]]</f>
        <v>6000000</v>
      </c>
      <c r="J63" s="214" t="str">
        <f>IF(List346[[#This Row],[Tanggal Trf]]&gt;0,"Done","-")</f>
        <v>Done</v>
      </c>
      <c r="K63" s="961" t="s">
        <v>1967</v>
      </c>
      <c r="L63" s="220">
        <v>44938</v>
      </c>
      <c r="M63" s="100" t="s">
        <v>1213</v>
      </c>
      <c r="N63" s="100">
        <f>MONTH(List346[[#This Row],[Tanggal Pengajuan]])</f>
        <v>1</v>
      </c>
      <c r="O63" s="62"/>
      <c r="P63" s="100"/>
      <c r="Q63" s="110"/>
      <c r="R63" s="230"/>
      <c r="T63" s="152">
        <f>+List346[[#This Row],[Pengajuan Donasi]]-List346[[#This Row],[Jumlah Transfer]]</f>
        <v>0</v>
      </c>
      <c r="U63" s="152"/>
    </row>
    <row r="64" spans="2:21" ht="30" customHeight="1" x14ac:dyDescent="0.2">
      <c r="B64" s="13">
        <v>44929</v>
      </c>
      <c r="C64" s="66"/>
      <c r="D64" s="14" t="s">
        <v>867</v>
      </c>
      <c r="E64" s="14" t="s">
        <v>17</v>
      </c>
      <c r="F64" s="105" t="s">
        <v>18</v>
      </c>
      <c r="G64" s="15">
        <f>IFERROR(+VLOOKUP(D:D,'Data Base P.Asuhan &amp; Jompo'!B:I,7,0),0)</f>
        <v>129</v>
      </c>
      <c r="H64" s="258">
        <v>6000000</v>
      </c>
      <c r="I64" s="258">
        <f>List346[[#This Row],[Pengajuan Donasi]]</f>
        <v>6000000</v>
      </c>
      <c r="J64" s="214" t="str">
        <f>IF(List346[[#This Row],[Tanggal Trf]]&gt;0,"Done","-")</f>
        <v>Done</v>
      </c>
      <c r="K64" s="961" t="s">
        <v>1967</v>
      </c>
      <c r="L64" s="220">
        <v>44938</v>
      </c>
      <c r="M64" s="100" t="s">
        <v>1213</v>
      </c>
      <c r="N64" s="100">
        <f>MONTH(List346[[#This Row],[Tanggal Pengajuan]])</f>
        <v>1</v>
      </c>
      <c r="O64" s="62"/>
      <c r="P64" s="100"/>
      <c r="Q64" s="110"/>
      <c r="R64" s="230"/>
      <c r="T64" s="152">
        <f>+List346[[#This Row],[Pengajuan Donasi]]-List346[[#This Row],[Jumlah Transfer]]</f>
        <v>0</v>
      </c>
      <c r="U64" s="152"/>
    </row>
    <row r="65" spans="2:21" ht="30" customHeight="1" x14ac:dyDescent="0.2">
      <c r="B65" s="13">
        <v>44929</v>
      </c>
      <c r="C65" s="66"/>
      <c r="D65" s="14" t="s">
        <v>849</v>
      </c>
      <c r="E65" s="14" t="s">
        <v>17</v>
      </c>
      <c r="F65" s="105" t="s">
        <v>18</v>
      </c>
      <c r="G65" s="15">
        <f>IFERROR(+VLOOKUP(D:D,'Data Base P.Asuhan &amp; Jompo'!B:I,7,0),0)</f>
        <v>53</v>
      </c>
      <c r="H65" s="258">
        <v>6000000</v>
      </c>
      <c r="I65" s="258">
        <f>List346[[#This Row],[Pengajuan Donasi]]</f>
        <v>6000000</v>
      </c>
      <c r="J65" s="214" t="str">
        <f>IF(List346[[#This Row],[Tanggal Trf]]&gt;0,"Done","-")</f>
        <v>Done</v>
      </c>
      <c r="K65" s="961" t="s">
        <v>1967</v>
      </c>
      <c r="L65" s="220">
        <v>44938</v>
      </c>
      <c r="M65" s="100" t="s">
        <v>1213</v>
      </c>
      <c r="N65" s="100">
        <f>MONTH(List346[[#This Row],[Tanggal Pengajuan]])</f>
        <v>1</v>
      </c>
      <c r="O65" s="62"/>
      <c r="P65" s="100"/>
      <c r="Q65" s="110"/>
      <c r="R65" s="230"/>
      <c r="T65" s="152">
        <f>+List346[[#This Row],[Pengajuan Donasi]]-List346[[#This Row],[Jumlah Transfer]]</f>
        <v>0</v>
      </c>
      <c r="U65" s="152"/>
    </row>
    <row r="66" spans="2:21" ht="30" customHeight="1" x14ac:dyDescent="0.2">
      <c r="B66" s="13">
        <v>44929</v>
      </c>
      <c r="C66" s="66"/>
      <c r="D66" s="14" t="s">
        <v>852</v>
      </c>
      <c r="E66" s="14" t="s">
        <v>17</v>
      </c>
      <c r="F66" s="105" t="s">
        <v>18</v>
      </c>
      <c r="G66" s="15">
        <f>IFERROR(+VLOOKUP(D:D,'Data Base P.Asuhan &amp; Jompo'!B:I,7,0),0)</f>
        <v>0</v>
      </c>
      <c r="H66" s="258">
        <v>6000000</v>
      </c>
      <c r="I66" s="258">
        <f>List346[[#This Row],[Pengajuan Donasi]]</f>
        <v>6000000</v>
      </c>
      <c r="J66" s="214" t="str">
        <f>IF(List346[[#This Row],[Tanggal Trf]]&gt;0,"Done","-")</f>
        <v>Done</v>
      </c>
      <c r="K66" s="961" t="s">
        <v>1967</v>
      </c>
      <c r="L66" s="220">
        <v>44938</v>
      </c>
      <c r="M66" s="100" t="s">
        <v>1213</v>
      </c>
      <c r="N66" s="100">
        <f>MONTH(List346[[#This Row],[Tanggal Pengajuan]])</f>
        <v>1</v>
      </c>
      <c r="O66" s="62"/>
      <c r="P66" s="100"/>
      <c r="Q66" s="110"/>
      <c r="R66" s="230"/>
      <c r="T66" s="152">
        <f>+List346[[#This Row],[Pengajuan Donasi]]-List346[[#This Row],[Jumlah Transfer]]</f>
        <v>0</v>
      </c>
      <c r="U66" s="152"/>
    </row>
    <row r="67" spans="2:21" ht="30" customHeight="1" x14ac:dyDescent="0.2">
      <c r="B67" s="13">
        <v>44929</v>
      </c>
      <c r="C67" s="66"/>
      <c r="D67" s="14" t="s">
        <v>855</v>
      </c>
      <c r="E67" s="14" t="s">
        <v>17</v>
      </c>
      <c r="F67" s="105" t="s">
        <v>18</v>
      </c>
      <c r="G67" s="15">
        <f>IFERROR(+VLOOKUP(D:D,'Data Base P.Asuhan &amp; Jompo'!B:I,7,0),0)</f>
        <v>91</v>
      </c>
      <c r="H67" s="258">
        <v>6000000</v>
      </c>
      <c r="I67" s="258">
        <f>List346[[#This Row],[Pengajuan Donasi]]</f>
        <v>6000000</v>
      </c>
      <c r="J67" s="214" t="str">
        <f>IF(List346[[#This Row],[Tanggal Trf]]&gt;0,"Done","-")</f>
        <v>Done</v>
      </c>
      <c r="K67" s="961" t="s">
        <v>1967</v>
      </c>
      <c r="L67" s="220">
        <v>44938</v>
      </c>
      <c r="M67" s="100" t="s">
        <v>1213</v>
      </c>
      <c r="N67" s="100">
        <f>MONTH(List346[[#This Row],[Tanggal Pengajuan]])</f>
        <v>1</v>
      </c>
      <c r="O67" s="62"/>
      <c r="P67" s="100"/>
      <c r="Q67" s="110"/>
      <c r="R67" s="230"/>
      <c r="T67" s="152">
        <f>+List346[[#This Row],[Pengajuan Donasi]]-List346[[#This Row],[Jumlah Transfer]]</f>
        <v>0</v>
      </c>
      <c r="U67" s="152"/>
    </row>
    <row r="68" spans="2:21" ht="30" customHeight="1" x14ac:dyDescent="0.2">
      <c r="B68" s="13">
        <v>44929</v>
      </c>
      <c r="C68" s="66"/>
      <c r="D68" s="14" t="s">
        <v>857</v>
      </c>
      <c r="E68" s="14" t="s">
        <v>17</v>
      </c>
      <c r="F68" s="105" t="s">
        <v>18</v>
      </c>
      <c r="G68" s="15">
        <f>IFERROR(+VLOOKUP(D:D,'Data Base P.Asuhan &amp; Jompo'!B:I,7,0),0)</f>
        <v>38</v>
      </c>
      <c r="H68" s="258">
        <v>6000000</v>
      </c>
      <c r="I68" s="258">
        <f>List346[[#This Row],[Pengajuan Donasi]]</f>
        <v>6000000</v>
      </c>
      <c r="J68" s="214" t="str">
        <f>IF(List346[[#This Row],[Tanggal Trf]]&gt;0,"Done","-")</f>
        <v>Done</v>
      </c>
      <c r="K68" s="961" t="s">
        <v>1967</v>
      </c>
      <c r="L68" s="220">
        <v>44938</v>
      </c>
      <c r="M68" s="100" t="s">
        <v>1213</v>
      </c>
      <c r="N68" s="100">
        <f>MONTH(List346[[#This Row],[Tanggal Pengajuan]])</f>
        <v>1</v>
      </c>
      <c r="O68" s="62"/>
      <c r="P68" s="100"/>
      <c r="Q68" s="110"/>
      <c r="R68" s="230"/>
      <c r="T68" s="152">
        <f>+List346[[#This Row],[Pengajuan Donasi]]-List346[[#This Row],[Jumlah Transfer]]</f>
        <v>0</v>
      </c>
      <c r="U68" s="152"/>
    </row>
    <row r="69" spans="2:21" ht="30" customHeight="1" x14ac:dyDescent="0.2">
      <c r="B69" s="13">
        <v>44929</v>
      </c>
      <c r="C69" s="66"/>
      <c r="D69" s="14" t="s">
        <v>328</v>
      </c>
      <c r="E69" s="14" t="s">
        <v>17</v>
      </c>
      <c r="F69" s="105" t="s">
        <v>18</v>
      </c>
      <c r="G69" s="15">
        <f>IFERROR(+VLOOKUP(D:D,'Data Base P.Asuhan &amp; Jompo'!B:I,7,0),0)</f>
        <v>0</v>
      </c>
      <c r="H69" s="258">
        <v>6000000</v>
      </c>
      <c r="I69" s="258">
        <f>List346[[#This Row],[Pengajuan Donasi]]</f>
        <v>6000000</v>
      </c>
      <c r="J69" s="214" t="str">
        <f>IF(List346[[#This Row],[Tanggal Trf]]&gt;0,"Done","-")</f>
        <v>Done</v>
      </c>
      <c r="K69" s="961" t="s">
        <v>1967</v>
      </c>
      <c r="L69" s="220">
        <v>44938</v>
      </c>
      <c r="M69" s="100" t="s">
        <v>1213</v>
      </c>
      <c r="N69" s="100">
        <f>MONTH(List346[[#This Row],[Tanggal Pengajuan]])</f>
        <v>1</v>
      </c>
      <c r="O69" s="62"/>
      <c r="P69" s="100"/>
      <c r="Q69" s="110"/>
      <c r="R69" s="230"/>
      <c r="T69" s="152">
        <f>+List346[[#This Row],[Pengajuan Donasi]]-List346[[#This Row],[Jumlah Transfer]]</f>
        <v>0</v>
      </c>
      <c r="U69" s="152"/>
    </row>
    <row r="70" spans="2:21" ht="30" customHeight="1" x14ac:dyDescent="0.2">
      <c r="B70" s="13">
        <v>44929</v>
      </c>
      <c r="C70" s="66"/>
      <c r="D70" s="14" t="s">
        <v>362</v>
      </c>
      <c r="E70" s="14" t="s">
        <v>17</v>
      </c>
      <c r="F70" s="105" t="s">
        <v>18</v>
      </c>
      <c r="G70" s="15">
        <f>IFERROR(+VLOOKUP(D:D,'Data Base P.Asuhan &amp; Jompo'!B:I,7,0),0)</f>
        <v>137</v>
      </c>
      <c r="H70" s="258">
        <v>6000000</v>
      </c>
      <c r="I70" s="258">
        <f>List346[[#This Row],[Pengajuan Donasi]]</f>
        <v>6000000</v>
      </c>
      <c r="J70" s="214" t="str">
        <f>IF(List346[[#This Row],[Tanggal Trf]]&gt;0,"Done","-")</f>
        <v>Done</v>
      </c>
      <c r="K70" s="961" t="s">
        <v>1967</v>
      </c>
      <c r="L70" s="220">
        <v>44938</v>
      </c>
      <c r="M70" s="100" t="s">
        <v>1213</v>
      </c>
      <c r="N70" s="100">
        <f>MONTH(List346[[#This Row],[Tanggal Pengajuan]])</f>
        <v>1</v>
      </c>
      <c r="O70" s="62"/>
      <c r="P70" s="100"/>
      <c r="Q70" s="110"/>
      <c r="R70" s="230"/>
      <c r="T70" s="152">
        <f>+List346[[#This Row],[Pengajuan Donasi]]-List346[[#This Row],[Jumlah Transfer]]</f>
        <v>0</v>
      </c>
      <c r="U70" s="152"/>
    </row>
    <row r="71" spans="2:21" ht="30" customHeight="1" x14ac:dyDescent="0.2">
      <c r="B71" s="13">
        <v>44929</v>
      </c>
      <c r="C71" s="66"/>
      <c r="D71" s="14" t="s">
        <v>858</v>
      </c>
      <c r="E71" s="14" t="s">
        <v>17</v>
      </c>
      <c r="F71" s="105" t="s">
        <v>18</v>
      </c>
      <c r="G71" s="15">
        <f>IFERROR(+VLOOKUP(D:D,'Data Base P.Asuhan &amp; Jompo'!B:I,7,0),0)</f>
        <v>320</v>
      </c>
      <c r="H71" s="258">
        <v>6000000</v>
      </c>
      <c r="I71" s="258">
        <f>List346[[#This Row],[Pengajuan Donasi]]</f>
        <v>6000000</v>
      </c>
      <c r="J71" s="214" t="str">
        <f>IF(List346[[#This Row],[Tanggal Trf]]&gt;0,"Done","-")</f>
        <v>Done</v>
      </c>
      <c r="K71" s="961" t="s">
        <v>1967</v>
      </c>
      <c r="L71" s="220">
        <v>44938</v>
      </c>
      <c r="M71" s="100" t="s">
        <v>1213</v>
      </c>
      <c r="N71" s="100">
        <f>MONTH(List346[[#This Row],[Tanggal Pengajuan]])</f>
        <v>1</v>
      </c>
      <c r="O71" s="62"/>
      <c r="P71" s="100"/>
      <c r="Q71" s="110"/>
      <c r="R71" s="230"/>
      <c r="T71" s="152">
        <f>+List346[[#This Row],[Pengajuan Donasi]]-List346[[#This Row],[Jumlah Transfer]]</f>
        <v>0</v>
      </c>
      <c r="U71" s="152"/>
    </row>
    <row r="72" spans="2:21" ht="30" customHeight="1" x14ac:dyDescent="0.2">
      <c r="B72" s="13">
        <v>44929</v>
      </c>
      <c r="C72" s="66"/>
      <c r="D72" s="14" t="s">
        <v>391</v>
      </c>
      <c r="E72" s="14" t="s">
        <v>17</v>
      </c>
      <c r="F72" s="105" t="s">
        <v>18</v>
      </c>
      <c r="G72" s="15">
        <f>IFERROR(+VLOOKUP(D:D,'Data Base P.Asuhan &amp; Jompo'!B:I,7,0),0)</f>
        <v>40</v>
      </c>
      <c r="H72" s="258">
        <v>6000000</v>
      </c>
      <c r="I72" s="258">
        <f>List346[[#This Row],[Pengajuan Donasi]]</f>
        <v>6000000</v>
      </c>
      <c r="J72" s="214" t="str">
        <f>IF(List346[[#This Row],[Tanggal Trf]]&gt;0,"Done","-")</f>
        <v>Done</v>
      </c>
      <c r="K72" s="961" t="s">
        <v>1967</v>
      </c>
      <c r="L72" s="220">
        <v>44938</v>
      </c>
      <c r="M72" s="100" t="s">
        <v>1213</v>
      </c>
      <c r="N72" s="100">
        <f>MONTH(List346[[#This Row],[Tanggal Pengajuan]])</f>
        <v>1</v>
      </c>
      <c r="O72" s="62"/>
      <c r="P72" s="100"/>
      <c r="Q72" s="110"/>
      <c r="R72" s="230"/>
      <c r="T72" s="152">
        <f>+List346[[#This Row],[Pengajuan Donasi]]-List346[[#This Row],[Jumlah Transfer]]</f>
        <v>0</v>
      </c>
      <c r="U72" s="152"/>
    </row>
    <row r="73" spans="2:21" ht="30" customHeight="1" x14ac:dyDescent="0.2">
      <c r="B73" s="13">
        <v>44929</v>
      </c>
      <c r="C73" s="66"/>
      <c r="D73" s="14" t="s">
        <v>860</v>
      </c>
      <c r="E73" s="14" t="s">
        <v>17</v>
      </c>
      <c r="F73" s="105" t="s">
        <v>18</v>
      </c>
      <c r="G73" s="15">
        <f>IFERROR(+VLOOKUP(D:D,'Data Base P.Asuhan &amp; Jompo'!B:I,7,0),0)</f>
        <v>45</v>
      </c>
      <c r="H73" s="258">
        <v>6000000</v>
      </c>
      <c r="I73" s="258">
        <f>List346[[#This Row],[Pengajuan Donasi]]</f>
        <v>6000000</v>
      </c>
      <c r="J73" s="214" t="str">
        <f>IF(List346[[#This Row],[Tanggal Trf]]&gt;0,"Done","-")</f>
        <v>Done</v>
      </c>
      <c r="K73" s="961" t="s">
        <v>1967</v>
      </c>
      <c r="L73" s="220">
        <v>44938</v>
      </c>
      <c r="M73" s="100" t="s">
        <v>1213</v>
      </c>
      <c r="N73" s="100">
        <f>MONTH(List346[[#This Row],[Tanggal Pengajuan]])</f>
        <v>1</v>
      </c>
      <c r="O73" s="62"/>
      <c r="P73" s="100"/>
      <c r="Q73" s="110"/>
      <c r="R73" s="230"/>
      <c r="T73" s="152">
        <f>+List346[[#This Row],[Pengajuan Donasi]]-List346[[#This Row],[Jumlah Transfer]]</f>
        <v>0</v>
      </c>
      <c r="U73" s="152"/>
    </row>
    <row r="74" spans="2:21" ht="30" customHeight="1" x14ac:dyDescent="0.2">
      <c r="B74" s="13">
        <v>44929</v>
      </c>
      <c r="C74" s="66"/>
      <c r="D74" s="14" t="s">
        <v>862</v>
      </c>
      <c r="E74" s="14" t="s">
        <v>17</v>
      </c>
      <c r="F74" s="105" t="s">
        <v>18</v>
      </c>
      <c r="G74" s="15">
        <f>IFERROR(+VLOOKUP(D:D,'Data Base P.Asuhan &amp; Jompo'!B:I,7,0),0)</f>
        <v>46</v>
      </c>
      <c r="H74" s="258">
        <v>6000000</v>
      </c>
      <c r="I74" s="258">
        <f>List346[[#This Row],[Pengajuan Donasi]]</f>
        <v>6000000</v>
      </c>
      <c r="J74" s="214" t="str">
        <f>IF(List346[[#This Row],[Tanggal Trf]]&gt;0,"Done","-")</f>
        <v>Done</v>
      </c>
      <c r="K74" s="961" t="s">
        <v>1967</v>
      </c>
      <c r="L74" s="220">
        <v>44938</v>
      </c>
      <c r="M74" s="100" t="s">
        <v>1213</v>
      </c>
      <c r="N74" s="100">
        <f>MONTH(List346[[#This Row],[Tanggal Pengajuan]])</f>
        <v>1</v>
      </c>
      <c r="O74" s="62"/>
      <c r="P74" s="100"/>
      <c r="Q74" s="110"/>
      <c r="R74" s="230"/>
      <c r="T74" s="152">
        <f>+List346[[#This Row],[Pengajuan Donasi]]-List346[[#This Row],[Jumlah Transfer]]</f>
        <v>0</v>
      </c>
      <c r="U74" s="152"/>
    </row>
    <row r="75" spans="2:21" ht="30" customHeight="1" x14ac:dyDescent="0.2">
      <c r="B75" s="13">
        <v>44929</v>
      </c>
      <c r="C75" s="66"/>
      <c r="D75" s="14" t="s">
        <v>863</v>
      </c>
      <c r="E75" s="14" t="s">
        <v>17</v>
      </c>
      <c r="F75" s="105" t="s">
        <v>18</v>
      </c>
      <c r="G75" s="15">
        <f>IFERROR(+VLOOKUP(D:D,'Data Base P.Asuhan &amp; Jompo'!B:I,7,0),0)</f>
        <v>142</v>
      </c>
      <c r="H75" s="258">
        <v>6000000</v>
      </c>
      <c r="I75" s="258">
        <f>List346[[#This Row],[Pengajuan Donasi]]</f>
        <v>6000000</v>
      </c>
      <c r="J75" s="214" t="str">
        <f>IF(List346[[#This Row],[Tanggal Trf]]&gt;0,"Done","-")</f>
        <v>Done</v>
      </c>
      <c r="K75" s="961" t="s">
        <v>1967</v>
      </c>
      <c r="L75" s="220">
        <v>44938</v>
      </c>
      <c r="M75" s="100" t="s">
        <v>1213</v>
      </c>
      <c r="N75" s="100">
        <f>MONTH(List346[[#This Row],[Tanggal Pengajuan]])</f>
        <v>1</v>
      </c>
      <c r="O75" s="62"/>
      <c r="P75" s="100"/>
      <c r="Q75" s="110"/>
      <c r="R75" s="230"/>
      <c r="T75" s="152">
        <f>+List346[[#This Row],[Pengajuan Donasi]]-List346[[#This Row],[Jumlah Transfer]]</f>
        <v>0</v>
      </c>
      <c r="U75" s="152"/>
    </row>
    <row r="76" spans="2:21" ht="30" customHeight="1" x14ac:dyDescent="0.2">
      <c r="B76" s="13">
        <v>44929</v>
      </c>
      <c r="C76" s="66"/>
      <c r="D76" s="14" t="s">
        <v>864</v>
      </c>
      <c r="E76" s="14" t="s">
        <v>17</v>
      </c>
      <c r="F76" s="105" t="s">
        <v>18</v>
      </c>
      <c r="G76" s="15">
        <f>IFERROR(+VLOOKUP(D:D,'Data Base P.Asuhan &amp; Jompo'!B:I,7,0),0)</f>
        <v>141</v>
      </c>
      <c r="H76" s="258">
        <v>6000000</v>
      </c>
      <c r="I76" s="258">
        <f>List346[[#This Row],[Pengajuan Donasi]]</f>
        <v>6000000</v>
      </c>
      <c r="J76" s="214" t="str">
        <f>IF(List346[[#This Row],[Tanggal Trf]]&gt;0,"Done","-")</f>
        <v>Done</v>
      </c>
      <c r="K76" s="961" t="s">
        <v>1967</v>
      </c>
      <c r="L76" s="220">
        <v>44938</v>
      </c>
      <c r="M76" s="100" t="s">
        <v>1213</v>
      </c>
      <c r="N76" s="100">
        <f>MONTH(List346[[#This Row],[Tanggal Pengajuan]])</f>
        <v>1</v>
      </c>
      <c r="O76" s="62"/>
      <c r="P76" s="100"/>
      <c r="Q76" s="110"/>
      <c r="R76" s="230"/>
      <c r="T76" s="152">
        <f>+List346[[#This Row],[Pengajuan Donasi]]-List346[[#This Row],[Jumlah Transfer]]</f>
        <v>0</v>
      </c>
      <c r="U76" s="152"/>
    </row>
    <row r="77" spans="2:21" ht="30" customHeight="1" x14ac:dyDescent="0.2">
      <c r="B77" s="13">
        <v>44929</v>
      </c>
      <c r="C77" s="66"/>
      <c r="D77" s="14" t="s">
        <v>865</v>
      </c>
      <c r="E77" s="14" t="s">
        <v>17</v>
      </c>
      <c r="F77" s="105" t="s">
        <v>18</v>
      </c>
      <c r="G77" s="15">
        <f>IFERROR(+VLOOKUP(D:D,'Data Base P.Asuhan &amp; Jompo'!B:I,7,0),0)</f>
        <v>96</v>
      </c>
      <c r="H77" s="258">
        <v>6000000</v>
      </c>
      <c r="I77" s="258">
        <f>List346[[#This Row],[Pengajuan Donasi]]</f>
        <v>6000000</v>
      </c>
      <c r="J77" s="214" t="str">
        <f>IF(List346[[#This Row],[Tanggal Trf]]&gt;0,"Done","-")</f>
        <v>Done</v>
      </c>
      <c r="K77" s="961" t="s">
        <v>1967</v>
      </c>
      <c r="L77" s="220">
        <v>44938</v>
      </c>
      <c r="M77" s="100" t="s">
        <v>1213</v>
      </c>
      <c r="N77" s="100">
        <f>MONTH(List346[[#This Row],[Tanggal Pengajuan]])</f>
        <v>1</v>
      </c>
      <c r="O77" s="62"/>
      <c r="P77" s="100"/>
      <c r="Q77" s="110"/>
      <c r="R77" s="230"/>
      <c r="T77" s="152">
        <f>+List346[[#This Row],[Pengajuan Donasi]]-List346[[#This Row],[Jumlah Transfer]]</f>
        <v>0</v>
      </c>
      <c r="U77" s="152"/>
    </row>
    <row r="78" spans="2:21" ht="30" customHeight="1" x14ac:dyDescent="0.2">
      <c r="B78" s="13">
        <v>44929</v>
      </c>
      <c r="C78" s="66"/>
      <c r="D78" s="14" t="s">
        <v>866</v>
      </c>
      <c r="E78" s="14" t="s">
        <v>17</v>
      </c>
      <c r="F78" s="105" t="s">
        <v>18</v>
      </c>
      <c r="G78" s="15">
        <f>IFERROR(+VLOOKUP(D:D,'Data Base P.Asuhan &amp; Jompo'!B:I,7,0),0)</f>
        <v>63</v>
      </c>
      <c r="H78" s="258">
        <v>6000000</v>
      </c>
      <c r="I78" s="258">
        <f>List346[[#This Row],[Pengajuan Donasi]]</f>
        <v>6000000</v>
      </c>
      <c r="J78" s="214" t="str">
        <f>IF(List346[[#This Row],[Tanggal Trf]]&gt;0,"Done","-")</f>
        <v>Done</v>
      </c>
      <c r="K78" s="961" t="s">
        <v>1967</v>
      </c>
      <c r="L78" s="220">
        <v>44938</v>
      </c>
      <c r="M78" s="100" t="s">
        <v>1213</v>
      </c>
      <c r="N78" s="100">
        <f>MONTH(List346[[#This Row],[Tanggal Pengajuan]])</f>
        <v>1</v>
      </c>
      <c r="O78" s="62"/>
      <c r="P78" s="100"/>
      <c r="Q78" s="110"/>
      <c r="R78" s="230"/>
      <c r="T78" s="152">
        <f>+List346[[#This Row],[Pengajuan Donasi]]-List346[[#This Row],[Jumlah Transfer]]</f>
        <v>0</v>
      </c>
      <c r="U78" s="152"/>
    </row>
    <row r="79" spans="2:21" ht="30" customHeight="1" x14ac:dyDescent="0.2">
      <c r="B79" s="13">
        <v>44929</v>
      </c>
      <c r="C79" s="66"/>
      <c r="D79" s="14" t="s">
        <v>1115</v>
      </c>
      <c r="E79" s="14" t="s">
        <v>17</v>
      </c>
      <c r="F79" s="105" t="s">
        <v>18</v>
      </c>
      <c r="G79" s="15">
        <f>IFERROR(+VLOOKUP(D:D,'Data Base P.Asuhan &amp; Jompo'!B:I,7,0),0)</f>
        <v>35</v>
      </c>
      <c r="H79" s="258">
        <v>6000000</v>
      </c>
      <c r="I79" s="258">
        <f>List346[[#This Row],[Pengajuan Donasi]]</f>
        <v>6000000</v>
      </c>
      <c r="J79" s="214" t="str">
        <f>IF(List346[[#This Row],[Tanggal Trf]]&gt;0,"Done","-")</f>
        <v>Done</v>
      </c>
      <c r="K79" s="961" t="s">
        <v>1967</v>
      </c>
      <c r="L79" s="220">
        <v>44938</v>
      </c>
      <c r="M79" s="100" t="s">
        <v>1213</v>
      </c>
      <c r="N79" s="100">
        <f>MONTH(List346[[#This Row],[Tanggal Pengajuan]])</f>
        <v>1</v>
      </c>
      <c r="O79" s="62"/>
      <c r="P79" s="100"/>
      <c r="Q79" s="110"/>
      <c r="R79" s="230"/>
      <c r="T79" s="152">
        <f>+List346[[#This Row],[Pengajuan Donasi]]-List346[[#This Row],[Jumlah Transfer]]</f>
        <v>0</v>
      </c>
      <c r="U79" s="152"/>
    </row>
    <row r="80" spans="2:21" ht="30" customHeight="1" x14ac:dyDescent="0.2">
      <c r="B80" s="13">
        <v>44929</v>
      </c>
      <c r="C80" s="66"/>
      <c r="D80" s="14" t="s">
        <v>228</v>
      </c>
      <c r="E80" s="14" t="s">
        <v>17</v>
      </c>
      <c r="F80" s="105" t="s">
        <v>18</v>
      </c>
      <c r="G80" s="15">
        <f>IFERROR(+VLOOKUP(D:D,'Data Base P.Asuhan &amp; Jompo'!B:I,7,0),0)</f>
        <v>3</v>
      </c>
      <c r="H80" s="258">
        <v>6000000</v>
      </c>
      <c r="I80" s="258">
        <f>List346[[#This Row],[Pengajuan Donasi]]</f>
        <v>6000000</v>
      </c>
      <c r="J80" s="214" t="str">
        <f>IF(List346[[#This Row],[Tanggal Trf]]&gt;0,"Done","-")</f>
        <v>Done</v>
      </c>
      <c r="K80" s="961" t="s">
        <v>1967</v>
      </c>
      <c r="L80" s="220">
        <v>44938</v>
      </c>
      <c r="M80" s="100" t="s">
        <v>1213</v>
      </c>
      <c r="N80" s="100">
        <f>MONTH(List346[[#This Row],[Tanggal Pengajuan]])</f>
        <v>1</v>
      </c>
      <c r="O80" s="62"/>
      <c r="P80" s="100"/>
      <c r="Q80" s="110"/>
      <c r="R80" s="230"/>
      <c r="T80" s="152">
        <f>+List346[[#This Row],[Pengajuan Donasi]]-List346[[#This Row],[Jumlah Transfer]]</f>
        <v>0</v>
      </c>
      <c r="U80" s="152"/>
    </row>
    <row r="81" spans="2:21" ht="30" customHeight="1" x14ac:dyDescent="0.2">
      <c r="B81" s="13">
        <v>44929</v>
      </c>
      <c r="C81" s="66"/>
      <c r="D81" s="14" t="s">
        <v>1572</v>
      </c>
      <c r="E81" s="14" t="s">
        <v>17</v>
      </c>
      <c r="F81" s="105" t="s">
        <v>18</v>
      </c>
      <c r="G81" s="15">
        <f>IFERROR(+VLOOKUP(D:D,'Data Base P.Asuhan &amp; Jompo'!B:I,7,0),0)</f>
        <v>60</v>
      </c>
      <c r="H81" s="258">
        <v>6000000</v>
      </c>
      <c r="I81" s="258">
        <f>List346[[#This Row],[Pengajuan Donasi]]</f>
        <v>6000000</v>
      </c>
      <c r="J81" s="214" t="str">
        <f>IF(List346[[#This Row],[Tanggal Trf]]&gt;0,"Done","-")</f>
        <v>Done</v>
      </c>
      <c r="K81" s="961" t="s">
        <v>1967</v>
      </c>
      <c r="L81" s="220">
        <v>44938</v>
      </c>
      <c r="M81" s="100" t="s">
        <v>1213</v>
      </c>
      <c r="N81" s="100">
        <f>MONTH(List346[[#This Row],[Tanggal Pengajuan]])</f>
        <v>1</v>
      </c>
      <c r="O81" s="62"/>
      <c r="P81" s="100"/>
      <c r="Q81" s="110"/>
      <c r="R81" s="230"/>
      <c r="T81" s="152">
        <f>+List346[[#This Row],[Pengajuan Donasi]]-List346[[#This Row],[Jumlah Transfer]]</f>
        <v>0</v>
      </c>
      <c r="U81" s="152"/>
    </row>
    <row r="82" spans="2:21" ht="30" customHeight="1" x14ac:dyDescent="0.2">
      <c r="B82" s="13">
        <v>44929</v>
      </c>
      <c r="C82" s="66"/>
      <c r="D82" s="14" t="s">
        <v>829</v>
      </c>
      <c r="E82" s="14" t="s">
        <v>17</v>
      </c>
      <c r="F82" s="105" t="s">
        <v>18</v>
      </c>
      <c r="G82" s="15">
        <f>IFERROR(+VLOOKUP(D:D,'Data Base P.Asuhan &amp; Jompo'!B:I,7,0),0)</f>
        <v>78</v>
      </c>
      <c r="H82" s="258">
        <v>6000000</v>
      </c>
      <c r="I82" s="258">
        <f>List346[[#This Row],[Pengajuan Donasi]]</f>
        <v>6000000</v>
      </c>
      <c r="J82" s="214" t="str">
        <f>IF(List346[[#This Row],[Tanggal Trf]]&gt;0,"Done","-")</f>
        <v>Done</v>
      </c>
      <c r="K82" s="961" t="s">
        <v>1967</v>
      </c>
      <c r="L82" s="220">
        <v>44938</v>
      </c>
      <c r="M82" s="100" t="s">
        <v>1213</v>
      </c>
      <c r="N82" s="100">
        <f>MONTH(List346[[#This Row],[Tanggal Pengajuan]])</f>
        <v>1</v>
      </c>
      <c r="O82" s="62"/>
      <c r="P82" s="100"/>
      <c r="Q82" s="110"/>
      <c r="R82" s="230"/>
      <c r="T82" s="152">
        <f>+List346[[#This Row],[Pengajuan Donasi]]-List346[[#This Row],[Jumlah Transfer]]</f>
        <v>0</v>
      </c>
      <c r="U82" s="152"/>
    </row>
    <row r="83" spans="2:21" ht="30" customHeight="1" x14ac:dyDescent="0.2">
      <c r="B83" s="13">
        <v>44929</v>
      </c>
      <c r="C83" s="66"/>
      <c r="D83" s="14" t="s">
        <v>238</v>
      </c>
      <c r="E83" s="14" t="s">
        <v>17</v>
      </c>
      <c r="F83" s="105" t="s">
        <v>18</v>
      </c>
      <c r="G83" s="15">
        <f>IFERROR(+VLOOKUP(D:D,'Data Base P.Asuhan &amp; Jompo'!B:I,7,0),0)</f>
        <v>46</v>
      </c>
      <c r="H83" s="258">
        <v>6000000</v>
      </c>
      <c r="I83" s="258">
        <f>List346[[#This Row],[Pengajuan Donasi]]</f>
        <v>6000000</v>
      </c>
      <c r="J83" s="214" t="str">
        <f>IF(List346[[#This Row],[Tanggal Trf]]&gt;0,"Done","-")</f>
        <v>Done</v>
      </c>
      <c r="K83" s="961" t="s">
        <v>1967</v>
      </c>
      <c r="L83" s="220">
        <v>44938</v>
      </c>
      <c r="M83" s="100" t="s">
        <v>1213</v>
      </c>
      <c r="N83" s="100">
        <f>MONTH(List346[[#This Row],[Tanggal Pengajuan]])</f>
        <v>1</v>
      </c>
      <c r="O83" s="62"/>
      <c r="P83" s="100"/>
      <c r="Q83" s="110"/>
      <c r="R83" s="230"/>
      <c r="T83" s="152">
        <f>+List346[[#This Row],[Pengajuan Donasi]]-List346[[#This Row],[Jumlah Transfer]]</f>
        <v>0</v>
      </c>
      <c r="U83" s="152"/>
    </row>
    <row r="84" spans="2:21" ht="30" customHeight="1" x14ac:dyDescent="0.2">
      <c r="B84" s="13">
        <v>44929</v>
      </c>
      <c r="C84" s="66"/>
      <c r="D84" s="14" t="s">
        <v>831</v>
      </c>
      <c r="E84" s="14" t="s">
        <v>17</v>
      </c>
      <c r="F84" s="105" t="s">
        <v>18</v>
      </c>
      <c r="G84" s="15">
        <f>IFERROR(+VLOOKUP(D:D,'Data Base P.Asuhan &amp; Jompo'!B:I,7,0),0)</f>
        <v>48</v>
      </c>
      <c r="H84" s="258">
        <v>6000000</v>
      </c>
      <c r="I84" s="258">
        <f>List346[[#This Row],[Pengajuan Donasi]]</f>
        <v>6000000</v>
      </c>
      <c r="J84" s="214" t="str">
        <f>IF(List346[[#This Row],[Tanggal Trf]]&gt;0,"Done","-")</f>
        <v>Done</v>
      </c>
      <c r="K84" s="961" t="s">
        <v>1967</v>
      </c>
      <c r="L84" s="220">
        <v>44938</v>
      </c>
      <c r="M84" s="100" t="s">
        <v>1213</v>
      </c>
      <c r="N84" s="100">
        <f>MONTH(List346[[#This Row],[Tanggal Pengajuan]])</f>
        <v>1</v>
      </c>
      <c r="O84" s="62"/>
      <c r="P84" s="100"/>
      <c r="Q84" s="110"/>
      <c r="R84" s="230"/>
      <c r="T84" s="152">
        <f>+List346[[#This Row],[Pengajuan Donasi]]-List346[[#This Row],[Jumlah Transfer]]</f>
        <v>0</v>
      </c>
      <c r="U84" s="152"/>
    </row>
    <row r="85" spans="2:21" ht="30" customHeight="1" x14ac:dyDescent="0.2">
      <c r="B85" s="13">
        <v>44929</v>
      </c>
      <c r="C85" s="66"/>
      <c r="D85" s="14" t="s">
        <v>828</v>
      </c>
      <c r="E85" s="14" t="s">
        <v>17</v>
      </c>
      <c r="F85" s="105" t="s">
        <v>18</v>
      </c>
      <c r="G85" s="15">
        <f>IFERROR(+VLOOKUP(D:D,'Data Base P.Asuhan &amp; Jompo'!B:I,7,0),0)</f>
        <v>27</v>
      </c>
      <c r="H85" s="258">
        <v>6000000</v>
      </c>
      <c r="I85" s="258">
        <f>List346[[#This Row],[Pengajuan Donasi]]</f>
        <v>6000000</v>
      </c>
      <c r="J85" s="214" t="str">
        <f>IF(List346[[#This Row],[Tanggal Trf]]&gt;0,"Done","-")</f>
        <v>Done</v>
      </c>
      <c r="K85" s="961" t="s">
        <v>1967</v>
      </c>
      <c r="L85" s="220">
        <v>44938</v>
      </c>
      <c r="M85" s="100" t="s">
        <v>1213</v>
      </c>
      <c r="N85" s="100">
        <f>MONTH(List346[[#This Row],[Tanggal Pengajuan]])</f>
        <v>1</v>
      </c>
      <c r="O85" s="62"/>
      <c r="P85" s="100"/>
      <c r="Q85" s="110"/>
      <c r="R85" s="230"/>
      <c r="T85" s="152">
        <f>+List346[[#This Row],[Pengajuan Donasi]]-List346[[#This Row],[Jumlah Transfer]]</f>
        <v>0</v>
      </c>
      <c r="U85" s="152"/>
    </row>
    <row r="86" spans="2:21" ht="30" customHeight="1" x14ac:dyDescent="0.2">
      <c r="B86" s="13">
        <v>44929</v>
      </c>
      <c r="C86" s="66" t="s">
        <v>1971</v>
      </c>
      <c r="D86" s="14" t="s">
        <v>853</v>
      </c>
      <c r="E86" s="14" t="s">
        <v>17</v>
      </c>
      <c r="F86" s="105" t="s">
        <v>18</v>
      </c>
      <c r="G86" s="15">
        <f>IFERROR(+VLOOKUP(D:D,'Data Base P.Asuhan &amp; Jompo'!B:I,7,0),0)</f>
        <v>25</v>
      </c>
      <c r="H86" s="258">
        <v>6249780</v>
      </c>
      <c r="I86" s="258">
        <f>List346[[#This Row],[Pengajuan Donasi]]</f>
        <v>6249780</v>
      </c>
      <c r="J86" s="214" t="str">
        <f>IF(List346[[#This Row],[Tanggal Trf]]&gt;0,"Done","-")</f>
        <v>Done</v>
      </c>
      <c r="K86" s="14" t="s">
        <v>1968</v>
      </c>
      <c r="L86" s="220">
        <v>44938</v>
      </c>
      <c r="M86" s="100" t="s">
        <v>683</v>
      </c>
      <c r="N86" s="100">
        <f>MONTH(List346[[#This Row],[Tanggal Pengajuan]])</f>
        <v>1</v>
      </c>
      <c r="O86" s="62"/>
      <c r="P86" s="100"/>
      <c r="Q86" s="110"/>
      <c r="R86" s="230"/>
      <c r="T86" s="152">
        <f>+List346[[#This Row],[Pengajuan Donasi]]-List346[[#This Row],[Jumlah Transfer]]</f>
        <v>0</v>
      </c>
      <c r="U86" s="152"/>
    </row>
    <row r="87" spans="2:21" ht="30" customHeight="1" x14ac:dyDescent="0.2">
      <c r="B87" s="13">
        <v>44929</v>
      </c>
      <c r="C87" s="596"/>
      <c r="D87" s="14" t="s">
        <v>856</v>
      </c>
      <c r="E87" s="14" t="s">
        <v>17</v>
      </c>
      <c r="F87" s="105" t="s">
        <v>18</v>
      </c>
      <c r="G87" s="15">
        <f>IFERROR(+VLOOKUP(D:D,'Data Base P.Asuhan &amp; Jompo'!B:I,7,0),0)</f>
        <v>32</v>
      </c>
      <c r="H87" s="258">
        <v>6250360</v>
      </c>
      <c r="I87" s="258">
        <f>List346[[#This Row],[Pengajuan Donasi]]</f>
        <v>6250360</v>
      </c>
      <c r="J87" s="214" t="str">
        <f>IF(List346[[#This Row],[Tanggal Trf]]&gt;0,"Done","-")</f>
        <v>Done</v>
      </c>
      <c r="K87" s="14" t="s">
        <v>1968</v>
      </c>
      <c r="L87" s="220">
        <v>44938</v>
      </c>
      <c r="M87" s="100" t="s">
        <v>683</v>
      </c>
      <c r="N87" s="100">
        <f>MONTH(List346[[#This Row],[Tanggal Pengajuan]])</f>
        <v>1</v>
      </c>
      <c r="O87" s="62"/>
      <c r="P87" s="100"/>
      <c r="Q87" s="110"/>
      <c r="R87" s="230"/>
      <c r="T87" s="152">
        <f>+List346[[#This Row],[Pengajuan Donasi]]-List346[[#This Row],[Jumlah Transfer]]</f>
        <v>0</v>
      </c>
      <c r="U87" s="152"/>
    </row>
    <row r="88" spans="2:21" ht="30" customHeight="1" x14ac:dyDescent="0.2">
      <c r="B88" s="13">
        <v>44936</v>
      </c>
      <c r="C88" s="13" t="s">
        <v>1972</v>
      </c>
      <c r="D88" s="14" t="s">
        <v>2109</v>
      </c>
      <c r="E88" s="14" t="s">
        <v>1054</v>
      </c>
      <c r="F88" s="14" t="s">
        <v>28</v>
      </c>
      <c r="G88" s="15">
        <f>IFERROR(+VLOOKUP(D:D,'Data Base P.Asuhan &amp; Jompo'!B:I,7,0),0)</f>
        <v>0</v>
      </c>
      <c r="H88" s="258">
        <v>3000000</v>
      </c>
      <c r="I88" s="258">
        <f>List346[[#This Row],[Pengajuan Donasi]]</f>
        <v>3000000</v>
      </c>
      <c r="J88" s="214" t="str">
        <f>IF(List346[[#This Row],[Tanggal Trf]]&gt;0,"Done","-")</f>
        <v>Done</v>
      </c>
      <c r="K88" s="14" t="s">
        <v>1969</v>
      </c>
      <c r="L88" s="220">
        <v>44939</v>
      </c>
      <c r="M88" s="100" t="s">
        <v>1973</v>
      </c>
      <c r="N88" s="100">
        <f>MONTH(List346[[#This Row],[Tanggal Pengajuan]])</f>
        <v>1</v>
      </c>
      <c r="O88" s="62"/>
      <c r="P88" s="100"/>
      <c r="Q88" s="110"/>
      <c r="R88" s="230"/>
      <c r="T88" s="152">
        <f>+List346[[#This Row],[Pengajuan Donasi]]-List346[[#This Row],[Jumlah Transfer]]</f>
        <v>0</v>
      </c>
      <c r="U88" s="152"/>
    </row>
    <row r="89" spans="2:21" ht="30" customHeight="1" x14ac:dyDescent="0.2">
      <c r="B89" s="13">
        <v>44939</v>
      </c>
      <c r="C89" s="13" t="s">
        <v>2070</v>
      </c>
      <c r="D89" s="103" t="s">
        <v>853</v>
      </c>
      <c r="E89" s="14" t="s">
        <v>17</v>
      </c>
      <c r="F89" s="105" t="s">
        <v>18</v>
      </c>
      <c r="G89" s="15">
        <f>IFERROR(+VLOOKUP(D:D,'Data Base P.Asuhan &amp; Jompo'!B:I,7,0),0)</f>
        <v>25</v>
      </c>
      <c r="H89" s="258">
        <f>1700000+625000</f>
        <v>2325000</v>
      </c>
      <c r="I89" s="258">
        <f>List346[[#This Row],[Pengajuan Donasi]]</f>
        <v>2325000</v>
      </c>
      <c r="J89" s="214" t="str">
        <f>IF(List346[[#This Row],[Tanggal Trf]]&gt;0,"Done","-")</f>
        <v>Done</v>
      </c>
      <c r="K89" s="440" t="s">
        <v>2068</v>
      </c>
      <c r="L89" s="220">
        <v>44956</v>
      </c>
      <c r="M89" s="103" t="s">
        <v>853</v>
      </c>
      <c r="N89" s="100">
        <f>MONTH(List346[[#This Row],[Tanggal Pengajuan]])</f>
        <v>1</v>
      </c>
      <c r="O89" s="183"/>
      <c r="P89" s="100"/>
      <c r="Q89" s="110"/>
      <c r="R89" s="230"/>
      <c r="T89" s="152">
        <f>+List346[[#This Row],[Pengajuan Donasi]]-List346[[#This Row],[Jumlah Transfer]]</f>
        <v>0</v>
      </c>
      <c r="U89" s="152"/>
    </row>
    <row r="90" spans="2:21" ht="30" customHeight="1" x14ac:dyDescent="0.2">
      <c r="B90" s="13">
        <v>44939</v>
      </c>
      <c r="C90" s="13"/>
      <c r="D90" s="103" t="s">
        <v>328</v>
      </c>
      <c r="E90" s="14" t="s">
        <v>17</v>
      </c>
      <c r="F90" s="105" t="s">
        <v>18</v>
      </c>
      <c r="G90" s="15">
        <f>IFERROR(+VLOOKUP(D:D,'Data Base P.Asuhan &amp; Jompo'!B:I,7,0),0)</f>
        <v>0</v>
      </c>
      <c r="H90" s="258">
        <f>1700000+625000</f>
        <v>2325000</v>
      </c>
      <c r="I90" s="258">
        <f>List346[[#This Row],[Pengajuan Donasi]]</f>
        <v>2325000</v>
      </c>
      <c r="J90" s="214" t="str">
        <f>IF(List346[[#This Row],[Tanggal Trf]]&gt;0,"Done","-")</f>
        <v>Done</v>
      </c>
      <c r="K90" s="440" t="s">
        <v>2068</v>
      </c>
      <c r="L90" s="220">
        <v>44956</v>
      </c>
      <c r="M90" s="103" t="s">
        <v>328</v>
      </c>
      <c r="N90" s="100">
        <f>MONTH(List346[[#This Row],[Tanggal Pengajuan]])</f>
        <v>1</v>
      </c>
      <c r="O90" s="183"/>
      <c r="P90" s="100"/>
      <c r="Q90" s="110"/>
      <c r="R90" s="230"/>
      <c r="T90" s="152">
        <f>+List346[[#This Row],[Pengajuan Donasi]]-List346[[#This Row],[Jumlah Transfer]]</f>
        <v>0</v>
      </c>
      <c r="U90" s="152"/>
    </row>
    <row r="91" spans="2:21" ht="30" customHeight="1" x14ac:dyDescent="0.2">
      <c r="B91" s="13">
        <v>44943</v>
      </c>
      <c r="C91" s="13" t="s">
        <v>2071</v>
      </c>
      <c r="D91" s="14" t="s">
        <v>871</v>
      </c>
      <c r="E91" s="14" t="s">
        <v>17</v>
      </c>
      <c r="F91" s="105" t="s">
        <v>18</v>
      </c>
      <c r="G91" s="15">
        <f>IFERROR(+VLOOKUP(D:D,'Data Base P.Asuhan &amp; Jompo'!B:I,7,0),0)</f>
        <v>0</v>
      </c>
      <c r="H91" s="258">
        <v>6251540</v>
      </c>
      <c r="I91" s="258">
        <f>List346[[#This Row],[Pengajuan Donasi]]</f>
        <v>6251540</v>
      </c>
      <c r="J91" s="214" t="str">
        <f>IF(List346[[#This Row],[Tanggal Trf]]&gt;0,"Done","-")</f>
        <v>Done</v>
      </c>
      <c r="K91" s="437" t="s">
        <v>2069</v>
      </c>
      <c r="L91" s="221">
        <v>44945</v>
      </c>
      <c r="M91" s="14" t="s">
        <v>871</v>
      </c>
      <c r="N91" s="100">
        <f>MONTH(List346[[#This Row],[Tanggal Pengajuan]])</f>
        <v>1</v>
      </c>
      <c r="O91" s="183"/>
      <c r="P91" s="100"/>
      <c r="Q91" s="110"/>
      <c r="R91" s="230"/>
      <c r="T91" s="152">
        <f>+List346[[#This Row],[Pengajuan Donasi]]-List346[[#This Row],[Jumlah Transfer]]</f>
        <v>0</v>
      </c>
      <c r="U91" s="152"/>
    </row>
    <row r="92" spans="2:21" ht="30" customHeight="1" x14ac:dyDescent="0.2">
      <c r="B92" s="13">
        <v>44943</v>
      </c>
      <c r="C92" s="66"/>
      <c r="D92" s="14" t="s">
        <v>854</v>
      </c>
      <c r="E92" s="14" t="s">
        <v>17</v>
      </c>
      <c r="F92" s="105" t="s">
        <v>18</v>
      </c>
      <c r="G92" s="15">
        <f>IFERROR(+VLOOKUP(D:D,'Data Base P.Asuhan &amp; Jompo'!B:I,7,0),0)</f>
        <v>118</v>
      </c>
      <c r="H92" s="258">
        <v>6250650</v>
      </c>
      <c r="I92" s="258">
        <f>List346[[#This Row],[Pengajuan Donasi]]</f>
        <v>6250650</v>
      </c>
      <c r="J92" s="214" t="str">
        <f>IF(List346[[#This Row],[Tanggal Trf]]&gt;0,"Done","-")</f>
        <v>Done</v>
      </c>
      <c r="K92" s="437" t="s">
        <v>2069</v>
      </c>
      <c r="L92" s="221">
        <v>44945</v>
      </c>
      <c r="M92" s="14" t="s">
        <v>854</v>
      </c>
      <c r="N92" s="100">
        <f>MONTH(List346[[#This Row],[Tanggal Pengajuan]])</f>
        <v>1</v>
      </c>
      <c r="O92" s="183"/>
      <c r="P92" s="100"/>
      <c r="Q92" s="110"/>
      <c r="R92" s="230"/>
      <c r="T92" s="152">
        <f>+List346[[#This Row],[Pengajuan Donasi]]-List346[[#This Row],[Jumlah Transfer]]</f>
        <v>0</v>
      </c>
      <c r="U92" s="152"/>
    </row>
    <row r="93" spans="2:21" ht="30" customHeight="1" x14ac:dyDescent="0.2">
      <c r="B93" s="13">
        <v>44949</v>
      </c>
      <c r="C93" s="66" t="s">
        <v>2101</v>
      </c>
      <c r="D93" s="14" t="s">
        <v>2098</v>
      </c>
      <c r="E93" s="14" t="s">
        <v>71</v>
      </c>
      <c r="F93" s="103" t="s">
        <v>28</v>
      </c>
      <c r="G93" s="15">
        <f>IFERROR(+VLOOKUP(D:D,'Data Base P.Asuhan &amp; Jompo'!B:I,7,0),0)</f>
        <v>0</v>
      </c>
      <c r="H93" s="258">
        <v>5000000</v>
      </c>
      <c r="I93" s="258">
        <f>List346[[#This Row],[Pengajuan Donasi]]</f>
        <v>5000000</v>
      </c>
      <c r="J93" s="214" t="str">
        <f>IF(List346[[#This Row],[Tanggal Trf]]&gt;0,"Done","-")</f>
        <v>Done</v>
      </c>
      <c r="K93" s="437" t="s">
        <v>2098</v>
      </c>
      <c r="L93" s="221">
        <v>44973</v>
      </c>
      <c r="M93" s="100"/>
      <c r="N93" s="100">
        <f>MONTH(List346[[#This Row],[Tanggal Pengajuan]])</f>
        <v>1</v>
      </c>
      <c r="O93" s="183"/>
      <c r="P93" s="100"/>
      <c r="Q93" s="110"/>
      <c r="R93" s="230"/>
      <c r="T93" s="152">
        <f>+List346[[#This Row],[Pengajuan Donasi]]-List346[[#This Row],[Jumlah Transfer]]</f>
        <v>0</v>
      </c>
      <c r="U93" s="152"/>
    </row>
    <row r="94" spans="2:21" ht="30" customHeight="1" x14ac:dyDescent="0.2">
      <c r="B94" s="13">
        <v>44950</v>
      </c>
      <c r="C94" s="66" t="s">
        <v>2102</v>
      </c>
      <c r="D94" s="14" t="s">
        <v>2099</v>
      </c>
      <c r="E94" s="14" t="s">
        <v>107</v>
      </c>
      <c r="F94" s="103" t="s">
        <v>28</v>
      </c>
      <c r="G94" s="15">
        <f>IFERROR(+VLOOKUP(D:D,'Data Base P.Asuhan &amp; Jompo'!B:I,7,0),0)</f>
        <v>0</v>
      </c>
      <c r="H94" s="258">
        <v>25000000</v>
      </c>
      <c r="I94" s="258">
        <f>List346[[#This Row],[Pengajuan Donasi]]</f>
        <v>25000000</v>
      </c>
      <c r="J94" s="214" t="str">
        <f>IF(List346[[#This Row],[Tanggal Trf]]&gt;0,"Done","-")</f>
        <v>Done</v>
      </c>
      <c r="K94" s="437" t="s">
        <v>2099</v>
      </c>
      <c r="L94" s="221">
        <v>44973</v>
      </c>
      <c r="M94" s="14" t="s">
        <v>871</v>
      </c>
      <c r="N94" s="100">
        <f>MONTH(List346[[#This Row],[Tanggal Pengajuan]])</f>
        <v>1</v>
      </c>
      <c r="O94" s="183"/>
      <c r="P94" s="100"/>
      <c r="Q94" s="110"/>
      <c r="R94" s="230"/>
      <c r="T94" s="152">
        <f>+List346[[#This Row],[Pengajuan Donasi]]-List346[[#This Row],[Jumlah Transfer]]</f>
        <v>0</v>
      </c>
      <c r="U94" s="152"/>
    </row>
    <row r="95" spans="2:21" ht="30" customHeight="1" x14ac:dyDescent="0.2">
      <c r="B95" s="13">
        <v>44950</v>
      </c>
      <c r="C95" s="66" t="s">
        <v>2103</v>
      </c>
      <c r="D95" s="14" t="s">
        <v>861</v>
      </c>
      <c r="E95" s="14" t="s">
        <v>17</v>
      </c>
      <c r="F95" s="14" t="s">
        <v>18</v>
      </c>
      <c r="G95" s="15">
        <f>IFERROR(+VLOOKUP(D:D,'Data Base P.Asuhan &amp; Jompo'!B:I,7,0),0)</f>
        <v>65</v>
      </c>
      <c r="H95" s="258">
        <v>6250900</v>
      </c>
      <c r="I95" s="258">
        <f>List346[[#This Row],[Pengajuan Donasi]]</f>
        <v>6250900</v>
      </c>
      <c r="J95" s="214" t="str">
        <f>IF(List346[[#This Row],[Tanggal Trf]]&gt;0,"Done","-")</f>
        <v>Done</v>
      </c>
      <c r="K95" s="437" t="s">
        <v>2100</v>
      </c>
      <c r="L95" s="221">
        <v>44956</v>
      </c>
      <c r="M95" s="14" t="s">
        <v>861</v>
      </c>
      <c r="N95" s="100">
        <f>MONTH(List346[[#This Row],[Tanggal Pengajuan]])</f>
        <v>1</v>
      </c>
      <c r="O95" s="183"/>
      <c r="P95" s="100"/>
      <c r="Q95" s="110"/>
      <c r="R95" s="230"/>
      <c r="T95" s="152">
        <f>+List346[[#This Row],[Pengajuan Donasi]]-List346[[#This Row],[Jumlah Transfer]]</f>
        <v>0</v>
      </c>
      <c r="U95" s="152"/>
    </row>
    <row r="96" spans="2:21" ht="30" customHeight="1" x14ac:dyDescent="0.2">
      <c r="B96" s="13">
        <v>44950</v>
      </c>
      <c r="C96" s="66"/>
      <c r="D96" s="14" t="s">
        <v>850</v>
      </c>
      <c r="E96" s="14" t="s">
        <v>17</v>
      </c>
      <c r="F96" s="14" t="s">
        <v>18</v>
      </c>
      <c r="G96" s="15">
        <f>IFERROR(+VLOOKUP(D:D,'Data Base P.Asuhan &amp; Jompo'!B:I,7,0),0)</f>
        <v>61</v>
      </c>
      <c r="H96" s="258">
        <v>6249760</v>
      </c>
      <c r="I96" s="258">
        <f>List346[[#This Row],[Pengajuan Donasi]]</f>
        <v>6249760</v>
      </c>
      <c r="J96" s="214" t="str">
        <f>IF(List346[[#This Row],[Tanggal Trf]]&gt;0,"Done","-")</f>
        <v>Done</v>
      </c>
      <c r="K96" s="437" t="s">
        <v>2100</v>
      </c>
      <c r="L96" s="221">
        <v>44956</v>
      </c>
      <c r="M96" s="14" t="s">
        <v>850</v>
      </c>
      <c r="N96" s="100">
        <f>MONTH(List346[[#This Row],[Tanggal Pengajuan]])</f>
        <v>1</v>
      </c>
      <c r="O96" s="183"/>
      <c r="P96" s="100"/>
      <c r="Q96" s="110"/>
      <c r="R96" s="230"/>
      <c r="T96" s="152">
        <f>+List346[[#This Row],[Pengajuan Donasi]]-List346[[#This Row],[Jumlah Transfer]]</f>
        <v>0</v>
      </c>
      <c r="U96" s="152"/>
    </row>
    <row r="97" spans="2:21" ht="30" customHeight="1" x14ac:dyDescent="0.2">
      <c r="B97" s="13">
        <v>44952</v>
      </c>
      <c r="C97" s="66" t="s">
        <v>2153</v>
      </c>
      <c r="D97" s="14" t="s">
        <v>1057</v>
      </c>
      <c r="E97" s="14" t="s">
        <v>1054</v>
      </c>
      <c r="F97" s="14" t="s">
        <v>18</v>
      </c>
      <c r="G97" s="15">
        <f>IFERROR(+VLOOKUP(D:D,'Data Base P.Asuhan &amp; Jompo'!B:I,7,0),0)</f>
        <v>0</v>
      </c>
      <c r="H97" s="258"/>
      <c r="I97" s="258">
        <f>List346[[#This Row],[Pengajuan Donasi]]</f>
        <v>0</v>
      </c>
      <c r="J97" s="214" t="str">
        <f>IF(List346[[#This Row],[Tanggal Trf]]&gt;0,"Done","-")</f>
        <v>Done</v>
      </c>
      <c r="K97" s="437"/>
      <c r="L97" s="221" t="s">
        <v>960</v>
      </c>
      <c r="M97" s="100"/>
      <c r="N97" s="100">
        <f>MONTH(List346[[#This Row],[Tanggal Pengajuan]])</f>
        <v>1</v>
      </c>
      <c r="O97" s="183"/>
      <c r="P97" s="100"/>
      <c r="Q97" s="110"/>
      <c r="R97" s="230"/>
      <c r="T97" s="152">
        <f>+List346[[#This Row],[Pengajuan Donasi]]-List346[[#This Row],[Jumlah Transfer]]</f>
        <v>0</v>
      </c>
      <c r="U97" s="152"/>
    </row>
    <row r="98" spans="2:21" ht="30" customHeight="1" x14ac:dyDescent="0.2">
      <c r="B98" s="13">
        <v>44952</v>
      </c>
      <c r="C98" s="66" t="s">
        <v>2154</v>
      </c>
      <c r="D98" s="14" t="s">
        <v>1057</v>
      </c>
      <c r="E98" s="14" t="s">
        <v>1054</v>
      </c>
      <c r="F98" s="14" t="s">
        <v>18</v>
      </c>
      <c r="G98" s="15">
        <f>IFERROR(+VLOOKUP(D:D,'Data Base P.Asuhan &amp; Jompo'!B:I,7,0),0)</f>
        <v>0</v>
      </c>
      <c r="H98" s="258"/>
      <c r="I98" s="258">
        <f>List346[[#This Row],[Pengajuan Donasi]]</f>
        <v>0</v>
      </c>
      <c r="J98" s="214" t="str">
        <f>IF(List346[[#This Row],[Tanggal Trf]]&gt;0,"Done","-")</f>
        <v>Done</v>
      </c>
      <c r="K98" s="437"/>
      <c r="L98" s="221" t="s">
        <v>960</v>
      </c>
      <c r="M98" s="100"/>
      <c r="N98" s="100">
        <f>MONTH(List346[[#This Row],[Tanggal Pengajuan]])</f>
        <v>1</v>
      </c>
      <c r="O98" s="183"/>
      <c r="P98" s="100"/>
      <c r="Q98" s="110"/>
      <c r="R98" s="230"/>
      <c r="T98" s="152">
        <f>+List346[[#This Row],[Pengajuan Donasi]]-List346[[#This Row],[Jumlah Transfer]]</f>
        <v>0</v>
      </c>
      <c r="U98" s="152"/>
    </row>
    <row r="99" spans="2:21" ht="30" customHeight="1" x14ac:dyDescent="0.2">
      <c r="B99" s="13">
        <v>44959</v>
      </c>
      <c r="C99" s="66" t="s">
        <v>2179</v>
      </c>
      <c r="D99" s="14" t="s">
        <v>48</v>
      </c>
      <c r="E99" s="103" t="s">
        <v>179</v>
      </c>
      <c r="F99" s="14" t="s">
        <v>18</v>
      </c>
      <c r="G99" s="15">
        <f>IFERROR(+VLOOKUP(D:D,'Data Base P.Asuhan &amp; Jompo'!B:I,7,0),0)</f>
        <v>47</v>
      </c>
      <c r="H99" s="258">
        <v>3820000</v>
      </c>
      <c r="I99" s="258">
        <v>3820000</v>
      </c>
      <c r="J99" s="214" t="s">
        <v>19</v>
      </c>
      <c r="K99" s="14" t="s">
        <v>2163</v>
      </c>
      <c r="L99" s="221">
        <v>44973</v>
      </c>
      <c r="M99" s="100" t="s">
        <v>445</v>
      </c>
      <c r="N99" s="100">
        <f>MONTH(List346[[#This Row],[Tanggal Pengajuan]])</f>
        <v>2</v>
      </c>
      <c r="O99" s="183"/>
      <c r="P99" s="100"/>
      <c r="Q99" s="110"/>
      <c r="R99" s="230"/>
      <c r="T99" s="152">
        <f>+List346[[#This Row],[Pengajuan Donasi]]-List346[[#This Row],[Jumlah Transfer]]</f>
        <v>0</v>
      </c>
      <c r="U99" s="152"/>
    </row>
    <row r="100" spans="2:21" ht="30" customHeight="1" x14ac:dyDescent="0.2">
      <c r="B100" s="13">
        <v>44959</v>
      </c>
      <c r="C100" s="66" t="s">
        <v>2180</v>
      </c>
      <c r="D100" s="14" t="s">
        <v>859</v>
      </c>
      <c r="E100" s="14" t="s">
        <v>17</v>
      </c>
      <c r="F100" s="14" t="s">
        <v>18</v>
      </c>
      <c r="G100" s="15">
        <f>IFERROR(+VLOOKUP(D:D,'Data Base P.Asuhan &amp; Jompo'!B:I,7,0),0)</f>
        <v>25</v>
      </c>
      <c r="H100" s="258">
        <v>6000000</v>
      </c>
      <c r="I100" s="258">
        <f>List346[[#This Row],[Pengajuan Donasi]]</f>
        <v>6000000</v>
      </c>
      <c r="J100" s="214" t="str">
        <f>IF(List346[[#This Row],[Tanggal Trf]]&gt;0,"Done","-")</f>
        <v>Done</v>
      </c>
      <c r="K100" s="14" t="s">
        <v>2164</v>
      </c>
      <c r="L100" s="221">
        <v>44977</v>
      </c>
      <c r="M100" s="100" t="s">
        <v>650</v>
      </c>
      <c r="N100" s="100">
        <f>MONTH(List346[[#This Row],[Tanggal Pengajuan]])</f>
        <v>2</v>
      </c>
      <c r="O100" s="183"/>
      <c r="P100" s="100"/>
      <c r="Q100" s="110"/>
      <c r="R100" s="230"/>
      <c r="T100" s="152">
        <f>+List346[[#This Row],[Pengajuan Donasi]]-List346[[#This Row],[Jumlah Transfer]]</f>
        <v>0</v>
      </c>
      <c r="U100" s="152"/>
    </row>
    <row r="101" spans="2:21" ht="30" customHeight="1" x14ac:dyDescent="0.2">
      <c r="B101" s="13">
        <v>44959</v>
      </c>
      <c r="C101" s="66" t="s">
        <v>2181</v>
      </c>
      <c r="D101" s="14" t="s">
        <v>950</v>
      </c>
      <c r="E101" s="14" t="s">
        <v>26</v>
      </c>
      <c r="F101" s="14" t="s">
        <v>18</v>
      </c>
      <c r="G101" s="15">
        <f>IFERROR(+VLOOKUP(D:D,'Data Base P.Asuhan &amp; Jompo'!B:I,7,0),0)</f>
        <v>1</v>
      </c>
      <c r="H101" s="258">
        <v>5000000</v>
      </c>
      <c r="I101" s="258">
        <f>List346[[#This Row],[Pengajuan Donasi]]</f>
        <v>5000000</v>
      </c>
      <c r="J101" s="214" t="str">
        <f>IF(List346[[#This Row],[Tanggal Trf]]&gt;0,"Done","-")</f>
        <v>Done</v>
      </c>
      <c r="K101" s="14" t="s">
        <v>2165</v>
      </c>
      <c r="L101" s="221">
        <v>44973</v>
      </c>
      <c r="M101" s="900" t="s">
        <v>448</v>
      </c>
      <c r="N101" s="100">
        <f>MONTH(List346[[#This Row],[Tanggal Pengajuan]])</f>
        <v>2</v>
      </c>
      <c r="O101" s="183"/>
      <c r="P101" s="100"/>
      <c r="Q101" s="110"/>
      <c r="R101" s="230"/>
      <c r="T101" s="152">
        <f>+List346[[#This Row],[Pengajuan Donasi]]-List346[[#This Row],[Jumlah Transfer]]</f>
        <v>0</v>
      </c>
      <c r="U101" s="152"/>
    </row>
    <row r="102" spans="2:21" ht="30" customHeight="1" x14ac:dyDescent="0.2">
      <c r="B102" s="13">
        <v>44959</v>
      </c>
      <c r="C102" s="66"/>
      <c r="D102" s="14" t="s">
        <v>875</v>
      </c>
      <c r="E102" s="14" t="s">
        <v>26</v>
      </c>
      <c r="F102" s="14" t="s">
        <v>18</v>
      </c>
      <c r="G102" s="15">
        <f>IFERROR(+VLOOKUP(D:D,'Data Base P.Asuhan &amp; Jompo'!B:I,7,0),0)</f>
        <v>1</v>
      </c>
      <c r="H102" s="258">
        <v>1000000</v>
      </c>
      <c r="I102" s="258">
        <f>List346[[#This Row],[Pengajuan Donasi]]</f>
        <v>1000000</v>
      </c>
      <c r="J102" s="214" t="str">
        <f>IF(List346[[#This Row],[Tanggal Trf]]&gt;0,"Done","-")</f>
        <v>Done</v>
      </c>
      <c r="K102" s="14" t="s">
        <v>2165</v>
      </c>
      <c r="L102" s="221">
        <v>44973</v>
      </c>
      <c r="M102" s="100" t="s">
        <v>453</v>
      </c>
      <c r="N102" s="100">
        <f>MONTH(List346[[#This Row],[Tanggal Pengajuan]])</f>
        <v>2</v>
      </c>
      <c r="O102" s="183"/>
      <c r="P102" s="100"/>
      <c r="Q102" s="110"/>
      <c r="R102" s="230"/>
      <c r="T102" s="152">
        <f>+List346[[#This Row],[Pengajuan Donasi]]-List346[[#This Row],[Jumlah Transfer]]</f>
        <v>0</v>
      </c>
      <c r="U102" s="152"/>
    </row>
    <row r="103" spans="2:21" ht="30" customHeight="1" x14ac:dyDescent="0.2">
      <c r="B103" s="13">
        <v>44959</v>
      </c>
      <c r="C103" s="66"/>
      <c r="D103" s="14" t="s">
        <v>877</v>
      </c>
      <c r="E103" s="14" t="s">
        <v>26</v>
      </c>
      <c r="F103" s="14" t="s">
        <v>18</v>
      </c>
      <c r="G103" s="15">
        <f>IFERROR(+VLOOKUP(D:D,'Data Base P.Asuhan &amp; Jompo'!B:I,7,0),0)</f>
        <v>1</v>
      </c>
      <c r="H103" s="258">
        <v>1000000</v>
      </c>
      <c r="I103" s="258">
        <f>List346[[#This Row],[Pengajuan Donasi]]</f>
        <v>1000000</v>
      </c>
      <c r="J103" s="214" t="str">
        <f>IF(List346[[#This Row],[Tanggal Trf]]&gt;0,"Done","-")</f>
        <v>Done</v>
      </c>
      <c r="K103" s="14" t="s">
        <v>2165</v>
      </c>
      <c r="L103" s="221">
        <v>44973</v>
      </c>
      <c r="M103" s="100" t="s">
        <v>458</v>
      </c>
      <c r="N103" s="100">
        <f>MONTH(List346[[#This Row],[Tanggal Pengajuan]])</f>
        <v>2</v>
      </c>
      <c r="O103" s="183"/>
      <c r="P103" s="100"/>
      <c r="Q103" s="110"/>
      <c r="R103" s="230"/>
      <c r="T103" s="152">
        <f>+List346[[#This Row],[Pengajuan Donasi]]-List346[[#This Row],[Jumlah Transfer]]</f>
        <v>0</v>
      </c>
      <c r="U103" s="152"/>
    </row>
    <row r="104" spans="2:21" ht="30" customHeight="1" x14ac:dyDescent="0.2">
      <c r="B104" s="13">
        <v>44959</v>
      </c>
      <c r="C104" s="66"/>
      <c r="D104" s="14" t="s">
        <v>878</v>
      </c>
      <c r="E104" s="14" t="s">
        <v>26</v>
      </c>
      <c r="F104" s="14" t="s">
        <v>18</v>
      </c>
      <c r="G104" s="15">
        <f>IFERROR(+VLOOKUP(D:D,'Data Base P.Asuhan &amp; Jompo'!B:I,7,0),0)</f>
        <v>1</v>
      </c>
      <c r="H104" s="258">
        <v>1000000</v>
      </c>
      <c r="I104" s="258">
        <f>List346[[#This Row],[Pengajuan Donasi]]</f>
        <v>1000000</v>
      </c>
      <c r="J104" s="214" t="str">
        <f>IF(List346[[#This Row],[Tanggal Trf]]&gt;0,"Done","-")</f>
        <v>Done</v>
      </c>
      <c r="K104" s="14" t="s">
        <v>2165</v>
      </c>
      <c r="L104" s="221">
        <v>44973</v>
      </c>
      <c r="M104" s="100" t="s">
        <v>460</v>
      </c>
      <c r="N104" s="100">
        <f>MONTH(List346[[#This Row],[Tanggal Pengajuan]])</f>
        <v>2</v>
      </c>
      <c r="O104" s="183"/>
      <c r="P104" s="100"/>
      <c r="Q104" s="110"/>
      <c r="R104" s="230"/>
      <c r="T104" s="152">
        <f>+List346[[#This Row],[Pengajuan Donasi]]-List346[[#This Row],[Jumlah Transfer]]</f>
        <v>0</v>
      </c>
      <c r="U104" s="152"/>
    </row>
    <row r="105" spans="2:21" ht="30" customHeight="1" x14ac:dyDescent="0.2">
      <c r="B105" s="13">
        <v>44959</v>
      </c>
      <c r="C105" s="66"/>
      <c r="D105" s="103" t="s">
        <v>879</v>
      </c>
      <c r="E105" s="14" t="s">
        <v>26</v>
      </c>
      <c r="F105" s="14" t="s">
        <v>18</v>
      </c>
      <c r="G105" s="15">
        <f>IFERROR(+VLOOKUP(D:D,'Data Base P.Asuhan &amp; Jompo'!B:I,7,0),0)</f>
        <v>1</v>
      </c>
      <c r="H105" s="258">
        <v>1000000</v>
      </c>
      <c r="I105" s="258">
        <f>List346[[#This Row],[Pengajuan Donasi]]</f>
        <v>1000000</v>
      </c>
      <c r="J105" s="214" t="str">
        <f>IF(List346[[#This Row],[Tanggal Trf]]&gt;0,"Done","-")</f>
        <v>Done</v>
      </c>
      <c r="K105" s="103" t="s">
        <v>2165</v>
      </c>
      <c r="L105" s="221">
        <v>44973</v>
      </c>
      <c r="M105" s="100" t="s">
        <v>462</v>
      </c>
      <c r="N105" s="100">
        <f>MONTH(List346[[#This Row],[Tanggal Pengajuan]])</f>
        <v>2</v>
      </c>
      <c r="O105" s="183"/>
      <c r="P105" s="100"/>
      <c r="Q105" s="110"/>
      <c r="R105" s="230"/>
      <c r="T105" s="152">
        <f>+List346[[#This Row],[Pengajuan Donasi]]-List346[[#This Row],[Jumlah Transfer]]</f>
        <v>0</v>
      </c>
      <c r="U105" s="152"/>
    </row>
    <row r="106" spans="2:21" ht="30" customHeight="1" x14ac:dyDescent="0.2">
      <c r="B106" s="13">
        <v>44959</v>
      </c>
      <c r="C106" s="66"/>
      <c r="D106" s="103" t="s">
        <v>951</v>
      </c>
      <c r="E106" s="14" t="s">
        <v>26</v>
      </c>
      <c r="F106" s="14" t="s">
        <v>18</v>
      </c>
      <c r="G106" s="15">
        <f>IFERROR(+VLOOKUP(D:D,'Data Base P.Asuhan &amp; Jompo'!B:I,7,0),0)</f>
        <v>1</v>
      </c>
      <c r="H106" s="258">
        <v>1000000</v>
      </c>
      <c r="I106" s="258">
        <f>List346[[#This Row],[Pengajuan Donasi]]</f>
        <v>1000000</v>
      </c>
      <c r="J106" s="214" t="str">
        <f>IF(List346[[#This Row],[Tanggal Trf]]&gt;0,"Done","-")</f>
        <v>Done</v>
      </c>
      <c r="K106" s="103" t="s">
        <v>2165</v>
      </c>
      <c r="L106" s="221">
        <v>44973</v>
      </c>
      <c r="M106" s="100" t="s">
        <v>466</v>
      </c>
      <c r="N106" s="100">
        <f>MONTH(List346[[#This Row],[Tanggal Pengajuan]])</f>
        <v>2</v>
      </c>
      <c r="O106" s="183"/>
      <c r="P106" s="100"/>
      <c r="Q106" s="111"/>
      <c r="R106" s="230"/>
      <c r="T106" s="152">
        <f>+List346[[#This Row],[Pengajuan Donasi]]-List346[[#This Row],[Jumlah Transfer]]</f>
        <v>0</v>
      </c>
      <c r="U106" s="152"/>
    </row>
    <row r="107" spans="2:21" ht="30" customHeight="1" x14ac:dyDescent="0.2">
      <c r="B107" s="13">
        <v>44959</v>
      </c>
      <c r="C107" s="66"/>
      <c r="D107" s="103" t="s">
        <v>880</v>
      </c>
      <c r="E107" s="14" t="s">
        <v>26</v>
      </c>
      <c r="F107" s="14" t="s">
        <v>18</v>
      </c>
      <c r="G107" s="15">
        <f>IFERROR(+VLOOKUP(D:D,'Data Base P.Asuhan &amp; Jompo'!B:I,7,0),0)</f>
        <v>1</v>
      </c>
      <c r="H107" s="258">
        <v>1000000</v>
      </c>
      <c r="I107" s="258">
        <f>List346[[#This Row],[Pengajuan Donasi]]</f>
        <v>1000000</v>
      </c>
      <c r="J107" s="214" t="str">
        <f>IF(List346[[#This Row],[Tanggal Trf]]&gt;0,"Done","-")</f>
        <v>Done</v>
      </c>
      <c r="K107" s="103" t="s">
        <v>2165</v>
      </c>
      <c r="L107" s="221">
        <v>44973</v>
      </c>
      <c r="M107" s="100" t="s">
        <v>470</v>
      </c>
      <c r="N107" s="100">
        <f>MONTH(List346[[#This Row],[Tanggal Pengajuan]])</f>
        <v>2</v>
      </c>
      <c r="O107" s="183"/>
      <c r="P107" s="100"/>
      <c r="Q107" s="111"/>
      <c r="R107" s="230"/>
      <c r="T107" s="152">
        <f>+List346[[#This Row],[Pengajuan Donasi]]-List346[[#This Row],[Jumlah Transfer]]</f>
        <v>0</v>
      </c>
      <c r="U107" s="152"/>
    </row>
    <row r="108" spans="2:21" ht="30" customHeight="1" x14ac:dyDescent="0.2">
      <c r="B108" s="13">
        <v>44959</v>
      </c>
      <c r="C108" s="66"/>
      <c r="D108" s="103" t="s">
        <v>952</v>
      </c>
      <c r="E108" s="14" t="s">
        <v>26</v>
      </c>
      <c r="F108" s="14" t="s">
        <v>18</v>
      </c>
      <c r="G108" s="15">
        <f>IFERROR(+VLOOKUP(D:D,'Data Base P.Asuhan &amp; Jompo'!B:I,7,0),0)</f>
        <v>1</v>
      </c>
      <c r="H108" s="258">
        <v>1000000</v>
      </c>
      <c r="I108" s="258">
        <f>List346[[#This Row],[Pengajuan Donasi]]</f>
        <v>1000000</v>
      </c>
      <c r="J108" s="214" t="str">
        <f>IF(List346[[#This Row],[Tanggal Trf]]&gt;0,"Done","-")</f>
        <v>Done</v>
      </c>
      <c r="K108" s="103" t="s">
        <v>2165</v>
      </c>
      <c r="L108" s="221">
        <v>44973</v>
      </c>
      <c r="M108" s="100" t="s">
        <v>519</v>
      </c>
      <c r="N108" s="100">
        <f>MONTH(List346[[#This Row],[Tanggal Pengajuan]])</f>
        <v>2</v>
      </c>
      <c r="O108" s="183"/>
      <c r="P108" s="100"/>
      <c r="Q108" s="111"/>
      <c r="R108" s="230"/>
      <c r="T108" s="152">
        <f>+List346[[#This Row],[Pengajuan Donasi]]-List346[[#This Row],[Jumlah Transfer]]</f>
        <v>0</v>
      </c>
      <c r="U108" s="152"/>
    </row>
    <row r="109" spans="2:21" ht="30" customHeight="1" x14ac:dyDescent="0.2">
      <c r="B109" s="13">
        <v>44959</v>
      </c>
      <c r="C109" s="66"/>
      <c r="D109" s="103" t="s">
        <v>881</v>
      </c>
      <c r="E109" s="14" t="s">
        <v>26</v>
      </c>
      <c r="F109" s="14" t="s">
        <v>18</v>
      </c>
      <c r="G109" s="15">
        <f>IFERROR(+VLOOKUP(D:D,'Data Base P.Asuhan &amp; Jompo'!B:I,7,0),0)</f>
        <v>1</v>
      </c>
      <c r="H109" s="258">
        <v>1000000</v>
      </c>
      <c r="I109" s="258">
        <f>List346[[#This Row],[Pengajuan Donasi]]</f>
        <v>1000000</v>
      </c>
      <c r="J109" s="214" t="str">
        <f>IF(List346[[#This Row],[Tanggal Trf]]&gt;0,"Done","-")</f>
        <v>Done</v>
      </c>
      <c r="K109" s="103" t="s">
        <v>2165</v>
      </c>
      <c r="L109" s="221">
        <v>44973</v>
      </c>
      <c r="M109" s="100" t="s">
        <v>476</v>
      </c>
      <c r="N109" s="100">
        <f>MONTH(List346[[#This Row],[Tanggal Pengajuan]])</f>
        <v>2</v>
      </c>
      <c r="O109" s="183"/>
      <c r="P109" s="100"/>
      <c r="Q109" s="111"/>
      <c r="R109" s="230"/>
      <c r="T109" s="152">
        <f>+List346[[#This Row],[Pengajuan Donasi]]-List346[[#This Row],[Jumlah Transfer]]</f>
        <v>0</v>
      </c>
      <c r="U109" s="152"/>
    </row>
    <row r="110" spans="2:21" ht="30" customHeight="1" x14ac:dyDescent="0.2">
      <c r="B110" s="13">
        <v>44959</v>
      </c>
      <c r="C110" s="66"/>
      <c r="D110" s="103" t="s">
        <v>953</v>
      </c>
      <c r="E110" s="14" t="s">
        <v>26</v>
      </c>
      <c r="F110" s="14" t="s">
        <v>18</v>
      </c>
      <c r="G110" s="15">
        <f>IFERROR(+VLOOKUP(D:D,'Data Base P.Asuhan &amp; Jompo'!B:I,7,0),0)</f>
        <v>1</v>
      </c>
      <c r="H110" s="258">
        <v>1000000</v>
      </c>
      <c r="I110" s="258">
        <f>List346[[#This Row],[Pengajuan Donasi]]</f>
        <v>1000000</v>
      </c>
      <c r="J110" s="214" t="str">
        <f>IF(List346[[#This Row],[Tanggal Trf]]&gt;0,"Done","-")</f>
        <v>Done</v>
      </c>
      <c r="K110" s="103" t="s">
        <v>2165</v>
      </c>
      <c r="L110" s="221">
        <v>44973</v>
      </c>
      <c r="M110" s="100" t="s">
        <v>873</v>
      </c>
      <c r="N110" s="100">
        <f>MONTH(List346[[#This Row],[Tanggal Pengajuan]])</f>
        <v>2</v>
      </c>
      <c r="O110" s="183"/>
      <c r="P110" s="100"/>
      <c r="Q110" s="111"/>
      <c r="R110" s="230"/>
      <c r="T110" s="152">
        <f>+List346[[#This Row],[Pengajuan Donasi]]-List346[[#This Row],[Jumlah Transfer]]</f>
        <v>0</v>
      </c>
      <c r="U110" s="152"/>
    </row>
    <row r="111" spans="2:21" ht="30" customHeight="1" x14ac:dyDescent="0.2">
      <c r="B111" s="13">
        <v>44959</v>
      </c>
      <c r="C111" s="66"/>
      <c r="D111" s="103" t="s">
        <v>954</v>
      </c>
      <c r="E111" s="14" t="s">
        <v>26</v>
      </c>
      <c r="F111" s="14" t="s">
        <v>18</v>
      </c>
      <c r="G111" s="15">
        <f>IFERROR(+VLOOKUP(D:D,'Data Base P.Asuhan &amp; Jompo'!B:I,7,0),0)</f>
        <v>1</v>
      </c>
      <c r="H111" s="258">
        <v>1000000</v>
      </c>
      <c r="I111" s="258">
        <f>List346[[#This Row],[Pengajuan Donasi]]</f>
        <v>1000000</v>
      </c>
      <c r="J111" s="214" t="str">
        <f>IF(List346[[#This Row],[Tanggal Trf]]&gt;0,"Done","-")</f>
        <v>Done</v>
      </c>
      <c r="K111" s="103" t="s">
        <v>2165</v>
      </c>
      <c r="L111" s="221">
        <v>44973</v>
      </c>
      <c r="M111" s="100" t="s">
        <v>874</v>
      </c>
      <c r="N111" s="100">
        <f>MONTH(List346[[#This Row],[Tanggal Pengajuan]])</f>
        <v>2</v>
      </c>
      <c r="O111" s="183"/>
      <c r="P111" s="100"/>
      <c r="Q111" s="111"/>
      <c r="R111" s="230"/>
      <c r="T111" s="152">
        <f>+List346[[#This Row],[Pengajuan Donasi]]-List346[[#This Row],[Jumlah Transfer]]</f>
        <v>0</v>
      </c>
      <c r="U111" s="152"/>
    </row>
    <row r="112" spans="2:21" ht="30" customHeight="1" x14ac:dyDescent="0.2">
      <c r="B112" s="13">
        <v>44959</v>
      </c>
      <c r="C112" s="66"/>
      <c r="D112" s="103" t="s">
        <v>955</v>
      </c>
      <c r="E112" s="14" t="s">
        <v>26</v>
      </c>
      <c r="F112" s="14" t="s">
        <v>18</v>
      </c>
      <c r="G112" s="15">
        <f>IFERROR(+VLOOKUP(D:D,'Data Base P.Asuhan &amp; Jompo'!B:I,7,0),0)</f>
        <v>1</v>
      </c>
      <c r="H112" s="258">
        <v>1000000</v>
      </c>
      <c r="I112" s="258">
        <f>List346[[#This Row],[Pengajuan Donasi]]</f>
        <v>1000000</v>
      </c>
      <c r="J112" s="214" t="str">
        <f>IF(List346[[#This Row],[Tanggal Trf]]&gt;0,"Done","-")</f>
        <v>Done</v>
      </c>
      <c r="K112" s="103" t="s">
        <v>2165</v>
      </c>
      <c r="L112" s="221">
        <v>44973</v>
      </c>
      <c r="M112" s="100" t="s">
        <v>762</v>
      </c>
      <c r="N112" s="100">
        <f>MONTH(List346[[#This Row],[Tanggal Pengajuan]])</f>
        <v>2</v>
      </c>
      <c r="O112" s="183"/>
      <c r="P112" s="100"/>
      <c r="Q112" s="111"/>
      <c r="R112" s="230"/>
      <c r="T112" s="152">
        <f>+List346[[#This Row],[Pengajuan Donasi]]-List346[[#This Row],[Jumlah Transfer]]</f>
        <v>0</v>
      </c>
      <c r="U112" s="152"/>
    </row>
    <row r="113" spans="2:21" ht="30" customHeight="1" x14ac:dyDescent="0.2">
      <c r="B113" s="13">
        <v>44959</v>
      </c>
      <c r="C113" s="66"/>
      <c r="D113" s="103" t="s">
        <v>1214</v>
      </c>
      <c r="E113" s="14" t="s">
        <v>26</v>
      </c>
      <c r="F113" s="14" t="s">
        <v>18</v>
      </c>
      <c r="G113" s="15">
        <f>IFERROR(+VLOOKUP(D:D,'Data Base P.Asuhan &amp; Jompo'!B:I,7,0),0)</f>
        <v>1</v>
      </c>
      <c r="H113" s="258">
        <v>750000</v>
      </c>
      <c r="I113" s="258">
        <f>List346[[#This Row],[Pengajuan Donasi]]</f>
        <v>750000</v>
      </c>
      <c r="J113" s="214" t="str">
        <f>IF(List346[[#This Row],[Tanggal Trf]]&gt;0,"Done","-")</f>
        <v>Done</v>
      </c>
      <c r="K113" s="103" t="s">
        <v>2165</v>
      </c>
      <c r="L113" s="221">
        <v>44973</v>
      </c>
      <c r="M113" s="100" t="s">
        <v>1217</v>
      </c>
      <c r="N113" s="100">
        <f>MONTH(List346[[#This Row],[Tanggal Pengajuan]])</f>
        <v>2</v>
      </c>
      <c r="O113" s="183"/>
      <c r="P113" s="100"/>
      <c r="Q113" s="111"/>
      <c r="R113" s="230"/>
      <c r="T113" s="152">
        <f>+List346[[#This Row],[Pengajuan Donasi]]-List346[[#This Row],[Jumlah Transfer]]</f>
        <v>0</v>
      </c>
      <c r="U113" s="152"/>
    </row>
    <row r="114" spans="2:21" ht="30" customHeight="1" x14ac:dyDescent="0.2">
      <c r="B114" s="13">
        <v>44959</v>
      </c>
      <c r="C114" s="66"/>
      <c r="D114" s="103" t="s">
        <v>1215</v>
      </c>
      <c r="E114" s="14" t="s">
        <v>26</v>
      </c>
      <c r="F114" s="14" t="s">
        <v>18</v>
      </c>
      <c r="G114" s="15">
        <f>IFERROR(+VLOOKUP(D:D,'Data Base P.Asuhan &amp; Jompo'!B:I,7,0),0)</f>
        <v>1</v>
      </c>
      <c r="H114" s="258">
        <v>750000</v>
      </c>
      <c r="I114" s="258">
        <f>List346[[#This Row],[Pengajuan Donasi]]</f>
        <v>750000</v>
      </c>
      <c r="J114" s="214" t="str">
        <f>IF(List346[[#This Row],[Tanggal Trf]]&gt;0,"Done","-")</f>
        <v>Done</v>
      </c>
      <c r="K114" s="103" t="s">
        <v>2165</v>
      </c>
      <c r="L114" s="221">
        <v>44973</v>
      </c>
      <c r="M114" s="100" t="s">
        <v>1218</v>
      </c>
      <c r="N114" s="100">
        <f>MONTH(List346[[#This Row],[Tanggal Pengajuan]])</f>
        <v>2</v>
      </c>
      <c r="O114" s="183"/>
      <c r="P114" s="100"/>
      <c r="Q114" s="111"/>
      <c r="R114" s="230"/>
      <c r="T114" s="152">
        <f>+List346[[#This Row],[Pengajuan Donasi]]-List346[[#This Row],[Jumlah Transfer]]</f>
        <v>0</v>
      </c>
      <c r="U114" s="152"/>
    </row>
    <row r="115" spans="2:21" ht="30" customHeight="1" x14ac:dyDescent="0.2">
      <c r="B115" s="13">
        <v>44959</v>
      </c>
      <c r="C115" s="66"/>
      <c r="D115" s="103" t="s">
        <v>1216</v>
      </c>
      <c r="E115" s="14" t="s">
        <v>26</v>
      </c>
      <c r="F115" s="14" t="s">
        <v>18</v>
      </c>
      <c r="G115" s="15">
        <f>IFERROR(+VLOOKUP(D:D,'Data Base P.Asuhan &amp; Jompo'!B:I,7,0),0)</f>
        <v>1</v>
      </c>
      <c r="H115" s="258">
        <v>750000</v>
      </c>
      <c r="I115" s="258">
        <f>List346[[#This Row],[Pengajuan Donasi]]</f>
        <v>750000</v>
      </c>
      <c r="J115" s="214" t="str">
        <f>IF(List346[[#This Row],[Tanggal Trf]]&gt;0,"Done","-")</f>
        <v>Done</v>
      </c>
      <c r="K115" s="437" t="s">
        <v>2165</v>
      </c>
      <c r="L115" s="221">
        <v>44973</v>
      </c>
      <c r="M115" s="100" t="s">
        <v>1219</v>
      </c>
      <c r="N115" s="100">
        <f>MONTH(List346[[#This Row],[Tanggal Pengajuan]])</f>
        <v>2</v>
      </c>
      <c r="O115" s="183"/>
      <c r="P115" s="100"/>
      <c r="Q115" s="111"/>
      <c r="R115" s="230"/>
      <c r="T115" s="152">
        <f>+List346[[#This Row],[Pengajuan Donasi]]-List346[[#This Row],[Jumlah Transfer]]</f>
        <v>0</v>
      </c>
      <c r="U115" s="152"/>
    </row>
    <row r="116" spans="2:21" ht="30" customHeight="1" x14ac:dyDescent="0.2">
      <c r="B116" s="13">
        <v>44959</v>
      </c>
      <c r="C116" s="66" t="s">
        <v>2182</v>
      </c>
      <c r="D116" s="103" t="s">
        <v>392</v>
      </c>
      <c r="E116" s="14" t="s">
        <v>57</v>
      </c>
      <c r="F116" s="14" t="s">
        <v>18</v>
      </c>
      <c r="G116" s="15">
        <f>IFERROR(+VLOOKUP(D:D,'Data Base P.Asuhan &amp; Jompo'!B:I,7,0),0)</f>
        <v>85</v>
      </c>
      <c r="H116" s="258">
        <v>20000000</v>
      </c>
      <c r="I116" s="258">
        <f>List346[[#This Row],[Pengajuan Donasi]]</f>
        <v>20000000</v>
      </c>
      <c r="J116" s="214" t="str">
        <f>IF(List346[[#This Row],[Tanggal Trf]]&gt;0,"Done","-")</f>
        <v>Done</v>
      </c>
      <c r="K116" s="438" t="s">
        <v>2166</v>
      </c>
      <c r="L116" s="221">
        <v>44973</v>
      </c>
      <c r="M116" s="100" t="s">
        <v>540</v>
      </c>
      <c r="N116" s="20">
        <f>MONTH(List346[[#This Row],[Tanggal Pengajuan]])</f>
        <v>2</v>
      </c>
      <c r="O116" s="183"/>
      <c r="P116" s="100"/>
      <c r="Q116" s="198"/>
      <c r="R116" s="230"/>
      <c r="T116" s="152">
        <f>+List346[[#This Row],[Pengajuan Donasi]]-List346[[#This Row],[Jumlah Transfer]]</f>
        <v>0</v>
      </c>
      <c r="U116" s="152"/>
    </row>
    <row r="117" spans="2:21" ht="30" customHeight="1" x14ac:dyDescent="0.2">
      <c r="B117" s="13">
        <v>44959</v>
      </c>
      <c r="C117" s="66" t="s">
        <v>2183</v>
      </c>
      <c r="D117" s="103" t="s">
        <v>429</v>
      </c>
      <c r="E117" s="14" t="s">
        <v>57</v>
      </c>
      <c r="F117" s="14" t="s">
        <v>18</v>
      </c>
      <c r="G117" s="15">
        <f>IFERROR(+VLOOKUP(D:D,'Data Base P.Asuhan &amp; Jompo'!B:I,7,0),0)</f>
        <v>38</v>
      </c>
      <c r="H117" s="258">
        <v>10000000</v>
      </c>
      <c r="I117" s="258">
        <f>List346[[#This Row],[Pengajuan Donasi]]</f>
        <v>10000000</v>
      </c>
      <c r="J117" s="214" t="str">
        <f>IF(List346[[#This Row],[Tanggal Trf]]&gt;0,"Done","-")</f>
        <v>Done</v>
      </c>
      <c r="K117" s="438" t="s">
        <v>2167</v>
      </c>
      <c r="L117" s="221">
        <v>44967</v>
      </c>
      <c r="M117" s="100" t="s">
        <v>537</v>
      </c>
      <c r="N117" s="20">
        <f>MONTH(List346[[#This Row],[Tanggal Pengajuan]])</f>
        <v>2</v>
      </c>
      <c r="O117" s="183"/>
      <c r="P117" s="100"/>
      <c r="Q117" s="198"/>
      <c r="R117" s="230"/>
      <c r="T117" s="152">
        <f>+List346[[#This Row],[Pengajuan Donasi]]-List346[[#This Row],[Jumlah Transfer]]</f>
        <v>0</v>
      </c>
      <c r="U117" s="152"/>
    </row>
    <row r="118" spans="2:21" ht="30" customHeight="1" x14ac:dyDescent="0.2">
      <c r="B118" s="13">
        <v>44959</v>
      </c>
      <c r="C118" s="66" t="s">
        <v>2184</v>
      </c>
      <c r="D118" s="103" t="s">
        <v>420</v>
      </c>
      <c r="E118" s="14" t="s">
        <v>57</v>
      </c>
      <c r="F118" s="14" t="s">
        <v>18</v>
      </c>
      <c r="G118" s="15">
        <f>IFERROR(+VLOOKUP(D:D,'Data Base P.Asuhan &amp; Jompo'!B:I,7,0),0)</f>
        <v>29</v>
      </c>
      <c r="H118" s="258">
        <v>10000000</v>
      </c>
      <c r="I118" s="258">
        <f>List346[[#This Row],[Pengajuan Donasi]]</f>
        <v>10000000</v>
      </c>
      <c r="J118" s="214" t="str">
        <f>IF(List346[[#This Row],[Tanggal Trf]]&gt;0,"Done","-")</f>
        <v>Done</v>
      </c>
      <c r="K118" s="437" t="s">
        <v>2168</v>
      </c>
      <c r="L118" s="221">
        <v>44977</v>
      </c>
      <c r="M118" s="100" t="s">
        <v>534</v>
      </c>
      <c r="N118" s="100">
        <f>MONTH(List346[[#This Row],[Tanggal Pengajuan]])</f>
        <v>2</v>
      </c>
      <c r="O118" s="183"/>
      <c r="P118" s="100"/>
      <c r="Q118" s="111"/>
      <c r="R118" s="230"/>
      <c r="T118" s="152">
        <f>+List346[[#This Row],[Pengajuan Donasi]]-List346[[#This Row],[Jumlah Transfer]]</f>
        <v>0</v>
      </c>
      <c r="U118" s="152"/>
    </row>
    <row r="119" spans="2:21" ht="30" customHeight="1" x14ac:dyDescent="0.2">
      <c r="B119" s="13">
        <v>44959</v>
      </c>
      <c r="C119" s="66" t="s">
        <v>2185</v>
      </c>
      <c r="D119" s="103" t="s">
        <v>413</v>
      </c>
      <c r="E119" s="14" t="s">
        <v>57</v>
      </c>
      <c r="F119" s="14" t="s">
        <v>18</v>
      </c>
      <c r="G119" s="15">
        <f>IFERROR(+VLOOKUP(D:D,'Data Base P.Asuhan &amp; Jompo'!B:I,7,0),0)</f>
        <v>22</v>
      </c>
      <c r="H119" s="258">
        <v>10000000</v>
      </c>
      <c r="I119" s="258">
        <f>List346[[#This Row],[Pengajuan Donasi]]</f>
        <v>10000000</v>
      </c>
      <c r="J119" s="214" t="str">
        <f>IF(List346[[#This Row],[Tanggal Trf]]&gt;0,"Done","-")</f>
        <v>Done</v>
      </c>
      <c r="K119" s="438" t="s">
        <v>2169</v>
      </c>
      <c r="L119" s="221">
        <v>45128</v>
      </c>
      <c r="M119" s="100" t="s">
        <v>544</v>
      </c>
      <c r="N119" s="20">
        <f>MONTH(List346[[#This Row],[Tanggal Pengajuan]])</f>
        <v>2</v>
      </c>
      <c r="O119" s="183"/>
      <c r="P119" s="100"/>
      <c r="Q119" s="198"/>
      <c r="R119" s="230"/>
      <c r="T119" s="152">
        <f>+List346[[#This Row],[Pengajuan Donasi]]-List346[[#This Row],[Jumlah Transfer]]</f>
        <v>0</v>
      </c>
      <c r="U119" s="152"/>
    </row>
    <row r="120" spans="2:21" ht="30" customHeight="1" x14ac:dyDescent="0.2">
      <c r="B120" s="13">
        <v>44959</v>
      </c>
      <c r="C120" s="66" t="s">
        <v>2186</v>
      </c>
      <c r="D120" s="103" t="s">
        <v>407</v>
      </c>
      <c r="E120" s="103" t="s">
        <v>57</v>
      </c>
      <c r="F120" s="14" t="s">
        <v>18</v>
      </c>
      <c r="G120" s="15">
        <f>IFERROR(+VLOOKUP(D:D,'Data Base P.Asuhan &amp; Jompo'!B:I,7,0),0)</f>
        <v>64</v>
      </c>
      <c r="H120" s="262">
        <v>20000000</v>
      </c>
      <c r="I120" s="258">
        <f>List346[[#This Row],[Pengajuan Donasi]]</f>
        <v>20000000</v>
      </c>
      <c r="J120" s="214" t="str">
        <f>IF(List346[[#This Row],[Tanggal Trf]]&gt;0,"Done","-")</f>
        <v>Done</v>
      </c>
      <c r="K120" s="609" t="s">
        <v>2170</v>
      </c>
      <c r="L120" s="221">
        <v>44967</v>
      </c>
      <c r="M120" s="100" t="s">
        <v>661</v>
      </c>
      <c r="N120" s="100">
        <f>MONTH(List346[[#This Row],[Tanggal Pengajuan]])</f>
        <v>2</v>
      </c>
      <c r="O120" s="183"/>
      <c r="P120" s="100"/>
      <c r="Q120" s="110"/>
      <c r="R120" s="230"/>
      <c r="T120" s="152">
        <f>+List346[[#This Row],[Pengajuan Donasi]]-List346[[#This Row],[Jumlah Transfer]]</f>
        <v>0</v>
      </c>
      <c r="U120" s="152"/>
    </row>
    <row r="121" spans="2:21" ht="30" customHeight="1" x14ac:dyDescent="0.2">
      <c r="B121" s="13">
        <v>44959</v>
      </c>
      <c r="C121" s="66" t="s">
        <v>2187</v>
      </c>
      <c r="D121" s="103" t="s">
        <v>916</v>
      </c>
      <c r="E121" s="103" t="s">
        <v>26</v>
      </c>
      <c r="F121" s="14" t="s">
        <v>18</v>
      </c>
      <c r="G121" s="15">
        <f>IFERROR(+VLOOKUP(D:D,'Data Base P.Asuhan &amp; Jompo'!B:I,7,0),0)</f>
        <v>1</v>
      </c>
      <c r="H121" s="262">
        <v>500000</v>
      </c>
      <c r="I121" s="258">
        <f>List346[[#This Row],[Pengajuan Donasi]]</f>
        <v>500000</v>
      </c>
      <c r="J121" s="214" t="str">
        <f>IF(List346[[#This Row],[Tanggal Trf]]&gt;0,"Done","-")</f>
        <v>Done</v>
      </c>
      <c r="K121" s="445" t="s">
        <v>2171</v>
      </c>
      <c r="L121" s="221">
        <v>44977</v>
      </c>
      <c r="M121" s="100" t="s">
        <v>895</v>
      </c>
      <c r="N121" s="100">
        <f>MONTH(List346[[#This Row],[Tanggal Pengajuan]])</f>
        <v>2</v>
      </c>
      <c r="O121" s="183"/>
      <c r="P121" s="100"/>
      <c r="Q121" s="111"/>
      <c r="R121" s="230"/>
      <c r="T121" s="152">
        <f>+List346[[#This Row],[Pengajuan Donasi]]-List346[[#This Row],[Jumlah Transfer]]</f>
        <v>0</v>
      </c>
      <c r="U121" s="152"/>
    </row>
    <row r="122" spans="2:21" ht="30" customHeight="1" x14ac:dyDescent="0.2">
      <c r="B122" s="13">
        <v>44959</v>
      </c>
      <c r="C122" s="66"/>
      <c r="D122" s="103" t="s">
        <v>1535</v>
      </c>
      <c r="E122" s="103" t="s">
        <v>26</v>
      </c>
      <c r="F122" s="14" t="s">
        <v>18</v>
      </c>
      <c r="G122" s="15">
        <f>IFERROR(+VLOOKUP(D:D,'Data Base P.Asuhan &amp; Jompo'!B:I,7,0),0)</f>
        <v>1</v>
      </c>
      <c r="H122" s="262">
        <v>500000</v>
      </c>
      <c r="I122" s="258">
        <f>List346[[#This Row],[Pengajuan Donasi]]</f>
        <v>500000</v>
      </c>
      <c r="J122" s="214" t="str">
        <f>IF(List346[[#This Row],[Tanggal Trf]]&gt;0,"Done","-")</f>
        <v>Done</v>
      </c>
      <c r="K122" s="445" t="s">
        <v>2171</v>
      </c>
      <c r="L122" s="221">
        <v>44977</v>
      </c>
      <c r="M122" s="100" t="s">
        <v>1536</v>
      </c>
      <c r="N122" s="100">
        <f>MONTH(List346[[#This Row],[Tanggal Pengajuan]])</f>
        <v>2</v>
      </c>
      <c r="O122" s="183"/>
      <c r="P122" s="100"/>
      <c r="Q122" s="111"/>
      <c r="R122" s="230"/>
      <c r="T122" s="152">
        <f>+List346[[#This Row],[Pengajuan Donasi]]-List346[[#This Row],[Jumlah Transfer]]</f>
        <v>0</v>
      </c>
      <c r="U122" s="152"/>
    </row>
    <row r="123" spans="2:21" ht="30" customHeight="1" x14ac:dyDescent="0.2">
      <c r="B123" s="13">
        <v>44959</v>
      </c>
      <c r="C123" s="66"/>
      <c r="D123" s="103" t="s">
        <v>1537</v>
      </c>
      <c r="E123" s="103" t="s">
        <v>26</v>
      </c>
      <c r="F123" s="14" t="s">
        <v>18</v>
      </c>
      <c r="G123" s="15">
        <f>IFERROR(+VLOOKUP(D:D,'Data Base P.Asuhan &amp; Jompo'!B:I,7,0),0)</f>
        <v>1</v>
      </c>
      <c r="H123" s="262">
        <v>500000</v>
      </c>
      <c r="I123" s="258">
        <f>List346[[#This Row],[Pengajuan Donasi]]</f>
        <v>500000</v>
      </c>
      <c r="J123" s="214" t="str">
        <f>IF(List346[[#This Row],[Tanggal Trf]]&gt;0,"Done","-")</f>
        <v>Done</v>
      </c>
      <c r="K123" s="445" t="s">
        <v>2171</v>
      </c>
      <c r="L123" s="221">
        <v>44977</v>
      </c>
      <c r="M123" s="100" t="s">
        <v>1538</v>
      </c>
      <c r="N123" s="100">
        <f>MONTH(List346[[#This Row],[Tanggal Pengajuan]])</f>
        <v>2</v>
      </c>
      <c r="O123" s="183"/>
      <c r="P123" s="100"/>
      <c r="Q123" s="111"/>
      <c r="R123" s="230"/>
      <c r="T123" s="152">
        <f>+List346[[#This Row],[Pengajuan Donasi]]-List346[[#This Row],[Jumlah Transfer]]</f>
        <v>0</v>
      </c>
      <c r="U123" s="152"/>
    </row>
    <row r="124" spans="2:21" ht="30" customHeight="1" x14ac:dyDescent="0.2">
      <c r="B124" s="13">
        <v>44959</v>
      </c>
      <c r="C124" s="66"/>
      <c r="D124" s="103" t="s">
        <v>919</v>
      </c>
      <c r="E124" s="103" t="s">
        <v>26</v>
      </c>
      <c r="F124" s="14" t="s">
        <v>18</v>
      </c>
      <c r="G124" s="15">
        <f>IFERROR(+VLOOKUP(D:D,'Data Base P.Asuhan &amp; Jompo'!B:I,7,0),0)</f>
        <v>1</v>
      </c>
      <c r="H124" s="262">
        <v>500000</v>
      </c>
      <c r="I124" s="258">
        <f>List346[[#This Row],[Pengajuan Donasi]]</f>
        <v>500000</v>
      </c>
      <c r="J124" s="214" t="str">
        <f>IF(List346[[#This Row],[Tanggal Trf]]&gt;0,"Done","-")</f>
        <v>Done</v>
      </c>
      <c r="K124" s="445" t="s">
        <v>2171</v>
      </c>
      <c r="L124" s="221">
        <v>44977</v>
      </c>
      <c r="M124" s="100" t="s">
        <v>897</v>
      </c>
      <c r="N124" s="100">
        <f>MONTH(List346[[#This Row],[Tanggal Pengajuan]])</f>
        <v>2</v>
      </c>
      <c r="O124" s="183"/>
      <c r="P124" s="100"/>
      <c r="Q124" s="111"/>
      <c r="R124" s="230"/>
      <c r="T124" s="152">
        <f>+List346[[#This Row],[Pengajuan Donasi]]-List346[[#This Row],[Jumlah Transfer]]</f>
        <v>0</v>
      </c>
      <c r="U124" s="152"/>
    </row>
    <row r="125" spans="2:21" ht="30" customHeight="1" x14ac:dyDescent="0.2">
      <c r="B125" s="13">
        <v>44959</v>
      </c>
      <c r="C125" s="66"/>
      <c r="D125" s="103" t="s">
        <v>920</v>
      </c>
      <c r="E125" s="103" t="s">
        <v>26</v>
      </c>
      <c r="F125" s="14" t="s">
        <v>18</v>
      </c>
      <c r="G125" s="15">
        <f>IFERROR(+VLOOKUP(D:D,'Data Base P.Asuhan &amp; Jompo'!B:I,7,0),0)</f>
        <v>1</v>
      </c>
      <c r="H125" s="262">
        <v>500000</v>
      </c>
      <c r="I125" s="258">
        <f>List346[[#This Row],[Pengajuan Donasi]]</f>
        <v>500000</v>
      </c>
      <c r="J125" s="214" t="str">
        <f>IF(List346[[#This Row],[Tanggal Trf]]&gt;0,"Done","-")</f>
        <v>Done</v>
      </c>
      <c r="K125" s="445" t="s">
        <v>2171</v>
      </c>
      <c r="L125" s="221">
        <v>44977</v>
      </c>
      <c r="M125" s="100" t="s">
        <v>915</v>
      </c>
      <c r="N125" s="100">
        <f>MONTH(List346[[#This Row],[Tanggal Pengajuan]])</f>
        <v>2</v>
      </c>
      <c r="O125" s="183"/>
      <c r="P125" s="100"/>
      <c r="Q125" s="111"/>
      <c r="R125" s="230"/>
      <c r="T125" s="152">
        <f>+List346[[#This Row],[Pengajuan Donasi]]-List346[[#This Row],[Jumlah Transfer]]</f>
        <v>0</v>
      </c>
      <c r="U125" s="152"/>
    </row>
    <row r="126" spans="2:21" ht="30" customHeight="1" x14ac:dyDescent="0.2">
      <c r="B126" s="13">
        <v>44959</v>
      </c>
      <c r="C126" s="66"/>
      <c r="D126" s="103" t="s">
        <v>921</v>
      </c>
      <c r="E126" s="103" t="s">
        <v>26</v>
      </c>
      <c r="F126" s="14" t="s">
        <v>18</v>
      </c>
      <c r="G126" s="15">
        <f>IFERROR(+VLOOKUP(D:D,'Data Base P.Asuhan &amp; Jompo'!B:I,7,0),0)</f>
        <v>1</v>
      </c>
      <c r="H126" s="262">
        <v>500000</v>
      </c>
      <c r="I126" s="258">
        <f>List346[[#This Row],[Pengajuan Donasi]]</f>
        <v>500000</v>
      </c>
      <c r="J126" s="214" t="str">
        <f>IF(List346[[#This Row],[Tanggal Trf]]&gt;0,"Done","-")</f>
        <v>Done</v>
      </c>
      <c r="K126" s="445" t="s">
        <v>2171</v>
      </c>
      <c r="L126" s="221">
        <v>44977</v>
      </c>
      <c r="M126" s="100" t="s">
        <v>1539</v>
      </c>
      <c r="N126" s="100">
        <f>MONTH(List346[[#This Row],[Tanggal Pengajuan]])</f>
        <v>2</v>
      </c>
      <c r="O126" s="183"/>
      <c r="P126" s="100"/>
      <c r="Q126" s="111"/>
      <c r="R126" s="230"/>
      <c r="T126" s="152">
        <f>+List346[[#This Row],[Pengajuan Donasi]]-List346[[#This Row],[Jumlah Transfer]]</f>
        <v>0</v>
      </c>
      <c r="U126" s="152"/>
    </row>
    <row r="127" spans="2:21" ht="30" customHeight="1" x14ac:dyDescent="0.2">
      <c r="B127" s="13">
        <v>44959</v>
      </c>
      <c r="C127" s="66"/>
      <c r="D127" s="103" t="s">
        <v>922</v>
      </c>
      <c r="E127" s="103" t="s">
        <v>26</v>
      </c>
      <c r="F127" s="14" t="s">
        <v>18</v>
      </c>
      <c r="G127" s="15">
        <f>IFERROR(+VLOOKUP(D:D,'Data Base P.Asuhan &amp; Jompo'!B:I,7,0),0)</f>
        <v>1</v>
      </c>
      <c r="H127" s="262">
        <v>500000</v>
      </c>
      <c r="I127" s="258">
        <f>List346[[#This Row],[Pengajuan Donasi]]</f>
        <v>500000</v>
      </c>
      <c r="J127" s="214" t="str">
        <f>IF(List346[[#This Row],[Tanggal Trf]]&gt;0,"Done","-")</f>
        <v>Done</v>
      </c>
      <c r="K127" s="445" t="s">
        <v>2171</v>
      </c>
      <c r="L127" s="221">
        <v>44977</v>
      </c>
      <c r="M127" s="100" t="s">
        <v>899</v>
      </c>
      <c r="N127" s="100">
        <f>MONTH(List346[[#This Row],[Tanggal Pengajuan]])</f>
        <v>2</v>
      </c>
      <c r="O127" s="183"/>
      <c r="P127" s="100"/>
      <c r="Q127" s="111"/>
      <c r="R127" s="230"/>
      <c r="T127" s="152">
        <f>+List346[[#This Row],[Pengajuan Donasi]]-List346[[#This Row],[Jumlah Transfer]]</f>
        <v>0</v>
      </c>
      <c r="U127" s="152"/>
    </row>
    <row r="128" spans="2:21" ht="30" customHeight="1" x14ac:dyDescent="0.2">
      <c r="B128" s="13">
        <v>44959</v>
      </c>
      <c r="C128" s="66"/>
      <c r="D128" s="103" t="s">
        <v>923</v>
      </c>
      <c r="E128" s="103" t="s">
        <v>26</v>
      </c>
      <c r="F128" s="14" t="s">
        <v>18</v>
      </c>
      <c r="G128" s="15">
        <f>IFERROR(+VLOOKUP(D:D,'Data Base P.Asuhan &amp; Jompo'!B:I,7,0),0)</f>
        <v>1</v>
      </c>
      <c r="H128" s="262">
        <v>500000</v>
      </c>
      <c r="I128" s="258">
        <f>List346[[#This Row],[Pengajuan Donasi]]</f>
        <v>500000</v>
      </c>
      <c r="J128" s="214" t="str">
        <f>IF(List346[[#This Row],[Tanggal Trf]]&gt;0,"Done","-")</f>
        <v>Done</v>
      </c>
      <c r="K128" s="445" t="s">
        <v>2171</v>
      </c>
      <c r="L128" s="221">
        <v>44977</v>
      </c>
      <c r="M128" s="100" t="s">
        <v>900</v>
      </c>
      <c r="N128" s="100">
        <f>MONTH(List346[[#This Row],[Tanggal Pengajuan]])</f>
        <v>2</v>
      </c>
      <c r="O128" s="183"/>
      <c r="P128" s="100"/>
      <c r="Q128" s="111"/>
      <c r="R128" s="230"/>
      <c r="T128" s="152">
        <f>+List346[[#This Row],[Pengajuan Donasi]]-List346[[#This Row],[Jumlah Transfer]]</f>
        <v>0</v>
      </c>
      <c r="U128" s="152"/>
    </row>
    <row r="129" spans="2:21" ht="30" customHeight="1" x14ac:dyDescent="0.2">
      <c r="B129" s="13">
        <v>44959</v>
      </c>
      <c r="C129" s="66"/>
      <c r="D129" s="103" t="s">
        <v>924</v>
      </c>
      <c r="E129" s="103" t="s">
        <v>26</v>
      </c>
      <c r="F129" s="14" t="s">
        <v>18</v>
      </c>
      <c r="G129" s="15">
        <f>IFERROR(+VLOOKUP(D:D,'Data Base P.Asuhan &amp; Jompo'!B:I,7,0),0)</f>
        <v>1</v>
      </c>
      <c r="H129" s="262">
        <v>500000</v>
      </c>
      <c r="I129" s="258">
        <f>List346[[#This Row],[Pengajuan Donasi]]</f>
        <v>500000</v>
      </c>
      <c r="J129" s="214" t="str">
        <f>IF(List346[[#This Row],[Tanggal Trf]]&gt;0,"Done","-")</f>
        <v>Done</v>
      </c>
      <c r="K129" s="445" t="s">
        <v>2171</v>
      </c>
      <c r="L129" s="221">
        <v>44977</v>
      </c>
      <c r="M129" s="100" t="s">
        <v>901</v>
      </c>
      <c r="N129" s="100">
        <f>MONTH(List346[[#This Row],[Tanggal Pengajuan]])</f>
        <v>2</v>
      </c>
      <c r="O129" s="183"/>
      <c r="P129" s="100"/>
      <c r="Q129" s="111"/>
      <c r="R129" s="230"/>
      <c r="T129" s="152">
        <f>+List346[[#This Row],[Pengajuan Donasi]]-List346[[#This Row],[Jumlah Transfer]]</f>
        <v>0</v>
      </c>
      <c r="U129" s="152"/>
    </row>
    <row r="130" spans="2:21" ht="30" customHeight="1" x14ac:dyDescent="0.2">
      <c r="B130" s="13">
        <v>44959</v>
      </c>
      <c r="C130" s="66"/>
      <c r="D130" s="103" t="s">
        <v>925</v>
      </c>
      <c r="E130" s="103" t="s">
        <v>26</v>
      </c>
      <c r="F130" s="14" t="s">
        <v>18</v>
      </c>
      <c r="G130" s="15">
        <f>IFERROR(+VLOOKUP(D:D,'Data Base P.Asuhan &amp; Jompo'!B:I,7,0),0)</f>
        <v>1</v>
      </c>
      <c r="H130" s="262">
        <v>500000</v>
      </c>
      <c r="I130" s="258">
        <f>List346[[#This Row],[Pengajuan Donasi]]</f>
        <v>500000</v>
      </c>
      <c r="J130" s="214" t="str">
        <f>IF(List346[[#This Row],[Tanggal Trf]]&gt;0,"Done","-")</f>
        <v>Done</v>
      </c>
      <c r="K130" s="445" t="s">
        <v>2171</v>
      </c>
      <c r="L130" s="221">
        <v>44977</v>
      </c>
      <c r="M130" s="100" t="s">
        <v>1014</v>
      </c>
      <c r="N130" s="100">
        <f>MONTH(List346[[#This Row],[Tanggal Pengajuan]])</f>
        <v>2</v>
      </c>
      <c r="O130" s="183"/>
      <c r="P130" s="100"/>
      <c r="Q130" s="111"/>
      <c r="R130" s="230"/>
      <c r="T130" s="152">
        <f>+List346[[#This Row],[Pengajuan Donasi]]-List346[[#This Row],[Jumlah Transfer]]</f>
        <v>0</v>
      </c>
      <c r="U130" s="152"/>
    </row>
    <row r="131" spans="2:21" ht="30" customHeight="1" x14ac:dyDescent="0.2">
      <c r="B131" s="13">
        <v>44959</v>
      </c>
      <c r="C131" s="66"/>
      <c r="D131" s="103" t="s">
        <v>926</v>
      </c>
      <c r="E131" s="103" t="s">
        <v>26</v>
      </c>
      <c r="F131" s="14" t="s">
        <v>18</v>
      </c>
      <c r="G131" s="15">
        <f>IFERROR(+VLOOKUP(D:D,'Data Base P.Asuhan &amp; Jompo'!B:I,7,0),0)</f>
        <v>1</v>
      </c>
      <c r="H131" s="262">
        <v>500000</v>
      </c>
      <c r="I131" s="258">
        <f>List346[[#This Row],[Pengajuan Donasi]]</f>
        <v>500000</v>
      </c>
      <c r="J131" s="214" t="str">
        <f>IF(List346[[#This Row],[Tanggal Trf]]&gt;0,"Done","-")</f>
        <v>Done</v>
      </c>
      <c r="K131" s="445" t="s">
        <v>2171</v>
      </c>
      <c r="L131" s="221">
        <v>44977</v>
      </c>
      <c r="M131" s="100" t="s">
        <v>1540</v>
      </c>
      <c r="N131" s="100">
        <f>MONTH(List346[[#This Row],[Tanggal Pengajuan]])</f>
        <v>2</v>
      </c>
      <c r="O131" s="183"/>
      <c r="P131" s="100"/>
      <c r="Q131" s="111"/>
      <c r="R131" s="230"/>
      <c r="T131" s="152">
        <f>+List346[[#This Row],[Pengajuan Donasi]]-List346[[#This Row],[Jumlah Transfer]]</f>
        <v>0</v>
      </c>
      <c r="U131" s="152"/>
    </row>
    <row r="132" spans="2:21" ht="30" customHeight="1" x14ac:dyDescent="0.2">
      <c r="B132" s="13">
        <v>44959</v>
      </c>
      <c r="C132" s="66"/>
      <c r="D132" s="103" t="s">
        <v>927</v>
      </c>
      <c r="E132" s="103" t="s">
        <v>26</v>
      </c>
      <c r="F132" s="14" t="s">
        <v>18</v>
      </c>
      <c r="G132" s="15">
        <f>IFERROR(+VLOOKUP(D:D,'Data Base P.Asuhan &amp; Jompo'!B:I,7,0),0)</f>
        <v>1</v>
      </c>
      <c r="H132" s="262">
        <v>500000</v>
      </c>
      <c r="I132" s="258">
        <f>List346[[#This Row],[Pengajuan Donasi]]</f>
        <v>500000</v>
      </c>
      <c r="J132" s="214" t="str">
        <f>IF(List346[[#This Row],[Tanggal Trf]]&gt;0,"Done","-")</f>
        <v>Done</v>
      </c>
      <c r="K132" s="445" t="s">
        <v>2171</v>
      </c>
      <c r="L132" s="221">
        <v>44977</v>
      </c>
      <c r="M132" s="100" t="s">
        <v>1541</v>
      </c>
      <c r="N132" s="100">
        <f>MONTH(List346[[#This Row],[Tanggal Pengajuan]])</f>
        <v>2</v>
      </c>
      <c r="O132" s="183"/>
      <c r="P132" s="100"/>
      <c r="Q132" s="111"/>
      <c r="R132" s="230"/>
      <c r="T132" s="152">
        <f>+List346[[#This Row],[Pengajuan Donasi]]-List346[[#This Row],[Jumlah Transfer]]</f>
        <v>0</v>
      </c>
      <c r="U132" s="152"/>
    </row>
    <row r="133" spans="2:21" ht="30" customHeight="1" x14ac:dyDescent="0.2">
      <c r="B133" s="13">
        <v>44959</v>
      </c>
      <c r="C133" s="66"/>
      <c r="D133" s="103" t="s">
        <v>928</v>
      </c>
      <c r="E133" s="103" t="s">
        <v>26</v>
      </c>
      <c r="F133" s="14" t="s">
        <v>18</v>
      </c>
      <c r="G133" s="15">
        <f>IFERROR(+VLOOKUP(D:D,'Data Base P.Asuhan &amp; Jompo'!B:I,7,0),0)</f>
        <v>1</v>
      </c>
      <c r="H133" s="262">
        <v>500000</v>
      </c>
      <c r="I133" s="258">
        <f>List346[[#This Row],[Pengajuan Donasi]]</f>
        <v>500000</v>
      </c>
      <c r="J133" s="214" t="str">
        <f>IF(List346[[#This Row],[Tanggal Trf]]&gt;0,"Done","-")</f>
        <v>Done</v>
      </c>
      <c r="K133" s="445" t="s">
        <v>2171</v>
      </c>
      <c r="L133" s="221">
        <v>44977</v>
      </c>
      <c r="M133" s="100" t="s">
        <v>1542</v>
      </c>
      <c r="N133" s="100">
        <f>MONTH(List346[[#This Row],[Tanggal Pengajuan]])</f>
        <v>2</v>
      </c>
      <c r="O133" s="183"/>
      <c r="P133" s="100"/>
      <c r="Q133" s="111"/>
      <c r="R133" s="230"/>
      <c r="T133" s="152">
        <f>+List346[[#This Row],[Pengajuan Donasi]]-List346[[#This Row],[Jumlah Transfer]]</f>
        <v>0</v>
      </c>
      <c r="U133" s="152"/>
    </row>
    <row r="134" spans="2:21" ht="30" customHeight="1" x14ac:dyDescent="0.2">
      <c r="B134" s="13">
        <v>44959</v>
      </c>
      <c r="C134" s="66"/>
      <c r="D134" s="103" t="s">
        <v>929</v>
      </c>
      <c r="E134" s="103" t="s">
        <v>26</v>
      </c>
      <c r="F134" s="14" t="s">
        <v>18</v>
      </c>
      <c r="G134" s="15">
        <f>IFERROR(+VLOOKUP(D:D,'Data Base P.Asuhan &amp; Jompo'!B:I,7,0),0)</f>
        <v>1</v>
      </c>
      <c r="H134" s="262">
        <v>500000</v>
      </c>
      <c r="I134" s="258">
        <f>List346[[#This Row],[Pengajuan Donasi]]</f>
        <v>500000</v>
      </c>
      <c r="J134" s="214" t="str">
        <f>IF(List346[[#This Row],[Tanggal Trf]]&gt;0,"Done","-")</f>
        <v>Done</v>
      </c>
      <c r="K134" s="445" t="s">
        <v>2171</v>
      </c>
      <c r="L134" s="221">
        <v>44977</v>
      </c>
      <c r="M134" s="100" t="s">
        <v>902</v>
      </c>
      <c r="N134" s="100">
        <f>MONTH(List346[[#This Row],[Tanggal Pengajuan]])</f>
        <v>2</v>
      </c>
      <c r="O134" s="183"/>
      <c r="P134" s="100"/>
      <c r="Q134" s="111"/>
      <c r="R134" s="230"/>
      <c r="T134" s="152">
        <f>+List346[[#This Row],[Pengajuan Donasi]]-List346[[#This Row],[Jumlah Transfer]]</f>
        <v>0</v>
      </c>
      <c r="U134" s="152"/>
    </row>
    <row r="135" spans="2:21" ht="30" customHeight="1" x14ac:dyDescent="0.2">
      <c r="B135" s="13">
        <v>44959</v>
      </c>
      <c r="C135" s="66"/>
      <c r="D135" s="103" t="s">
        <v>930</v>
      </c>
      <c r="E135" s="103" t="s">
        <v>26</v>
      </c>
      <c r="F135" s="14" t="s">
        <v>18</v>
      </c>
      <c r="G135" s="15">
        <f>IFERROR(+VLOOKUP(D:D,'Data Base P.Asuhan &amp; Jompo'!B:I,7,0),0)</f>
        <v>1</v>
      </c>
      <c r="H135" s="262">
        <v>500000</v>
      </c>
      <c r="I135" s="258">
        <f>List346[[#This Row],[Pengajuan Donasi]]</f>
        <v>500000</v>
      </c>
      <c r="J135" s="214" t="str">
        <f>IF(List346[[#This Row],[Tanggal Trf]]&gt;0,"Done","-")</f>
        <v>Done</v>
      </c>
      <c r="K135" s="445" t="s">
        <v>2171</v>
      </c>
      <c r="L135" s="221">
        <v>44977</v>
      </c>
      <c r="M135" s="100" t="s">
        <v>903</v>
      </c>
      <c r="N135" s="100">
        <f>MONTH(List346[[#This Row],[Tanggal Pengajuan]])</f>
        <v>2</v>
      </c>
      <c r="O135" s="183"/>
      <c r="P135" s="100"/>
      <c r="Q135" s="111"/>
      <c r="R135" s="230"/>
      <c r="T135" s="152">
        <f>+List346[[#This Row],[Pengajuan Donasi]]-List346[[#This Row],[Jumlah Transfer]]</f>
        <v>0</v>
      </c>
      <c r="U135" s="152"/>
    </row>
    <row r="136" spans="2:21" ht="30" customHeight="1" x14ac:dyDescent="0.2">
      <c r="B136" s="13">
        <v>44959</v>
      </c>
      <c r="C136" s="66"/>
      <c r="D136" s="103" t="s">
        <v>1974</v>
      </c>
      <c r="E136" s="103" t="s">
        <v>26</v>
      </c>
      <c r="F136" s="14" t="s">
        <v>18</v>
      </c>
      <c r="G136" s="15">
        <f>IFERROR(+VLOOKUP(D:D,'Data Base P.Asuhan &amp; Jompo'!B:I,7,0),0)</f>
        <v>1</v>
      </c>
      <c r="H136" s="262">
        <v>500000</v>
      </c>
      <c r="I136" s="258">
        <f>List346[[#This Row],[Pengajuan Donasi]]</f>
        <v>500000</v>
      </c>
      <c r="J136" s="214" t="str">
        <f>IF(List346[[#This Row],[Tanggal Trf]]&gt;0,"Done","-")</f>
        <v>Done</v>
      </c>
      <c r="K136" s="445" t="s">
        <v>2171</v>
      </c>
      <c r="L136" s="221">
        <v>44977</v>
      </c>
      <c r="M136" s="100" t="s">
        <v>1544</v>
      </c>
      <c r="N136" s="100">
        <f>MONTH(List346[[#This Row],[Tanggal Pengajuan]])</f>
        <v>2</v>
      </c>
      <c r="O136" s="183"/>
      <c r="P136" s="100"/>
      <c r="Q136" s="111"/>
      <c r="R136" s="230"/>
      <c r="T136" s="152">
        <f>+List346[[#This Row],[Pengajuan Donasi]]-List346[[#This Row],[Jumlah Transfer]]</f>
        <v>0</v>
      </c>
      <c r="U136" s="152"/>
    </row>
    <row r="137" spans="2:21" ht="30" customHeight="1" x14ac:dyDescent="0.2">
      <c r="B137" s="13">
        <v>44959</v>
      </c>
      <c r="C137" s="66"/>
      <c r="D137" s="103" t="s">
        <v>1545</v>
      </c>
      <c r="E137" s="103" t="s">
        <v>26</v>
      </c>
      <c r="F137" s="14" t="s">
        <v>18</v>
      </c>
      <c r="G137" s="15">
        <f>IFERROR(+VLOOKUP(D:D,'Data Base P.Asuhan &amp; Jompo'!B:I,7,0),0)</f>
        <v>1</v>
      </c>
      <c r="H137" s="262">
        <v>500000</v>
      </c>
      <c r="I137" s="258">
        <f>List346[[#This Row],[Pengajuan Donasi]]</f>
        <v>500000</v>
      </c>
      <c r="J137" s="214" t="str">
        <f>IF(List346[[#This Row],[Tanggal Trf]]&gt;0,"Done","-")</f>
        <v>Done</v>
      </c>
      <c r="K137" s="445" t="s">
        <v>2171</v>
      </c>
      <c r="L137" s="221">
        <v>44977</v>
      </c>
      <c r="M137" s="100" t="s">
        <v>1546</v>
      </c>
      <c r="N137" s="100">
        <f>MONTH(List346[[#This Row],[Tanggal Pengajuan]])</f>
        <v>2</v>
      </c>
      <c r="O137" s="183"/>
      <c r="P137" s="100"/>
      <c r="Q137" s="111"/>
      <c r="R137" s="230"/>
      <c r="T137" s="152">
        <f>+List346[[#This Row],[Pengajuan Donasi]]-List346[[#This Row],[Jumlah Transfer]]</f>
        <v>0</v>
      </c>
      <c r="U137" s="152"/>
    </row>
    <row r="138" spans="2:21" ht="30" customHeight="1" x14ac:dyDescent="0.2">
      <c r="B138" s="13">
        <v>44959</v>
      </c>
      <c r="C138" s="66" t="s">
        <v>2188</v>
      </c>
      <c r="D138" s="103" t="s">
        <v>256</v>
      </c>
      <c r="E138" s="103" t="s">
        <v>17</v>
      </c>
      <c r="F138" s="14" t="s">
        <v>18</v>
      </c>
      <c r="G138" s="15">
        <f>IFERROR(+VLOOKUP(D:D,'Data Base P.Asuhan &amp; Jompo'!B:I,7,0),0)</f>
        <v>0</v>
      </c>
      <c r="H138" s="262">
        <v>5500000</v>
      </c>
      <c r="I138" s="258">
        <f>List346[[#This Row],[Pengajuan Donasi]]</f>
        <v>5500000</v>
      </c>
      <c r="J138" s="214" t="str">
        <f>IF(List346[[#This Row],[Tanggal Trf]]&gt;0,"Done","-")</f>
        <v>Done</v>
      </c>
      <c r="K138" s="445" t="s">
        <v>2177</v>
      </c>
      <c r="L138" s="221">
        <v>44967</v>
      </c>
      <c r="M138" s="100" t="s">
        <v>136</v>
      </c>
      <c r="N138" s="100">
        <f>MONTH(List346[[#This Row],[Tanggal Pengajuan]])</f>
        <v>2</v>
      </c>
      <c r="O138" s="183"/>
      <c r="P138" s="100"/>
      <c r="Q138" s="111"/>
      <c r="R138" s="230"/>
      <c r="T138" s="152">
        <f>+List346[[#This Row],[Pengajuan Donasi]]-List346[[#This Row],[Jumlah Transfer]]</f>
        <v>0</v>
      </c>
      <c r="U138" s="152"/>
    </row>
    <row r="139" spans="2:21" ht="30" customHeight="1" x14ac:dyDescent="0.2">
      <c r="B139" s="13">
        <v>44959</v>
      </c>
      <c r="C139" s="66"/>
      <c r="D139" s="103" t="s">
        <v>257</v>
      </c>
      <c r="E139" s="103" t="s">
        <v>17</v>
      </c>
      <c r="F139" s="14" t="s">
        <v>18</v>
      </c>
      <c r="G139" s="15">
        <f>IFERROR(+VLOOKUP(D:D,'Data Base P.Asuhan &amp; Jompo'!B:I,7,0),0)</f>
        <v>0</v>
      </c>
      <c r="H139" s="262">
        <v>5500000</v>
      </c>
      <c r="I139" s="258">
        <f>List346[[#This Row],[Pengajuan Donasi]]</f>
        <v>5500000</v>
      </c>
      <c r="J139" s="214" t="str">
        <f>IF(List346[[#This Row],[Tanggal Trf]]&gt;0,"Done","-")</f>
        <v>Done</v>
      </c>
      <c r="K139" s="445" t="s">
        <v>2177</v>
      </c>
      <c r="L139" s="221">
        <v>44967</v>
      </c>
      <c r="M139" s="100" t="s">
        <v>136</v>
      </c>
      <c r="N139" s="100">
        <f>MONTH(List346[[#This Row],[Tanggal Pengajuan]])</f>
        <v>2</v>
      </c>
      <c r="O139" s="183"/>
      <c r="P139" s="100"/>
      <c r="Q139" s="111"/>
      <c r="R139" s="230"/>
      <c r="T139" s="152">
        <f>+List346[[#This Row],[Pengajuan Donasi]]-List346[[#This Row],[Jumlah Transfer]]</f>
        <v>0</v>
      </c>
      <c r="U139" s="152"/>
    </row>
    <row r="140" spans="2:21" ht="30" customHeight="1" x14ac:dyDescent="0.2">
      <c r="B140" s="13">
        <v>44959</v>
      </c>
      <c r="C140" s="66"/>
      <c r="D140" s="103" t="s">
        <v>222</v>
      </c>
      <c r="E140" s="103" t="s">
        <v>17</v>
      </c>
      <c r="F140" s="14" t="s">
        <v>18</v>
      </c>
      <c r="G140" s="15">
        <f>IFERROR(+VLOOKUP(D:D,'Data Base P.Asuhan &amp; Jompo'!B:I,7,0),0)</f>
        <v>40</v>
      </c>
      <c r="H140" s="262">
        <v>5500000</v>
      </c>
      <c r="I140" s="258">
        <f>List346[[#This Row],[Pengajuan Donasi]]</f>
        <v>5500000</v>
      </c>
      <c r="J140" s="214" t="str">
        <f>IF(List346[[#This Row],[Tanggal Trf]]&gt;0,"Done","-")</f>
        <v>Done</v>
      </c>
      <c r="K140" s="445" t="s">
        <v>2177</v>
      </c>
      <c r="L140" s="221">
        <v>44967</v>
      </c>
      <c r="M140" s="100" t="s">
        <v>136</v>
      </c>
      <c r="N140" s="100">
        <f>MONTH(List346[[#This Row],[Tanggal Pengajuan]])</f>
        <v>2</v>
      </c>
      <c r="O140" s="183"/>
      <c r="P140" s="100"/>
      <c r="Q140" s="111"/>
      <c r="R140" s="230"/>
      <c r="T140" s="152">
        <f>+List346[[#This Row],[Pengajuan Donasi]]-List346[[#This Row],[Jumlah Transfer]]</f>
        <v>0</v>
      </c>
      <c r="U140" s="152"/>
    </row>
    <row r="141" spans="2:21" ht="30" customHeight="1" x14ac:dyDescent="0.2">
      <c r="B141" s="13">
        <v>44959</v>
      </c>
      <c r="C141" s="66" t="s">
        <v>2189</v>
      </c>
      <c r="D141" s="103" t="s">
        <v>558</v>
      </c>
      <c r="E141" s="103" t="s">
        <v>57</v>
      </c>
      <c r="F141" s="14" t="s">
        <v>18</v>
      </c>
      <c r="G141" s="15">
        <f>IFERROR(+VLOOKUP(D:D,'Data Base P.Asuhan &amp; Jompo'!B:I,7,0),0)</f>
        <v>25</v>
      </c>
      <c r="H141" s="262">
        <v>5481000</v>
      </c>
      <c r="I141" s="258">
        <f>List346[[#This Row],[Pengajuan Donasi]]</f>
        <v>5481000</v>
      </c>
      <c r="J141" s="214" t="str">
        <f>IF(List346[[#This Row],[Tanggal Trf]]&gt;0,"Done","-")</f>
        <v>Done</v>
      </c>
      <c r="K141" s="445" t="s">
        <v>2172</v>
      </c>
      <c r="L141" s="221">
        <v>44977</v>
      </c>
      <c r="M141" s="100" t="s">
        <v>556</v>
      </c>
      <c r="N141" s="100">
        <f>MONTH(List346[[#This Row],[Tanggal Pengajuan]])</f>
        <v>2</v>
      </c>
      <c r="O141" s="183"/>
      <c r="P141" s="100"/>
      <c r="Q141" s="111"/>
      <c r="R141" s="230"/>
      <c r="T141" s="152">
        <f>+List346[[#This Row],[Pengajuan Donasi]]-List346[[#This Row],[Jumlah Transfer]]</f>
        <v>0</v>
      </c>
      <c r="U141" s="152"/>
    </row>
    <row r="142" spans="2:21" ht="30" customHeight="1" x14ac:dyDescent="0.2">
      <c r="B142" s="13">
        <v>44959</v>
      </c>
      <c r="C142" s="66" t="s">
        <v>2190</v>
      </c>
      <c r="D142" s="103" t="s">
        <v>1556</v>
      </c>
      <c r="E142" s="103" t="s">
        <v>107</v>
      </c>
      <c r="F142" s="14" t="s">
        <v>18</v>
      </c>
      <c r="G142" s="15">
        <f>IFERROR(+VLOOKUP(D:D,'Data Base P.Asuhan &amp; Jompo'!B:I,7,0),0)</f>
        <v>1</v>
      </c>
      <c r="H142" s="262">
        <v>15000000</v>
      </c>
      <c r="I142" s="258">
        <f>List346[[#This Row],[Pengajuan Donasi]]</f>
        <v>15000000</v>
      </c>
      <c r="J142" s="214" t="str">
        <f>IF(List346[[#This Row],[Tanggal Trf]]&gt;0,"Done","-")</f>
        <v>Done</v>
      </c>
      <c r="K142" s="445" t="s">
        <v>2178</v>
      </c>
      <c r="L142" s="221">
        <v>44967</v>
      </c>
      <c r="M142" s="100" t="s">
        <v>1703</v>
      </c>
      <c r="N142" s="100">
        <f>MONTH(List346[[#This Row],[Tanggal Pengajuan]])</f>
        <v>2</v>
      </c>
      <c r="O142" s="183"/>
      <c r="P142" s="100"/>
      <c r="Q142" s="111"/>
      <c r="R142" s="230"/>
      <c r="T142" s="152">
        <f>+List346[[#This Row],[Pengajuan Donasi]]-List346[[#This Row],[Jumlah Transfer]]</f>
        <v>0</v>
      </c>
      <c r="U142" s="152"/>
    </row>
    <row r="143" spans="2:21" ht="30" customHeight="1" x14ac:dyDescent="0.2">
      <c r="B143" s="13">
        <v>44959</v>
      </c>
      <c r="C143" s="66" t="s">
        <v>2191</v>
      </c>
      <c r="D143" s="103" t="s">
        <v>1727</v>
      </c>
      <c r="E143" s="103" t="s">
        <v>26</v>
      </c>
      <c r="F143" s="14" t="s">
        <v>18</v>
      </c>
      <c r="G143" s="15">
        <f>IFERROR(+VLOOKUP(D:D,'Data Base P.Asuhan &amp; Jompo'!B:I,7,0),0)</f>
        <v>1</v>
      </c>
      <c r="H143" s="262">
        <v>500000</v>
      </c>
      <c r="I143" s="258">
        <f>List346[[#This Row],[Pengajuan Donasi]]</f>
        <v>500000</v>
      </c>
      <c r="J143" s="214" t="str">
        <f>IF(List346[[#This Row],[Tanggal Trf]]&gt;0,"Done","-")</f>
        <v>Done</v>
      </c>
      <c r="K143" s="445" t="s">
        <v>2173</v>
      </c>
      <c r="L143" s="221">
        <v>44973</v>
      </c>
      <c r="M143" s="100" t="s">
        <v>1722</v>
      </c>
      <c r="N143" s="100">
        <f>MONTH(List346[[#This Row],[Tanggal Pengajuan]])</f>
        <v>2</v>
      </c>
      <c r="O143" s="183"/>
      <c r="P143" s="100"/>
      <c r="Q143" s="111"/>
      <c r="R143" s="230"/>
      <c r="T143" s="152">
        <f>+List346[[#This Row],[Pengajuan Donasi]]-List346[[#This Row],[Jumlah Transfer]]</f>
        <v>0</v>
      </c>
      <c r="U143" s="152"/>
    </row>
    <row r="144" spans="2:21" ht="30" customHeight="1" x14ac:dyDescent="0.2">
      <c r="B144" s="13">
        <v>44959</v>
      </c>
      <c r="C144" s="66"/>
      <c r="D144" s="103" t="s">
        <v>1728</v>
      </c>
      <c r="E144" s="103" t="s">
        <v>26</v>
      </c>
      <c r="F144" s="14" t="s">
        <v>18</v>
      </c>
      <c r="G144" s="15">
        <f>IFERROR(+VLOOKUP(D:D,'Data Base P.Asuhan &amp; Jompo'!B:I,7,0),0)</f>
        <v>1</v>
      </c>
      <c r="H144" s="262">
        <v>500000</v>
      </c>
      <c r="I144" s="258">
        <f>List346[[#This Row],[Pengajuan Donasi]]</f>
        <v>500000</v>
      </c>
      <c r="J144" s="214" t="str">
        <f>IF(List346[[#This Row],[Tanggal Trf]]&gt;0,"Done","-")</f>
        <v>Done</v>
      </c>
      <c r="K144" s="445" t="s">
        <v>2173</v>
      </c>
      <c r="L144" s="221">
        <v>44973</v>
      </c>
      <c r="M144" s="100" t="s">
        <v>1723</v>
      </c>
      <c r="N144" s="100">
        <f>MONTH(List346[[#This Row],[Tanggal Pengajuan]])</f>
        <v>2</v>
      </c>
      <c r="O144" s="183"/>
      <c r="P144" s="100"/>
      <c r="Q144" s="111"/>
      <c r="R144" s="230"/>
      <c r="T144" s="152">
        <f>+List346[[#This Row],[Pengajuan Donasi]]-List346[[#This Row],[Jumlah Transfer]]</f>
        <v>0</v>
      </c>
      <c r="U144" s="152"/>
    </row>
    <row r="145" spans="2:21" ht="30" customHeight="1" x14ac:dyDescent="0.2">
      <c r="B145" s="13">
        <v>44959</v>
      </c>
      <c r="C145" s="66"/>
      <c r="D145" s="103" t="s">
        <v>1729</v>
      </c>
      <c r="E145" s="103" t="s">
        <v>26</v>
      </c>
      <c r="F145" s="14" t="s">
        <v>18</v>
      </c>
      <c r="G145" s="15">
        <f>IFERROR(+VLOOKUP(D:D,'Data Base P.Asuhan &amp; Jompo'!B:I,7,0),0)</f>
        <v>1</v>
      </c>
      <c r="H145" s="262">
        <v>500000</v>
      </c>
      <c r="I145" s="258">
        <f>List346[[#This Row],[Pengajuan Donasi]]</f>
        <v>500000</v>
      </c>
      <c r="J145" s="214" t="str">
        <f>IF(List346[[#This Row],[Tanggal Trf]]&gt;0,"Done","-")</f>
        <v>Done</v>
      </c>
      <c r="K145" s="445" t="s">
        <v>2173</v>
      </c>
      <c r="L145" s="221">
        <v>44973</v>
      </c>
      <c r="M145" s="100" t="s">
        <v>1724</v>
      </c>
      <c r="N145" s="100">
        <f>MONTH(List346[[#This Row],[Tanggal Pengajuan]])</f>
        <v>2</v>
      </c>
      <c r="O145" s="183"/>
      <c r="P145" s="100"/>
      <c r="Q145" s="111"/>
      <c r="R145" s="230"/>
      <c r="T145" s="152">
        <f>+List346[[#This Row],[Pengajuan Donasi]]-List346[[#This Row],[Jumlah Transfer]]</f>
        <v>0</v>
      </c>
      <c r="U145" s="152"/>
    </row>
    <row r="146" spans="2:21" ht="30" customHeight="1" x14ac:dyDescent="0.2">
      <c r="B146" s="13">
        <v>44959</v>
      </c>
      <c r="C146" s="66"/>
      <c r="D146" s="103" t="s">
        <v>1730</v>
      </c>
      <c r="E146" s="103" t="s">
        <v>26</v>
      </c>
      <c r="F146" s="14" t="s">
        <v>18</v>
      </c>
      <c r="G146" s="15">
        <f>IFERROR(+VLOOKUP(D:D,'Data Base P.Asuhan &amp; Jompo'!B:I,7,0),0)</f>
        <v>1</v>
      </c>
      <c r="H146" s="262">
        <v>500000</v>
      </c>
      <c r="I146" s="258">
        <f>List346[[#This Row],[Pengajuan Donasi]]</f>
        <v>500000</v>
      </c>
      <c r="J146" s="214" t="str">
        <f>IF(List346[[#This Row],[Tanggal Trf]]&gt;0,"Done","-")</f>
        <v>Done</v>
      </c>
      <c r="K146" s="445" t="s">
        <v>2173</v>
      </c>
      <c r="L146" s="221">
        <v>44973</v>
      </c>
      <c r="M146" s="100" t="s">
        <v>1725</v>
      </c>
      <c r="N146" s="100">
        <f>MONTH(List346[[#This Row],[Tanggal Pengajuan]])</f>
        <v>2</v>
      </c>
      <c r="O146" s="183"/>
      <c r="P146" s="100"/>
      <c r="Q146" s="111"/>
      <c r="R146" s="230"/>
      <c r="T146" s="152">
        <f>+List346[[#This Row],[Pengajuan Donasi]]-List346[[#This Row],[Jumlah Transfer]]</f>
        <v>0</v>
      </c>
      <c r="U146" s="152"/>
    </row>
    <row r="147" spans="2:21" ht="30" customHeight="1" x14ac:dyDescent="0.2">
      <c r="B147" s="13">
        <v>44959</v>
      </c>
      <c r="C147" s="66" t="s">
        <v>2192</v>
      </c>
      <c r="D147" s="103" t="s">
        <v>129</v>
      </c>
      <c r="E147" s="103" t="s">
        <v>179</v>
      </c>
      <c r="F147" s="14" t="s">
        <v>18</v>
      </c>
      <c r="G147" s="15">
        <f>IFERROR(+VLOOKUP(D:D,'Data Base P.Asuhan &amp; Jompo'!B:I,7,0),0)</f>
        <v>40</v>
      </c>
      <c r="H147" s="262">
        <v>10200000</v>
      </c>
      <c r="I147" s="258">
        <f>List346[[#This Row],[Pengajuan Donasi]]</f>
        <v>10200000</v>
      </c>
      <c r="J147" s="214" t="str">
        <f>IF(List346[[#This Row],[Tanggal Trf]]&gt;0,"Done","-")</f>
        <v>Done</v>
      </c>
      <c r="K147" s="445" t="s">
        <v>2174</v>
      </c>
      <c r="L147" s="221">
        <v>44973</v>
      </c>
      <c r="M147" s="100" t="s">
        <v>503</v>
      </c>
      <c r="N147" s="100">
        <f>MONTH(List346[[#This Row],[Tanggal Pengajuan]])</f>
        <v>2</v>
      </c>
      <c r="O147" s="183"/>
      <c r="P147" s="100"/>
      <c r="Q147" s="111"/>
      <c r="R147" s="230"/>
      <c r="T147" s="152">
        <f>+List346[[#This Row],[Pengajuan Donasi]]-List346[[#This Row],[Jumlah Transfer]]</f>
        <v>0</v>
      </c>
      <c r="U147" s="152"/>
    </row>
    <row r="148" spans="2:21" ht="30" customHeight="1" x14ac:dyDescent="0.2">
      <c r="B148" s="13">
        <v>44959</v>
      </c>
      <c r="C148" s="66" t="s">
        <v>2193</v>
      </c>
      <c r="D148" s="103" t="s">
        <v>872</v>
      </c>
      <c r="E148" s="103" t="s">
        <v>17</v>
      </c>
      <c r="F148" s="14" t="s">
        <v>18</v>
      </c>
      <c r="G148" s="15">
        <f>IFERROR(+VLOOKUP(D:D,'Data Base P.Asuhan &amp; Jompo'!B:I,7,0),0)</f>
        <v>59</v>
      </c>
      <c r="H148" s="262">
        <v>6000000</v>
      </c>
      <c r="I148" s="258">
        <f>List346[[#This Row],[Pengajuan Donasi]]</f>
        <v>6000000</v>
      </c>
      <c r="J148" s="214" t="str">
        <f>IF(List346[[#This Row],[Tanggal Trf]]&gt;0,"Done","-")</f>
        <v>Done</v>
      </c>
      <c r="K148" s="445" t="s">
        <v>2175</v>
      </c>
      <c r="L148" s="221">
        <v>44973</v>
      </c>
      <c r="M148" s="100" t="s">
        <v>1213</v>
      </c>
      <c r="N148" s="100">
        <f>MONTH(List346[[#This Row],[Tanggal Pengajuan]])</f>
        <v>2</v>
      </c>
      <c r="O148" s="183"/>
      <c r="P148" s="100"/>
      <c r="Q148" s="111"/>
      <c r="R148" s="230"/>
      <c r="T148" s="152">
        <f>+List346[[#This Row],[Pengajuan Donasi]]-List346[[#This Row],[Jumlah Transfer]]</f>
        <v>0</v>
      </c>
      <c r="U148" s="152"/>
    </row>
    <row r="149" spans="2:21" ht="30" customHeight="1" x14ac:dyDescent="0.2">
      <c r="B149" s="13">
        <v>44959</v>
      </c>
      <c r="C149" s="181"/>
      <c r="D149" s="103" t="s">
        <v>871</v>
      </c>
      <c r="E149" s="103" t="s">
        <v>17</v>
      </c>
      <c r="F149" s="14" t="s">
        <v>18</v>
      </c>
      <c r="G149" s="15">
        <f>IFERROR(+VLOOKUP(D:D,'Data Base P.Asuhan &amp; Jompo'!B:I,7,0),0)</f>
        <v>0</v>
      </c>
      <c r="H149" s="262">
        <v>6000000</v>
      </c>
      <c r="I149" s="258">
        <f>List346[[#This Row],[Pengajuan Donasi]]</f>
        <v>6000000</v>
      </c>
      <c r="J149" s="214" t="str">
        <f>IF(List346[[#This Row],[Tanggal Trf]]&gt;0,"Done","-")</f>
        <v>Done</v>
      </c>
      <c r="K149" s="445" t="s">
        <v>2175</v>
      </c>
      <c r="L149" s="221">
        <v>44973</v>
      </c>
      <c r="M149" s="100" t="s">
        <v>1213</v>
      </c>
      <c r="N149" s="20">
        <f>MONTH(List346[[#This Row],[Tanggal Pengajuan]])</f>
        <v>2</v>
      </c>
      <c r="O149" s="183"/>
      <c r="P149" s="100"/>
      <c r="Q149" s="198"/>
      <c r="R149" s="230"/>
      <c r="T149" s="152">
        <f>+List346[[#This Row],[Pengajuan Donasi]]-List346[[#This Row],[Jumlah Transfer]]</f>
        <v>0</v>
      </c>
      <c r="U149" s="152"/>
    </row>
    <row r="150" spans="2:21" ht="30" customHeight="1" x14ac:dyDescent="0.2">
      <c r="B150" s="13">
        <v>44959</v>
      </c>
      <c r="C150" s="181"/>
      <c r="D150" s="103" t="s">
        <v>870</v>
      </c>
      <c r="E150" s="103" t="s">
        <v>17</v>
      </c>
      <c r="F150" s="14" t="s">
        <v>18</v>
      </c>
      <c r="G150" s="15">
        <f>IFERROR(+VLOOKUP(D:D,'Data Base P.Asuhan &amp; Jompo'!B:I,7,0),0)</f>
        <v>0</v>
      </c>
      <c r="H150" s="262">
        <v>6000000</v>
      </c>
      <c r="I150" s="258">
        <f>List346[[#This Row],[Pengajuan Donasi]]</f>
        <v>6000000</v>
      </c>
      <c r="J150" s="214" t="str">
        <f>IF(List346[[#This Row],[Tanggal Trf]]&gt;0,"Done","-")</f>
        <v>Done</v>
      </c>
      <c r="K150" s="445" t="s">
        <v>2175</v>
      </c>
      <c r="L150" s="221">
        <v>44973</v>
      </c>
      <c r="M150" s="100" t="s">
        <v>1213</v>
      </c>
      <c r="N150" s="20">
        <f>MONTH(List346[[#This Row],[Tanggal Pengajuan]])</f>
        <v>2</v>
      </c>
      <c r="O150" s="183"/>
      <c r="P150" s="100"/>
      <c r="Q150" s="198"/>
      <c r="R150" s="230"/>
      <c r="T150" s="152">
        <f>+List346[[#This Row],[Pengajuan Donasi]]-List346[[#This Row],[Jumlah Transfer]]</f>
        <v>0</v>
      </c>
      <c r="U150" s="152"/>
    </row>
    <row r="151" spans="2:21" ht="30" customHeight="1" x14ac:dyDescent="0.2">
      <c r="B151" s="13">
        <v>44959</v>
      </c>
      <c r="C151" s="66"/>
      <c r="D151" s="14" t="s">
        <v>124</v>
      </c>
      <c r="E151" s="14" t="s">
        <v>17</v>
      </c>
      <c r="F151" s="14" t="s">
        <v>18</v>
      </c>
      <c r="G151" s="15">
        <f>IFERROR(+VLOOKUP(D:D,'Data Base P.Asuhan &amp; Jompo'!B:I,7,0),0)</f>
        <v>75</v>
      </c>
      <c r="H151" s="258">
        <v>6000000</v>
      </c>
      <c r="I151" s="258">
        <f>List346[[#This Row],[Pengajuan Donasi]]</f>
        <v>6000000</v>
      </c>
      <c r="J151" s="214" t="str">
        <f>IF(List346[[#This Row],[Tanggal Trf]]&gt;0,"Done","-")</f>
        <v>Done</v>
      </c>
      <c r="K151" s="437" t="s">
        <v>2175</v>
      </c>
      <c r="L151" s="221">
        <v>44973</v>
      </c>
      <c r="M151" s="100" t="s">
        <v>1213</v>
      </c>
      <c r="N151" s="100">
        <f>MONTH(List346[[#This Row],[Tanggal Pengajuan]])</f>
        <v>2</v>
      </c>
      <c r="O151" s="183"/>
      <c r="P151" s="100"/>
      <c r="Q151" s="110"/>
      <c r="R151" s="230"/>
      <c r="T151" s="152">
        <f>+List346[[#This Row],[Pengajuan Donasi]]-List346[[#This Row],[Jumlah Transfer]]</f>
        <v>0</v>
      </c>
      <c r="U151" s="152"/>
    </row>
    <row r="152" spans="2:21" ht="30" customHeight="1" x14ac:dyDescent="0.2">
      <c r="B152" s="13">
        <v>44959</v>
      </c>
      <c r="C152" s="985"/>
      <c r="D152" s="748" t="s">
        <v>228</v>
      </c>
      <c r="E152" s="748" t="s">
        <v>17</v>
      </c>
      <c r="F152" s="748" t="s">
        <v>18</v>
      </c>
      <c r="G152" s="15">
        <f>IFERROR(+VLOOKUP(D:D,'Data Base P.Asuhan &amp; Jompo'!B:I,7,0),0)</f>
        <v>3</v>
      </c>
      <c r="H152" s="986">
        <v>6000000</v>
      </c>
      <c r="I152" s="258">
        <f>List346[[#This Row],[Pengajuan Donasi]]</f>
        <v>6000000</v>
      </c>
      <c r="J152" s="214" t="str">
        <f>IF(List346[[#This Row],[Tanggal Trf]]&gt;0,"Done","-")</f>
        <v>Done</v>
      </c>
      <c r="K152" s="987" t="s">
        <v>2175</v>
      </c>
      <c r="L152" s="221">
        <v>44973</v>
      </c>
      <c r="M152" s="988" t="s">
        <v>1213</v>
      </c>
      <c r="N152" s="988">
        <f>MONTH(List346[[#This Row],[Tanggal Pengajuan]])</f>
        <v>2</v>
      </c>
      <c r="O152" s="989"/>
      <c r="P152" s="988"/>
      <c r="Q152" s="990"/>
      <c r="R152" s="230"/>
      <c r="T152" s="152">
        <f>+List346[[#This Row],[Pengajuan Donasi]]-List346[[#This Row],[Jumlah Transfer]]</f>
        <v>0</v>
      </c>
      <c r="U152" s="152"/>
    </row>
    <row r="153" spans="2:21" ht="30" customHeight="1" x14ac:dyDescent="0.2">
      <c r="B153" s="13">
        <v>44959</v>
      </c>
      <c r="C153" s="66"/>
      <c r="D153" s="14" t="s">
        <v>869</v>
      </c>
      <c r="E153" s="14" t="s">
        <v>17</v>
      </c>
      <c r="F153" s="14" t="s">
        <v>18</v>
      </c>
      <c r="G153" s="15">
        <f>IFERROR(+VLOOKUP(D:D,'Data Base P.Asuhan &amp; Jompo'!B:I,7,0),0)</f>
        <v>78</v>
      </c>
      <c r="H153" s="258">
        <v>6000000</v>
      </c>
      <c r="I153" s="258">
        <f>List346[[#This Row],[Pengajuan Donasi]]</f>
        <v>6000000</v>
      </c>
      <c r="J153" s="214" t="str">
        <f>IF(List346[[#This Row],[Tanggal Trf]]&gt;0,"Done","-")</f>
        <v>Done</v>
      </c>
      <c r="K153" s="437" t="s">
        <v>2175</v>
      </c>
      <c r="L153" s="221">
        <v>44973</v>
      </c>
      <c r="M153" s="100" t="s">
        <v>1213</v>
      </c>
      <c r="N153" s="100">
        <f>MONTH(List346[[#This Row],[Tanggal Pengajuan]])</f>
        <v>2</v>
      </c>
      <c r="O153" s="183"/>
      <c r="P153" s="100"/>
      <c r="Q153" s="110"/>
      <c r="R153" s="230"/>
      <c r="T153" s="152">
        <f>+List346[[#This Row],[Pengajuan Donasi]]-List346[[#This Row],[Jumlah Transfer]]</f>
        <v>0</v>
      </c>
      <c r="U153" s="152"/>
    </row>
    <row r="154" spans="2:21" ht="30" customHeight="1" x14ac:dyDescent="0.2">
      <c r="B154" s="13">
        <v>44959</v>
      </c>
      <c r="C154" s="66"/>
      <c r="D154" s="14" t="s">
        <v>868</v>
      </c>
      <c r="E154" s="14" t="s">
        <v>17</v>
      </c>
      <c r="F154" s="14" t="s">
        <v>18</v>
      </c>
      <c r="G154" s="15">
        <f>IFERROR(+VLOOKUP(D:D,'Data Base P.Asuhan &amp; Jompo'!B:I,7,0),0)</f>
        <v>27</v>
      </c>
      <c r="H154" s="258">
        <v>6000000</v>
      </c>
      <c r="I154" s="258">
        <f>List346[[#This Row],[Pengajuan Donasi]]</f>
        <v>6000000</v>
      </c>
      <c r="J154" s="214" t="str">
        <f>IF(List346[[#This Row],[Tanggal Trf]]&gt;0,"Done","-")</f>
        <v>Done</v>
      </c>
      <c r="K154" s="437" t="s">
        <v>2175</v>
      </c>
      <c r="L154" s="221">
        <v>44973</v>
      </c>
      <c r="M154" s="100" t="s">
        <v>1213</v>
      </c>
      <c r="N154" s="100">
        <f>MONTH(List346[[#This Row],[Tanggal Pengajuan]])</f>
        <v>2</v>
      </c>
      <c r="O154" s="183"/>
      <c r="P154" s="100"/>
      <c r="Q154" s="110"/>
      <c r="R154" s="230"/>
      <c r="T154" s="152">
        <f>+List346[[#This Row],[Pengajuan Donasi]]-List346[[#This Row],[Jumlah Transfer]]</f>
        <v>0</v>
      </c>
      <c r="U154" s="152"/>
    </row>
    <row r="155" spans="2:21" ht="30" customHeight="1" x14ac:dyDescent="0.2">
      <c r="B155" s="13">
        <v>44959</v>
      </c>
      <c r="C155" s="66"/>
      <c r="D155" s="14" t="s">
        <v>229</v>
      </c>
      <c r="E155" s="14" t="s">
        <v>17</v>
      </c>
      <c r="F155" s="14" t="s">
        <v>18</v>
      </c>
      <c r="G155" s="15">
        <f>IFERROR(+VLOOKUP(D:D,'Data Base P.Asuhan &amp; Jompo'!B:I,7,0),0)</f>
        <v>48</v>
      </c>
      <c r="H155" s="258">
        <v>6000000</v>
      </c>
      <c r="I155" s="258">
        <f>List346[[#This Row],[Pengajuan Donasi]]</f>
        <v>6000000</v>
      </c>
      <c r="J155" s="214" t="str">
        <f>IF(List346[[#This Row],[Tanggal Trf]]&gt;0,"Done","-")</f>
        <v>Done</v>
      </c>
      <c r="K155" s="437" t="s">
        <v>2175</v>
      </c>
      <c r="L155" s="221">
        <v>44973</v>
      </c>
      <c r="M155" s="100" t="s">
        <v>1213</v>
      </c>
      <c r="N155" s="100">
        <f>MONTH(List346[[#This Row],[Tanggal Pengajuan]])</f>
        <v>2</v>
      </c>
      <c r="O155" s="183"/>
      <c r="P155" s="100"/>
      <c r="Q155" s="110"/>
      <c r="R155" s="230"/>
      <c r="T155" s="152">
        <f>+List346[[#This Row],[Pengajuan Donasi]]-List346[[#This Row],[Jumlah Transfer]]</f>
        <v>0</v>
      </c>
      <c r="U155" s="152"/>
    </row>
    <row r="156" spans="2:21" ht="30" customHeight="1" x14ac:dyDescent="0.2">
      <c r="B156" s="13">
        <v>44959</v>
      </c>
      <c r="C156" s="66"/>
      <c r="D156" s="14" t="s">
        <v>848</v>
      </c>
      <c r="E156" s="14" t="s">
        <v>17</v>
      </c>
      <c r="F156" s="14" t="s">
        <v>18</v>
      </c>
      <c r="G156" s="15">
        <f>IFERROR(+VLOOKUP(D:D,'Data Base P.Asuhan &amp; Jompo'!B:I,7,0),0)</f>
        <v>36</v>
      </c>
      <c r="H156" s="258">
        <v>6000000</v>
      </c>
      <c r="I156" s="258">
        <f>List346[[#This Row],[Pengajuan Donasi]]</f>
        <v>6000000</v>
      </c>
      <c r="J156" s="214" t="str">
        <f>IF(List346[[#This Row],[Tanggal Trf]]&gt;0,"Done","-")</f>
        <v>Done</v>
      </c>
      <c r="K156" s="437" t="s">
        <v>2175</v>
      </c>
      <c r="L156" s="221">
        <v>44973</v>
      </c>
      <c r="M156" s="100" t="s">
        <v>1213</v>
      </c>
      <c r="N156" s="100">
        <f>MONTH(List346[[#This Row],[Tanggal Pengajuan]])</f>
        <v>2</v>
      </c>
      <c r="O156" s="183"/>
      <c r="P156" s="100"/>
      <c r="Q156" s="110"/>
      <c r="R156" s="230"/>
      <c r="T156" s="152">
        <f>+List346[[#This Row],[Pengajuan Donasi]]-List346[[#This Row],[Jumlah Transfer]]</f>
        <v>0</v>
      </c>
      <c r="U156" s="152"/>
    </row>
    <row r="157" spans="2:21" ht="30" customHeight="1" x14ac:dyDescent="0.2">
      <c r="B157" s="13">
        <v>44959</v>
      </c>
      <c r="C157" s="66"/>
      <c r="D157" s="14" t="s">
        <v>867</v>
      </c>
      <c r="E157" s="14" t="s">
        <v>17</v>
      </c>
      <c r="F157" s="14" t="s">
        <v>18</v>
      </c>
      <c r="G157" s="15">
        <f>IFERROR(+VLOOKUP(D:D,'Data Base P.Asuhan &amp; Jompo'!B:I,7,0),0)</f>
        <v>129</v>
      </c>
      <c r="H157" s="258">
        <v>6000000</v>
      </c>
      <c r="I157" s="258">
        <f>List346[[#This Row],[Pengajuan Donasi]]</f>
        <v>6000000</v>
      </c>
      <c r="J157" s="214" t="str">
        <f>IF(List346[[#This Row],[Tanggal Trf]]&gt;0,"Done","-")</f>
        <v>Done</v>
      </c>
      <c r="K157" s="437" t="s">
        <v>2175</v>
      </c>
      <c r="L157" s="221">
        <v>44973</v>
      </c>
      <c r="M157" s="100" t="s">
        <v>1213</v>
      </c>
      <c r="N157" s="100">
        <f>MONTH(List346[[#This Row],[Tanggal Pengajuan]])</f>
        <v>2</v>
      </c>
      <c r="O157" s="183"/>
      <c r="P157" s="100"/>
      <c r="Q157" s="110"/>
      <c r="R157" s="230"/>
      <c r="T157" s="152">
        <f>+List346[[#This Row],[Pengajuan Donasi]]-List346[[#This Row],[Jumlah Transfer]]</f>
        <v>0</v>
      </c>
      <c r="U157" s="152"/>
    </row>
    <row r="158" spans="2:21" ht="30" customHeight="1" x14ac:dyDescent="0.2">
      <c r="B158" s="13">
        <v>44959</v>
      </c>
      <c r="C158" s="66"/>
      <c r="D158" s="14" t="s">
        <v>238</v>
      </c>
      <c r="E158" s="14" t="s">
        <v>17</v>
      </c>
      <c r="F158" s="14" t="s">
        <v>18</v>
      </c>
      <c r="G158" s="15">
        <f>IFERROR(+VLOOKUP(D:D,'Data Base P.Asuhan &amp; Jompo'!B:I,7,0),0)</f>
        <v>46</v>
      </c>
      <c r="H158" s="258">
        <v>6000000</v>
      </c>
      <c r="I158" s="258">
        <f>List346[[#This Row],[Pengajuan Donasi]]</f>
        <v>6000000</v>
      </c>
      <c r="J158" s="214" t="str">
        <f>IF(List346[[#This Row],[Tanggal Trf]]&gt;0,"Done","-")</f>
        <v>Done</v>
      </c>
      <c r="K158" s="437" t="s">
        <v>2175</v>
      </c>
      <c r="L158" s="221">
        <v>44973</v>
      </c>
      <c r="M158" s="100" t="s">
        <v>1213</v>
      </c>
      <c r="N158" s="100">
        <f>MONTH(List346[[#This Row],[Tanggal Pengajuan]])</f>
        <v>2</v>
      </c>
      <c r="O158" s="183"/>
      <c r="P158" s="100"/>
      <c r="Q158" s="110"/>
      <c r="R158" s="230"/>
      <c r="T158" s="152">
        <f>+List346[[#This Row],[Pengajuan Donasi]]-List346[[#This Row],[Jumlah Transfer]]</f>
        <v>0</v>
      </c>
      <c r="U158" s="152"/>
    </row>
    <row r="159" spans="2:21" ht="30" customHeight="1" x14ac:dyDescent="0.2">
      <c r="B159" s="13">
        <v>44959</v>
      </c>
      <c r="C159" s="66"/>
      <c r="D159" s="14" t="s">
        <v>849</v>
      </c>
      <c r="E159" s="14" t="s">
        <v>17</v>
      </c>
      <c r="F159" s="14" t="s">
        <v>18</v>
      </c>
      <c r="G159" s="15">
        <f>IFERROR(+VLOOKUP(D:D,'Data Base P.Asuhan &amp; Jompo'!B:I,7,0),0)</f>
        <v>53</v>
      </c>
      <c r="H159" s="377">
        <v>6000000</v>
      </c>
      <c r="I159" s="258">
        <f>List346[[#This Row],[Pengajuan Donasi]]</f>
        <v>6000000</v>
      </c>
      <c r="J159" s="214" t="str">
        <f>IF(List346[[#This Row],[Tanggal Trf]]&gt;0,"Done","-")</f>
        <v>Done</v>
      </c>
      <c r="K159" s="437" t="s">
        <v>2175</v>
      </c>
      <c r="L159" s="221">
        <v>44973</v>
      </c>
      <c r="M159" s="66" t="s">
        <v>1213</v>
      </c>
      <c r="N159" s="100">
        <f>MONTH(List346[[#This Row],[Tanggal Pengajuan]])</f>
        <v>2</v>
      </c>
      <c r="O159" s="183"/>
      <c r="P159" s="100"/>
      <c r="Q159" s="110"/>
      <c r="R159" s="230"/>
      <c r="T159" s="152">
        <f>+List346[[#This Row],[Pengajuan Donasi]]-List346[[#This Row],[Jumlah Transfer]]</f>
        <v>0</v>
      </c>
      <c r="U159" s="152"/>
    </row>
    <row r="160" spans="2:21" ht="30" customHeight="1" x14ac:dyDescent="0.2">
      <c r="B160" s="13">
        <v>44959</v>
      </c>
      <c r="C160" s="66"/>
      <c r="D160" s="14" t="s">
        <v>850</v>
      </c>
      <c r="E160" s="14" t="s">
        <v>17</v>
      </c>
      <c r="F160" s="14" t="s">
        <v>18</v>
      </c>
      <c r="G160" s="15">
        <f>IFERROR(+VLOOKUP(D:D,'Data Base P.Asuhan &amp; Jompo'!B:I,7,0),0)</f>
        <v>61</v>
      </c>
      <c r="H160" s="991">
        <v>6000000</v>
      </c>
      <c r="I160" s="258">
        <f>List346[[#This Row],[Pengajuan Donasi]]</f>
        <v>6000000</v>
      </c>
      <c r="J160" s="214" t="str">
        <f>IF(List346[[#This Row],[Tanggal Trf]]&gt;0,"Done","-")</f>
        <v>Done</v>
      </c>
      <c r="K160" s="437" t="s">
        <v>2175</v>
      </c>
      <c r="L160" s="221">
        <v>44973</v>
      </c>
      <c r="M160" s="748" t="s">
        <v>1213</v>
      </c>
      <c r="N160" s="100">
        <f>MONTH(List346[[#This Row],[Tanggal Pengajuan]])</f>
        <v>2</v>
      </c>
      <c r="O160" s="183"/>
      <c r="P160" s="100"/>
      <c r="Q160" s="110"/>
      <c r="R160" s="230"/>
      <c r="T160" s="152">
        <f>+List346[[#This Row],[Pengajuan Donasi]]-List346[[#This Row],[Jumlah Transfer]]</f>
        <v>0</v>
      </c>
      <c r="U160" s="152"/>
    </row>
    <row r="161" spans="2:21" ht="30" customHeight="1" x14ac:dyDescent="0.2">
      <c r="B161" s="13">
        <v>44959</v>
      </c>
      <c r="C161" s="66"/>
      <c r="D161" s="14" t="s">
        <v>851</v>
      </c>
      <c r="E161" s="14" t="s">
        <v>17</v>
      </c>
      <c r="F161" s="14" t="s">
        <v>18</v>
      </c>
      <c r="G161" s="15">
        <f>IFERROR(+VLOOKUP(D:D,'Data Base P.Asuhan &amp; Jompo'!B:I,7,0),0)</f>
        <v>27</v>
      </c>
      <c r="H161" s="377">
        <v>6000000</v>
      </c>
      <c r="I161" s="258">
        <f>List346[[#This Row],[Pengajuan Donasi]]</f>
        <v>6000000</v>
      </c>
      <c r="J161" s="214" t="str">
        <f>IF(List346[[#This Row],[Tanggal Trf]]&gt;0,"Done","-")</f>
        <v>Done</v>
      </c>
      <c r="K161" s="437" t="s">
        <v>2175</v>
      </c>
      <c r="L161" s="221">
        <v>44973</v>
      </c>
      <c r="M161" s="14" t="s">
        <v>1213</v>
      </c>
      <c r="N161" s="100">
        <f>MONTH(List346[[#This Row],[Tanggal Pengajuan]])</f>
        <v>2</v>
      </c>
      <c r="O161" s="183"/>
      <c r="P161" s="100"/>
      <c r="Q161" s="110"/>
      <c r="R161" s="230"/>
      <c r="T161" s="152">
        <f>+List346[[#This Row],[Pengajuan Donasi]]-List346[[#This Row],[Jumlah Transfer]]</f>
        <v>0</v>
      </c>
      <c r="U161" s="152"/>
    </row>
    <row r="162" spans="2:21" ht="30" customHeight="1" x14ac:dyDescent="0.2">
      <c r="B162" s="13">
        <v>44959</v>
      </c>
      <c r="C162" s="66"/>
      <c r="D162" s="14" t="s">
        <v>852</v>
      </c>
      <c r="E162" s="14" t="s">
        <v>17</v>
      </c>
      <c r="F162" s="14" t="s">
        <v>18</v>
      </c>
      <c r="G162" s="15">
        <f>IFERROR(+VLOOKUP(D:D,'Data Base P.Asuhan &amp; Jompo'!B:I,7,0),0)</f>
        <v>0</v>
      </c>
      <c r="H162" s="991">
        <v>6000000</v>
      </c>
      <c r="I162" s="258">
        <f>List346[[#This Row],[Pengajuan Donasi]]</f>
        <v>6000000</v>
      </c>
      <c r="J162" s="214" t="str">
        <f>IF(List346[[#This Row],[Tanggal Trf]]&gt;0,"Done","-")</f>
        <v>Done</v>
      </c>
      <c r="K162" s="437" t="s">
        <v>2175</v>
      </c>
      <c r="L162" s="221">
        <v>44973</v>
      </c>
      <c r="M162" s="748" t="s">
        <v>1213</v>
      </c>
      <c r="N162" s="100">
        <f>MONTH(List346[[#This Row],[Tanggal Pengajuan]])</f>
        <v>2</v>
      </c>
      <c r="O162" s="183"/>
      <c r="P162" s="100"/>
      <c r="Q162" s="110"/>
      <c r="R162" s="230"/>
      <c r="T162" s="152">
        <f>+List346[[#This Row],[Pengajuan Donasi]]-List346[[#This Row],[Jumlah Transfer]]</f>
        <v>0</v>
      </c>
      <c r="U162" s="152"/>
    </row>
    <row r="163" spans="2:21" ht="30" customHeight="1" x14ac:dyDescent="0.2">
      <c r="B163" s="13">
        <v>44959</v>
      </c>
      <c r="C163" s="66"/>
      <c r="D163" s="14" t="s">
        <v>853</v>
      </c>
      <c r="E163" s="14" t="s">
        <v>17</v>
      </c>
      <c r="F163" s="14" t="s">
        <v>18</v>
      </c>
      <c r="G163" s="15">
        <f>IFERROR(+VLOOKUP(D:D,'Data Base P.Asuhan &amp; Jompo'!B:I,7,0),0)</f>
        <v>25</v>
      </c>
      <c r="H163" s="377">
        <v>6000000</v>
      </c>
      <c r="I163" s="258">
        <f>List346[[#This Row],[Pengajuan Donasi]]</f>
        <v>6000000</v>
      </c>
      <c r="J163" s="214" t="str">
        <f>IF(List346[[#This Row],[Tanggal Trf]]&gt;0,"Done","-")</f>
        <v>Done</v>
      </c>
      <c r="K163" s="437" t="s">
        <v>2175</v>
      </c>
      <c r="L163" s="221">
        <v>44973</v>
      </c>
      <c r="M163" s="14" t="s">
        <v>1213</v>
      </c>
      <c r="N163" s="100">
        <f>MONTH(List346[[#This Row],[Tanggal Pengajuan]])</f>
        <v>2</v>
      </c>
      <c r="O163" s="183"/>
      <c r="P163" s="100"/>
      <c r="Q163" s="110"/>
      <c r="R163" s="230"/>
      <c r="T163" s="152">
        <f>+List346[[#This Row],[Pengajuan Donasi]]-List346[[#This Row],[Jumlah Transfer]]</f>
        <v>0</v>
      </c>
      <c r="U163" s="152"/>
    </row>
    <row r="164" spans="2:21" ht="30" customHeight="1" x14ac:dyDescent="0.2">
      <c r="B164" s="13">
        <v>44959</v>
      </c>
      <c r="C164" s="66"/>
      <c r="D164" s="14" t="s">
        <v>854</v>
      </c>
      <c r="E164" s="14" t="s">
        <v>17</v>
      </c>
      <c r="F164" s="14" t="s">
        <v>18</v>
      </c>
      <c r="G164" s="15">
        <f>IFERROR(+VLOOKUP(D:D,'Data Base P.Asuhan &amp; Jompo'!B:I,7,0),0)</f>
        <v>118</v>
      </c>
      <c r="H164" s="991">
        <v>6000000</v>
      </c>
      <c r="I164" s="258">
        <f>List346[[#This Row],[Pengajuan Donasi]]</f>
        <v>6000000</v>
      </c>
      <c r="J164" s="214" t="str">
        <f>IF(List346[[#This Row],[Tanggal Trf]]&gt;0,"Done","-")</f>
        <v>Done</v>
      </c>
      <c r="K164" s="437" t="s">
        <v>2175</v>
      </c>
      <c r="L164" s="221">
        <v>44973</v>
      </c>
      <c r="M164" s="748" t="s">
        <v>1213</v>
      </c>
      <c r="N164" s="100">
        <f>MONTH(List346[[#This Row],[Tanggal Pengajuan]])</f>
        <v>2</v>
      </c>
      <c r="O164" s="183"/>
      <c r="P164" s="100"/>
      <c r="Q164" s="110"/>
      <c r="R164" s="230"/>
      <c r="T164" s="152">
        <f>+List346[[#This Row],[Pengajuan Donasi]]-List346[[#This Row],[Jumlah Transfer]]</f>
        <v>0</v>
      </c>
      <c r="U164" s="152"/>
    </row>
    <row r="165" spans="2:21" ht="30" customHeight="1" x14ac:dyDescent="0.2">
      <c r="B165" s="13">
        <v>44959</v>
      </c>
      <c r="C165" s="66"/>
      <c r="D165" s="14" t="s">
        <v>855</v>
      </c>
      <c r="E165" s="14" t="s">
        <v>17</v>
      </c>
      <c r="F165" s="14" t="s">
        <v>18</v>
      </c>
      <c r="G165" s="15">
        <f>IFERROR(+VLOOKUP(D:D,'Data Base P.Asuhan &amp; Jompo'!B:I,7,0),0)</f>
        <v>91</v>
      </c>
      <c r="H165" s="377">
        <v>6000000</v>
      </c>
      <c r="I165" s="258">
        <f>List346[[#This Row],[Pengajuan Donasi]]</f>
        <v>6000000</v>
      </c>
      <c r="J165" s="214" t="str">
        <f>IF(List346[[#This Row],[Tanggal Trf]]&gt;0,"Done","-")</f>
        <v>Done</v>
      </c>
      <c r="K165" s="437" t="s">
        <v>2175</v>
      </c>
      <c r="L165" s="221">
        <v>44973</v>
      </c>
      <c r="M165" s="14" t="s">
        <v>1213</v>
      </c>
      <c r="N165" s="100">
        <f>MONTH(List346[[#This Row],[Tanggal Pengajuan]])</f>
        <v>2</v>
      </c>
      <c r="O165" s="183"/>
      <c r="P165" s="100"/>
      <c r="Q165" s="110"/>
      <c r="R165" s="230"/>
      <c r="T165" s="152">
        <f>+List346[[#This Row],[Pengajuan Donasi]]-List346[[#This Row],[Jumlah Transfer]]</f>
        <v>0</v>
      </c>
      <c r="U165" s="152"/>
    </row>
    <row r="166" spans="2:21" ht="30" customHeight="1" x14ac:dyDescent="0.2">
      <c r="B166" s="13">
        <v>44959</v>
      </c>
      <c r="C166" s="66"/>
      <c r="D166" s="14" t="s">
        <v>856</v>
      </c>
      <c r="E166" s="14" t="s">
        <v>17</v>
      </c>
      <c r="F166" s="14" t="s">
        <v>18</v>
      </c>
      <c r="G166" s="15">
        <f>IFERROR(+VLOOKUP(D:D,'Data Base P.Asuhan &amp; Jompo'!B:I,7,0),0)</f>
        <v>32</v>
      </c>
      <c r="H166" s="991">
        <v>6000000</v>
      </c>
      <c r="I166" s="258">
        <f>List346[[#This Row],[Pengajuan Donasi]]</f>
        <v>6000000</v>
      </c>
      <c r="J166" s="214" t="str">
        <f>IF(List346[[#This Row],[Tanggal Trf]]&gt;0,"Done","-")</f>
        <v>Done</v>
      </c>
      <c r="K166" s="437" t="s">
        <v>2175</v>
      </c>
      <c r="L166" s="221">
        <v>44973</v>
      </c>
      <c r="M166" s="748" t="s">
        <v>1213</v>
      </c>
      <c r="N166" s="100">
        <f>MONTH(List346[[#This Row],[Tanggal Pengajuan]])</f>
        <v>2</v>
      </c>
      <c r="O166" s="183"/>
      <c r="P166" s="100"/>
      <c r="Q166" s="110"/>
      <c r="R166" s="230"/>
      <c r="T166" s="152">
        <f>+List346[[#This Row],[Pengajuan Donasi]]-List346[[#This Row],[Jumlah Transfer]]</f>
        <v>0</v>
      </c>
      <c r="U166" s="152"/>
    </row>
    <row r="167" spans="2:21" ht="30" customHeight="1" x14ac:dyDescent="0.2">
      <c r="B167" s="13">
        <v>44959</v>
      </c>
      <c r="C167" s="66"/>
      <c r="D167" s="14" t="s">
        <v>857</v>
      </c>
      <c r="E167" s="14" t="s">
        <v>17</v>
      </c>
      <c r="F167" s="14" t="s">
        <v>18</v>
      </c>
      <c r="G167" s="15">
        <f>IFERROR(+VLOOKUP(D:D,'Data Base P.Asuhan &amp; Jompo'!B:I,7,0),0)</f>
        <v>38</v>
      </c>
      <c r="H167" s="377">
        <v>6000000</v>
      </c>
      <c r="I167" s="258">
        <f>List346[[#This Row],[Pengajuan Donasi]]</f>
        <v>6000000</v>
      </c>
      <c r="J167" s="214" t="str">
        <f>IF(List346[[#This Row],[Tanggal Trf]]&gt;0,"Done","-")</f>
        <v>Done</v>
      </c>
      <c r="K167" s="437" t="s">
        <v>2175</v>
      </c>
      <c r="L167" s="221">
        <v>44973</v>
      </c>
      <c r="M167" s="14" t="s">
        <v>1213</v>
      </c>
      <c r="N167" s="100">
        <f>MONTH(List346[[#This Row],[Tanggal Pengajuan]])</f>
        <v>2</v>
      </c>
      <c r="O167" s="183"/>
      <c r="P167" s="100"/>
      <c r="Q167" s="110"/>
      <c r="R167" s="230"/>
      <c r="T167" s="152">
        <f>+List346[[#This Row],[Pengajuan Donasi]]-List346[[#This Row],[Jumlah Transfer]]</f>
        <v>0</v>
      </c>
      <c r="U167" s="152"/>
    </row>
    <row r="168" spans="2:21" ht="30" customHeight="1" x14ac:dyDescent="0.2">
      <c r="B168" s="13">
        <v>44959</v>
      </c>
      <c r="C168" s="66"/>
      <c r="D168" s="14" t="s">
        <v>328</v>
      </c>
      <c r="E168" s="14" t="s">
        <v>17</v>
      </c>
      <c r="F168" s="14" t="s">
        <v>18</v>
      </c>
      <c r="G168" s="15">
        <f>IFERROR(+VLOOKUP(D:D,'Data Base P.Asuhan &amp; Jompo'!B:I,7,0),0)</f>
        <v>0</v>
      </c>
      <c r="H168" s="991">
        <v>6000000</v>
      </c>
      <c r="I168" s="258">
        <f>List346[[#This Row],[Pengajuan Donasi]]</f>
        <v>6000000</v>
      </c>
      <c r="J168" s="214" t="str">
        <f>IF(List346[[#This Row],[Tanggal Trf]]&gt;0,"Done","-")</f>
        <v>Done</v>
      </c>
      <c r="K168" s="437" t="s">
        <v>2175</v>
      </c>
      <c r="L168" s="221">
        <v>44973</v>
      </c>
      <c r="M168" s="748" t="s">
        <v>1213</v>
      </c>
      <c r="N168" s="100">
        <f>MONTH(List346[[#This Row],[Tanggal Pengajuan]])</f>
        <v>2</v>
      </c>
      <c r="O168" s="183"/>
      <c r="P168" s="100"/>
      <c r="Q168" s="110"/>
      <c r="R168" s="230"/>
      <c r="T168" s="152">
        <f>+List346[[#This Row],[Pengajuan Donasi]]-List346[[#This Row],[Jumlah Transfer]]</f>
        <v>0</v>
      </c>
      <c r="U168" s="152"/>
    </row>
    <row r="169" spans="2:21" ht="30" customHeight="1" x14ac:dyDescent="0.2">
      <c r="B169" s="13">
        <v>44959</v>
      </c>
      <c r="C169" s="66"/>
      <c r="D169" s="14" t="s">
        <v>858</v>
      </c>
      <c r="E169" s="14" t="s">
        <v>17</v>
      </c>
      <c r="F169" s="14" t="s">
        <v>18</v>
      </c>
      <c r="G169" s="15">
        <f>IFERROR(+VLOOKUP(D:D,'Data Base P.Asuhan &amp; Jompo'!B:I,7,0),0)</f>
        <v>320</v>
      </c>
      <c r="H169" s="377">
        <v>6000000</v>
      </c>
      <c r="I169" s="258">
        <f>List346[[#This Row],[Pengajuan Donasi]]</f>
        <v>6000000</v>
      </c>
      <c r="J169" s="214" t="str">
        <f>IF(List346[[#This Row],[Tanggal Trf]]&gt;0,"Done","-")</f>
        <v>Done</v>
      </c>
      <c r="K169" s="437" t="s">
        <v>2175</v>
      </c>
      <c r="L169" s="221">
        <v>44973</v>
      </c>
      <c r="M169" s="14" t="s">
        <v>1213</v>
      </c>
      <c r="N169" s="100">
        <f>MONTH(List346[[#This Row],[Tanggal Pengajuan]])</f>
        <v>2</v>
      </c>
      <c r="O169" s="183"/>
      <c r="P169" s="100"/>
      <c r="Q169" s="110"/>
      <c r="R169" s="230"/>
      <c r="T169" s="152">
        <f>+List346[[#This Row],[Pengajuan Donasi]]-List346[[#This Row],[Jumlah Transfer]]</f>
        <v>0</v>
      </c>
      <c r="U169" s="152"/>
    </row>
    <row r="170" spans="2:21" ht="30" customHeight="1" x14ac:dyDescent="0.2">
      <c r="B170" s="13">
        <v>44959</v>
      </c>
      <c r="C170" s="66"/>
      <c r="D170" s="14" t="s">
        <v>860</v>
      </c>
      <c r="E170" s="14" t="s">
        <v>17</v>
      </c>
      <c r="F170" s="14" t="s">
        <v>18</v>
      </c>
      <c r="G170" s="15">
        <f>IFERROR(+VLOOKUP(D:D,'Data Base P.Asuhan &amp; Jompo'!B:I,7,0),0)</f>
        <v>45</v>
      </c>
      <c r="H170" s="991">
        <v>6000000</v>
      </c>
      <c r="I170" s="258">
        <f>List346[[#This Row],[Pengajuan Donasi]]</f>
        <v>6000000</v>
      </c>
      <c r="J170" s="214" t="str">
        <f>IF(List346[[#This Row],[Tanggal Trf]]&gt;0,"Done","-")</f>
        <v>Done</v>
      </c>
      <c r="K170" s="437" t="s">
        <v>2175</v>
      </c>
      <c r="L170" s="221">
        <v>44973</v>
      </c>
      <c r="M170" s="748" t="s">
        <v>1213</v>
      </c>
      <c r="N170" s="100">
        <f>MONTH(List346[[#This Row],[Tanggal Pengajuan]])</f>
        <v>2</v>
      </c>
      <c r="O170" s="183"/>
      <c r="P170" s="100"/>
      <c r="Q170" s="110"/>
      <c r="R170" s="230"/>
      <c r="T170" s="152">
        <f>+List346[[#This Row],[Pengajuan Donasi]]-List346[[#This Row],[Jumlah Transfer]]</f>
        <v>0</v>
      </c>
      <c r="U170" s="152"/>
    </row>
    <row r="171" spans="2:21" ht="30" customHeight="1" x14ac:dyDescent="0.2">
      <c r="B171" s="13">
        <v>44959</v>
      </c>
      <c r="C171" s="66"/>
      <c r="D171" s="14" t="s">
        <v>861</v>
      </c>
      <c r="E171" s="14" t="s">
        <v>17</v>
      </c>
      <c r="F171" s="14" t="s">
        <v>18</v>
      </c>
      <c r="G171" s="15">
        <f>IFERROR(+VLOOKUP(D:D,'Data Base P.Asuhan &amp; Jompo'!B:I,7,0),0)</f>
        <v>65</v>
      </c>
      <c r="H171" s="377">
        <v>6000000</v>
      </c>
      <c r="I171" s="258">
        <f>List346[[#This Row],[Pengajuan Donasi]]</f>
        <v>6000000</v>
      </c>
      <c r="J171" s="214" t="str">
        <f>IF(List346[[#This Row],[Tanggal Trf]]&gt;0,"Done","-")</f>
        <v>Done</v>
      </c>
      <c r="K171" s="437" t="s">
        <v>2175</v>
      </c>
      <c r="L171" s="221">
        <v>44973</v>
      </c>
      <c r="M171" s="18" t="s">
        <v>1213</v>
      </c>
      <c r="N171" s="100">
        <f>MONTH(List346[[#This Row],[Tanggal Pengajuan]])</f>
        <v>2</v>
      </c>
      <c r="O171" s="183"/>
      <c r="P171" s="100"/>
      <c r="Q171" s="110"/>
      <c r="R171" s="230"/>
      <c r="T171" s="152">
        <f>+List346[[#This Row],[Pengajuan Donasi]]-List346[[#This Row],[Jumlah Transfer]]</f>
        <v>0</v>
      </c>
      <c r="U171" s="152"/>
    </row>
    <row r="172" spans="2:21" ht="30" customHeight="1" x14ac:dyDescent="0.2">
      <c r="B172" s="13">
        <v>44959</v>
      </c>
      <c r="C172" s="66"/>
      <c r="D172" s="14" t="s">
        <v>862</v>
      </c>
      <c r="E172" s="14" t="s">
        <v>17</v>
      </c>
      <c r="F172" s="14" t="s">
        <v>18</v>
      </c>
      <c r="G172" s="15">
        <f>IFERROR(+VLOOKUP(D:D,'Data Base P.Asuhan &amp; Jompo'!B:I,7,0),0)</f>
        <v>46</v>
      </c>
      <c r="H172" s="258">
        <v>6000000</v>
      </c>
      <c r="I172" s="258">
        <f>List346[[#This Row],[Pengajuan Donasi]]</f>
        <v>6000000</v>
      </c>
      <c r="J172" s="214" t="str">
        <f>IF(List346[[#This Row],[Tanggal Trf]]&gt;0,"Done","-")</f>
        <v>Done</v>
      </c>
      <c r="K172" s="437" t="s">
        <v>2175</v>
      </c>
      <c r="L172" s="221">
        <v>44973</v>
      </c>
      <c r="M172" s="100" t="s">
        <v>1213</v>
      </c>
      <c r="N172" s="100">
        <f>MONTH(List346[[#This Row],[Tanggal Pengajuan]])</f>
        <v>2</v>
      </c>
      <c r="O172" s="183"/>
      <c r="P172" s="100"/>
      <c r="Q172" s="110"/>
      <c r="R172" s="230"/>
      <c r="T172" s="152">
        <f>+List346[[#This Row],[Pengajuan Donasi]]-List346[[#This Row],[Jumlah Transfer]]</f>
        <v>0</v>
      </c>
      <c r="U172" s="152"/>
    </row>
    <row r="173" spans="2:21" ht="30" customHeight="1" x14ac:dyDescent="0.2">
      <c r="B173" s="13">
        <v>44959</v>
      </c>
      <c r="C173" s="66"/>
      <c r="D173" s="14" t="s">
        <v>864</v>
      </c>
      <c r="E173" s="14" t="s">
        <v>17</v>
      </c>
      <c r="F173" s="14" t="s">
        <v>18</v>
      </c>
      <c r="G173" s="15">
        <f>IFERROR(+VLOOKUP(D:D,'Data Base P.Asuhan &amp; Jompo'!B:I,7,0),0)</f>
        <v>141</v>
      </c>
      <c r="H173" s="258">
        <v>6000000</v>
      </c>
      <c r="I173" s="258">
        <f>List346[[#This Row],[Pengajuan Donasi]]</f>
        <v>6000000</v>
      </c>
      <c r="J173" s="214" t="str">
        <f>IF(List346[[#This Row],[Tanggal Trf]]&gt;0,"Done","-")</f>
        <v>Done</v>
      </c>
      <c r="K173" s="437" t="s">
        <v>2175</v>
      </c>
      <c r="L173" s="221">
        <v>44973</v>
      </c>
      <c r="M173" s="100" t="s">
        <v>1213</v>
      </c>
      <c r="N173" s="100">
        <f>MONTH(List346[[#This Row],[Tanggal Pengajuan]])</f>
        <v>2</v>
      </c>
      <c r="O173" s="183"/>
      <c r="P173" s="100"/>
      <c r="Q173" s="110"/>
      <c r="R173" s="230"/>
      <c r="T173" s="152">
        <f>+List346[[#This Row],[Pengajuan Donasi]]-List346[[#This Row],[Jumlah Transfer]]</f>
        <v>0</v>
      </c>
      <c r="U173" s="152"/>
    </row>
    <row r="174" spans="2:21" ht="30" customHeight="1" x14ac:dyDescent="0.2">
      <c r="B174" s="13">
        <v>44959</v>
      </c>
      <c r="C174" s="66"/>
      <c r="D174" s="14" t="s">
        <v>865</v>
      </c>
      <c r="E174" s="14" t="s">
        <v>17</v>
      </c>
      <c r="F174" s="14" t="s">
        <v>18</v>
      </c>
      <c r="G174" s="15">
        <f>IFERROR(+VLOOKUP(D:D,'Data Base P.Asuhan &amp; Jompo'!B:I,7,0),0)</f>
        <v>96</v>
      </c>
      <c r="H174" s="258">
        <v>6000000</v>
      </c>
      <c r="I174" s="258">
        <f>List346[[#This Row],[Pengajuan Donasi]]</f>
        <v>6000000</v>
      </c>
      <c r="J174" s="214" t="str">
        <f>IF(List346[[#This Row],[Tanggal Trf]]&gt;0,"Done","-")</f>
        <v>Done</v>
      </c>
      <c r="K174" s="437" t="s">
        <v>2175</v>
      </c>
      <c r="L174" s="221">
        <v>44973</v>
      </c>
      <c r="M174" s="100" t="s">
        <v>1213</v>
      </c>
      <c r="N174" s="100">
        <f>MONTH(List346[[#This Row],[Tanggal Pengajuan]])</f>
        <v>2</v>
      </c>
      <c r="O174" s="183"/>
      <c r="P174" s="100"/>
      <c r="Q174" s="110"/>
      <c r="R174" s="230"/>
      <c r="T174" s="152">
        <f>+List346[[#This Row],[Pengajuan Donasi]]-List346[[#This Row],[Jumlah Transfer]]</f>
        <v>0</v>
      </c>
      <c r="U174" s="152"/>
    </row>
    <row r="175" spans="2:21" ht="30" customHeight="1" x14ac:dyDescent="0.2">
      <c r="B175" s="13">
        <v>44959</v>
      </c>
      <c r="C175" s="66"/>
      <c r="D175" s="14" t="s">
        <v>866</v>
      </c>
      <c r="E175" s="14" t="s">
        <v>17</v>
      </c>
      <c r="F175" s="14" t="s">
        <v>18</v>
      </c>
      <c r="G175" s="15">
        <f>IFERROR(+VLOOKUP(D:D,'Data Base P.Asuhan &amp; Jompo'!B:I,7,0),0)</f>
        <v>63</v>
      </c>
      <c r="H175" s="258">
        <v>6000000</v>
      </c>
      <c r="I175" s="258">
        <f>List346[[#This Row],[Pengajuan Donasi]]</f>
        <v>6000000</v>
      </c>
      <c r="J175" s="214" t="str">
        <f>IF(List346[[#This Row],[Tanggal Trf]]&gt;0,"Done","-")</f>
        <v>Done</v>
      </c>
      <c r="K175" s="437" t="s">
        <v>2175</v>
      </c>
      <c r="L175" s="221">
        <v>44973</v>
      </c>
      <c r="M175" s="100" t="s">
        <v>1213</v>
      </c>
      <c r="N175" s="100">
        <f>MONTH(List346[[#This Row],[Tanggal Pengajuan]])</f>
        <v>2</v>
      </c>
      <c r="O175" s="183"/>
      <c r="P175" s="100"/>
      <c r="Q175" s="110"/>
      <c r="R175" s="230"/>
      <c r="T175" s="152">
        <f>+List346[[#This Row],[Pengajuan Donasi]]-List346[[#This Row],[Jumlah Transfer]]</f>
        <v>0</v>
      </c>
      <c r="U175" s="152"/>
    </row>
    <row r="176" spans="2:21" ht="30" customHeight="1" x14ac:dyDescent="0.2">
      <c r="B176" s="13">
        <v>44959</v>
      </c>
      <c r="C176" s="66"/>
      <c r="D176" s="14" t="s">
        <v>1099</v>
      </c>
      <c r="E176" s="14" t="s">
        <v>17</v>
      </c>
      <c r="F176" s="14" t="s">
        <v>18</v>
      </c>
      <c r="G176" s="15">
        <f>IFERROR(+VLOOKUP(D:D,'Data Base P.Asuhan &amp; Jompo'!B:I,7,0),0)</f>
        <v>60</v>
      </c>
      <c r="H176" s="258">
        <v>6000000</v>
      </c>
      <c r="I176" s="258">
        <f>List346[[#This Row],[Pengajuan Donasi]]</f>
        <v>6000000</v>
      </c>
      <c r="J176" s="214" t="str">
        <f>IF(List346[[#This Row],[Tanggal Trf]]&gt;0,"Done","-")</f>
        <v>Done</v>
      </c>
      <c r="K176" s="437" t="s">
        <v>2175</v>
      </c>
      <c r="L176" s="221">
        <v>44973</v>
      </c>
      <c r="M176" s="100" t="s">
        <v>1213</v>
      </c>
      <c r="N176" s="100">
        <f>MONTH(List346[[#This Row],[Tanggal Pengajuan]])</f>
        <v>2</v>
      </c>
      <c r="O176" s="183"/>
      <c r="P176" s="100"/>
      <c r="Q176" s="110"/>
      <c r="R176" s="230"/>
      <c r="T176" s="152">
        <f>+List346[[#This Row],[Pengajuan Donasi]]-List346[[#This Row],[Jumlah Transfer]]</f>
        <v>0</v>
      </c>
      <c r="U176" s="152"/>
    </row>
    <row r="177" spans="2:21" ht="30" customHeight="1" x14ac:dyDescent="0.2">
      <c r="B177" s="13">
        <v>44959</v>
      </c>
      <c r="C177" s="66" t="s">
        <v>2194</v>
      </c>
      <c r="D177" s="14" t="s">
        <v>863</v>
      </c>
      <c r="E177" s="14" t="s">
        <v>17</v>
      </c>
      <c r="F177" s="14" t="s">
        <v>18</v>
      </c>
      <c r="G177" s="15">
        <f>IFERROR(+VLOOKUP(D:D,'Data Base P.Asuhan &amp; Jompo'!B:I,7,0),0)</f>
        <v>142</v>
      </c>
      <c r="H177" s="258">
        <v>6249940</v>
      </c>
      <c r="I177" s="258">
        <f>List346[[#This Row],[Pengajuan Donasi]]</f>
        <v>6249940</v>
      </c>
      <c r="J177" s="214" t="str">
        <f>IF(List346[[#This Row],[Tanggal Trf]]&gt;0,"Done","-")</f>
        <v>Done</v>
      </c>
      <c r="K177" s="437" t="s">
        <v>2176</v>
      </c>
      <c r="L177" s="221">
        <v>44973</v>
      </c>
      <c r="M177" s="100" t="s">
        <v>683</v>
      </c>
      <c r="N177" s="100">
        <f>MONTH(List346[[#This Row],[Tanggal Pengajuan]])</f>
        <v>2</v>
      </c>
      <c r="O177" s="183"/>
      <c r="P177" s="100"/>
      <c r="Q177" s="110"/>
      <c r="R177" s="230"/>
      <c r="T177" s="152">
        <f>+List346[[#This Row],[Pengajuan Donasi]]-List346[[#This Row],[Jumlah Transfer]]</f>
        <v>0</v>
      </c>
      <c r="U177" s="152"/>
    </row>
    <row r="178" spans="2:21" ht="30" customHeight="1" x14ac:dyDescent="0.2">
      <c r="B178" s="13">
        <v>44959</v>
      </c>
      <c r="C178" s="66"/>
      <c r="D178" s="14" t="s">
        <v>1115</v>
      </c>
      <c r="E178" s="14" t="s">
        <v>17</v>
      </c>
      <c r="F178" s="14" t="s">
        <v>18</v>
      </c>
      <c r="G178" s="15">
        <f>IFERROR(+VLOOKUP(D:D,'Data Base P.Asuhan &amp; Jompo'!B:I,7,0),0)</f>
        <v>35</v>
      </c>
      <c r="H178" s="258">
        <v>6251120</v>
      </c>
      <c r="I178" s="258">
        <f>List346[[#This Row],[Pengajuan Donasi]]</f>
        <v>6251120</v>
      </c>
      <c r="J178" s="214" t="str">
        <f>IF(List346[[#This Row],[Tanggal Trf]]&gt;0,"Done","-")</f>
        <v>Done</v>
      </c>
      <c r="K178" s="437" t="s">
        <v>2176</v>
      </c>
      <c r="L178" s="221">
        <v>44973</v>
      </c>
      <c r="M178" s="100" t="s">
        <v>683</v>
      </c>
      <c r="N178" s="100">
        <f>MONTH(List346[[#This Row],[Tanggal Pengajuan]])</f>
        <v>2</v>
      </c>
      <c r="O178" s="183"/>
      <c r="P178" s="100"/>
      <c r="Q178" s="110"/>
      <c r="R178" s="230"/>
      <c r="T178" s="152">
        <f>+List346[[#This Row],[Pengajuan Donasi]]-List346[[#This Row],[Jumlah Transfer]]</f>
        <v>0</v>
      </c>
      <c r="U178" s="152"/>
    </row>
    <row r="179" spans="2:21" ht="30" customHeight="1" x14ac:dyDescent="0.2">
      <c r="B179" s="13">
        <v>44965</v>
      </c>
      <c r="C179" s="66" t="s">
        <v>2197</v>
      </c>
      <c r="D179" s="14" t="s">
        <v>2196</v>
      </c>
      <c r="E179" s="14" t="s">
        <v>26</v>
      </c>
      <c r="F179" s="14" t="s">
        <v>28</v>
      </c>
      <c r="G179" s="15">
        <f>IFERROR(+VLOOKUP(D:D,'Data Base P.Asuhan &amp; Jompo'!B:I,7,0),0)</f>
        <v>0</v>
      </c>
      <c r="H179" s="258">
        <v>6250360</v>
      </c>
      <c r="I179" s="258">
        <f>List346[[#This Row],[Pengajuan Donasi]]</f>
        <v>6250360</v>
      </c>
      <c r="J179" s="214" t="str">
        <f>IF(List346[[#This Row],[Tanggal Trf]]&gt;0,"Done","-")</f>
        <v>Done</v>
      </c>
      <c r="K179" s="14" t="s">
        <v>2196</v>
      </c>
      <c r="L179" s="221">
        <v>44973</v>
      </c>
      <c r="M179" s="100" t="s">
        <v>683</v>
      </c>
      <c r="N179" s="100">
        <f>MONTH(List346[[#This Row],[Tanggal Pengajuan]])</f>
        <v>2</v>
      </c>
      <c r="O179" s="183"/>
      <c r="P179" s="100"/>
      <c r="Q179" s="110"/>
      <c r="R179" s="230"/>
      <c r="T179" s="152">
        <f>+List346[[#This Row],[Pengajuan Donasi]]-List346[[#This Row],[Jumlah Transfer]]</f>
        <v>0</v>
      </c>
      <c r="U179" s="152"/>
    </row>
    <row r="180" spans="2:21" ht="30" customHeight="1" x14ac:dyDescent="0.2">
      <c r="B180" s="13">
        <v>44966</v>
      </c>
      <c r="C180" s="67" t="s">
        <v>2202</v>
      </c>
      <c r="D180" s="103" t="s">
        <v>1115</v>
      </c>
      <c r="E180" s="14" t="s">
        <v>17</v>
      </c>
      <c r="F180" s="14" t="s">
        <v>18</v>
      </c>
      <c r="G180" s="15">
        <f>IFERROR(+VLOOKUP(D:D,'Data Base P.Asuhan &amp; Jompo'!B:I,7,0),0)</f>
        <v>35</v>
      </c>
      <c r="H180" s="258">
        <v>4375800</v>
      </c>
      <c r="I180" s="258">
        <f>List346[[#This Row],[Pengajuan Donasi]]</f>
        <v>4375800</v>
      </c>
      <c r="J180" s="214" t="str">
        <f>IF(List346[[#This Row],[Tanggal Trf]]&gt;0,"Done","-")</f>
        <v>Done</v>
      </c>
      <c r="K180" s="437" t="s">
        <v>2200</v>
      </c>
      <c r="L180" s="221">
        <v>44973</v>
      </c>
      <c r="M180" s="100" t="s">
        <v>683</v>
      </c>
      <c r="N180" s="100">
        <f>MONTH(List346[[#This Row],[Tanggal Pengajuan]])</f>
        <v>2</v>
      </c>
      <c r="O180" s="183"/>
      <c r="P180" s="105"/>
      <c r="Q180" s="111"/>
      <c r="R180" s="230"/>
      <c r="T180" s="152">
        <f>+List346[[#This Row],[Pengajuan Donasi]]-List346[[#This Row],[Jumlah Transfer]]</f>
        <v>0</v>
      </c>
      <c r="U180" s="152"/>
    </row>
    <row r="181" spans="2:21" ht="30" customHeight="1" x14ac:dyDescent="0.2">
      <c r="B181" s="13">
        <v>44971</v>
      </c>
      <c r="C181" s="67" t="s">
        <v>2203</v>
      </c>
      <c r="D181" s="14" t="s">
        <v>362</v>
      </c>
      <c r="E181" s="14" t="s">
        <v>17</v>
      </c>
      <c r="F181" s="14" t="s">
        <v>18</v>
      </c>
      <c r="G181" s="15">
        <f>IFERROR(+VLOOKUP(D:D,'Data Base P.Asuhan &amp; Jompo'!B:I,7,0),0)</f>
        <v>137</v>
      </c>
      <c r="H181" s="258">
        <v>6251190</v>
      </c>
      <c r="I181" s="258">
        <f>List346[[#This Row],[Pengajuan Donasi]]</f>
        <v>6251190</v>
      </c>
      <c r="J181" s="214" t="str">
        <f>IF(List346[[#This Row],[Tanggal Trf]]&gt;0,"Done","-")</f>
        <v>Done</v>
      </c>
      <c r="K181" s="437" t="s">
        <v>2211</v>
      </c>
      <c r="L181" s="221">
        <v>44973</v>
      </c>
      <c r="M181" s="100" t="s">
        <v>683</v>
      </c>
      <c r="N181" s="100">
        <f>MONTH(List346[[#This Row],[Tanggal Pengajuan]])</f>
        <v>2</v>
      </c>
      <c r="O181" s="62"/>
      <c r="P181" s="100"/>
      <c r="Q181" s="111"/>
      <c r="R181" s="230"/>
      <c r="T181" s="152">
        <f>+List346[[#This Row],[Pengajuan Donasi]]-List346[[#This Row],[Jumlah Transfer]]</f>
        <v>0</v>
      </c>
      <c r="U181" s="152"/>
    </row>
    <row r="182" spans="2:21" ht="30" customHeight="1" x14ac:dyDescent="0.2">
      <c r="B182" s="13">
        <v>44971</v>
      </c>
      <c r="C182" s="67" t="s">
        <v>2203</v>
      </c>
      <c r="D182" s="14" t="s">
        <v>391</v>
      </c>
      <c r="E182" s="14" t="s">
        <v>17</v>
      </c>
      <c r="F182" s="14" t="s">
        <v>18</v>
      </c>
      <c r="G182" s="15">
        <f>IFERROR(+VLOOKUP(D:D,'Data Base P.Asuhan &amp; Jompo'!B:I,7,0),0)</f>
        <v>40</v>
      </c>
      <c r="H182" s="258">
        <v>6251030</v>
      </c>
      <c r="I182" s="258">
        <f>List346[[#This Row],[Pengajuan Donasi]]</f>
        <v>6251030</v>
      </c>
      <c r="J182" s="214" t="str">
        <f>IF(List346[[#This Row],[Tanggal Trf]]&gt;0,"Done","-")</f>
        <v>Done</v>
      </c>
      <c r="K182" s="437" t="s">
        <v>2201</v>
      </c>
      <c r="L182" s="221">
        <v>44973</v>
      </c>
      <c r="M182" s="100" t="s">
        <v>683</v>
      </c>
      <c r="N182" s="100">
        <f>MONTH(List346[[#This Row],[Tanggal Pengajuan]])</f>
        <v>2</v>
      </c>
      <c r="O182" s="62"/>
      <c r="P182" s="100"/>
      <c r="Q182" s="111"/>
      <c r="R182" s="230"/>
      <c r="T182" s="152">
        <f>+List346[[#This Row],[Pengajuan Donasi]]-List346[[#This Row],[Jumlah Transfer]]</f>
        <v>0</v>
      </c>
      <c r="U182" s="152"/>
    </row>
    <row r="183" spans="2:21" ht="30" customHeight="1" x14ac:dyDescent="0.2">
      <c r="B183" s="13">
        <v>44971</v>
      </c>
      <c r="C183" s="67" t="s">
        <v>2204</v>
      </c>
      <c r="D183" s="14" t="s">
        <v>1726</v>
      </c>
      <c r="E183" s="14" t="s">
        <v>1054</v>
      </c>
      <c r="F183" s="14" t="s">
        <v>18</v>
      </c>
      <c r="G183" s="15">
        <f>IFERROR(+VLOOKUP(D:D,'Data Base P.Asuhan &amp; Jompo'!B:I,7,0),0)</f>
        <v>0</v>
      </c>
      <c r="H183" s="258"/>
      <c r="I183" s="258">
        <f>List346[[#This Row],[Pengajuan Donasi]]</f>
        <v>0</v>
      </c>
      <c r="J183" s="214" t="str">
        <f>IF(List346[[#This Row],[Tanggal Trf]]&gt;0,"Done","-")</f>
        <v>-</v>
      </c>
      <c r="K183" s="14" t="s">
        <v>2201</v>
      </c>
      <c r="L183" s="220"/>
      <c r="M183" s="100" t="s">
        <v>2209</v>
      </c>
      <c r="N183" s="100">
        <f>MONTH(List346[[#This Row],[Tanggal Pengajuan]])</f>
        <v>2</v>
      </c>
      <c r="O183" s="62"/>
      <c r="P183" s="100"/>
      <c r="Q183" s="111"/>
      <c r="R183" s="230"/>
      <c r="T183" s="152">
        <f>+List346[[#This Row],[Pengajuan Donasi]]-List346[[#This Row],[Jumlah Transfer]]</f>
        <v>0</v>
      </c>
      <c r="U183" s="152"/>
    </row>
    <row r="184" spans="2:21" ht="30" customHeight="1" x14ac:dyDescent="0.2">
      <c r="B184" s="13">
        <v>44977</v>
      </c>
      <c r="C184" s="67" t="s">
        <v>2207</v>
      </c>
      <c r="D184" s="103" t="s">
        <v>2205</v>
      </c>
      <c r="E184" s="14" t="s">
        <v>26</v>
      </c>
      <c r="F184" s="14" t="s">
        <v>28</v>
      </c>
      <c r="G184" s="15">
        <f>IFERROR(+VLOOKUP(D:D,'Data Base P.Asuhan &amp; Jompo'!B:I,7,0),0)</f>
        <v>0</v>
      </c>
      <c r="H184" s="258">
        <v>30000000</v>
      </c>
      <c r="I184" s="258">
        <f>List346[[#This Row],[Pengajuan Donasi]]</f>
        <v>30000000</v>
      </c>
      <c r="J184" s="213" t="str">
        <f>IF(List346[[#This Row],[Tanggal Trf]]&gt;0,"Done","-")</f>
        <v>Done</v>
      </c>
      <c r="K184" s="103" t="s">
        <v>2205</v>
      </c>
      <c r="L184" s="221">
        <v>44981</v>
      </c>
      <c r="M184" s="100" t="s">
        <v>2210</v>
      </c>
      <c r="N184" s="100">
        <f>MONTH(List346[[#This Row],[Tanggal Pengajuan]])</f>
        <v>2</v>
      </c>
      <c r="O184" s="183"/>
      <c r="P184" s="100"/>
      <c r="Q184" s="111"/>
      <c r="R184" s="230"/>
      <c r="T184" s="152">
        <f>+List346[[#This Row],[Pengajuan Donasi]]-List346[[#This Row],[Jumlah Transfer]]</f>
        <v>0</v>
      </c>
      <c r="U184" s="152"/>
    </row>
    <row r="185" spans="2:21" ht="30" customHeight="1" x14ac:dyDescent="0.2">
      <c r="B185" s="13">
        <v>44977</v>
      </c>
      <c r="C185" s="67" t="s">
        <v>2208</v>
      </c>
      <c r="D185" s="103" t="s">
        <v>2206</v>
      </c>
      <c r="E185" s="14" t="s">
        <v>26</v>
      </c>
      <c r="F185" s="103" t="s">
        <v>28</v>
      </c>
      <c r="G185" s="15">
        <f>IFERROR(+VLOOKUP(D:D,'Data Base P.Asuhan &amp; Jompo'!B:I,7,0),0)</f>
        <v>0</v>
      </c>
      <c r="H185" s="267">
        <v>63900072</v>
      </c>
      <c r="I185" s="258">
        <f>List346[[#This Row],[Pengajuan Donasi]]</f>
        <v>63900072</v>
      </c>
      <c r="J185" s="214" t="str">
        <f>IF(List346[[#This Row],[Tanggal Trf]]&gt;0,"Done","-")</f>
        <v>-</v>
      </c>
      <c r="K185" s="103" t="s">
        <v>2206</v>
      </c>
      <c r="L185" s="221"/>
      <c r="M185" s="105" t="s">
        <v>1055</v>
      </c>
      <c r="N185" s="100">
        <f>MONTH(List346[[#This Row],[Tanggal Pengajuan]])</f>
        <v>2</v>
      </c>
      <c r="O185" s="183"/>
      <c r="P185" s="105"/>
      <c r="Q185" s="110"/>
      <c r="R185" s="230"/>
      <c r="T185" s="152">
        <f>+List346[[#This Row],[Pengajuan Donasi]]-List346[[#This Row],[Jumlah Transfer]]</f>
        <v>0</v>
      </c>
      <c r="U185" s="152"/>
    </row>
    <row r="186" spans="2:21" ht="30" customHeight="1" x14ac:dyDescent="0.2">
      <c r="B186" s="102"/>
      <c r="C186" s="67"/>
      <c r="D186" s="103"/>
      <c r="E186" s="14"/>
      <c r="F186" s="14"/>
      <c r="G186" s="15">
        <f>IFERROR(+VLOOKUP(D:D,'Data Base P.Asuhan &amp; Jompo'!B:I,7,0),0)</f>
        <v>0</v>
      </c>
      <c r="H186" s="258"/>
      <c r="I186" s="258">
        <f>List346[[#This Row],[Pengajuan Donasi]]</f>
        <v>0</v>
      </c>
      <c r="J186" s="214" t="str">
        <f>IF(List346[[#This Row],[Tanggal Trf]]&gt;0,"Done","-")</f>
        <v>-</v>
      </c>
      <c r="K186" s="440"/>
      <c r="L186" s="221"/>
      <c r="M186" s="105"/>
      <c r="N186" s="100">
        <f>MONTH(List346[[#This Row],[Tanggal Pengajuan]])</f>
        <v>1</v>
      </c>
      <c r="O186" s="183"/>
      <c r="P186" s="100"/>
      <c r="Q186" s="110"/>
      <c r="R186" s="230"/>
      <c r="T186" s="152">
        <f>+List346[[#This Row],[Pengajuan Donasi]]-List346[[#This Row],[Jumlah Transfer]]</f>
        <v>0</v>
      </c>
      <c r="U186" s="152"/>
    </row>
    <row r="187" spans="2:21" ht="30" customHeight="1" x14ac:dyDescent="0.2">
      <c r="B187" s="102"/>
      <c r="C187" s="67"/>
      <c r="D187" s="103"/>
      <c r="E187" s="14"/>
      <c r="F187" s="14"/>
      <c r="G187" s="15">
        <f>IFERROR(+VLOOKUP(D:D,'Data Base P.Asuhan &amp; Jompo'!B:I,7,0),0)</f>
        <v>0</v>
      </c>
      <c r="H187" s="258"/>
      <c r="I187" s="258">
        <f>List346[[#This Row],[Pengajuan Donasi]]</f>
        <v>0</v>
      </c>
      <c r="J187" s="214" t="str">
        <f>IF(List346[[#This Row],[Tanggal Trf]]&gt;0,"Done","-")</f>
        <v>-</v>
      </c>
      <c r="K187" s="440"/>
      <c r="L187" s="221"/>
      <c r="M187" s="105"/>
      <c r="N187" s="100">
        <f>MONTH(List346[[#This Row],[Tanggal Pengajuan]])</f>
        <v>1</v>
      </c>
      <c r="O187" s="183"/>
      <c r="P187" s="105"/>
      <c r="Q187" s="111"/>
      <c r="R187" s="230"/>
      <c r="T187" s="152">
        <f>+List346[[#This Row],[Pengajuan Donasi]]-List346[[#This Row],[Jumlah Transfer]]</f>
        <v>0</v>
      </c>
      <c r="U187" s="152"/>
    </row>
    <row r="188" spans="2:21" ht="30" customHeight="1" x14ac:dyDescent="0.2">
      <c r="B188" s="102"/>
      <c r="C188" s="67"/>
      <c r="D188" s="103"/>
      <c r="E188" s="14"/>
      <c r="F188" s="14"/>
      <c r="G188" s="15">
        <f>IFERROR(+VLOOKUP(D:D,'Data Base P.Asuhan &amp; Jompo'!B:I,7,0),0)</f>
        <v>0</v>
      </c>
      <c r="H188" s="258"/>
      <c r="I188" s="258">
        <f>List346[[#This Row],[Pengajuan Donasi]]</f>
        <v>0</v>
      </c>
      <c r="J188" s="214" t="str">
        <f>IF(List346[[#This Row],[Tanggal Trf]]&gt;0,"Done","-")</f>
        <v>-</v>
      </c>
      <c r="K188" s="440"/>
      <c r="L188" s="221"/>
      <c r="M188" s="105"/>
      <c r="N188" s="100">
        <f>MONTH(List346[[#This Row],[Tanggal Pengajuan]])</f>
        <v>1</v>
      </c>
      <c r="O188" s="183"/>
      <c r="P188" s="105"/>
      <c r="Q188" s="111"/>
      <c r="R188" s="230"/>
      <c r="T188" s="152">
        <f>+List346[[#This Row],[Pengajuan Donasi]]-List346[[#This Row],[Jumlah Transfer]]</f>
        <v>0</v>
      </c>
      <c r="U188" s="152"/>
    </row>
    <row r="189" spans="2:21" ht="30" customHeight="1" x14ac:dyDescent="0.2">
      <c r="B189" s="102"/>
      <c r="C189" s="67"/>
      <c r="D189" s="103"/>
      <c r="E189" s="14"/>
      <c r="F189" s="14"/>
      <c r="G189" s="15">
        <f>IFERROR(+VLOOKUP(D:D,'Data Base P.Asuhan &amp; Jompo'!B:I,7,0),0)</f>
        <v>0</v>
      </c>
      <c r="H189" s="258"/>
      <c r="I189" s="258">
        <f>List346[[#This Row],[Pengajuan Donasi]]</f>
        <v>0</v>
      </c>
      <c r="J189" s="214" t="str">
        <f>IF(List346[[#This Row],[Tanggal Trf]]&gt;0,"Done","-")</f>
        <v>-</v>
      </c>
      <c r="K189" s="440"/>
      <c r="L189" s="221"/>
      <c r="M189" s="105"/>
      <c r="N189" s="100">
        <f>MONTH(List346[[#This Row],[Tanggal Pengajuan]])</f>
        <v>1</v>
      </c>
      <c r="O189" s="183"/>
      <c r="P189" s="105"/>
      <c r="Q189" s="111"/>
      <c r="R189" s="230"/>
      <c r="T189" s="152">
        <f>+List346[[#This Row],[Pengajuan Donasi]]-List346[[#This Row],[Jumlah Transfer]]</f>
        <v>0</v>
      </c>
      <c r="U189" s="152"/>
    </row>
    <row r="190" spans="2:21" ht="30" customHeight="1" x14ac:dyDescent="0.2">
      <c r="B190" s="102"/>
      <c r="C190" s="67"/>
      <c r="D190" s="103"/>
      <c r="E190" s="14"/>
      <c r="F190" s="14"/>
      <c r="G190" s="15">
        <f>IFERROR(+VLOOKUP(D:D,'Data Base P.Asuhan &amp; Jompo'!B:I,7,0),0)</f>
        <v>0</v>
      </c>
      <c r="H190" s="258"/>
      <c r="I190" s="258">
        <f>List346[[#This Row],[Pengajuan Donasi]]</f>
        <v>0</v>
      </c>
      <c r="J190" s="214" t="str">
        <f>IF(List346[[#This Row],[Tanggal Trf]]&gt;0,"Done","-")</f>
        <v>-</v>
      </c>
      <c r="K190" s="440"/>
      <c r="L190" s="221"/>
      <c r="M190" s="105"/>
      <c r="N190" s="100">
        <f>MONTH(List346[[#This Row],[Tanggal Pengajuan]])</f>
        <v>1</v>
      </c>
      <c r="O190" s="183"/>
      <c r="P190" s="105"/>
      <c r="Q190" s="111"/>
      <c r="R190" s="230"/>
      <c r="T190" s="152">
        <f>+List346[[#This Row],[Pengajuan Donasi]]-List346[[#This Row],[Jumlah Transfer]]</f>
        <v>0</v>
      </c>
      <c r="U190" s="152"/>
    </row>
    <row r="191" spans="2:21" ht="30" customHeight="1" x14ac:dyDescent="0.2">
      <c r="B191" s="102"/>
      <c r="C191" s="67"/>
      <c r="D191" s="103"/>
      <c r="E191" s="14"/>
      <c r="F191" s="14"/>
      <c r="G191" s="15">
        <f>IFERROR(+VLOOKUP(D:D,'Data Base P.Asuhan &amp; Jompo'!B:I,7,0),0)</f>
        <v>0</v>
      </c>
      <c r="H191" s="258"/>
      <c r="I191" s="258">
        <f>List346[[#This Row],[Pengajuan Donasi]]</f>
        <v>0</v>
      </c>
      <c r="J191" s="214" t="str">
        <f>IF(List346[[#This Row],[Tanggal Trf]]&gt;0,"Done","-")</f>
        <v>-</v>
      </c>
      <c r="K191" s="440"/>
      <c r="L191" s="221"/>
      <c r="M191" s="105"/>
      <c r="N191" s="100">
        <f>MONTH(List346[[#This Row],[Tanggal Pengajuan]])</f>
        <v>1</v>
      </c>
      <c r="O191" s="183"/>
      <c r="P191" s="105"/>
      <c r="Q191" s="111"/>
      <c r="R191" s="230"/>
      <c r="T191" s="152">
        <f>+List346[[#This Row],[Pengajuan Donasi]]-List346[[#This Row],[Jumlah Transfer]]</f>
        <v>0</v>
      </c>
      <c r="U191" s="152"/>
    </row>
    <row r="192" spans="2:21" ht="30" customHeight="1" x14ac:dyDescent="0.2">
      <c r="B192" s="102"/>
      <c r="C192" s="67"/>
      <c r="D192" s="103"/>
      <c r="E192" s="14"/>
      <c r="F192" s="14"/>
      <c r="G192" s="15">
        <f>IFERROR(+VLOOKUP(D:D,'Data Base P.Asuhan &amp; Jompo'!B:I,7,0),0)</f>
        <v>0</v>
      </c>
      <c r="H192" s="258"/>
      <c r="I192" s="258">
        <f>List346[[#This Row],[Pengajuan Donasi]]</f>
        <v>0</v>
      </c>
      <c r="J192" s="214" t="str">
        <f>IF(List346[[#This Row],[Tanggal Trf]]&gt;0,"Done","-")</f>
        <v>-</v>
      </c>
      <c r="K192" s="440"/>
      <c r="L192" s="221"/>
      <c r="M192" s="105"/>
      <c r="N192" s="100">
        <f>MONTH(List346[[#This Row],[Tanggal Pengajuan]])</f>
        <v>1</v>
      </c>
      <c r="O192" s="183"/>
      <c r="P192" s="105"/>
      <c r="Q192" s="111"/>
      <c r="R192" s="230"/>
      <c r="T192" s="152">
        <f>+List346[[#This Row],[Pengajuan Donasi]]-List346[[#This Row],[Jumlah Transfer]]</f>
        <v>0</v>
      </c>
      <c r="U192" s="152"/>
    </row>
    <row r="193" spans="2:21" ht="30" customHeight="1" x14ac:dyDescent="0.2">
      <c r="B193" s="102"/>
      <c r="C193" s="67"/>
      <c r="D193" s="103"/>
      <c r="E193" s="14"/>
      <c r="F193" s="14"/>
      <c r="G193" s="15">
        <f>IFERROR(+VLOOKUP(D:D,'Data Base P.Asuhan &amp; Jompo'!B:I,7,0),0)</f>
        <v>0</v>
      </c>
      <c r="H193" s="258"/>
      <c r="I193" s="258">
        <f>List346[[#This Row],[Pengajuan Donasi]]</f>
        <v>0</v>
      </c>
      <c r="J193" s="214" t="str">
        <f>IF(List346[[#This Row],[Tanggal Trf]]&gt;0,"Done","-")</f>
        <v>-</v>
      </c>
      <c r="K193" s="440"/>
      <c r="L193" s="221"/>
      <c r="M193" s="105"/>
      <c r="N193" s="100">
        <f>MONTH(List346[[#This Row],[Tanggal Pengajuan]])</f>
        <v>1</v>
      </c>
      <c r="O193" s="183"/>
      <c r="P193" s="105"/>
      <c r="Q193" s="111"/>
      <c r="R193" s="230"/>
      <c r="T193" s="152">
        <f>+List346[[#This Row],[Pengajuan Donasi]]-List346[[#This Row],[Jumlah Transfer]]</f>
        <v>0</v>
      </c>
      <c r="U193" s="152"/>
    </row>
    <row r="194" spans="2:21" ht="30" customHeight="1" x14ac:dyDescent="0.2">
      <c r="B194" s="102"/>
      <c r="C194" s="67"/>
      <c r="D194" s="103"/>
      <c r="E194" s="14"/>
      <c r="F194" s="14"/>
      <c r="G194" s="15">
        <f>IFERROR(+VLOOKUP(D:D,'Data Base P.Asuhan &amp; Jompo'!B:I,7,0),0)</f>
        <v>0</v>
      </c>
      <c r="H194" s="258"/>
      <c r="I194" s="258">
        <f>List346[[#This Row],[Pengajuan Donasi]]</f>
        <v>0</v>
      </c>
      <c r="J194" s="214" t="str">
        <f>IF(List346[[#This Row],[Tanggal Trf]]&gt;0,"Done","-")</f>
        <v>-</v>
      </c>
      <c r="K194" s="440"/>
      <c r="L194" s="221"/>
      <c r="M194" s="105"/>
      <c r="N194" s="100">
        <f>MONTH(List346[[#This Row],[Tanggal Pengajuan]])</f>
        <v>1</v>
      </c>
      <c r="O194" s="183"/>
      <c r="P194" s="105"/>
      <c r="Q194" s="111"/>
      <c r="R194" s="230"/>
      <c r="T194" s="152">
        <f>+List346[[#This Row],[Pengajuan Donasi]]-List346[[#This Row],[Jumlah Transfer]]</f>
        <v>0</v>
      </c>
      <c r="U194" s="152"/>
    </row>
    <row r="195" spans="2:21" ht="30" customHeight="1" x14ac:dyDescent="0.2">
      <c r="B195" s="102"/>
      <c r="C195" s="67"/>
      <c r="D195" s="103"/>
      <c r="E195" s="14"/>
      <c r="F195" s="14"/>
      <c r="G195" s="15">
        <f>IFERROR(+VLOOKUP(D:D,'Data Base P.Asuhan &amp; Jompo'!B:I,7,0),0)</f>
        <v>0</v>
      </c>
      <c r="H195" s="258"/>
      <c r="I195" s="258">
        <f>List346[[#This Row],[Pengajuan Donasi]]</f>
        <v>0</v>
      </c>
      <c r="J195" s="214" t="str">
        <f>IF(List346[[#This Row],[Tanggal Trf]]&gt;0,"Done","-")</f>
        <v>-</v>
      </c>
      <c r="K195" s="440"/>
      <c r="L195" s="221"/>
      <c r="M195" s="105"/>
      <c r="N195" s="100">
        <f>MONTH(List346[[#This Row],[Tanggal Pengajuan]])</f>
        <v>1</v>
      </c>
      <c r="O195" s="183"/>
      <c r="P195" s="105"/>
      <c r="Q195" s="111"/>
      <c r="R195" s="230"/>
      <c r="T195" s="152">
        <f>+List346[[#This Row],[Pengajuan Donasi]]-List346[[#This Row],[Jumlah Transfer]]</f>
        <v>0</v>
      </c>
      <c r="U195" s="152"/>
    </row>
    <row r="196" spans="2:21" ht="30" customHeight="1" x14ac:dyDescent="0.2">
      <c r="B196" s="102"/>
      <c r="C196" s="67"/>
      <c r="D196" s="103"/>
      <c r="E196" s="14"/>
      <c r="F196" s="14"/>
      <c r="G196" s="15">
        <f>IFERROR(+VLOOKUP(D:D,'Data Base P.Asuhan &amp; Jompo'!B:I,7,0),0)</f>
        <v>0</v>
      </c>
      <c r="H196" s="258"/>
      <c r="I196" s="258">
        <f>List346[[#This Row],[Pengajuan Donasi]]</f>
        <v>0</v>
      </c>
      <c r="J196" s="214" t="str">
        <f>IF(List346[[#This Row],[Tanggal Trf]]&gt;0,"Done","-")</f>
        <v>-</v>
      </c>
      <c r="K196" s="440"/>
      <c r="L196" s="221"/>
      <c r="M196" s="105"/>
      <c r="N196" s="100">
        <f>MONTH(List346[[#This Row],[Tanggal Pengajuan]])</f>
        <v>1</v>
      </c>
      <c r="O196" s="183"/>
      <c r="P196" s="105"/>
      <c r="Q196" s="111"/>
      <c r="R196" s="230"/>
      <c r="T196" s="152">
        <f>+List346[[#This Row],[Pengajuan Donasi]]-List346[[#This Row],[Jumlah Transfer]]</f>
        <v>0</v>
      </c>
      <c r="U196" s="152"/>
    </row>
    <row r="197" spans="2:21" ht="30" customHeight="1" x14ac:dyDescent="0.2">
      <c r="B197" s="102"/>
      <c r="C197" s="67"/>
      <c r="D197" s="103"/>
      <c r="E197" s="14"/>
      <c r="F197" s="14"/>
      <c r="G197" s="15">
        <f>IFERROR(+VLOOKUP(D:D,'Data Base P.Asuhan &amp; Jompo'!B:I,7,0),0)</f>
        <v>0</v>
      </c>
      <c r="H197" s="258"/>
      <c r="I197" s="258">
        <f>List346[[#This Row],[Pengajuan Donasi]]</f>
        <v>0</v>
      </c>
      <c r="J197" s="214" t="str">
        <f>IF(List346[[#This Row],[Tanggal Trf]]&gt;0,"Done","-")</f>
        <v>-</v>
      </c>
      <c r="K197" s="440"/>
      <c r="L197" s="221"/>
      <c r="M197" s="105"/>
      <c r="N197" s="100">
        <f>MONTH(List346[[#This Row],[Tanggal Pengajuan]])</f>
        <v>1</v>
      </c>
      <c r="O197" s="183"/>
      <c r="P197" s="105"/>
      <c r="Q197" s="111"/>
      <c r="R197" s="230"/>
      <c r="T197" s="152">
        <f>+List346[[#This Row],[Pengajuan Donasi]]-List346[[#This Row],[Jumlah Transfer]]</f>
        <v>0</v>
      </c>
      <c r="U197" s="152"/>
    </row>
    <row r="198" spans="2:21" ht="30" customHeight="1" x14ac:dyDescent="0.2">
      <c r="B198" s="102"/>
      <c r="C198" s="67"/>
      <c r="D198" s="103"/>
      <c r="E198" s="14"/>
      <c r="F198" s="14"/>
      <c r="G198" s="15">
        <f>IFERROR(+VLOOKUP(D:D,'Data Base P.Asuhan &amp; Jompo'!B:I,7,0),0)</f>
        <v>0</v>
      </c>
      <c r="H198" s="258"/>
      <c r="I198" s="258">
        <f>List346[[#This Row],[Pengajuan Donasi]]</f>
        <v>0</v>
      </c>
      <c r="J198" s="214" t="str">
        <f>IF(List346[[#This Row],[Tanggal Trf]]&gt;0,"Done","-")</f>
        <v>-</v>
      </c>
      <c r="K198" s="440"/>
      <c r="L198" s="221"/>
      <c r="M198" s="105"/>
      <c r="N198" s="100">
        <f>MONTH(List346[[#This Row],[Tanggal Pengajuan]])</f>
        <v>1</v>
      </c>
      <c r="O198" s="183"/>
      <c r="P198" s="105"/>
      <c r="Q198" s="111"/>
      <c r="R198" s="230"/>
      <c r="T198" s="152">
        <f>+List346[[#This Row],[Pengajuan Donasi]]-List346[[#This Row],[Jumlah Transfer]]</f>
        <v>0</v>
      </c>
      <c r="U198" s="152"/>
    </row>
    <row r="199" spans="2:21" ht="30" customHeight="1" x14ac:dyDescent="0.2">
      <c r="B199" s="102"/>
      <c r="C199" s="67"/>
      <c r="D199" s="103"/>
      <c r="E199" s="14"/>
      <c r="F199" s="14"/>
      <c r="G199" s="15">
        <f>IFERROR(+VLOOKUP(D:D,'Data Base P.Asuhan &amp; Jompo'!B:I,7,0),0)</f>
        <v>0</v>
      </c>
      <c r="H199" s="258"/>
      <c r="I199" s="258">
        <f>List346[[#This Row],[Pengajuan Donasi]]</f>
        <v>0</v>
      </c>
      <c r="J199" s="214" t="str">
        <f>IF(List346[[#This Row],[Tanggal Trf]]&gt;0,"Done","-")</f>
        <v>-</v>
      </c>
      <c r="K199" s="440"/>
      <c r="L199" s="221"/>
      <c r="M199" s="105"/>
      <c r="N199" s="100">
        <f>MONTH(List346[[#This Row],[Tanggal Pengajuan]])</f>
        <v>1</v>
      </c>
      <c r="O199" s="183"/>
      <c r="P199" s="105"/>
      <c r="Q199" s="111"/>
      <c r="R199" s="230"/>
      <c r="T199" s="152">
        <f>+List346[[#This Row],[Pengajuan Donasi]]-List346[[#This Row],[Jumlah Transfer]]</f>
        <v>0</v>
      </c>
      <c r="U199" s="152"/>
    </row>
    <row r="200" spans="2:21" ht="30" customHeight="1" x14ac:dyDescent="0.2">
      <c r="B200" s="102"/>
      <c r="C200" s="67"/>
      <c r="D200" s="103"/>
      <c r="E200" s="14"/>
      <c r="F200" s="14"/>
      <c r="G200" s="15">
        <f>IFERROR(+VLOOKUP(D:D,'Data Base P.Asuhan &amp; Jompo'!B:I,7,0),0)</f>
        <v>0</v>
      </c>
      <c r="H200" s="258"/>
      <c r="I200" s="258">
        <f>List346[[#This Row],[Pengajuan Donasi]]</f>
        <v>0</v>
      </c>
      <c r="J200" s="214" t="str">
        <f>IF(List346[[#This Row],[Tanggal Trf]]&gt;0,"Done","-")</f>
        <v>-</v>
      </c>
      <c r="K200" s="440"/>
      <c r="L200" s="221"/>
      <c r="M200" s="105"/>
      <c r="N200" s="100">
        <f>MONTH(List346[[#This Row],[Tanggal Pengajuan]])</f>
        <v>1</v>
      </c>
      <c r="O200" s="183"/>
      <c r="P200" s="105"/>
      <c r="Q200" s="111"/>
      <c r="R200" s="230"/>
      <c r="T200" s="152">
        <f>+List346[[#This Row],[Pengajuan Donasi]]-List346[[#This Row],[Jumlah Transfer]]</f>
        <v>0</v>
      </c>
      <c r="U200" s="152"/>
    </row>
    <row r="201" spans="2:21" ht="30" customHeight="1" x14ac:dyDescent="0.2">
      <c r="B201" s="102"/>
      <c r="C201" s="67"/>
      <c r="D201" s="103"/>
      <c r="E201" s="14"/>
      <c r="F201" s="14"/>
      <c r="G201" s="15">
        <f>IFERROR(+VLOOKUP(D:D,'Data Base P.Asuhan &amp; Jompo'!B:I,7,0),0)</f>
        <v>0</v>
      </c>
      <c r="H201" s="258"/>
      <c r="I201" s="258">
        <f>List346[[#This Row],[Pengajuan Donasi]]</f>
        <v>0</v>
      </c>
      <c r="J201" s="213" t="str">
        <f>IF(List346[[#This Row],[Tanggal Trf]]&gt;0,"Done","-")</f>
        <v>-</v>
      </c>
      <c r="K201" s="437"/>
      <c r="L201" s="221"/>
      <c r="M201" s="100"/>
      <c r="N201" s="100">
        <f>MONTH(List346[[#This Row],[Tanggal Pengajuan]])</f>
        <v>1</v>
      </c>
      <c r="O201" s="183"/>
      <c r="P201" s="105"/>
      <c r="Q201" s="111"/>
      <c r="R201" s="230"/>
      <c r="T201" s="152">
        <f>+List346[[#This Row],[Pengajuan Donasi]]-List346[[#This Row],[Jumlah Transfer]]</f>
        <v>0</v>
      </c>
      <c r="U201" s="152"/>
    </row>
    <row r="202" spans="2:21" ht="30" customHeight="1" x14ac:dyDescent="0.2">
      <c r="B202" s="102"/>
      <c r="C202" s="67"/>
      <c r="D202" s="103"/>
      <c r="E202" s="103"/>
      <c r="F202" s="103"/>
      <c r="G202" s="15">
        <f>IFERROR(+VLOOKUP(D:D,'Data Base P.Asuhan &amp; Jompo'!B:I,7,0),0)</f>
        <v>0</v>
      </c>
      <c r="H202" s="267"/>
      <c r="I202" s="258">
        <f>List346[[#This Row],[Pengajuan Donasi]]</f>
        <v>0</v>
      </c>
      <c r="J202" s="214" t="str">
        <f>IF(List346[[#This Row],[Tanggal Trf]]&gt;0,"Done","-")</f>
        <v>-</v>
      </c>
      <c r="K202" s="440"/>
      <c r="L202" s="221"/>
      <c r="M202" s="105"/>
      <c r="N202" s="100">
        <f>MONTH(List346[[#This Row],[Tanggal Pengajuan]])</f>
        <v>1</v>
      </c>
      <c r="O202" s="183"/>
      <c r="P202" s="105"/>
      <c r="Q202" s="111"/>
      <c r="R202" s="230"/>
      <c r="T202" s="152">
        <f>+List346[[#This Row],[Pengajuan Donasi]]-List346[[#This Row],[Jumlah Transfer]]</f>
        <v>0</v>
      </c>
      <c r="U202" s="152"/>
    </row>
    <row r="203" spans="2:21" ht="30" customHeight="1" x14ac:dyDescent="0.2">
      <c r="B203" s="102"/>
      <c r="C203" s="67"/>
      <c r="D203" s="103"/>
      <c r="E203" s="14"/>
      <c r="F203" s="14"/>
      <c r="G203" s="15">
        <f>IFERROR(+VLOOKUP(D:D,'Data Base P.Asuhan &amp; Jompo'!B:I,7,0),0)</f>
        <v>0</v>
      </c>
      <c r="H203" s="258"/>
      <c r="I203" s="258">
        <f>List346[[#This Row],[Pengajuan Donasi]]</f>
        <v>0</v>
      </c>
      <c r="J203" s="213" t="str">
        <f>IF(List346[[#This Row],[Tanggal Trf]]&gt;0,"Done","-")</f>
        <v>-</v>
      </c>
      <c r="K203" s="437"/>
      <c r="L203" s="221"/>
      <c r="M203" s="100"/>
      <c r="N203" s="100">
        <f>MONTH(List346[[#This Row],[Tanggal Pengajuan]])</f>
        <v>1</v>
      </c>
      <c r="O203" s="183"/>
      <c r="P203" s="105"/>
      <c r="Q203" s="111"/>
      <c r="R203" s="230"/>
      <c r="T203" s="152">
        <f>+List346[[#This Row],[Pengajuan Donasi]]-List346[[#This Row],[Jumlah Transfer]]</f>
        <v>0</v>
      </c>
      <c r="U203" s="152"/>
    </row>
    <row r="204" spans="2:21" ht="30" customHeight="1" x14ac:dyDescent="0.2">
      <c r="B204" s="102"/>
      <c r="C204" s="67"/>
      <c r="D204" s="14"/>
      <c r="E204" s="14"/>
      <c r="F204" s="14"/>
      <c r="G204" s="15">
        <f>IFERROR(+VLOOKUP(D:D,'Data Base P.Asuhan &amp; Jompo'!B:I,7,0),0)</f>
        <v>0</v>
      </c>
      <c r="H204" s="267"/>
      <c r="I204" s="258">
        <f>List346[[#This Row],[Pengajuan Donasi]]</f>
        <v>0</v>
      </c>
      <c r="J204" s="213" t="str">
        <f>IF(List346[[#This Row],[Tanggal Trf]]&gt;0,"Done","-")</f>
        <v>-</v>
      </c>
      <c r="K204" s="437"/>
      <c r="L204" s="221"/>
      <c r="M204" s="105"/>
      <c r="N204" s="100">
        <f>MONTH(List346[[#This Row],[Tanggal Pengajuan]])</f>
        <v>1</v>
      </c>
      <c r="O204" s="183"/>
      <c r="P204" s="105"/>
      <c r="Q204" s="151"/>
      <c r="R204" s="230"/>
      <c r="T204" s="152">
        <f>+List346[[#This Row],[Pengajuan Donasi]]-List346[[#This Row],[Jumlah Transfer]]</f>
        <v>0</v>
      </c>
      <c r="U204" s="152"/>
    </row>
    <row r="205" spans="2:21" ht="30" customHeight="1" x14ac:dyDescent="0.2">
      <c r="B205" s="102"/>
      <c r="C205" s="67"/>
      <c r="D205" s="103"/>
      <c r="E205" s="103"/>
      <c r="F205" s="103"/>
      <c r="G205" s="15">
        <f>IFERROR(+VLOOKUP(D:D,'Data Base P.Asuhan &amp; Jompo'!B:I,7,0),0)</f>
        <v>0</v>
      </c>
      <c r="H205" s="267"/>
      <c r="I205" s="258">
        <f>List346[[#This Row],[Pengajuan Donasi]]</f>
        <v>0</v>
      </c>
      <c r="J205" s="214" t="str">
        <f>IF(List346[[#This Row],[Tanggal Trf]]&gt;0,"Done","-")</f>
        <v>-</v>
      </c>
      <c r="K205" s="437"/>
      <c r="L205" s="221"/>
      <c r="M205" s="105"/>
      <c r="N205" s="100">
        <f>MONTH(List346[[#This Row],[Tanggal Pengajuan]])</f>
        <v>1</v>
      </c>
      <c r="O205" s="183"/>
      <c r="P205" s="105"/>
      <c r="Q205" s="111"/>
      <c r="R205" s="230"/>
      <c r="T205" s="152">
        <f>+List346[[#This Row],[Pengajuan Donasi]]-List346[[#This Row],[Jumlah Transfer]]</f>
        <v>0</v>
      </c>
      <c r="U205" s="152"/>
    </row>
    <row r="206" spans="2:21" ht="30" customHeight="1" x14ac:dyDescent="0.2">
      <c r="B206" s="102"/>
      <c r="C206" s="67"/>
      <c r="D206" s="14"/>
      <c r="E206" s="14"/>
      <c r="F206" s="14"/>
      <c r="G206" s="15">
        <f>IFERROR(+VLOOKUP(D:D,'Data Base P.Asuhan &amp; Jompo'!B:I,7,0),0)</f>
        <v>0</v>
      </c>
      <c r="H206" s="258"/>
      <c r="I206" s="258">
        <f>List346[[#This Row],[Pengajuan Donasi]]</f>
        <v>0</v>
      </c>
      <c r="J206" s="214" t="str">
        <f>IF(List346[[#This Row],[Tanggal Trf]]&gt;0,"Done","-")</f>
        <v>-</v>
      </c>
      <c r="K206" s="437"/>
      <c r="L206" s="221"/>
      <c r="M206" s="105"/>
      <c r="N206" s="100">
        <f>MONTH(List346[[#This Row],[Tanggal Pengajuan]])</f>
        <v>1</v>
      </c>
      <c r="O206" s="183"/>
      <c r="P206" s="105"/>
      <c r="Q206" s="111"/>
      <c r="R206" s="230"/>
      <c r="T206" s="152">
        <f>+List346[[#This Row],[Pengajuan Donasi]]-List346[[#This Row],[Jumlah Transfer]]</f>
        <v>0</v>
      </c>
      <c r="U206" s="152"/>
    </row>
    <row r="207" spans="2:21" ht="30" customHeight="1" x14ac:dyDescent="0.2">
      <c r="B207" s="102"/>
      <c r="C207" s="67"/>
      <c r="D207" s="14"/>
      <c r="E207" s="14"/>
      <c r="F207" s="14"/>
      <c r="G207" s="15">
        <f>IFERROR(+VLOOKUP(D:D,'Data Base P.Asuhan &amp; Jompo'!B:I,7,0),0)</f>
        <v>0</v>
      </c>
      <c r="H207" s="377"/>
      <c r="I207" s="258">
        <f>List346[[#This Row],[Pengajuan Donasi]]</f>
        <v>0</v>
      </c>
      <c r="J207" s="213" t="str">
        <f>IF(List346[[#This Row],[Tanggal Trf]]&gt;0,"Done","-")</f>
        <v>-</v>
      </c>
      <c r="K207" s="437"/>
      <c r="L207" s="221"/>
      <c r="M207" s="66"/>
      <c r="N207" s="100">
        <f>MONTH(List346[[#This Row],[Tanggal Pengajuan]])</f>
        <v>1</v>
      </c>
      <c r="O207" s="183"/>
      <c r="P207" s="105"/>
      <c r="Q207" s="111"/>
      <c r="R207" s="230"/>
      <c r="T207" s="152">
        <f>+List346[[#This Row],[Pengajuan Donasi]]-List346[[#This Row],[Jumlah Transfer]]</f>
        <v>0</v>
      </c>
      <c r="U207" s="152"/>
    </row>
    <row r="208" spans="2:21" ht="30" customHeight="1" x14ac:dyDescent="0.2">
      <c r="B208" s="102"/>
      <c r="C208" s="67"/>
      <c r="D208" s="14"/>
      <c r="E208" s="14"/>
      <c r="F208" s="14"/>
      <c r="G208" s="15">
        <f>IFERROR(+VLOOKUP(D:D,'Data Base P.Asuhan &amp; Jompo'!B:I,7,0),0)</f>
        <v>0</v>
      </c>
      <c r="H208" s="991"/>
      <c r="I208" s="258">
        <f>List346[[#This Row],[Pengajuan Donasi]]</f>
        <v>0</v>
      </c>
      <c r="J208" s="213" t="str">
        <f>IF(List346[[#This Row],[Tanggal Trf]]&gt;0,"Done","-")</f>
        <v>-</v>
      </c>
      <c r="K208" s="437"/>
      <c r="L208" s="221"/>
      <c r="M208" s="748"/>
      <c r="N208" s="100">
        <f>MONTH(List346[[#This Row],[Tanggal Pengajuan]])</f>
        <v>1</v>
      </c>
      <c r="O208" s="183"/>
      <c r="P208" s="100"/>
      <c r="Q208" s="111"/>
      <c r="R208" s="230"/>
      <c r="T208" s="152">
        <f>+List346[[#This Row],[Pengajuan Donasi]]-List346[[#This Row],[Jumlah Transfer]]</f>
        <v>0</v>
      </c>
      <c r="U208" s="152"/>
    </row>
    <row r="209" spans="2:21" ht="30" customHeight="1" x14ac:dyDescent="0.2">
      <c r="B209" s="102"/>
      <c r="C209" s="67"/>
      <c r="D209" s="14"/>
      <c r="E209" s="14"/>
      <c r="F209" s="14"/>
      <c r="G209" s="15">
        <f>IFERROR(+VLOOKUP(D:D,'Data Base P.Asuhan &amp; Jompo'!B:I,7,0),0)</f>
        <v>0</v>
      </c>
      <c r="H209" s="377"/>
      <c r="I209" s="258">
        <f>List346[[#This Row],[Pengajuan Donasi]]</f>
        <v>0</v>
      </c>
      <c r="J209" s="213" t="str">
        <f>IF(List346[[#This Row],[Tanggal Trf]]&gt;0,"Done","-")</f>
        <v>-</v>
      </c>
      <c r="K209" s="437"/>
      <c r="L209" s="221"/>
      <c r="M209" s="14"/>
      <c r="N209" s="100">
        <f>MONTH(List346[[#This Row],[Tanggal Pengajuan]])</f>
        <v>1</v>
      </c>
      <c r="O209" s="183"/>
      <c r="P209" s="100"/>
      <c r="Q209" s="111"/>
      <c r="R209" s="230"/>
      <c r="T209" s="152">
        <f>+List346[[#This Row],[Pengajuan Donasi]]-List346[[#This Row],[Jumlah Transfer]]</f>
        <v>0</v>
      </c>
      <c r="U209" s="152"/>
    </row>
    <row r="210" spans="2:21" ht="30" customHeight="1" x14ac:dyDescent="0.2">
      <c r="B210" s="102"/>
      <c r="C210" s="67"/>
      <c r="D210" s="14"/>
      <c r="E210" s="14"/>
      <c r="F210" s="14"/>
      <c r="G210" s="15">
        <f>IFERROR(+VLOOKUP(D:D,'Data Base P.Asuhan &amp; Jompo'!B:I,7,0),0)</f>
        <v>0</v>
      </c>
      <c r="H210" s="991"/>
      <c r="I210" s="258">
        <f>List346[[#This Row],[Pengajuan Donasi]]</f>
        <v>0</v>
      </c>
      <c r="J210" s="213" t="str">
        <f>IF(List346[[#This Row],[Tanggal Trf]]&gt;0,"Done","-")</f>
        <v>-</v>
      </c>
      <c r="K210" s="437"/>
      <c r="L210" s="221"/>
      <c r="M210" s="748"/>
      <c r="N210" s="100">
        <f>MONTH(List346[[#This Row],[Tanggal Pengajuan]])</f>
        <v>1</v>
      </c>
      <c r="O210" s="183"/>
      <c r="P210" s="100"/>
      <c r="Q210" s="111"/>
      <c r="R210" s="230"/>
      <c r="T210" s="152">
        <f>+List346[[#This Row],[Pengajuan Donasi]]-List346[[#This Row],[Jumlah Transfer]]</f>
        <v>0</v>
      </c>
      <c r="U210" s="152"/>
    </row>
    <row r="211" spans="2:21" ht="30" customHeight="1" x14ac:dyDescent="0.2">
      <c r="B211" s="102"/>
      <c r="C211" s="67"/>
      <c r="D211" s="14"/>
      <c r="E211" s="14"/>
      <c r="F211" s="14"/>
      <c r="G211" s="15">
        <f>IFERROR(+VLOOKUP(D:D,'Data Base P.Asuhan &amp; Jompo'!B:I,7,0),0)</f>
        <v>0</v>
      </c>
      <c r="H211" s="377"/>
      <c r="I211" s="258">
        <f>List346[[#This Row],[Pengajuan Donasi]]</f>
        <v>0</v>
      </c>
      <c r="J211" s="213" t="str">
        <f>IF(List346[[#This Row],[Tanggal Trf]]&gt;0,"Done","-")</f>
        <v>-</v>
      </c>
      <c r="K211" s="437"/>
      <c r="L211" s="221"/>
      <c r="M211" s="14"/>
      <c r="N211" s="100">
        <f>MONTH(List346[[#This Row],[Tanggal Pengajuan]])</f>
        <v>1</v>
      </c>
      <c r="O211" s="183"/>
      <c r="P211" s="105"/>
      <c r="Q211" s="111"/>
      <c r="R211" s="230"/>
      <c r="T211" s="152">
        <f>+List346[[#This Row],[Pengajuan Donasi]]-List346[[#This Row],[Jumlah Transfer]]</f>
        <v>0</v>
      </c>
      <c r="U211" s="152"/>
    </row>
    <row r="212" spans="2:21" ht="30" customHeight="1" x14ac:dyDescent="0.2">
      <c r="B212" s="102"/>
      <c r="C212" s="67"/>
      <c r="D212" s="14"/>
      <c r="E212" s="14"/>
      <c r="F212" s="14"/>
      <c r="G212" s="15">
        <f>IFERROR(+VLOOKUP(D:D,'Data Base P.Asuhan &amp; Jompo'!B:I,7,0),0)</f>
        <v>0</v>
      </c>
      <c r="H212" s="991"/>
      <c r="I212" s="258">
        <f>List346[[#This Row],[Pengajuan Donasi]]</f>
        <v>0</v>
      </c>
      <c r="J212" s="213" t="str">
        <f>IF(List346[[#This Row],[Tanggal Trf]]&gt;0,"Done","-")</f>
        <v>-</v>
      </c>
      <c r="K212" s="437"/>
      <c r="L212" s="221"/>
      <c r="M212" s="748"/>
      <c r="N212" s="100">
        <f>MONTH(List346[[#This Row],[Tanggal Pengajuan]])</f>
        <v>1</v>
      </c>
      <c r="O212" s="183"/>
      <c r="P212" s="100"/>
      <c r="Q212" s="111"/>
      <c r="R212" s="230"/>
      <c r="T212" s="152">
        <f>+List346[[#This Row],[Pengajuan Donasi]]-List346[[#This Row],[Jumlah Transfer]]</f>
        <v>0</v>
      </c>
      <c r="U212" s="152"/>
    </row>
    <row r="213" spans="2:21" ht="30" customHeight="1" x14ac:dyDescent="0.2">
      <c r="B213" s="102"/>
      <c r="C213" s="67"/>
      <c r="D213" s="14"/>
      <c r="E213" s="14"/>
      <c r="F213" s="14"/>
      <c r="G213" s="15">
        <f>IFERROR(+VLOOKUP(D:D,'Data Base P.Asuhan &amp; Jompo'!B:I,7,0),0)</f>
        <v>0</v>
      </c>
      <c r="H213" s="377"/>
      <c r="I213" s="258">
        <f>List346[[#This Row],[Pengajuan Donasi]]</f>
        <v>0</v>
      </c>
      <c r="J213" s="213" t="str">
        <f>IF(List346[[#This Row],[Tanggal Trf]]&gt;0,"Done","-")</f>
        <v>-</v>
      </c>
      <c r="K213" s="437"/>
      <c r="L213" s="221"/>
      <c r="M213" s="14"/>
      <c r="N213" s="100">
        <f>MONTH(List346[[#This Row],[Tanggal Pengajuan]])</f>
        <v>1</v>
      </c>
      <c r="O213" s="183"/>
      <c r="P213" s="100"/>
      <c r="Q213" s="111"/>
      <c r="R213" s="230"/>
      <c r="T213" s="152">
        <f>+List346[[#This Row],[Pengajuan Donasi]]-List346[[#This Row],[Jumlah Transfer]]</f>
        <v>0</v>
      </c>
      <c r="U213" s="152"/>
    </row>
    <row r="214" spans="2:21" ht="30" customHeight="1" x14ac:dyDescent="0.2">
      <c r="B214" s="102"/>
      <c r="C214" s="67"/>
      <c r="D214" s="14"/>
      <c r="E214" s="14"/>
      <c r="F214" s="14"/>
      <c r="G214" s="15">
        <f>IFERROR(+VLOOKUP(D:D,'Data Base P.Asuhan &amp; Jompo'!B:I,7,0),0)</f>
        <v>0</v>
      </c>
      <c r="H214" s="991"/>
      <c r="I214" s="258">
        <f>List346[[#This Row],[Pengajuan Donasi]]</f>
        <v>0</v>
      </c>
      <c r="J214" s="213" t="str">
        <f>IF(List346[[#This Row],[Tanggal Trf]]&gt;0,"Done","-")</f>
        <v>-</v>
      </c>
      <c r="K214" s="437"/>
      <c r="L214" s="221"/>
      <c r="M214" s="748"/>
      <c r="N214" s="100">
        <f>MONTH(List346[[#This Row],[Tanggal Pengajuan]])</f>
        <v>1</v>
      </c>
      <c r="O214" s="183"/>
      <c r="P214" s="100"/>
      <c r="Q214" s="111"/>
      <c r="R214" s="230"/>
      <c r="T214" s="152">
        <f>+List346[[#This Row],[Pengajuan Donasi]]-List346[[#This Row],[Jumlah Transfer]]</f>
        <v>0</v>
      </c>
      <c r="U214" s="152"/>
    </row>
    <row r="215" spans="2:21" ht="30" customHeight="1" x14ac:dyDescent="0.2">
      <c r="B215" s="102"/>
      <c r="C215" s="67"/>
      <c r="D215" s="14"/>
      <c r="E215" s="14"/>
      <c r="F215" s="14"/>
      <c r="G215" s="15">
        <f>IFERROR(+VLOOKUP(D:D,'Data Base P.Asuhan &amp; Jompo'!B:I,7,0),0)</f>
        <v>0</v>
      </c>
      <c r="H215" s="377"/>
      <c r="I215" s="258">
        <f>List346[[#This Row],[Pengajuan Donasi]]</f>
        <v>0</v>
      </c>
      <c r="J215" s="213" t="str">
        <f>IF(List346[[#This Row],[Tanggal Trf]]&gt;0,"Done","-")</f>
        <v>-</v>
      </c>
      <c r="K215" s="437"/>
      <c r="L215" s="221"/>
      <c r="M215" s="14"/>
      <c r="N215" s="100">
        <f>MONTH(List346[[#This Row],[Tanggal Pengajuan]])</f>
        <v>1</v>
      </c>
      <c r="O215" s="183"/>
      <c r="P215" s="100"/>
      <c r="Q215" s="111"/>
      <c r="R215" s="230"/>
      <c r="T215" s="152">
        <f>+List346[[#This Row],[Pengajuan Donasi]]-List346[[#This Row],[Jumlah Transfer]]</f>
        <v>0</v>
      </c>
      <c r="U215" s="152"/>
    </row>
    <row r="216" spans="2:21" ht="30" customHeight="1" x14ac:dyDescent="0.2">
      <c r="B216" s="102"/>
      <c r="C216" s="67"/>
      <c r="D216" s="14"/>
      <c r="E216" s="14"/>
      <c r="F216" s="14"/>
      <c r="G216" s="15">
        <f>IFERROR(+VLOOKUP(D:D,'Data Base P.Asuhan &amp; Jompo'!B:I,7,0),0)</f>
        <v>0</v>
      </c>
      <c r="H216" s="991"/>
      <c r="I216" s="258">
        <f>List346[[#This Row],[Pengajuan Donasi]]</f>
        <v>0</v>
      </c>
      <c r="J216" s="213" t="str">
        <f>IF(List346[[#This Row],[Tanggal Trf]]&gt;0,"Done","-")</f>
        <v>-</v>
      </c>
      <c r="K216" s="437"/>
      <c r="L216" s="221"/>
      <c r="M216" s="748"/>
      <c r="N216" s="100">
        <f>MONTH(List346[[#This Row],[Tanggal Pengajuan]])</f>
        <v>1</v>
      </c>
      <c r="O216" s="183"/>
      <c r="P216" s="105"/>
      <c r="Q216" s="111"/>
      <c r="R216" s="230"/>
      <c r="T216" s="152">
        <f>+List346[[#This Row],[Pengajuan Donasi]]-List346[[#This Row],[Jumlah Transfer]]</f>
        <v>0</v>
      </c>
      <c r="U216" s="152"/>
    </row>
    <row r="217" spans="2:21" ht="30" customHeight="1" x14ac:dyDescent="0.2">
      <c r="B217" s="102"/>
      <c r="C217" s="67"/>
      <c r="D217" s="14"/>
      <c r="E217" s="14"/>
      <c r="F217" s="14"/>
      <c r="G217" s="15">
        <f>IFERROR(+VLOOKUP(D:D,'Data Base P.Asuhan &amp; Jompo'!B:I,7,0),0)</f>
        <v>0</v>
      </c>
      <c r="H217" s="377"/>
      <c r="I217" s="258">
        <f>List346[[#This Row],[Pengajuan Donasi]]</f>
        <v>0</v>
      </c>
      <c r="J217" s="213" t="str">
        <f>IF(List346[[#This Row],[Tanggal Trf]]&gt;0,"Done","-")</f>
        <v>-</v>
      </c>
      <c r="K217" s="437"/>
      <c r="L217" s="221"/>
      <c r="M217" s="14"/>
      <c r="N217" s="100">
        <f>MONTH(List346[[#This Row],[Tanggal Pengajuan]])</f>
        <v>1</v>
      </c>
      <c r="O217" s="183"/>
      <c r="P217" s="105"/>
      <c r="Q217" s="111"/>
      <c r="R217" s="230"/>
      <c r="T217" s="152">
        <f>+List346[[#This Row],[Pengajuan Donasi]]-List346[[#This Row],[Jumlah Transfer]]</f>
        <v>0</v>
      </c>
      <c r="U217" s="152"/>
    </row>
    <row r="218" spans="2:21" ht="30" customHeight="1" x14ac:dyDescent="0.2">
      <c r="B218" s="102"/>
      <c r="C218" s="181"/>
      <c r="D218" s="14"/>
      <c r="E218" s="14"/>
      <c r="F218" s="14"/>
      <c r="G218" s="15">
        <f>IFERROR(+VLOOKUP(D:D,'Data Base P.Asuhan &amp; Jompo'!B:I,7,0),0)</f>
        <v>0</v>
      </c>
      <c r="H218" s="991"/>
      <c r="I218" s="258">
        <f>List346[[#This Row],[Pengajuan Donasi]]</f>
        <v>0</v>
      </c>
      <c r="J218" s="215" t="str">
        <f>IF(List346[[#This Row],[Tanggal Trf]]&gt;0,"Done","-")</f>
        <v>-</v>
      </c>
      <c r="K218" s="438"/>
      <c r="L218" s="221"/>
      <c r="M218" s="748"/>
      <c r="N218" s="20">
        <f>MONTH(List346[[#This Row],[Tanggal Pengajuan]])</f>
        <v>1</v>
      </c>
      <c r="O218" s="183"/>
      <c r="P218" s="105"/>
      <c r="Q218" s="198"/>
      <c r="R218" s="230"/>
      <c r="T218" s="152">
        <f>+List346[[#This Row],[Pengajuan Donasi]]-List346[[#This Row],[Jumlah Transfer]]</f>
        <v>0</v>
      </c>
      <c r="U218" s="152"/>
    </row>
    <row r="219" spans="2:21" ht="30" customHeight="1" x14ac:dyDescent="0.2">
      <c r="B219" s="102"/>
      <c r="C219" s="67"/>
      <c r="D219" s="14"/>
      <c r="E219" s="14"/>
      <c r="F219" s="14"/>
      <c r="G219" s="15">
        <f>IFERROR(+VLOOKUP(D:D,'Data Base P.Asuhan &amp; Jompo'!B:I,7,0),0)</f>
        <v>0</v>
      </c>
      <c r="H219" s="377"/>
      <c r="I219" s="258">
        <f>List346[[#This Row],[Pengajuan Donasi]]</f>
        <v>0</v>
      </c>
      <c r="J219" s="213" t="str">
        <f>IF(List346[[#This Row],[Tanggal Trf]]&gt;0,"Done","-")</f>
        <v>-</v>
      </c>
      <c r="K219" s="437"/>
      <c r="L219" s="221"/>
      <c r="M219" s="18"/>
      <c r="N219" s="100">
        <f>MONTH(List346[[#This Row],[Tanggal Pengajuan]])</f>
        <v>1</v>
      </c>
      <c r="O219" s="183"/>
      <c r="P219" s="105"/>
      <c r="Q219" s="111"/>
      <c r="R219" s="230"/>
      <c r="T219" s="152">
        <f>+List346[[#This Row],[Pengajuan Donasi]]-List346[[#This Row],[Jumlah Transfer]]</f>
        <v>0</v>
      </c>
      <c r="U219" s="152"/>
    </row>
    <row r="220" spans="2:21" ht="30" customHeight="1" x14ac:dyDescent="0.2">
      <c r="B220" s="102"/>
      <c r="C220" s="67"/>
      <c r="D220" s="14"/>
      <c r="E220" s="14"/>
      <c r="F220" s="14"/>
      <c r="G220" s="15">
        <f>IFERROR(+VLOOKUP(D:D,'Data Base P.Asuhan &amp; Jompo'!B:I,7,0),0)</f>
        <v>0</v>
      </c>
      <c r="H220" s="258"/>
      <c r="I220" s="258">
        <f>List346[[#This Row],[Pengajuan Donasi]]</f>
        <v>0</v>
      </c>
      <c r="J220" s="213" t="str">
        <f>IF(List346[[#This Row],[Tanggal Trf]]&gt;0,"Done","-")</f>
        <v>-</v>
      </c>
      <c r="K220" s="437"/>
      <c r="L220" s="221"/>
      <c r="M220" s="100"/>
      <c r="N220" s="100">
        <f>MONTH(List346[[#This Row],[Tanggal Pengajuan]])</f>
        <v>1</v>
      </c>
      <c r="O220" s="183"/>
      <c r="P220" s="100"/>
      <c r="Q220" s="111"/>
      <c r="R220" s="230"/>
      <c r="T220" s="152">
        <f>+List346[[#This Row],[Pengajuan Donasi]]-List346[[#This Row],[Jumlah Transfer]]</f>
        <v>0</v>
      </c>
      <c r="U220" s="152"/>
    </row>
    <row r="221" spans="2:21" ht="30" customHeight="1" x14ac:dyDescent="0.2">
      <c r="B221" s="102"/>
      <c r="C221" s="67"/>
      <c r="D221" s="14"/>
      <c r="E221" s="103"/>
      <c r="F221" s="14"/>
      <c r="G221" s="15">
        <f>IFERROR(+VLOOKUP(D:D,'Data Base P.Asuhan &amp; Jompo'!B:I,7,0),0)</f>
        <v>0</v>
      </c>
      <c r="H221" s="258"/>
      <c r="I221" s="258">
        <f>List346[[#This Row],[Pengajuan Donasi]]</f>
        <v>0</v>
      </c>
      <c r="J221" s="213" t="str">
        <f>IF(List346[[#This Row],[Tanggal Trf]]&gt;0,"Done","-")</f>
        <v>-</v>
      </c>
      <c r="K221" s="437"/>
      <c r="L221" s="221"/>
      <c r="M221" s="100"/>
      <c r="N221" s="100">
        <f>MONTH(List346[[#This Row],[Tanggal Pengajuan]])</f>
        <v>1</v>
      </c>
      <c r="O221" s="183"/>
      <c r="P221" s="100"/>
      <c r="Q221" s="111"/>
      <c r="R221" s="230"/>
      <c r="T221" s="152">
        <f>+List346[[#This Row],[Pengajuan Donasi]]-List346[[#This Row],[Jumlah Transfer]]</f>
        <v>0</v>
      </c>
      <c r="U221" s="152"/>
    </row>
    <row r="222" spans="2:21" ht="30" customHeight="1" x14ac:dyDescent="0.2">
      <c r="B222" s="102"/>
      <c r="C222" s="67"/>
      <c r="D222" s="14"/>
      <c r="E222" s="14"/>
      <c r="F222" s="14"/>
      <c r="G222" s="15">
        <f>IFERROR(+VLOOKUP(D:D,'Data Base P.Asuhan &amp; Jompo'!B:I,7,0),0)</f>
        <v>0</v>
      </c>
      <c r="H222" s="258"/>
      <c r="I222" s="258">
        <f>List346[[#This Row],[Pengajuan Donasi]]</f>
        <v>0</v>
      </c>
      <c r="J222" s="213" t="str">
        <f>IF(List346[[#This Row],[Tanggal Trf]]&gt;0,"Done","-")</f>
        <v>-</v>
      </c>
      <c r="K222" s="437"/>
      <c r="L222" s="221"/>
      <c r="M222" s="100"/>
      <c r="N222" s="100">
        <f>MONTH(List346[[#This Row],[Tanggal Pengajuan]])</f>
        <v>1</v>
      </c>
      <c r="O222" s="183"/>
      <c r="P222" s="100"/>
      <c r="Q222" s="111"/>
      <c r="R222" s="230"/>
      <c r="T222" s="152">
        <f>+List346[[#This Row],[Pengajuan Donasi]]-List346[[#This Row],[Jumlah Transfer]]</f>
        <v>0</v>
      </c>
      <c r="U222" s="152"/>
    </row>
    <row r="223" spans="2:21" ht="30" customHeight="1" x14ac:dyDescent="0.2">
      <c r="B223" s="102"/>
      <c r="C223" s="67"/>
      <c r="D223" s="103"/>
      <c r="E223" s="103"/>
      <c r="F223" s="103"/>
      <c r="G223" s="15">
        <f>IFERROR(+VLOOKUP(D:D,'Data Base P.Asuhan &amp; Jompo'!B:I,7,0),0)</f>
        <v>0</v>
      </c>
      <c r="H223" s="267"/>
      <c r="I223" s="258">
        <f>List346[[#This Row],[Pengajuan Donasi]]</f>
        <v>0</v>
      </c>
      <c r="J223" s="214" t="str">
        <f>IF(List346[[#This Row],[Tanggal Trf]]&gt;0,"Done","-")</f>
        <v>-</v>
      </c>
      <c r="K223" s="437"/>
      <c r="L223" s="221"/>
      <c r="M223" s="105"/>
      <c r="N223" s="100">
        <f>MONTH(List346[[#This Row],[Tanggal Pengajuan]])</f>
        <v>1</v>
      </c>
      <c r="O223" s="183"/>
      <c r="P223" s="105"/>
      <c r="Q223" s="111"/>
      <c r="R223" s="230"/>
      <c r="T223" s="152">
        <f>+List346[[#This Row],[Pengajuan Donasi]]-List346[[#This Row],[Jumlah Transfer]]</f>
        <v>0</v>
      </c>
      <c r="U223" s="152"/>
    </row>
    <row r="224" spans="2:21" ht="30" customHeight="1" x14ac:dyDescent="0.2">
      <c r="B224" s="102"/>
      <c r="C224" s="67"/>
      <c r="D224" s="103"/>
      <c r="E224" s="103"/>
      <c r="F224" s="103"/>
      <c r="G224" s="15">
        <f>IFERROR(+VLOOKUP(D:D,'Data Base P.Asuhan &amp; Jompo'!B:I,7,0),0)</f>
        <v>0</v>
      </c>
      <c r="H224" s="258"/>
      <c r="I224" s="258">
        <f>List346[[#This Row],[Pengajuan Donasi]]</f>
        <v>0</v>
      </c>
      <c r="J224" s="213" t="str">
        <f>IF(List346[[#This Row],[Tanggal Trf]]&gt;0,"Done","-")</f>
        <v>-</v>
      </c>
      <c r="K224" s="437"/>
      <c r="L224" s="221"/>
      <c r="M224" s="100"/>
      <c r="N224" s="100">
        <f>MONTH(List346[[#This Row],[Tanggal Pengajuan]])</f>
        <v>1</v>
      </c>
      <c r="O224" s="183"/>
      <c r="P224" s="105"/>
      <c r="Q224" s="111"/>
      <c r="R224" s="230"/>
      <c r="T224" s="152">
        <f>+List346[[#This Row],[Pengajuan Donasi]]-List346[[#This Row],[Jumlah Transfer]]</f>
        <v>0</v>
      </c>
      <c r="U224" s="152"/>
    </row>
    <row r="225" spans="2:21" ht="30" customHeight="1" x14ac:dyDescent="0.2">
      <c r="B225" s="102"/>
      <c r="C225" s="67"/>
      <c r="D225" s="14"/>
      <c r="E225" s="103"/>
      <c r="F225" s="103"/>
      <c r="G225" s="15">
        <f>IFERROR(+VLOOKUP(D:D,'Data Base P.Asuhan &amp; Jompo'!B:I,7,0),0)</f>
        <v>0</v>
      </c>
      <c r="H225" s="258"/>
      <c r="I225" s="258">
        <f>List346[[#This Row],[Pengajuan Donasi]]</f>
        <v>0</v>
      </c>
      <c r="J225" s="213" t="str">
        <f>IF(List346[[#This Row],[Tanggal Trf]]&gt;0,"Done","-")</f>
        <v>-</v>
      </c>
      <c r="K225" s="437"/>
      <c r="L225" s="221"/>
      <c r="M225" s="105"/>
      <c r="N225" s="100">
        <f>MONTH(List346[[#This Row],[Tanggal Pengajuan]])</f>
        <v>1</v>
      </c>
      <c r="O225" s="183"/>
      <c r="P225" s="105"/>
      <c r="Q225" s="111"/>
      <c r="R225" s="230"/>
      <c r="T225" s="152">
        <f>+List346[[#This Row],[Pengajuan Donasi]]-List346[[#This Row],[Jumlah Transfer]]</f>
        <v>0</v>
      </c>
      <c r="U225" s="152"/>
    </row>
    <row r="226" spans="2:21" ht="30" customHeight="1" x14ac:dyDescent="0.2">
      <c r="B226" s="102"/>
      <c r="C226" s="67"/>
      <c r="D226" s="103"/>
      <c r="E226" s="14"/>
      <c r="F226" s="14"/>
      <c r="G226" s="15">
        <f>IFERROR(+VLOOKUP(D:D,'Data Base P.Asuhan &amp; Jompo'!B:I,7,0),0)</f>
        <v>0</v>
      </c>
      <c r="H226" s="258"/>
      <c r="I226" s="258">
        <f>List346[[#This Row],[Pengajuan Donasi]]</f>
        <v>0</v>
      </c>
      <c r="J226" s="213" t="str">
        <f>IF(List346[[#This Row],[Tanggal Trf]]&gt;0,"Done","-")</f>
        <v>-</v>
      </c>
      <c r="K226" s="437"/>
      <c r="L226" s="221"/>
      <c r="M226" s="105"/>
      <c r="N226" s="100">
        <f>MONTH(List346[[#This Row],[Tanggal Pengajuan]])</f>
        <v>1</v>
      </c>
      <c r="O226" s="183"/>
      <c r="P226" s="105"/>
      <c r="Q226" s="111"/>
      <c r="R226" s="230"/>
      <c r="T226" s="152">
        <f>+List346[[#This Row],[Pengajuan Donasi]]-List346[[#This Row],[Jumlah Transfer]]</f>
        <v>0</v>
      </c>
      <c r="U226" s="152"/>
    </row>
    <row r="227" spans="2:21" ht="30" customHeight="1" x14ac:dyDescent="0.2">
      <c r="B227" s="102"/>
      <c r="C227" s="67"/>
      <c r="D227" s="103"/>
      <c r="E227" s="14"/>
      <c r="F227" s="14"/>
      <c r="G227" s="15">
        <f>IFERROR(+VLOOKUP(D:D,'Data Base P.Asuhan &amp; Jompo'!B:I,7,0),0)</f>
        <v>0</v>
      </c>
      <c r="H227" s="258"/>
      <c r="I227" s="258">
        <f>List346[[#This Row],[Pengajuan Donasi]]</f>
        <v>0</v>
      </c>
      <c r="J227" s="213" t="str">
        <f>IF(List346[[#This Row],[Tanggal Trf]]&gt;0,"Done","-")</f>
        <v>-</v>
      </c>
      <c r="K227" s="437"/>
      <c r="L227" s="221"/>
      <c r="M227" s="100"/>
      <c r="N227" s="100">
        <f>MONTH(List346[[#This Row],[Tanggal Pengajuan]])</f>
        <v>1</v>
      </c>
      <c r="O227" s="183"/>
      <c r="P227" s="105"/>
      <c r="Q227" s="111"/>
      <c r="R227" s="230"/>
      <c r="T227" s="152">
        <f>+List346[[#This Row],[Pengajuan Donasi]]-List346[[#This Row],[Jumlah Transfer]]</f>
        <v>0</v>
      </c>
      <c r="U227" s="152"/>
    </row>
    <row r="228" spans="2:21" ht="30" customHeight="1" x14ac:dyDescent="0.2">
      <c r="B228" s="102"/>
      <c r="C228" s="67"/>
      <c r="D228" s="103"/>
      <c r="E228" s="14"/>
      <c r="F228" s="14"/>
      <c r="G228" s="15">
        <f>IFERROR(+VLOOKUP(D:D,'Data Base P.Asuhan &amp; Jompo'!B:I,7,0),0)</f>
        <v>0</v>
      </c>
      <c r="H228" s="258"/>
      <c r="I228" s="258">
        <f>List346[[#This Row],[Pengajuan Donasi]]</f>
        <v>0</v>
      </c>
      <c r="J228" s="213" t="str">
        <f>IF(List346[[#This Row],[Tanggal Trf]]&gt;0,"Done","-")</f>
        <v>-</v>
      </c>
      <c r="K228" s="437"/>
      <c r="L228" s="221"/>
      <c r="M228" s="100"/>
      <c r="N228" s="100">
        <f>MONTH(List346[[#This Row],[Tanggal Pengajuan]])</f>
        <v>1</v>
      </c>
      <c r="O228" s="183"/>
      <c r="P228" s="105"/>
      <c r="Q228" s="111"/>
      <c r="R228" s="230"/>
      <c r="T228" s="152">
        <f>+List346[[#This Row],[Pengajuan Donasi]]-List346[[#This Row],[Jumlah Transfer]]</f>
        <v>0</v>
      </c>
      <c r="U228" s="152"/>
    </row>
    <row r="229" spans="2:21" ht="30" customHeight="1" x14ac:dyDescent="0.2">
      <c r="B229" s="102"/>
      <c r="C229" s="67"/>
      <c r="D229" s="103"/>
      <c r="E229" s="14"/>
      <c r="F229" s="14"/>
      <c r="G229" s="15">
        <f>IFERROR(+VLOOKUP(D:D,'Data Base P.Asuhan &amp; Jompo'!B:I,7,0),0)</f>
        <v>0</v>
      </c>
      <c r="H229" s="258"/>
      <c r="I229" s="258">
        <f>List346[[#This Row],[Pengajuan Donasi]]</f>
        <v>0</v>
      </c>
      <c r="J229" s="213" t="str">
        <f>IF(List346[[#This Row],[Tanggal Trf]]&gt;0,"Done","-")</f>
        <v>-</v>
      </c>
      <c r="K229" s="437"/>
      <c r="L229" s="221"/>
      <c r="M229" s="100"/>
      <c r="N229" s="100">
        <f>MONTH(List346[[#This Row],[Tanggal Pengajuan]])</f>
        <v>1</v>
      </c>
      <c r="O229" s="183"/>
      <c r="P229" s="105"/>
      <c r="Q229" s="111"/>
      <c r="R229" s="230"/>
      <c r="T229" s="152">
        <f>+List346[[#This Row],[Pengajuan Donasi]]-List346[[#This Row],[Jumlah Transfer]]</f>
        <v>0</v>
      </c>
      <c r="U229" s="152"/>
    </row>
    <row r="230" spans="2:21" ht="30" customHeight="1" x14ac:dyDescent="0.2">
      <c r="B230" s="102"/>
      <c r="C230" s="67"/>
      <c r="D230" s="103"/>
      <c r="E230" s="14"/>
      <c r="F230" s="14"/>
      <c r="G230" s="15">
        <f>IFERROR(+VLOOKUP(D:D,'Data Base P.Asuhan &amp; Jompo'!B:I,7,0),0)</f>
        <v>0</v>
      </c>
      <c r="H230" s="258"/>
      <c r="I230" s="258">
        <f>List346[[#This Row],[Pengajuan Donasi]]</f>
        <v>0</v>
      </c>
      <c r="J230" s="213" t="str">
        <f>IF(List346[[#This Row],[Tanggal Trf]]&gt;0,"Done","-")</f>
        <v>-</v>
      </c>
      <c r="K230" s="437"/>
      <c r="L230" s="221"/>
      <c r="M230" s="100"/>
      <c r="N230" s="100">
        <f>MONTH(List346[[#This Row],[Tanggal Pengajuan]])</f>
        <v>1</v>
      </c>
      <c r="O230" s="183"/>
      <c r="P230" s="105"/>
      <c r="Q230" s="111"/>
      <c r="R230" s="230"/>
      <c r="T230" s="152">
        <f>+List346[[#This Row],[Pengajuan Donasi]]-List346[[#This Row],[Jumlah Transfer]]</f>
        <v>0</v>
      </c>
      <c r="U230" s="152"/>
    </row>
    <row r="231" spans="2:21" ht="30" customHeight="1" x14ac:dyDescent="0.2">
      <c r="B231" s="102"/>
      <c r="C231" s="67"/>
      <c r="D231" s="103"/>
      <c r="E231" s="14"/>
      <c r="F231" s="14"/>
      <c r="G231" s="15">
        <f>IFERROR(+VLOOKUP(D:D,'Data Base P.Asuhan &amp; Jompo'!B:I,7,0),0)</f>
        <v>0</v>
      </c>
      <c r="H231" s="258"/>
      <c r="I231" s="258">
        <f>List346[[#This Row],[Pengajuan Donasi]]</f>
        <v>0</v>
      </c>
      <c r="J231" s="213" t="str">
        <f>IF(List346[[#This Row],[Tanggal Trf]]&gt;0,"Done","-")</f>
        <v>-</v>
      </c>
      <c r="K231" s="437"/>
      <c r="L231" s="221"/>
      <c r="M231" s="100"/>
      <c r="N231" s="100">
        <f>MONTH(List346[[#This Row],[Tanggal Pengajuan]])</f>
        <v>1</v>
      </c>
      <c r="O231" s="183"/>
      <c r="P231" s="105"/>
      <c r="Q231" s="111"/>
      <c r="R231" s="230"/>
      <c r="T231" s="152">
        <f>+List346[[#This Row],[Pengajuan Donasi]]-List346[[#This Row],[Jumlah Transfer]]</f>
        <v>0</v>
      </c>
      <c r="U231" s="152"/>
    </row>
    <row r="232" spans="2:21" ht="30" customHeight="1" x14ac:dyDescent="0.2">
      <c r="B232" s="102"/>
      <c r="C232" s="67"/>
      <c r="D232" s="103"/>
      <c r="E232" s="14"/>
      <c r="F232" s="14"/>
      <c r="G232" s="15">
        <f>IFERROR(+VLOOKUP(D:D,'Data Base P.Asuhan &amp; Jompo'!B:I,7,0),0)</f>
        <v>0</v>
      </c>
      <c r="H232" s="258"/>
      <c r="I232" s="258">
        <f>List346[[#This Row],[Pengajuan Donasi]]</f>
        <v>0</v>
      </c>
      <c r="J232" s="213" t="str">
        <f>IF(List346[[#This Row],[Tanggal Trf]]&gt;0,"Done","-")</f>
        <v>-</v>
      </c>
      <c r="K232" s="437"/>
      <c r="L232" s="221"/>
      <c r="M232" s="100"/>
      <c r="N232" s="100">
        <f>MONTH(List346[[#This Row],[Tanggal Pengajuan]])</f>
        <v>1</v>
      </c>
      <c r="O232" s="183"/>
      <c r="P232" s="105"/>
      <c r="Q232" s="111"/>
      <c r="R232" s="230"/>
      <c r="T232" s="152">
        <f>+List346[[#This Row],[Pengajuan Donasi]]-List346[[#This Row],[Jumlah Transfer]]</f>
        <v>0</v>
      </c>
      <c r="U232" s="152"/>
    </row>
    <row r="233" spans="2:21" ht="30" customHeight="1" x14ac:dyDescent="0.2">
      <c r="B233" s="102"/>
      <c r="C233" s="67"/>
      <c r="D233" s="103"/>
      <c r="E233" s="14"/>
      <c r="F233" s="14"/>
      <c r="G233" s="15">
        <f>IFERROR(+VLOOKUP(D:D,'Data Base P.Asuhan &amp; Jompo'!B:I,7,0),0)</f>
        <v>0</v>
      </c>
      <c r="H233" s="258"/>
      <c r="I233" s="258">
        <f>List346[[#This Row],[Pengajuan Donasi]]</f>
        <v>0</v>
      </c>
      <c r="J233" s="213" t="str">
        <f>IF(List346[[#This Row],[Tanggal Trf]]&gt;0,"Done","-")</f>
        <v>-</v>
      </c>
      <c r="K233" s="437"/>
      <c r="L233" s="221"/>
      <c r="M233" s="100"/>
      <c r="N233" s="100">
        <f>MONTH(List346[[#This Row],[Tanggal Pengajuan]])</f>
        <v>1</v>
      </c>
      <c r="O233" s="183"/>
      <c r="P233" s="105"/>
      <c r="Q233" s="111"/>
      <c r="R233" s="230"/>
      <c r="T233" s="152">
        <f>+List346[[#This Row],[Pengajuan Donasi]]-List346[[#This Row],[Jumlah Transfer]]</f>
        <v>0</v>
      </c>
      <c r="U233" s="152"/>
    </row>
    <row r="234" spans="2:21" ht="30" customHeight="1" x14ac:dyDescent="0.2">
      <c r="B234" s="102"/>
      <c r="C234" s="67"/>
      <c r="D234" s="103"/>
      <c r="E234" s="14"/>
      <c r="F234" s="14"/>
      <c r="G234" s="15">
        <f>IFERROR(+VLOOKUP(D:D,'Data Base P.Asuhan &amp; Jompo'!B:I,7,0),0)</f>
        <v>0</v>
      </c>
      <c r="H234" s="258"/>
      <c r="I234" s="258">
        <f>List346[[#This Row],[Pengajuan Donasi]]</f>
        <v>0</v>
      </c>
      <c r="J234" s="213" t="str">
        <f>IF(List346[[#This Row],[Tanggal Trf]]&gt;0,"Done","-")</f>
        <v>-</v>
      </c>
      <c r="K234" s="437"/>
      <c r="L234" s="221"/>
      <c r="M234" s="100"/>
      <c r="N234" s="100">
        <f>MONTH(List346[[#This Row],[Tanggal Pengajuan]])</f>
        <v>1</v>
      </c>
      <c r="O234" s="183"/>
      <c r="P234" s="105"/>
      <c r="Q234" s="111"/>
      <c r="R234" s="230"/>
      <c r="T234" s="152">
        <f>+List346[[#This Row],[Pengajuan Donasi]]-List346[[#This Row],[Jumlah Transfer]]</f>
        <v>0</v>
      </c>
      <c r="U234" s="152"/>
    </row>
    <row r="235" spans="2:21" ht="30" customHeight="1" x14ac:dyDescent="0.2">
      <c r="B235" s="102"/>
      <c r="C235" s="67"/>
      <c r="D235" s="103"/>
      <c r="E235" s="14"/>
      <c r="F235" s="14"/>
      <c r="G235" s="15">
        <f>IFERROR(+VLOOKUP(D:D,'Data Base P.Asuhan &amp; Jompo'!B:I,7,0),0)</f>
        <v>0</v>
      </c>
      <c r="H235" s="258"/>
      <c r="I235" s="258">
        <f>List346[[#This Row],[Pengajuan Donasi]]</f>
        <v>0</v>
      </c>
      <c r="J235" s="213" t="str">
        <f>IF(List346[[#This Row],[Tanggal Trf]]&gt;0,"Done","-")</f>
        <v>-</v>
      </c>
      <c r="K235" s="437"/>
      <c r="L235" s="221"/>
      <c r="M235" s="100"/>
      <c r="N235" s="100">
        <f>MONTH(List346[[#This Row],[Tanggal Pengajuan]])</f>
        <v>1</v>
      </c>
      <c r="O235" s="183"/>
      <c r="P235" s="105"/>
      <c r="Q235" s="111"/>
      <c r="R235" s="230"/>
      <c r="T235" s="152">
        <f>+List346[[#This Row],[Pengajuan Donasi]]-List346[[#This Row],[Jumlah Transfer]]</f>
        <v>0</v>
      </c>
      <c r="U235" s="152"/>
    </row>
    <row r="236" spans="2:21" ht="30" customHeight="1" x14ac:dyDescent="0.2">
      <c r="B236" s="102"/>
      <c r="C236" s="67"/>
      <c r="D236" s="103"/>
      <c r="E236" s="14"/>
      <c r="F236" s="14"/>
      <c r="G236" s="15">
        <f>IFERROR(+VLOOKUP(D:D,'Data Base P.Asuhan &amp; Jompo'!B:I,7,0),0)</f>
        <v>0</v>
      </c>
      <c r="H236" s="258"/>
      <c r="I236" s="258">
        <f>List346[[#This Row],[Pengajuan Donasi]]</f>
        <v>0</v>
      </c>
      <c r="J236" s="213" t="str">
        <f>IF(List346[[#This Row],[Tanggal Trf]]&gt;0,"Done","-")</f>
        <v>-</v>
      </c>
      <c r="K236" s="437"/>
      <c r="L236" s="221"/>
      <c r="M236" s="100"/>
      <c r="N236" s="100">
        <f>MONTH(List346[[#This Row],[Tanggal Pengajuan]])</f>
        <v>1</v>
      </c>
      <c r="O236" s="183"/>
      <c r="P236" s="105"/>
      <c r="Q236" s="111"/>
      <c r="R236" s="230"/>
      <c r="T236" s="152">
        <f>+List346[[#This Row],[Pengajuan Donasi]]-List346[[#This Row],[Jumlah Transfer]]</f>
        <v>0</v>
      </c>
      <c r="U236" s="152"/>
    </row>
    <row r="237" spans="2:21" ht="30" customHeight="1" x14ac:dyDescent="0.2">
      <c r="B237" s="102"/>
      <c r="C237" s="67"/>
      <c r="D237" s="103"/>
      <c r="E237" s="14"/>
      <c r="F237" s="14"/>
      <c r="G237" s="15">
        <f>IFERROR(+VLOOKUP(D:D,'Data Base P.Asuhan &amp; Jompo'!B:I,7,0),0)</f>
        <v>0</v>
      </c>
      <c r="H237" s="258"/>
      <c r="I237" s="258">
        <f>List346[[#This Row],[Pengajuan Donasi]]</f>
        <v>0</v>
      </c>
      <c r="J237" s="213" t="str">
        <f>IF(List346[[#This Row],[Tanggal Trf]]&gt;0,"Done","-")</f>
        <v>-</v>
      </c>
      <c r="K237" s="437"/>
      <c r="L237" s="221"/>
      <c r="M237" s="100"/>
      <c r="N237" s="100">
        <f>MONTH(List346[[#This Row],[Tanggal Pengajuan]])</f>
        <v>1</v>
      </c>
      <c r="O237" s="183"/>
      <c r="P237" s="105"/>
      <c r="Q237" s="111"/>
      <c r="R237" s="230"/>
      <c r="T237" s="152">
        <f>+List346[[#This Row],[Pengajuan Donasi]]-List346[[#This Row],[Jumlah Transfer]]</f>
        <v>0</v>
      </c>
      <c r="U237" s="152"/>
    </row>
    <row r="238" spans="2:21" ht="30" customHeight="1" x14ac:dyDescent="0.2">
      <c r="B238" s="102"/>
      <c r="C238" s="67"/>
      <c r="D238" s="103"/>
      <c r="E238" s="14"/>
      <c r="F238" s="14"/>
      <c r="G238" s="15">
        <f>IFERROR(+VLOOKUP(D:D,'Data Base P.Asuhan &amp; Jompo'!B:I,7,0),0)</f>
        <v>0</v>
      </c>
      <c r="H238" s="258"/>
      <c r="I238" s="258">
        <f>List346[[#This Row],[Pengajuan Donasi]]</f>
        <v>0</v>
      </c>
      <c r="J238" s="213" t="str">
        <f>IF(List346[[#This Row],[Tanggal Trf]]&gt;0,"Done","-")</f>
        <v>-</v>
      </c>
      <c r="K238" s="437"/>
      <c r="L238" s="221"/>
      <c r="M238" s="100"/>
      <c r="N238" s="100">
        <f>MONTH(List346[[#This Row],[Tanggal Pengajuan]])</f>
        <v>1</v>
      </c>
      <c r="O238" s="183"/>
      <c r="P238" s="105"/>
      <c r="Q238" s="111"/>
      <c r="R238" s="230"/>
      <c r="T238" s="152">
        <f>+List346[[#This Row],[Pengajuan Donasi]]-List346[[#This Row],[Jumlah Transfer]]</f>
        <v>0</v>
      </c>
      <c r="U238" s="152"/>
    </row>
    <row r="239" spans="2:21" ht="30" customHeight="1" x14ac:dyDescent="0.2">
      <c r="B239" s="102"/>
      <c r="C239" s="67"/>
      <c r="D239" s="103"/>
      <c r="E239" s="14"/>
      <c r="F239" s="14"/>
      <c r="G239" s="15">
        <f>IFERROR(+VLOOKUP(D:D,'Data Base P.Asuhan &amp; Jompo'!B:I,7,0),0)</f>
        <v>0</v>
      </c>
      <c r="H239" s="258"/>
      <c r="I239" s="258">
        <f>List346[[#This Row],[Pengajuan Donasi]]</f>
        <v>0</v>
      </c>
      <c r="J239" s="213" t="str">
        <f>IF(List346[[#This Row],[Tanggal Trf]]&gt;0,"Done","-")</f>
        <v>-</v>
      </c>
      <c r="K239" s="437"/>
      <c r="L239" s="221"/>
      <c r="M239" s="100"/>
      <c r="N239" s="100">
        <f>MONTH(List346[[#This Row],[Tanggal Pengajuan]])</f>
        <v>1</v>
      </c>
      <c r="O239" s="183"/>
      <c r="P239" s="105"/>
      <c r="Q239" s="111"/>
      <c r="R239" s="230"/>
      <c r="T239" s="152">
        <f>+List346[[#This Row],[Pengajuan Donasi]]-List346[[#This Row],[Jumlah Transfer]]</f>
        <v>0</v>
      </c>
      <c r="U239" s="152"/>
    </row>
    <row r="240" spans="2:21" ht="30" customHeight="1" x14ac:dyDescent="0.2">
      <c r="B240" s="102"/>
      <c r="C240" s="67"/>
      <c r="D240" s="103"/>
      <c r="E240" s="14"/>
      <c r="F240" s="14"/>
      <c r="G240" s="15">
        <f>IFERROR(+VLOOKUP(D:D,'Data Base P.Asuhan &amp; Jompo'!B:I,7,0),0)</f>
        <v>0</v>
      </c>
      <c r="H240" s="258"/>
      <c r="I240" s="258">
        <f>List346[[#This Row],[Pengajuan Donasi]]</f>
        <v>0</v>
      </c>
      <c r="J240" s="213" t="str">
        <f>IF(List346[[#This Row],[Tanggal Trf]]&gt;0,"Done","-")</f>
        <v>-</v>
      </c>
      <c r="K240" s="437"/>
      <c r="L240" s="221"/>
      <c r="M240" s="100"/>
      <c r="N240" s="100">
        <f>MONTH(List346[[#This Row],[Tanggal Pengajuan]])</f>
        <v>1</v>
      </c>
      <c r="O240" s="183"/>
      <c r="P240" s="105"/>
      <c r="Q240" s="111"/>
      <c r="R240" s="230"/>
      <c r="T240" s="152">
        <f>+List346[[#This Row],[Pengajuan Donasi]]-List346[[#This Row],[Jumlah Transfer]]</f>
        <v>0</v>
      </c>
      <c r="U240" s="152"/>
    </row>
    <row r="241" spans="2:21" ht="30" customHeight="1" x14ac:dyDescent="0.2">
      <c r="B241" s="102"/>
      <c r="C241" s="67"/>
      <c r="D241" s="103"/>
      <c r="E241" s="14"/>
      <c r="F241" s="14"/>
      <c r="G241" s="15">
        <f>IFERROR(+VLOOKUP(D:D,'Data Base P.Asuhan &amp; Jompo'!B:I,7,0),0)</f>
        <v>0</v>
      </c>
      <c r="H241" s="258"/>
      <c r="I241" s="258">
        <f>List346[[#This Row],[Pengajuan Donasi]]</f>
        <v>0</v>
      </c>
      <c r="J241" s="213" t="str">
        <f>IF(List346[[#This Row],[Tanggal Trf]]&gt;0,"Done","-")</f>
        <v>-</v>
      </c>
      <c r="K241" s="437"/>
      <c r="L241" s="221"/>
      <c r="M241" s="100"/>
      <c r="N241" s="100">
        <f>MONTH(List346[[#This Row],[Tanggal Pengajuan]])</f>
        <v>1</v>
      </c>
      <c r="O241" s="183"/>
      <c r="P241" s="105"/>
      <c r="Q241" s="111"/>
      <c r="R241" s="230"/>
      <c r="T241" s="152">
        <f>+List346[[#This Row],[Pengajuan Donasi]]-List346[[#This Row],[Jumlah Transfer]]</f>
        <v>0</v>
      </c>
      <c r="U241" s="152"/>
    </row>
    <row r="242" spans="2:21" ht="30" customHeight="1" x14ac:dyDescent="0.2">
      <c r="B242" s="102"/>
      <c r="C242" s="67"/>
      <c r="D242" s="103"/>
      <c r="E242" s="14"/>
      <c r="F242" s="14"/>
      <c r="G242" s="15">
        <f>IFERROR(+VLOOKUP(D:D,'Data Base P.Asuhan &amp; Jompo'!B:I,7,0),0)</f>
        <v>0</v>
      </c>
      <c r="H242" s="258"/>
      <c r="I242" s="258">
        <f>List346[[#This Row],[Pengajuan Donasi]]</f>
        <v>0</v>
      </c>
      <c r="J242" s="213" t="str">
        <f>IF(List346[[#This Row],[Tanggal Trf]]&gt;0,"Done","-")</f>
        <v>-</v>
      </c>
      <c r="K242" s="437"/>
      <c r="L242" s="221"/>
      <c r="M242" s="100"/>
      <c r="N242" s="100">
        <f>MONTH(List346[[#This Row],[Tanggal Pengajuan]])</f>
        <v>1</v>
      </c>
      <c r="O242" s="183"/>
      <c r="P242" s="105"/>
      <c r="Q242" s="111"/>
      <c r="R242" s="230"/>
      <c r="T242" s="152">
        <f>+List346[[#This Row],[Pengajuan Donasi]]-List346[[#This Row],[Jumlah Transfer]]</f>
        <v>0</v>
      </c>
      <c r="U242" s="152"/>
    </row>
    <row r="243" spans="2:21" ht="30" customHeight="1" x14ac:dyDescent="0.2">
      <c r="B243" s="102"/>
      <c r="C243" s="67"/>
      <c r="D243" s="103"/>
      <c r="E243" s="14"/>
      <c r="F243" s="103"/>
      <c r="G243" s="15">
        <f>IFERROR(+VLOOKUP(D:D,'Data Base P.Asuhan &amp; Jompo'!B:I,7,0),0)</f>
        <v>0</v>
      </c>
      <c r="H243" s="258"/>
      <c r="I243" s="258">
        <f>List346[[#This Row],[Pengajuan Donasi]]</f>
        <v>0</v>
      </c>
      <c r="J243" s="213" t="str">
        <f>IF(List346[[#This Row],[Tanggal Trf]]&gt;0,"Done","-")</f>
        <v>-</v>
      </c>
      <c r="K243" s="437"/>
      <c r="L243" s="221"/>
      <c r="M243" s="100"/>
      <c r="N243" s="100">
        <f>MONTH(List346[[#This Row],[Tanggal Pengajuan]])</f>
        <v>1</v>
      </c>
      <c r="O243" s="183"/>
      <c r="P243" s="105"/>
      <c r="Q243" s="111"/>
      <c r="R243" s="230"/>
      <c r="T243" s="152">
        <f>+List346[[#This Row],[Pengajuan Donasi]]-List346[[#This Row],[Jumlah Transfer]]</f>
        <v>0</v>
      </c>
      <c r="U243" s="152"/>
    </row>
    <row r="244" spans="2:21" ht="30" customHeight="1" x14ac:dyDescent="0.2">
      <c r="B244" s="102"/>
      <c r="C244" s="67"/>
      <c r="D244" s="103"/>
      <c r="E244" s="14"/>
      <c r="F244" s="103"/>
      <c r="G244" s="15">
        <f>IFERROR(+VLOOKUP(D:D,'Data Base P.Asuhan &amp; Jompo'!B:I,7,0),0)</f>
        <v>0</v>
      </c>
      <c r="H244" s="258"/>
      <c r="I244" s="258">
        <f>List346[[#This Row],[Pengajuan Donasi]]</f>
        <v>0</v>
      </c>
      <c r="J244" s="213" t="str">
        <f>IF(List346[[#This Row],[Tanggal Trf]]&gt;0,"Done","-")</f>
        <v>-</v>
      </c>
      <c r="K244" s="437"/>
      <c r="L244" s="221"/>
      <c r="M244" s="100"/>
      <c r="N244" s="100">
        <f>MONTH(List346[[#This Row],[Tanggal Pengajuan]])</f>
        <v>1</v>
      </c>
      <c r="O244" s="183"/>
      <c r="P244" s="105"/>
      <c r="Q244" s="111"/>
      <c r="R244" s="230"/>
      <c r="T244" s="152">
        <f>+List346[[#This Row],[Pengajuan Donasi]]-List346[[#This Row],[Jumlah Transfer]]</f>
        <v>0</v>
      </c>
      <c r="U244" s="152"/>
    </row>
    <row r="245" spans="2:21" ht="30" customHeight="1" x14ac:dyDescent="0.2">
      <c r="B245" s="102"/>
      <c r="C245" s="67"/>
      <c r="D245" s="103"/>
      <c r="E245" s="103"/>
      <c r="F245" s="103"/>
      <c r="G245" s="15">
        <f>IFERROR(+VLOOKUP(D:D,'Data Base P.Asuhan &amp; Jompo'!B:I,7,0),0)</f>
        <v>0</v>
      </c>
      <c r="H245" s="258"/>
      <c r="I245" s="258">
        <f>List346[[#This Row],[Pengajuan Donasi]]</f>
        <v>0</v>
      </c>
      <c r="J245" s="213" t="str">
        <f>IF(List346[[#This Row],[Tanggal Trf]]&gt;0,"Done","-")</f>
        <v>-</v>
      </c>
      <c r="K245" s="437"/>
      <c r="L245" s="221"/>
      <c r="M245" s="100"/>
      <c r="N245" s="100">
        <f>MONTH(List346[[#This Row],[Tanggal Pengajuan]])</f>
        <v>1</v>
      </c>
      <c r="O245" s="183"/>
      <c r="P245" s="105"/>
      <c r="Q245" s="111"/>
      <c r="R245" s="230"/>
      <c r="T245" s="152">
        <f>+List346[[#This Row],[Pengajuan Donasi]]-List346[[#This Row],[Jumlah Transfer]]</f>
        <v>0</v>
      </c>
      <c r="U245" s="152"/>
    </row>
    <row r="246" spans="2:21" ht="30" customHeight="1" x14ac:dyDescent="0.2">
      <c r="B246" s="102"/>
      <c r="C246" s="67"/>
      <c r="D246" s="103"/>
      <c r="E246" s="103"/>
      <c r="F246" s="103"/>
      <c r="G246" s="15">
        <f>IFERROR(+VLOOKUP(D:D,'Data Base P.Asuhan &amp; Jompo'!B:I,7,0),0)</f>
        <v>0</v>
      </c>
      <c r="H246" s="258"/>
      <c r="I246" s="258">
        <f>List346[[#This Row],[Pengajuan Donasi]]</f>
        <v>0</v>
      </c>
      <c r="J246" s="213" t="str">
        <f>IF(List346[[#This Row],[Tanggal Trf]]&gt;0,"Done","-")</f>
        <v>-</v>
      </c>
      <c r="K246" s="437"/>
      <c r="L246" s="221"/>
      <c r="M246" s="100"/>
      <c r="N246" s="100">
        <f>MONTH(List346[[#This Row],[Tanggal Pengajuan]])</f>
        <v>1</v>
      </c>
      <c r="O246" s="183"/>
      <c r="P246" s="105"/>
      <c r="Q246" s="111"/>
      <c r="R246" s="230"/>
      <c r="T246" s="152">
        <f>+List346[[#This Row],[Pengajuan Donasi]]-List346[[#This Row],[Jumlah Transfer]]</f>
        <v>0</v>
      </c>
      <c r="U246" s="152"/>
    </row>
    <row r="247" spans="2:21" ht="30" customHeight="1" x14ac:dyDescent="0.2">
      <c r="B247" s="102"/>
      <c r="C247" s="67"/>
      <c r="D247" s="14"/>
      <c r="E247" s="103"/>
      <c r="F247" s="103"/>
      <c r="G247" s="15">
        <f>IFERROR(+VLOOKUP(D:D,'Data Base P.Asuhan &amp; Jompo'!B:I,7,0),0)</f>
        <v>0</v>
      </c>
      <c r="H247" s="258"/>
      <c r="I247" s="258">
        <f>List346[[#This Row],[Pengajuan Donasi]]</f>
        <v>0</v>
      </c>
      <c r="J247" s="213" t="str">
        <f>IF(List346[[#This Row],[Tanggal Trf]]&gt;0,"Done","-")</f>
        <v>-</v>
      </c>
      <c r="K247" s="437"/>
      <c r="L247" s="221"/>
      <c r="M247" s="100"/>
      <c r="N247" s="100">
        <f>MONTH(List346[[#This Row],[Tanggal Pengajuan]])</f>
        <v>1</v>
      </c>
      <c r="O247" s="183"/>
      <c r="P247" s="105"/>
      <c r="Q247" s="111"/>
      <c r="R247" s="230"/>
      <c r="T247" s="152">
        <f>+List346[[#This Row],[Pengajuan Donasi]]-List346[[#This Row],[Jumlah Transfer]]</f>
        <v>0</v>
      </c>
      <c r="U247" s="152"/>
    </row>
    <row r="248" spans="2:21" ht="30" customHeight="1" x14ac:dyDescent="0.2">
      <c r="B248" s="102"/>
      <c r="C248" s="67"/>
      <c r="D248" s="14"/>
      <c r="E248" s="103"/>
      <c r="F248" s="103"/>
      <c r="G248" s="15">
        <f>IFERROR(+VLOOKUP(D:D,'Data Base P.Asuhan &amp; Jompo'!B:I,7,0),0)</f>
        <v>0</v>
      </c>
      <c r="H248" s="258"/>
      <c r="I248" s="258">
        <f>List346[[#This Row],[Pengajuan Donasi]]</f>
        <v>0</v>
      </c>
      <c r="J248" s="213" t="str">
        <f>IF(List346[[#This Row],[Tanggal Trf]]&gt;0,"Done","-")</f>
        <v>-</v>
      </c>
      <c r="K248" s="437"/>
      <c r="L248" s="221"/>
      <c r="M248" s="100"/>
      <c r="N248" s="100">
        <f>MONTH(List346[[#This Row],[Tanggal Pengajuan]])</f>
        <v>1</v>
      </c>
      <c r="O248" s="183"/>
      <c r="P248" s="105"/>
      <c r="Q248" s="111"/>
      <c r="R248" s="230"/>
      <c r="T248" s="152">
        <f>+List346[[#This Row],[Pengajuan Donasi]]-List346[[#This Row],[Jumlah Transfer]]</f>
        <v>0</v>
      </c>
      <c r="U248" s="152"/>
    </row>
    <row r="249" spans="2:21" ht="30" customHeight="1" x14ac:dyDescent="0.2">
      <c r="B249" s="102"/>
      <c r="C249" s="67"/>
      <c r="D249" s="14"/>
      <c r="E249" s="103"/>
      <c r="F249" s="103"/>
      <c r="G249" s="15">
        <f>IFERROR(+VLOOKUP(D:D,'Data Base P.Asuhan &amp; Jompo'!B:I,7,0),0)</f>
        <v>0</v>
      </c>
      <c r="H249" s="258"/>
      <c r="I249" s="258">
        <f>List346[[#This Row],[Pengajuan Donasi]]</f>
        <v>0</v>
      </c>
      <c r="J249" s="213" t="str">
        <f>IF(List346[[#This Row],[Tanggal Trf]]&gt;0,"Done","-")</f>
        <v>-</v>
      </c>
      <c r="K249" s="437"/>
      <c r="L249" s="221"/>
      <c r="M249" s="100"/>
      <c r="N249" s="100">
        <f>MONTH(List346[[#This Row],[Tanggal Pengajuan]])</f>
        <v>1</v>
      </c>
      <c r="O249" s="183"/>
      <c r="P249" s="105"/>
      <c r="Q249" s="111"/>
      <c r="R249" s="230"/>
      <c r="T249" s="152">
        <f>+List346[[#This Row],[Pengajuan Donasi]]-List346[[#This Row],[Jumlah Transfer]]</f>
        <v>0</v>
      </c>
      <c r="U249" s="152"/>
    </row>
    <row r="250" spans="2:21" ht="30" customHeight="1" x14ac:dyDescent="0.2">
      <c r="B250" s="102"/>
      <c r="C250" s="67"/>
      <c r="D250" s="103"/>
      <c r="E250" s="103"/>
      <c r="F250" s="103"/>
      <c r="G250" s="15">
        <f>IFERROR(+VLOOKUP(D:D,'Data Base P.Asuhan &amp; Jompo'!B:I,7,0),0)</f>
        <v>0</v>
      </c>
      <c r="H250" s="258"/>
      <c r="I250" s="258">
        <f>List346[[#This Row],[Pengajuan Donasi]]</f>
        <v>0</v>
      </c>
      <c r="J250" s="213" t="str">
        <f>IF(List346[[#This Row],[Tanggal Trf]]&gt;0,"Done","-")</f>
        <v>-</v>
      </c>
      <c r="K250" s="437"/>
      <c r="L250" s="221"/>
      <c r="M250" s="100"/>
      <c r="N250" s="100">
        <f>MONTH(List346[[#This Row],[Tanggal Pengajuan]])</f>
        <v>1</v>
      </c>
      <c r="O250" s="183"/>
      <c r="P250" s="105"/>
      <c r="Q250" s="111"/>
      <c r="R250" s="230"/>
      <c r="T250" s="152">
        <f>+List346[[#This Row],[Pengajuan Donasi]]-List346[[#This Row],[Jumlah Transfer]]</f>
        <v>0</v>
      </c>
      <c r="U250" s="152"/>
    </row>
    <row r="251" spans="2:21" ht="30" customHeight="1" x14ac:dyDescent="0.2">
      <c r="B251" s="102"/>
      <c r="C251" s="67"/>
      <c r="D251" s="103"/>
      <c r="E251" s="103"/>
      <c r="F251" s="103"/>
      <c r="G251" s="15">
        <f>IFERROR(+VLOOKUP(D:D,'Data Base P.Asuhan &amp; Jompo'!B:I,7,0),0)</f>
        <v>0</v>
      </c>
      <c r="H251" s="258"/>
      <c r="I251" s="258">
        <f>List346[[#This Row],[Pengajuan Donasi]]</f>
        <v>0</v>
      </c>
      <c r="J251" s="213" t="str">
        <f>IF(List346[[#This Row],[Tanggal Trf]]&gt;0,"Done","-")</f>
        <v>-</v>
      </c>
      <c r="K251" s="444"/>
      <c r="L251" s="221"/>
      <c r="M251" s="931"/>
      <c r="N251" s="100">
        <f>MONTH(List346[[#This Row],[Tanggal Pengajuan]])</f>
        <v>1</v>
      </c>
      <c r="O251" s="183"/>
      <c r="P251" s="105"/>
      <c r="Q251" s="111"/>
      <c r="R251" s="230"/>
      <c r="T251" s="152">
        <f>+List346[[#This Row],[Pengajuan Donasi]]-List346[[#This Row],[Jumlah Transfer]]</f>
        <v>0</v>
      </c>
      <c r="U251" s="152"/>
    </row>
    <row r="252" spans="2:21" ht="30" customHeight="1" x14ac:dyDescent="0.2">
      <c r="B252" s="102"/>
      <c r="C252" s="67"/>
      <c r="D252" s="103"/>
      <c r="E252" s="103"/>
      <c r="F252" s="103"/>
      <c r="G252" s="15">
        <f>IFERROR(+VLOOKUP(D:D,'Data Base P.Asuhan &amp; Jompo'!B:I,7,0),0)</f>
        <v>0</v>
      </c>
      <c r="H252" s="258"/>
      <c r="I252" s="258">
        <f>List346[[#This Row],[Pengajuan Donasi]]</f>
        <v>0</v>
      </c>
      <c r="J252" s="213" t="str">
        <f>IF(List346[[#This Row],[Tanggal Trf]]&gt;0,"Done","-")</f>
        <v>-</v>
      </c>
      <c r="K252" s="444"/>
      <c r="L252" s="221"/>
      <c r="M252" s="931"/>
      <c r="N252" s="100">
        <f>MONTH(List346[[#This Row],[Tanggal Pengajuan]])</f>
        <v>1</v>
      </c>
      <c r="O252" s="183"/>
      <c r="P252" s="105"/>
      <c r="Q252" s="111"/>
      <c r="R252" s="230"/>
      <c r="T252" s="152">
        <f>+List346[[#This Row],[Pengajuan Donasi]]-List346[[#This Row],[Jumlah Transfer]]</f>
        <v>0</v>
      </c>
      <c r="U252" s="152"/>
    </row>
    <row r="253" spans="2:21" ht="30" customHeight="1" x14ac:dyDescent="0.2">
      <c r="B253" s="102"/>
      <c r="C253" s="67"/>
      <c r="D253" s="103"/>
      <c r="E253" s="103"/>
      <c r="F253" s="103"/>
      <c r="G253" s="15">
        <f>IFERROR(+VLOOKUP(D:D,'Data Base P.Asuhan &amp; Jompo'!B:I,7,0),0)</f>
        <v>0</v>
      </c>
      <c r="H253" s="258"/>
      <c r="I253" s="258">
        <f>List346[[#This Row],[Pengajuan Donasi]]</f>
        <v>0</v>
      </c>
      <c r="J253" s="213" t="str">
        <f>IF(List346[[#This Row],[Tanggal Trf]]&gt;0,"Done","-")</f>
        <v>-</v>
      </c>
      <c r="K253" s="437"/>
      <c r="L253" s="221"/>
      <c r="M253" s="100"/>
      <c r="N253" s="100">
        <f>MONTH(List346[[#This Row],[Tanggal Pengajuan]])</f>
        <v>1</v>
      </c>
      <c r="O253" s="183"/>
      <c r="P253" s="105"/>
      <c r="Q253" s="111"/>
      <c r="R253" s="230"/>
      <c r="T253" s="152">
        <f>+List346[[#This Row],[Pengajuan Donasi]]-List346[[#This Row],[Jumlah Transfer]]</f>
        <v>0</v>
      </c>
      <c r="U253" s="152"/>
    </row>
    <row r="254" spans="2:21" ht="30" customHeight="1" x14ac:dyDescent="0.2">
      <c r="B254" s="102"/>
      <c r="C254" s="67"/>
      <c r="D254" s="103"/>
      <c r="E254" s="103"/>
      <c r="F254" s="103"/>
      <c r="G254" s="15">
        <f>IFERROR(+VLOOKUP(D:D,'Data Base P.Asuhan &amp; Jompo'!B:I,7,0),0)</f>
        <v>0</v>
      </c>
      <c r="H254" s="258"/>
      <c r="I254" s="258">
        <f>List346[[#This Row],[Pengajuan Donasi]]</f>
        <v>0</v>
      </c>
      <c r="J254" s="213" t="str">
        <f>IF(List346[[#This Row],[Tanggal Trf]]&gt;0,"Done","-")</f>
        <v>-</v>
      </c>
      <c r="K254" s="437"/>
      <c r="L254" s="221"/>
      <c r="M254" s="100"/>
      <c r="N254" s="100">
        <f>MONTH(List346[[#This Row],[Tanggal Pengajuan]])</f>
        <v>1</v>
      </c>
      <c r="O254" s="183"/>
      <c r="P254" s="105"/>
      <c r="Q254" s="111"/>
      <c r="R254" s="230"/>
      <c r="T254" s="152">
        <f>+List346[[#This Row],[Pengajuan Donasi]]-List346[[#This Row],[Jumlah Transfer]]</f>
        <v>0</v>
      </c>
      <c r="U254" s="152"/>
    </row>
    <row r="255" spans="2:21" ht="30" customHeight="1" x14ac:dyDescent="0.2">
      <c r="B255" s="102"/>
      <c r="C255" s="67"/>
      <c r="D255" s="103"/>
      <c r="E255" s="103"/>
      <c r="F255" s="103"/>
      <c r="G255" s="15">
        <f>IFERROR(+VLOOKUP(D:D,'Data Base P.Asuhan &amp; Jompo'!B:I,7,0),0)</f>
        <v>0</v>
      </c>
      <c r="H255" s="258"/>
      <c r="I255" s="258">
        <f>List346[[#This Row],[Pengajuan Donasi]]</f>
        <v>0</v>
      </c>
      <c r="J255" s="213" t="str">
        <f>IF(List346[[#This Row],[Tanggal Trf]]&gt;0,"Done","-")</f>
        <v>-</v>
      </c>
      <c r="K255" s="437"/>
      <c r="L255" s="221"/>
      <c r="M255" s="100"/>
      <c r="N255" s="100">
        <f>MONTH(List346[[#This Row],[Tanggal Pengajuan]])</f>
        <v>1</v>
      </c>
      <c r="O255" s="183"/>
      <c r="P255" s="105"/>
      <c r="Q255" s="111"/>
      <c r="R255" s="230"/>
      <c r="T255" s="152">
        <f>+List346[[#This Row],[Pengajuan Donasi]]-List346[[#This Row],[Jumlah Transfer]]</f>
        <v>0</v>
      </c>
      <c r="U255" s="152"/>
    </row>
    <row r="256" spans="2:21" ht="30" customHeight="1" x14ac:dyDescent="0.2">
      <c r="B256" s="102"/>
      <c r="C256" s="67"/>
      <c r="D256" s="14"/>
      <c r="E256" s="14"/>
      <c r="F256" s="14"/>
      <c r="G256" s="15">
        <f>IFERROR(+VLOOKUP(D:D,'Data Base P.Asuhan &amp; Jompo'!B:I,7,0),0)</f>
        <v>0</v>
      </c>
      <c r="H256" s="258"/>
      <c r="I256" s="258">
        <f>List346[[#This Row],[Pengajuan Donasi]]</f>
        <v>0</v>
      </c>
      <c r="J256" s="213" t="str">
        <f>IF(List346[[#This Row],[Tanggal Trf]]&gt;0,"Done","-")</f>
        <v>-</v>
      </c>
      <c r="K256" s="437"/>
      <c r="L256" s="221"/>
      <c r="M256" s="100"/>
      <c r="N256" s="100">
        <f>MONTH(List346[[#This Row],[Tanggal Pengajuan]])</f>
        <v>1</v>
      </c>
      <c r="O256" s="183"/>
      <c r="P256" s="105"/>
      <c r="Q256" s="111"/>
      <c r="R256" s="230"/>
      <c r="T256" s="152">
        <f>+List346[[#This Row],[Pengajuan Donasi]]-List346[[#This Row],[Jumlah Transfer]]</f>
        <v>0</v>
      </c>
      <c r="U256" s="152"/>
    </row>
    <row r="257" spans="2:21" ht="30" customHeight="1" x14ac:dyDescent="0.2">
      <c r="B257" s="102"/>
      <c r="C257" s="67"/>
      <c r="D257" s="14"/>
      <c r="E257" s="14"/>
      <c r="F257" s="14"/>
      <c r="G257" s="15">
        <f>IFERROR(+VLOOKUP(D:D,'Data Base P.Asuhan &amp; Jompo'!B:I,7,0),0)</f>
        <v>0</v>
      </c>
      <c r="H257" s="258"/>
      <c r="I257" s="258">
        <f>List346[[#This Row],[Pengajuan Donasi]]</f>
        <v>0</v>
      </c>
      <c r="J257" s="214" t="str">
        <f>IF(List346[[#This Row],[Tanggal Trf]]&gt;0,"Done","-")</f>
        <v>-</v>
      </c>
      <c r="K257" s="437"/>
      <c r="L257" s="221"/>
      <c r="M257" s="900"/>
      <c r="N257" s="100">
        <f>MONTH(List346[[#This Row],[Tanggal Pengajuan]])</f>
        <v>1</v>
      </c>
      <c r="O257" s="183"/>
      <c r="P257" s="105"/>
      <c r="Q257" s="111"/>
      <c r="R257" s="230"/>
      <c r="T257" s="152">
        <f>+List346[[#This Row],[Pengajuan Donasi]]-List346[[#This Row],[Jumlah Transfer]]</f>
        <v>0</v>
      </c>
      <c r="U257" s="152"/>
    </row>
    <row r="258" spans="2:21" ht="30" customHeight="1" x14ac:dyDescent="0.2">
      <c r="B258" s="102"/>
      <c r="C258" s="67"/>
      <c r="D258" s="103"/>
      <c r="E258" s="103"/>
      <c r="F258" s="103"/>
      <c r="G258" s="15">
        <f>IFERROR(+VLOOKUP(D:D,'Data Base P.Asuhan &amp; Jompo'!B:I,7,0),0)</f>
        <v>0</v>
      </c>
      <c r="H258" s="258"/>
      <c r="I258" s="258">
        <f>List346[[#This Row],[Pengajuan Donasi]]</f>
        <v>0</v>
      </c>
      <c r="J258" s="213" t="str">
        <f>IF(List346[[#This Row],[Tanggal Trf]]&gt;0,"Done","-")</f>
        <v>-</v>
      </c>
      <c r="K258" s="437"/>
      <c r="L258" s="221"/>
      <c r="M258" s="105"/>
      <c r="N258" s="100">
        <f>MONTH(List346[[#This Row],[Tanggal Pengajuan]])</f>
        <v>1</v>
      </c>
      <c r="O258" s="183"/>
      <c r="P258" s="105"/>
      <c r="Q258" s="111"/>
      <c r="R258" s="230"/>
      <c r="S258" s="81">
        <f>+List346[[#This Row],[Pengajuan Donasi]]-[6]Category!$AG$27</f>
        <v>-5998500</v>
      </c>
      <c r="T258" s="152">
        <f>+List346[[#This Row],[Pengajuan Donasi]]-List346[[#This Row],[Jumlah Transfer]]</f>
        <v>0</v>
      </c>
      <c r="U258" s="152"/>
    </row>
    <row r="259" spans="2:21" ht="30" customHeight="1" x14ac:dyDescent="0.2">
      <c r="B259" s="102"/>
      <c r="C259" s="67"/>
      <c r="D259" s="103"/>
      <c r="E259" s="103"/>
      <c r="F259" s="103"/>
      <c r="G259" s="15">
        <f>IFERROR(+VLOOKUP(D:D,'Data Base P.Asuhan &amp; Jompo'!B:I,7,0),0)</f>
        <v>0</v>
      </c>
      <c r="I259" s="258">
        <f>List346[[#This Row],[Pengajuan Donasi]]</f>
        <v>0</v>
      </c>
      <c r="J259" s="213" t="str">
        <f>IF(List346[[#This Row],[Tanggal Trf]]&gt;0,"Done","-")</f>
        <v>-</v>
      </c>
      <c r="K259" s="445"/>
      <c r="L259" s="221"/>
      <c r="M259" s="100"/>
      <c r="N259" s="100">
        <f>MONTH(List346[[#This Row],[Tanggal Pengajuan]])</f>
        <v>1</v>
      </c>
      <c r="O259" s="183"/>
      <c r="P259" s="105"/>
      <c r="Q259" s="111"/>
      <c r="R259" s="230"/>
      <c r="T259" s="152">
        <f>+List346[[#This Row],[Pengajuan Donasi]]-List346[[#This Row],[Jumlah Transfer]]</f>
        <v>0</v>
      </c>
      <c r="U259" s="152"/>
    </row>
    <row r="260" spans="2:21" ht="30" customHeight="1" x14ac:dyDescent="0.2">
      <c r="B260" s="102"/>
      <c r="C260" s="181"/>
      <c r="D260" s="103"/>
      <c r="E260" s="103"/>
      <c r="F260" s="103"/>
      <c r="G260" s="15">
        <f>IFERROR(+VLOOKUP(D:D,'Data Base P.Asuhan &amp; Jompo'!B:I,7,0),0)</f>
        <v>0</v>
      </c>
      <c r="H260" s="258"/>
      <c r="I260" s="258">
        <f>List346[[#This Row],[Pengajuan Donasi]]</f>
        <v>0</v>
      </c>
      <c r="J260" s="213" t="str">
        <f>IF(List346[[#This Row],[Tanggal Trf]]&gt;0,"Done","-")</f>
        <v>-</v>
      </c>
      <c r="K260" s="445"/>
      <c r="L260" s="221"/>
      <c r="M260" s="100"/>
      <c r="N260" s="20">
        <f>MONTH(List346[[#This Row],[Tanggal Pengajuan]])</f>
        <v>1</v>
      </c>
      <c r="O260" s="183"/>
      <c r="P260" s="100"/>
      <c r="Q260" s="198"/>
      <c r="R260" s="230"/>
      <c r="T260" s="152">
        <f>+List346[[#This Row],[Pengajuan Donasi]]-List346[[#This Row],[Jumlah Transfer]]</f>
        <v>0</v>
      </c>
      <c r="U260" s="152"/>
    </row>
    <row r="261" spans="2:21" ht="30" customHeight="1" x14ac:dyDescent="0.2">
      <c r="B261" s="102"/>
      <c r="C261" s="181"/>
      <c r="D261" s="103"/>
      <c r="E261" s="103"/>
      <c r="F261" s="103"/>
      <c r="G261" s="15">
        <f>IFERROR(+VLOOKUP(D:D,'Data Base P.Asuhan &amp; Jompo'!B:I,7,0),0)</f>
        <v>0</v>
      </c>
      <c r="H261" s="258"/>
      <c r="I261" s="258">
        <f>List346[[#This Row],[Pengajuan Donasi]]</f>
        <v>0</v>
      </c>
      <c r="J261" s="213" t="str">
        <f>IF(List346[[#This Row],[Tanggal Trf]]&gt;0,"Done","-")</f>
        <v>-</v>
      </c>
      <c r="K261" s="445"/>
      <c r="L261" s="221"/>
      <c r="M261" s="100"/>
      <c r="N261" s="20">
        <f>MONTH(List346[[#This Row],[Tanggal Pengajuan]])</f>
        <v>1</v>
      </c>
      <c r="O261" s="183"/>
      <c r="P261" s="100"/>
      <c r="Q261" s="198"/>
      <c r="R261" s="230"/>
      <c r="T261" s="152">
        <f>+List346[[#This Row],[Pengajuan Donasi]]-List346[[#This Row],[Jumlah Transfer]]</f>
        <v>0</v>
      </c>
      <c r="U261" s="152"/>
    </row>
    <row r="262" spans="2:21" ht="30" customHeight="1" x14ac:dyDescent="0.2">
      <c r="B262" s="102"/>
      <c r="C262" s="181"/>
      <c r="D262" s="103"/>
      <c r="E262" s="103"/>
      <c r="F262" s="103"/>
      <c r="G262" s="15">
        <f>IFERROR(+VLOOKUP(D:D,'Data Base P.Asuhan &amp; Jompo'!B:I,7,0),0)</f>
        <v>0</v>
      </c>
      <c r="H262" s="258"/>
      <c r="I262" s="258">
        <f>List346[[#This Row],[Pengajuan Donasi]]</f>
        <v>0</v>
      </c>
      <c r="J262" s="213" t="str">
        <f>IF(List346[[#This Row],[Tanggal Trf]]&gt;0,"Done","-")</f>
        <v>-</v>
      </c>
      <c r="K262" s="445"/>
      <c r="L262" s="221"/>
      <c r="M262" s="100"/>
      <c r="N262" s="20">
        <f>MONTH(List346[[#This Row],[Tanggal Pengajuan]])</f>
        <v>1</v>
      </c>
      <c r="O262" s="183"/>
      <c r="P262" s="100"/>
      <c r="Q262" s="198"/>
      <c r="R262" s="230"/>
      <c r="T262" s="152">
        <f>+List346[[#This Row],[Pengajuan Donasi]]-List346[[#This Row],[Jumlah Transfer]]</f>
        <v>0</v>
      </c>
      <c r="U262" s="152"/>
    </row>
    <row r="263" spans="2:21" ht="30" customHeight="1" x14ac:dyDescent="0.2">
      <c r="B263" s="102"/>
      <c r="C263" s="181"/>
      <c r="D263" s="103"/>
      <c r="E263" s="103"/>
      <c r="F263" s="103"/>
      <c r="G263" s="15">
        <f>IFERROR(+VLOOKUP(D:D,'Data Base P.Asuhan &amp; Jompo'!B:I,7,0),0)</f>
        <v>0</v>
      </c>
      <c r="H263" s="258"/>
      <c r="I263" s="258">
        <f>List346[[#This Row],[Pengajuan Donasi]]</f>
        <v>0</v>
      </c>
      <c r="J263" s="213" t="str">
        <f>IF(List346[[#This Row],[Tanggal Trf]]&gt;0,"Done","-")</f>
        <v>-</v>
      </c>
      <c r="K263" s="445"/>
      <c r="L263" s="221"/>
      <c r="M263" s="100"/>
      <c r="N263" s="20">
        <f>MONTH(List346[[#This Row],[Tanggal Pengajuan]])</f>
        <v>1</v>
      </c>
      <c r="O263" s="183"/>
      <c r="P263" s="100"/>
      <c r="Q263" s="198"/>
      <c r="R263" s="230"/>
      <c r="T263" s="152">
        <f>+List346[[#This Row],[Pengajuan Donasi]]-List346[[#This Row],[Jumlah Transfer]]</f>
        <v>0</v>
      </c>
      <c r="U263" s="152"/>
    </row>
    <row r="264" spans="2:21" ht="30" customHeight="1" x14ac:dyDescent="0.2">
      <c r="B264" s="102"/>
      <c r="C264" s="181"/>
      <c r="D264" s="103"/>
      <c r="E264" s="103"/>
      <c r="F264" s="103"/>
      <c r="G264" s="15">
        <f>IFERROR(+VLOOKUP(D:D,'Data Base P.Asuhan &amp; Jompo'!B:I,7,0),0)</f>
        <v>0</v>
      </c>
      <c r="H264" s="258"/>
      <c r="I264" s="258">
        <f>List346[[#This Row],[Pengajuan Donasi]]</f>
        <v>0</v>
      </c>
      <c r="J264" s="213" t="str">
        <f>IF(List346[[#This Row],[Tanggal Trf]]&gt;0,"Done","-")</f>
        <v>-</v>
      </c>
      <c r="K264" s="445"/>
      <c r="L264" s="221"/>
      <c r="M264" s="100"/>
      <c r="N264" s="20">
        <f>MONTH(List346[[#This Row],[Tanggal Pengajuan]])</f>
        <v>1</v>
      </c>
      <c r="O264" s="183"/>
      <c r="P264" s="100"/>
      <c r="Q264" s="198"/>
      <c r="R264" s="230"/>
      <c r="T264" s="152">
        <f>+List346[[#This Row],[Pengajuan Donasi]]-List346[[#This Row],[Jumlah Transfer]]</f>
        <v>0</v>
      </c>
      <c r="U264" s="152"/>
    </row>
    <row r="265" spans="2:21" ht="30" customHeight="1" x14ac:dyDescent="0.2">
      <c r="B265" s="102"/>
      <c r="C265" s="181"/>
      <c r="D265" s="103"/>
      <c r="E265" s="103"/>
      <c r="F265" s="103"/>
      <c r="G265" s="15">
        <f>IFERROR(+VLOOKUP(D:D,'Data Base P.Asuhan &amp; Jompo'!B:I,7,0),0)</f>
        <v>0</v>
      </c>
      <c r="H265" s="258"/>
      <c r="I265" s="258">
        <f>List346[[#This Row],[Pengajuan Donasi]]</f>
        <v>0</v>
      </c>
      <c r="J265" s="213" t="str">
        <f>IF(List346[[#This Row],[Tanggal Trf]]&gt;0,"Done","-")</f>
        <v>-</v>
      </c>
      <c r="K265" s="445"/>
      <c r="L265" s="221"/>
      <c r="M265" s="100"/>
      <c r="N265" s="20">
        <f>MONTH(List346[[#This Row],[Tanggal Pengajuan]])</f>
        <v>1</v>
      </c>
      <c r="O265" s="183"/>
      <c r="P265" s="100"/>
      <c r="Q265" s="198"/>
      <c r="R265" s="230"/>
      <c r="T265" s="152">
        <f>+List346[[#This Row],[Pengajuan Donasi]]-List346[[#This Row],[Jumlah Transfer]]</f>
        <v>0</v>
      </c>
      <c r="U265" s="152"/>
    </row>
    <row r="266" spans="2:21" ht="30" customHeight="1" x14ac:dyDescent="0.2">
      <c r="B266" s="102"/>
      <c r="C266" s="181"/>
      <c r="D266" s="103"/>
      <c r="E266" s="103"/>
      <c r="F266" s="103"/>
      <c r="G266" s="15">
        <f>IFERROR(+VLOOKUP(D:D,'Data Base P.Asuhan &amp; Jompo'!B:I,7,0),0)</f>
        <v>0</v>
      </c>
      <c r="H266" s="258"/>
      <c r="I266" s="258">
        <f>List346[[#This Row],[Pengajuan Donasi]]</f>
        <v>0</v>
      </c>
      <c r="J266" s="213" t="str">
        <f>IF(List346[[#This Row],[Tanggal Trf]]&gt;0,"Done","-")</f>
        <v>-</v>
      </c>
      <c r="K266" s="445"/>
      <c r="L266" s="221"/>
      <c r="M266" s="100"/>
      <c r="N266" s="20">
        <f>MONTH(List346[[#This Row],[Tanggal Pengajuan]])</f>
        <v>1</v>
      </c>
      <c r="O266" s="183"/>
      <c r="P266" s="100"/>
      <c r="Q266" s="198"/>
      <c r="R266" s="230"/>
      <c r="T266" s="152">
        <f>+List346[[#This Row],[Pengajuan Donasi]]-List346[[#This Row],[Jumlah Transfer]]</f>
        <v>0</v>
      </c>
      <c r="U266" s="152"/>
    </row>
    <row r="267" spans="2:21" ht="30" customHeight="1" x14ac:dyDescent="0.2">
      <c r="B267" s="102"/>
      <c r="C267" s="181"/>
      <c r="D267" s="103"/>
      <c r="E267" s="103"/>
      <c r="F267" s="103"/>
      <c r="G267" s="15">
        <f>IFERROR(+VLOOKUP(D:D,'Data Base P.Asuhan &amp; Jompo'!B:I,7,0),0)</f>
        <v>0</v>
      </c>
      <c r="H267" s="258"/>
      <c r="I267" s="258">
        <f>List346[[#This Row],[Pengajuan Donasi]]</f>
        <v>0</v>
      </c>
      <c r="J267" s="213" t="str">
        <f>IF(List346[[#This Row],[Tanggal Trf]]&gt;0,"Done","-")</f>
        <v>-</v>
      </c>
      <c r="K267" s="445"/>
      <c r="L267" s="221"/>
      <c r="M267" s="100"/>
      <c r="N267" s="20">
        <f>MONTH(List346[[#This Row],[Tanggal Pengajuan]])</f>
        <v>1</v>
      </c>
      <c r="O267" s="183"/>
      <c r="P267" s="100"/>
      <c r="Q267" s="198"/>
      <c r="R267" s="230"/>
      <c r="T267" s="152">
        <f>+List346[[#This Row],[Pengajuan Donasi]]-List346[[#This Row],[Jumlah Transfer]]</f>
        <v>0</v>
      </c>
      <c r="U267" s="152"/>
    </row>
    <row r="268" spans="2:21" ht="30" customHeight="1" x14ac:dyDescent="0.2">
      <c r="B268" s="102"/>
      <c r="C268" s="181"/>
      <c r="D268" s="103"/>
      <c r="E268" s="103"/>
      <c r="F268" s="103"/>
      <c r="G268" s="15">
        <f>IFERROR(+VLOOKUP(D:D,'Data Base P.Asuhan &amp; Jompo'!B:I,7,0),0)</f>
        <v>0</v>
      </c>
      <c r="H268" s="258"/>
      <c r="I268" s="258">
        <f>List346[[#This Row],[Pengajuan Donasi]]</f>
        <v>0</v>
      </c>
      <c r="J268" s="213" t="str">
        <f>IF(List346[[#This Row],[Tanggal Trf]]&gt;0,"Done","-")</f>
        <v>-</v>
      </c>
      <c r="K268" s="445"/>
      <c r="L268" s="221"/>
      <c r="M268" s="100"/>
      <c r="N268" s="20">
        <f>MONTH(List346[[#This Row],[Tanggal Pengajuan]])</f>
        <v>1</v>
      </c>
      <c r="O268" s="183"/>
      <c r="P268" s="100"/>
      <c r="Q268" s="198"/>
      <c r="R268" s="230"/>
      <c r="T268" s="152">
        <f>+List346[[#This Row],[Pengajuan Donasi]]-List346[[#This Row],[Jumlah Transfer]]</f>
        <v>0</v>
      </c>
      <c r="U268" s="152"/>
    </row>
    <row r="269" spans="2:21" ht="30" customHeight="1" x14ac:dyDescent="0.2">
      <c r="B269" s="102"/>
      <c r="C269" s="181"/>
      <c r="D269" s="103"/>
      <c r="E269" s="103"/>
      <c r="F269" s="103"/>
      <c r="G269" s="15">
        <f>IFERROR(+VLOOKUP(D:D,'Data Base P.Asuhan &amp; Jompo'!B:I,7,0),0)</f>
        <v>0</v>
      </c>
      <c r="H269" s="258"/>
      <c r="I269" s="258">
        <f>List346[[#This Row],[Pengajuan Donasi]]</f>
        <v>0</v>
      </c>
      <c r="J269" s="213" t="str">
        <f>IF(List346[[#This Row],[Tanggal Trf]]&gt;0,"Done","-")</f>
        <v>-</v>
      </c>
      <c r="K269" s="445"/>
      <c r="L269" s="221"/>
      <c r="M269" s="100"/>
      <c r="N269" s="20">
        <f>MONTH(List346[[#This Row],[Tanggal Pengajuan]])</f>
        <v>1</v>
      </c>
      <c r="O269" s="183"/>
      <c r="P269" s="100"/>
      <c r="Q269" s="198"/>
      <c r="R269" s="230"/>
      <c r="T269" s="152">
        <f>+List346[[#This Row],[Pengajuan Donasi]]-List346[[#This Row],[Jumlah Transfer]]</f>
        <v>0</v>
      </c>
      <c r="U269" s="152"/>
    </row>
    <row r="270" spans="2:21" ht="30" customHeight="1" x14ac:dyDescent="0.2">
      <c r="B270" s="102"/>
      <c r="C270" s="181"/>
      <c r="D270" s="103"/>
      <c r="E270" s="103"/>
      <c r="F270" s="103"/>
      <c r="G270" s="15">
        <f>IFERROR(+VLOOKUP(D:D,'Data Base P.Asuhan &amp; Jompo'!B:I,7,0),0)</f>
        <v>0</v>
      </c>
      <c r="H270" s="258"/>
      <c r="I270" s="258">
        <f>List346[[#This Row],[Pengajuan Donasi]]</f>
        <v>0</v>
      </c>
      <c r="J270" s="213" t="str">
        <f>IF(List346[[#This Row],[Tanggal Trf]]&gt;0,"Done","-")</f>
        <v>-</v>
      </c>
      <c r="K270" s="445"/>
      <c r="L270" s="221"/>
      <c r="M270" s="100"/>
      <c r="N270" s="20">
        <f>MONTH(List346[[#This Row],[Tanggal Pengajuan]])</f>
        <v>1</v>
      </c>
      <c r="O270" s="183"/>
      <c r="P270" s="105"/>
      <c r="Q270" s="198"/>
      <c r="R270" s="230"/>
      <c r="T270" s="152">
        <f>+List346[[#This Row],[Pengajuan Donasi]]-List346[[#This Row],[Jumlah Transfer]]</f>
        <v>0</v>
      </c>
      <c r="U270" s="152"/>
    </row>
    <row r="271" spans="2:21" ht="30" customHeight="1" x14ac:dyDescent="0.2">
      <c r="B271" s="102"/>
      <c r="C271" s="181"/>
      <c r="D271" s="103"/>
      <c r="E271" s="103"/>
      <c r="F271" s="103"/>
      <c r="G271" s="15">
        <f>IFERROR(+VLOOKUP(D:D,'Data Base P.Asuhan &amp; Jompo'!B:I,7,0),0)</f>
        <v>0</v>
      </c>
      <c r="H271" s="258"/>
      <c r="I271" s="258">
        <f>List346[[#This Row],[Pengajuan Donasi]]</f>
        <v>0</v>
      </c>
      <c r="J271" s="213" t="str">
        <f>IF(List346[[#This Row],[Tanggal Trf]]&gt;0,"Done","-")</f>
        <v>-</v>
      </c>
      <c r="K271" s="445"/>
      <c r="L271" s="221"/>
      <c r="M271" s="100"/>
      <c r="N271" s="20">
        <f>MONTH(List346[[#This Row],[Tanggal Pengajuan]])</f>
        <v>1</v>
      </c>
      <c r="O271" s="183"/>
      <c r="P271" s="100"/>
      <c r="Q271" s="198"/>
      <c r="R271" s="230"/>
      <c r="T271" s="152">
        <f>+List346[[#This Row],[Pengajuan Donasi]]-List346[[#This Row],[Jumlah Transfer]]</f>
        <v>0</v>
      </c>
      <c r="U271" s="152"/>
    </row>
    <row r="272" spans="2:21" ht="30" customHeight="1" x14ac:dyDescent="0.2">
      <c r="B272" s="102"/>
      <c r="C272" s="181"/>
      <c r="D272" s="103"/>
      <c r="E272" s="103"/>
      <c r="F272" s="103"/>
      <c r="G272" s="15">
        <f>IFERROR(+VLOOKUP(D:D,'Data Base P.Asuhan &amp; Jompo'!B:I,7,0),0)</f>
        <v>0</v>
      </c>
      <c r="H272" s="258"/>
      <c r="I272" s="258">
        <f>List346[[#This Row],[Pengajuan Donasi]]</f>
        <v>0</v>
      </c>
      <c r="J272" s="213" t="str">
        <f>IF(List346[[#This Row],[Tanggal Trf]]&gt;0,"Done","-")</f>
        <v>-</v>
      </c>
      <c r="K272" s="445"/>
      <c r="L272" s="221"/>
      <c r="M272" s="100"/>
      <c r="N272" s="20">
        <f>MONTH(List346[[#This Row],[Tanggal Pengajuan]])</f>
        <v>1</v>
      </c>
      <c r="O272" s="183"/>
      <c r="P272" s="100"/>
      <c r="Q272" s="198"/>
      <c r="R272" s="230"/>
      <c r="T272" s="152">
        <f>+List346[[#This Row],[Pengajuan Donasi]]-List346[[#This Row],[Jumlah Transfer]]</f>
        <v>0</v>
      </c>
      <c r="U272" s="152"/>
    </row>
    <row r="273" spans="2:21" ht="30" customHeight="1" x14ac:dyDescent="0.2">
      <c r="B273" s="102"/>
      <c r="C273" s="181"/>
      <c r="D273" s="103"/>
      <c r="E273" s="103"/>
      <c r="F273" s="103"/>
      <c r="G273" s="15">
        <f>IFERROR(+VLOOKUP(D:D,'Data Base P.Asuhan &amp; Jompo'!B:I,7,0),0)</f>
        <v>0</v>
      </c>
      <c r="H273" s="258"/>
      <c r="I273" s="258">
        <f>List346[[#This Row],[Pengajuan Donasi]]</f>
        <v>0</v>
      </c>
      <c r="J273" s="213" t="str">
        <f>IF(List346[[#This Row],[Tanggal Trf]]&gt;0,"Done","-")</f>
        <v>-</v>
      </c>
      <c r="K273" s="445"/>
      <c r="L273" s="221"/>
      <c r="M273" s="100"/>
      <c r="N273" s="20">
        <f>MONTH(List346[[#This Row],[Tanggal Pengajuan]])</f>
        <v>1</v>
      </c>
      <c r="O273" s="183"/>
      <c r="P273" s="100"/>
      <c r="Q273" s="198"/>
      <c r="R273" s="230"/>
      <c r="T273" s="152">
        <f>+List346[[#This Row],[Pengajuan Donasi]]-List346[[#This Row],[Jumlah Transfer]]</f>
        <v>0</v>
      </c>
      <c r="U273" s="152"/>
    </row>
    <row r="274" spans="2:21" ht="30" customHeight="1" x14ac:dyDescent="0.2">
      <c r="B274" s="102"/>
      <c r="C274" s="181"/>
      <c r="D274" s="103"/>
      <c r="E274" s="103"/>
      <c r="F274" s="103"/>
      <c r="G274" s="15">
        <f>IFERROR(+VLOOKUP(D:D,'Data Base P.Asuhan &amp; Jompo'!B:I,7,0),0)</f>
        <v>0</v>
      </c>
      <c r="H274" s="258"/>
      <c r="I274" s="258">
        <f>List346[[#This Row],[Pengajuan Donasi]]</f>
        <v>0</v>
      </c>
      <c r="J274" s="213" t="str">
        <f>IF(List346[[#This Row],[Tanggal Trf]]&gt;0,"Done","-")</f>
        <v>-</v>
      </c>
      <c r="K274" s="445"/>
      <c r="L274" s="221"/>
      <c r="M274" s="100"/>
      <c r="N274" s="20">
        <f>MONTH(List346[[#This Row],[Tanggal Pengajuan]])</f>
        <v>1</v>
      </c>
      <c r="O274" s="183"/>
      <c r="P274" s="100"/>
      <c r="Q274" s="198"/>
      <c r="R274" s="230"/>
      <c r="T274" s="152">
        <f>+List346[[#This Row],[Pengajuan Donasi]]-List346[[#This Row],[Jumlah Transfer]]</f>
        <v>0</v>
      </c>
      <c r="U274" s="152"/>
    </row>
    <row r="275" spans="2:21" ht="30" customHeight="1" x14ac:dyDescent="0.2">
      <c r="B275" s="102"/>
      <c r="C275" s="181"/>
      <c r="D275" s="103"/>
      <c r="E275" s="103"/>
      <c r="F275" s="103"/>
      <c r="G275" s="15">
        <f>IFERROR(+VLOOKUP(D:D,'Data Base P.Asuhan &amp; Jompo'!B:I,7,0),0)</f>
        <v>0</v>
      </c>
      <c r="H275" s="258"/>
      <c r="I275" s="258">
        <f>List346[[#This Row],[Pengajuan Donasi]]</f>
        <v>0</v>
      </c>
      <c r="J275" s="213" t="str">
        <f>IF(List346[[#This Row],[Tanggal Trf]]&gt;0,"Done","-")</f>
        <v>-</v>
      </c>
      <c r="K275" s="445"/>
      <c r="L275" s="221"/>
      <c r="M275" s="100"/>
      <c r="N275" s="20">
        <f>MONTH(List346[[#This Row],[Tanggal Pengajuan]])</f>
        <v>1</v>
      </c>
      <c r="O275" s="183"/>
      <c r="P275" s="105"/>
      <c r="Q275" s="198"/>
      <c r="R275" s="230"/>
      <c r="T275" s="152">
        <f>+List346[[#This Row],[Pengajuan Donasi]]-List346[[#This Row],[Jumlah Transfer]]</f>
        <v>0</v>
      </c>
      <c r="U275" s="152"/>
    </row>
    <row r="276" spans="2:21" ht="30" customHeight="1" x14ac:dyDescent="0.2">
      <c r="B276" s="102"/>
      <c r="C276" s="181"/>
      <c r="D276" s="103"/>
      <c r="E276" s="103"/>
      <c r="F276" s="103"/>
      <c r="G276" s="15">
        <f>IFERROR(+VLOOKUP(D:D,'Data Base P.Asuhan &amp; Jompo'!B:I,7,0),0)</f>
        <v>0</v>
      </c>
      <c r="H276" s="258"/>
      <c r="I276" s="258">
        <f>List346[[#This Row],[Pengajuan Donasi]]</f>
        <v>0</v>
      </c>
      <c r="J276" s="213" t="str">
        <f>IF(List346[[#This Row],[Tanggal Trf]]&gt;0,"Done","-")</f>
        <v>-</v>
      </c>
      <c r="K276" s="445"/>
      <c r="L276" s="221"/>
      <c r="M276" s="100"/>
      <c r="N276" s="20">
        <f>MONTH(List346[[#This Row],[Tanggal Pengajuan]])</f>
        <v>1</v>
      </c>
      <c r="O276" s="183"/>
      <c r="P276" s="100"/>
      <c r="Q276" s="198"/>
      <c r="R276" s="230"/>
      <c r="T276" s="152">
        <f>+List346[[#This Row],[Pengajuan Donasi]]-List346[[#This Row],[Jumlah Transfer]]</f>
        <v>0</v>
      </c>
      <c r="U276" s="152"/>
    </row>
    <row r="277" spans="2:21" ht="30" customHeight="1" x14ac:dyDescent="0.2">
      <c r="B277" s="102"/>
      <c r="C277" s="181"/>
      <c r="D277" s="103"/>
      <c r="E277" s="103"/>
      <c r="F277" s="103"/>
      <c r="G277" s="15">
        <f>IFERROR(+VLOOKUP(D:D,'Data Base P.Asuhan &amp; Jompo'!B:I,7,0),0)</f>
        <v>0</v>
      </c>
      <c r="H277" s="258"/>
      <c r="I277" s="258">
        <f>List346[[#This Row],[Pengajuan Donasi]]</f>
        <v>0</v>
      </c>
      <c r="J277" s="213" t="str">
        <f>IF(List346[[#This Row],[Tanggal Trf]]&gt;0,"Done","-")</f>
        <v>-</v>
      </c>
      <c r="K277" s="445"/>
      <c r="L277" s="221"/>
      <c r="M277" s="100"/>
      <c r="N277" s="20">
        <f>MONTH(List346[[#This Row],[Tanggal Pengajuan]])</f>
        <v>1</v>
      </c>
      <c r="O277" s="183"/>
      <c r="P277" s="100"/>
      <c r="Q277" s="198"/>
      <c r="R277" s="230"/>
      <c r="T277" s="152">
        <f>+List346[[#This Row],[Pengajuan Donasi]]-List346[[#This Row],[Jumlah Transfer]]</f>
        <v>0</v>
      </c>
      <c r="U277" s="152"/>
    </row>
    <row r="278" spans="2:21" ht="30" customHeight="1" x14ac:dyDescent="0.2">
      <c r="B278" s="102"/>
      <c r="C278" s="181"/>
      <c r="D278" s="103"/>
      <c r="E278" s="103"/>
      <c r="F278" s="103"/>
      <c r="G278" s="15">
        <f>IFERROR(+VLOOKUP(D:D,'Data Base P.Asuhan &amp; Jompo'!B:I,7,0),0)</f>
        <v>0</v>
      </c>
      <c r="H278" s="258"/>
      <c r="I278" s="258">
        <f>List346[[#This Row],[Pengajuan Donasi]]</f>
        <v>0</v>
      </c>
      <c r="J278" s="213" t="str">
        <f>IF(List346[[#This Row],[Tanggal Trf]]&gt;0,"Done","-")</f>
        <v>-</v>
      </c>
      <c r="K278" s="445"/>
      <c r="L278" s="221"/>
      <c r="M278" s="100"/>
      <c r="N278" s="20">
        <f>MONTH(List346[[#This Row],[Tanggal Pengajuan]])</f>
        <v>1</v>
      </c>
      <c r="O278" s="183"/>
      <c r="P278" s="100"/>
      <c r="Q278" s="198"/>
      <c r="R278" s="230"/>
      <c r="T278" s="152">
        <f>+List346[[#This Row],[Pengajuan Donasi]]-List346[[#This Row],[Jumlah Transfer]]</f>
        <v>0</v>
      </c>
      <c r="U278" s="152"/>
    </row>
    <row r="279" spans="2:21" ht="30" customHeight="1" x14ac:dyDescent="0.2">
      <c r="B279" s="102"/>
      <c r="C279" s="181"/>
      <c r="D279" s="103"/>
      <c r="E279" s="103"/>
      <c r="F279" s="103"/>
      <c r="G279" s="15">
        <f>IFERROR(+VLOOKUP(D:D,'Data Base P.Asuhan &amp; Jompo'!B:I,7,0),0)</f>
        <v>0</v>
      </c>
      <c r="H279" s="258"/>
      <c r="I279" s="258">
        <f>List346[[#This Row],[Pengajuan Donasi]]</f>
        <v>0</v>
      </c>
      <c r="J279" s="213" t="str">
        <f>IF(List346[[#This Row],[Tanggal Trf]]&gt;0,"Done","-")</f>
        <v>-</v>
      </c>
      <c r="K279" s="445"/>
      <c r="L279" s="221"/>
      <c r="M279" s="100"/>
      <c r="N279" s="20">
        <f>MONTH(List346[[#This Row],[Tanggal Pengajuan]])</f>
        <v>1</v>
      </c>
      <c r="O279" s="183"/>
      <c r="P279" s="105"/>
      <c r="Q279" s="198"/>
      <c r="R279" s="230"/>
      <c r="T279" s="152">
        <f>+List346[[#This Row],[Pengajuan Donasi]]-List346[[#This Row],[Jumlah Transfer]]</f>
        <v>0</v>
      </c>
      <c r="U279" s="152"/>
    </row>
    <row r="280" spans="2:21" ht="30" customHeight="1" x14ac:dyDescent="0.2">
      <c r="B280" s="102"/>
      <c r="C280" s="181"/>
      <c r="D280" s="103"/>
      <c r="E280" s="103"/>
      <c r="F280" s="103"/>
      <c r="G280" s="15">
        <f>IFERROR(+VLOOKUP(D:D,'Data Base P.Asuhan &amp; Jompo'!B:I,7,0),0)</f>
        <v>0</v>
      </c>
      <c r="H280" s="258"/>
      <c r="I280" s="258">
        <f>List346[[#This Row],[Pengajuan Donasi]]</f>
        <v>0</v>
      </c>
      <c r="J280" s="213" t="str">
        <f>IF(List346[[#This Row],[Tanggal Trf]]&gt;0,"Done","-")</f>
        <v>-</v>
      </c>
      <c r="K280" s="445"/>
      <c r="L280" s="221"/>
      <c r="M280" s="100"/>
      <c r="N280" s="20">
        <f>MONTH(List346[[#This Row],[Tanggal Pengajuan]])</f>
        <v>1</v>
      </c>
      <c r="O280" s="183"/>
      <c r="P280" s="100"/>
      <c r="Q280" s="198"/>
      <c r="R280" s="230"/>
      <c r="T280" s="152">
        <f>+List346[[#This Row],[Pengajuan Donasi]]-List346[[#This Row],[Jumlah Transfer]]</f>
        <v>0</v>
      </c>
      <c r="U280" s="152"/>
    </row>
    <row r="281" spans="2:21" ht="30" customHeight="1" x14ac:dyDescent="0.2">
      <c r="B281" s="102"/>
      <c r="C281" s="181"/>
      <c r="D281" s="103"/>
      <c r="E281" s="103"/>
      <c r="F281" s="103"/>
      <c r="G281" s="15">
        <f>IFERROR(+VLOOKUP(D:D,'Data Base P.Asuhan &amp; Jompo'!B:I,7,0),0)</f>
        <v>0</v>
      </c>
      <c r="H281" s="258"/>
      <c r="I281" s="258">
        <f>List346[[#This Row],[Pengajuan Donasi]]</f>
        <v>0</v>
      </c>
      <c r="J281" s="213" t="str">
        <f>IF(List346[[#This Row],[Tanggal Trf]]&gt;0,"Done","-")</f>
        <v>-</v>
      </c>
      <c r="K281" s="445"/>
      <c r="L281" s="221"/>
      <c r="M281" s="100"/>
      <c r="N281" s="20">
        <f>MONTH(List346[[#This Row],[Tanggal Pengajuan]])</f>
        <v>1</v>
      </c>
      <c r="O281" s="183"/>
      <c r="P281" s="100"/>
      <c r="Q281" s="198"/>
      <c r="R281" s="230"/>
      <c r="T281" s="152">
        <f>+List346[[#This Row],[Pengajuan Donasi]]-List346[[#This Row],[Jumlah Transfer]]</f>
        <v>0</v>
      </c>
      <c r="U281" s="152"/>
    </row>
    <row r="282" spans="2:21" ht="30" customHeight="1" x14ac:dyDescent="0.2">
      <c r="B282" s="102"/>
      <c r="C282" s="181"/>
      <c r="D282" s="103"/>
      <c r="E282" s="103"/>
      <c r="F282" s="103"/>
      <c r="G282" s="15">
        <f>IFERROR(+VLOOKUP(D:D,'Data Base P.Asuhan &amp; Jompo'!B:I,7,0),0)</f>
        <v>0</v>
      </c>
      <c r="H282" s="258"/>
      <c r="I282" s="258">
        <f>List346[[#This Row],[Pengajuan Donasi]]</f>
        <v>0</v>
      </c>
      <c r="J282" s="213" t="str">
        <f>IF(List346[[#This Row],[Tanggal Trf]]&gt;0,"Done","-")</f>
        <v>-</v>
      </c>
      <c r="K282" s="445"/>
      <c r="L282" s="221"/>
      <c r="M282" s="100"/>
      <c r="N282" s="20">
        <f>MONTH(List346[[#This Row],[Tanggal Pengajuan]])</f>
        <v>1</v>
      </c>
      <c r="O282" s="183"/>
      <c r="P282" s="100"/>
      <c r="Q282" s="198"/>
      <c r="R282" s="230"/>
      <c r="T282" s="152">
        <f>+List346[[#This Row],[Pengajuan Donasi]]-List346[[#This Row],[Jumlah Transfer]]</f>
        <v>0</v>
      </c>
      <c r="U282" s="152"/>
    </row>
    <row r="283" spans="2:21" ht="30" customHeight="1" x14ac:dyDescent="0.2">
      <c r="B283" s="102"/>
      <c r="C283" s="181"/>
      <c r="D283" s="103"/>
      <c r="E283" s="103"/>
      <c r="F283" s="103"/>
      <c r="G283" s="15">
        <f>IFERROR(+VLOOKUP(D:D,'Data Base P.Asuhan &amp; Jompo'!B:I,7,0),0)</f>
        <v>0</v>
      </c>
      <c r="H283" s="258"/>
      <c r="I283" s="258">
        <f>List346[[#This Row],[Pengajuan Donasi]]</f>
        <v>0</v>
      </c>
      <c r="J283" s="213" t="str">
        <f>IF(List346[[#This Row],[Tanggal Trf]]&gt;0,"Done","-")</f>
        <v>-</v>
      </c>
      <c r="K283" s="445"/>
      <c r="L283" s="221"/>
      <c r="M283" s="100"/>
      <c r="N283" s="20">
        <f>MONTH(List346[[#This Row],[Tanggal Pengajuan]])</f>
        <v>1</v>
      </c>
      <c r="O283" s="183"/>
      <c r="P283" s="100"/>
      <c r="Q283" s="198"/>
      <c r="R283" s="230"/>
      <c r="T283" s="152">
        <f>+List346[[#This Row],[Pengajuan Donasi]]-List346[[#This Row],[Jumlah Transfer]]</f>
        <v>0</v>
      </c>
      <c r="U283" s="152"/>
    </row>
    <row r="284" spans="2:21" ht="30" customHeight="1" x14ac:dyDescent="0.2">
      <c r="B284" s="102"/>
      <c r="C284" s="181"/>
      <c r="D284" s="103"/>
      <c r="E284" s="103"/>
      <c r="F284" s="103"/>
      <c r="G284" s="15">
        <f>IFERROR(+VLOOKUP(D:D,'Data Base P.Asuhan &amp; Jompo'!B:I,7,0),0)</f>
        <v>0</v>
      </c>
      <c r="H284" s="258"/>
      <c r="I284" s="258">
        <f>List346[[#This Row],[Pengajuan Donasi]]</f>
        <v>0</v>
      </c>
      <c r="J284" s="213" t="str">
        <f>IF(List346[[#This Row],[Tanggal Trf]]&gt;0,"Done","-")</f>
        <v>-</v>
      </c>
      <c r="K284" s="445"/>
      <c r="L284" s="221"/>
      <c r="M284" s="100"/>
      <c r="N284" s="20">
        <f>MONTH(List346[[#This Row],[Tanggal Pengajuan]])</f>
        <v>1</v>
      </c>
      <c r="O284" s="183"/>
      <c r="P284" s="105"/>
      <c r="Q284" s="198"/>
      <c r="R284" s="230"/>
      <c r="T284" s="152">
        <f>+List346[[#This Row],[Pengajuan Donasi]]-List346[[#This Row],[Jumlah Transfer]]</f>
        <v>0</v>
      </c>
      <c r="U284" s="152"/>
    </row>
    <row r="285" spans="2:21" ht="30" customHeight="1" x14ac:dyDescent="0.2">
      <c r="B285" s="102"/>
      <c r="C285" s="181"/>
      <c r="D285" s="103"/>
      <c r="E285" s="103"/>
      <c r="F285" s="103"/>
      <c r="G285" s="15">
        <f>IFERROR(+VLOOKUP(D:D,'Data Base P.Asuhan &amp; Jompo'!B:I,7,0),0)</f>
        <v>0</v>
      </c>
      <c r="H285" s="258"/>
      <c r="I285" s="258">
        <f>List346[[#This Row],[Pengajuan Donasi]]</f>
        <v>0</v>
      </c>
      <c r="J285" s="213" t="str">
        <f>IF(List346[[#This Row],[Tanggal Trf]]&gt;0,"Done","-")</f>
        <v>-</v>
      </c>
      <c r="K285" s="445"/>
      <c r="L285" s="221"/>
      <c r="M285" s="100"/>
      <c r="N285" s="20">
        <f>MONTH(List346[[#This Row],[Tanggal Pengajuan]])</f>
        <v>1</v>
      </c>
      <c r="O285" s="183"/>
      <c r="P285" s="100"/>
      <c r="Q285" s="198"/>
      <c r="R285" s="230"/>
      <c r="T285" s="152">
        <f>+List346[[#This Row],[Pengajuan Donasi]]-List346[[#This Row],[Jumlah Transfer]]</f>
        <v>0</v>
      </c>
      <c r="U285" s="152"/>
    </row>
    <row r="286" spans="2:21" ht="30" customHeight="1" x14ac:dyDescent="0.2">
      <c r="B286" s="102"/>
      <c r="C286" s="181"/>
      <c r="D286" s="103"/>
      <c r="E286" s="103"/>
      <c r="F286" s="103"/>
      <c r="G286" s="15">
        <f>IFERROR(+VLOOKUP(D:D,'Data Base P.Asuhan &amp; Jompo'!B:I,7,0),0)</f>
        <v>0</v>
      </c>
      <c r="H286" s="258"/>
      <c r="I286" s="258">
        <f>List346[[#This Row],[Pengajuan Donasi]]</f>
        <v>0</v>
      </c>
      <c r="J286" s="213" t="str">
        <f>IF(List346[[#This Row],[Tanggal Trf]]&gt;0,"Done","-")</f>
        <v>-</v>
      </c>
      <c r="K286" s="445"/>
      <c r="L286" s="221"/>
      <c r="M286" s="100"/>
      <c r="N286" s="20">
        <f>MONTH(List346[[#This Row],[Tanggal Pengajuan]])</f>
        <v>1</v>
      </c>
      <c r="O286" s="183"/>
      <c r="P286" s="100"/>
      <c r="Q286" s="198"/>
      <c r="R286" s="230"/>
      <c r="T286" s="152">
        <f>+List346[[#This Row],[Pengajuan Donasi]]-List346[[#This Row],[Jumlah Transfer]]</f>
        <v>0</v>
      </c>
      <c r="U286" s="152"/>
    </row>
    <row r="287" spans="2:21" ht="30" customHeight="1" x14ac:dyDescent="0.2">
      <c r="B287" s="102"/>
      <c r="C287" s="181"/>
      <c r="D287" s="103"/>
      <c r="E287" s="103"/>
      <c r="F287" s="103"/>
      <c r="G287" s="15">
        <f>IFERROR(+VLOOKUP(D:D,'Data Base P.Asuhan &amp; Jompo'!B:I,7,0),0)</f>
        <v>0</v>
      </c>
      <c r="H287" s="258"/>
      <c r="I287" s="258">
        <f>List346[[#This Row],[Pengajuan Donasi]]</f>
        <v>0</v>
      </c>
      <c r="J287" s="213" t="str">
        <f>IF(List346[[#This Row],[Tanggal Trf]]&gt;0,"Done","-")</f>
        <v>-</v>
      </c>
      <c r="K287" s="445"/>
      <c r="L287" s="221"/>
      <c r="M287" s="100"/>
      <c r="N287" s="20">
        <f>MONTH(List346[[#This Row],[Tanggal Pengajuan]])</f>
        <v>1</v>
      </c>
      <c r="O287" s="183"/>
      <c r="P287" s="100"/>
      <c r="Q287" s="198"/>
      <c r="R287" s="230"/>
      <c r="T287" s="152">
        <f>+List346[[#This Row],[Pengajuan Donasi]]-List346[[#This Row],[Jumlah Transfer]]</f>
        <v>0</v>
      </c>
      <c r="U287" s="152"/>
    </row>
    <row r="288" spans="2:21" ht="30" customHeight="1" x14ac:dyDescent="0.2">
      <c r="B288" s="102"/>
      <c r="C288" s="181"/>
      <c r="D288" s="103"/>
      <c r="E288" s="103"/>
      <c r="F288" s="103"/>
      <c r="G288" s="15">
        <f>IFERROR(+VLOOKUP(D:D,'Data Base P.Asuhan &amp; Jompo'!B:I,7,0),0)</f>
        <v>0</v>
      </c>
      <c r="H288" s="258"/>
      <c r="I288" s="258">
        <f>List346[[#This Row],[Pengajuan Donasi]]</f>
        <v>0</v>
      </c>
      <c r="J288" s="213" t="str">
        <f>IF(List346[[#This Row],[Tanggal Trf]]&gt;0,"Done","-")</f>
        <v>-</v>
      </c>
      <c r="K288" s="445"/>
      <c r="L288" s="221"/>
      <c r="M288" s="100"/>
      <c r="N288" s="20">
        <f>MONTH(List346[[#This Row],[Tanggal Pengajuan]])</f>
        <v>1</v>
      </c>
      <c r="O288" s="183"/>
      <c r="P288" s="105"/>
      <c r="Q288" s="198"/>
      <c r="R288" s="230"/>
      <c r="T288" s="152">
        <f>+List346[[#This Row],[Pengajuan Donasi]]-List346[[#This Row],[Jumlah Transfer]]</f>
        <v>0</v>
      </c>
      <c r="U288" s="152"/>
    </row>
    <row r="289" spans="2:21" ht="30" customHeight="1" x14ac:dyDescent="0.2">
      <c r="B289" s="102"/>
      <c r="C289" s="181"/>
      <c r="D289" s="103"/>
      <c r="E289" s="103"/>
      <c r="F289" s="103"/>
      <c r="G289" s="15">
        <f>IFERROR(+VLOOKUP(D:D,'Data Base P.Asuhan &amp; Jompo'!B:I,7,0),0)</f>
        <v>0</v>
      </c>
      <c r="H289" s="258"/>
      <c r="I289" s="258">
        <f>List346[[#This Row],[Pengajuan Donasi]]</f>
        <v>0</v>
      </c>
      <c r="J289" s="213" t="str">
        <f>IF(List346[[#This Row],[Tanggal Trf]]&gt;0,"Done","-")</f>
        <v>-</v>
      </c>
      <c r="K289" s="445"/>
      <c r="L289" s="221"/>
      <c r="M289" s="100"/>
      <c r="N289" s="20">
        <f>MONTH(List346[[#This Row],[Tanggal Pengajuan]])</f>
        <v>1</v>
      </c>
      <c r="O289" s="183"/>
      <c r="P289" s="100"/>
      <c r="Q289" s="198"/>
      <c r="R289" s="230"/>
      <c r="T289" s="152">
        <f>+List346[[#This Row],[Pengajuan Donasi]]-List346[[#This Row],[Jumlah Transfer]]</f>
        <v>0</v>
      </c>
      <c r="U289" s="152"/>
    </row>
    <row r="290" spans="2:21" ht="30" customHeight="1" x14ac:dyDescent="0.2">
      <c r="B290" s="102"/>
      <c r="C290" s="67"/>
      <c r="D290" s="103"/>
      <c r="E290" s="103"/>
      <c r="F290" s="103"/>
      <c r="G290" s="15">
        <f>IFERROR(+VLOOKUP(D:D,'Data Base P.Asuhan &amp; Jompo'!B:I,7,0),0)</f>
        <v>0</v>
      </c>
      <c r="H290" s="258"/>
      <c r="I290" s="258">
        <v>0</v>
      </c>
      <c r="J290" s="213" t="str">
        <f>IF(List346[[#This Row],[Tanggal Trf]]&gt;0,"Done","-")</f>
        <v>-</v>
      </c>
      <c r="K290" s="437"/>
      <c r="L290" s="221"/>
      <c r="M290" s="100"/>
      <c r="N290" s="100">
        <f>MONTH(List346[[#This Row],[Tanggal Pengajuan]])</f>
        <v>1</v>
      </c>
      <c r="O290" s="183"/>
      <c r="P290" s="105"/>
      <c r="Q290" s="111"/>
      <c r="R290" s="233"/>
      <c r="T290" s="152">
        <f>+List346[[#This Row],[Pengajuan Donasi]]-List346[[#This Row],[Jumlah Transfer]]</f>
        <v>0</v>
      </c>
      <c r="U290" s="152"/>
    </row>
    <row r="291" spans="2:21" ht="30" customHeight="1" x14ac:dyDescent="0.2">
      <c r="B291" s="102"/>
      <c r="C291" s="197"/>
      <c r="D291" s="103"/>
      <c r="E291" s="103"/>
      <c r="F291" s="103"/>
      <c r="G291" s="15">
        <f>IFERROR(+VLOOKUP(D:D,'Data Base P.Asuhan &amp; Jompo'!B:I,7,0),0)</f>
        <v>0</v>
      </c>
      <c r="H291" s="258"/>
      <c r="I291" s="258">
        <v>0</v>
      </c>
      <c r="J291" s="213" t="str">
        <f>IF(List346[[#This Row],[Tanggal Trf]]&gt;0,"Done","-")</f>
        <v>-</v>
      </c>
      <c r="K291" s="437"/>
      <c r="L291" s="221"/>
      <c r="M291" s="100"/>
      <c r="N291" s="100">
        <f>MONTH(List346[[#This Row],[Tanggal Pengajuan]])</f>
        <v>1</v>
      </c>
      <c r="O291" s="183"/>
      <c r="P291" s="105"/>
      <c r="Q291" s="111"/>
      <c r="R291" s="230"/>
      <c r="T291" s="152">
        <f>+List346[[#This Row],[Pengajuan Donasi]]-List346[[#This Row],[Jumlah Transfer]]</f>
        <v>0</v>
      </c>
      <c r="U291" s="152"/>
    </row>
    <row r="292" spans="2:21" ht="30" customHeight="1" x14ac:dyDescent="0.2">
      <c r="B292" s="102"/>
      <c r="C292" s="67"/>
      <c r="D292" s="103"/>
      <c r="E292" s="103"/>
      <c r="F292" s="103"/>
      <c r="G292" s="15">
        <f>IFERROR(+VLOOKUP(D:D,'Data Base P.Asuhan &amp; Jompo'!B:I,7,0),0)</f>
        <v>0</v>
      </c>
      <c r="H292" s="258"/>
      <c r="I292" s="258">
        <v>0</v>
      </c>
      <c r="J292" s="213" t="str">
        <f>IF(List346[[#This Row],[Tanggal Trf]]&gt;0,"Done","-")</f>
        <v>-</v>
      </c>
      <c r="K292" s="437"/>
      <c r="L292" s="221"/>
      <c r="M292" s="100"/>
      <c r="N292" s="100">
        <f>MONTH(List346[[#This Row],[Tanggal Pengajuan]])</f>
        <v>1</v>
      </c>
      <c r="O292" s="183"/>
      <c r="P292" s="105"/>
      <c r="Q292" s="111"/>
      <c r="R292" s="233"/>
      <c r="T292" s="152">
        <f>+List346[[#This Row],[Pengajuan Donasi]]-List346[[#This Row],[Jumlah Transfer]]</f>
        <v>0</v>
      </c>
      <c r="U292" s="152"/>
    </row>
    <row r="293" spans="2:21" ht="30" customHeight="1" x14ac:dyDescent="0.2">
      <c r="B293" s="102"/>
      <c r="C293" s="67"/>
      <c r="D293" s="103"/>
      <c r="E293" s="103"/>
      <c r="F293" s="103"/>
      <c r="G293" s="15">
        <f>IFERROR(+VLOOKUP(D:D,'Data Base P.Asuhan &amp; Jompo'!B:I,7,0),0)</f>
        <v>0</v>
      </c>
      <c r="H293" s="258"/>
      <c r="I293" s="258">
        <v>0</v>
      </c>
      <c r="J293" s="213" t="str">
        <f>IF(List346[[#This Row],[Tanggal Trf]]&gt;0,"Done","-")</f>
        <v>-</v>
      </c>
      <c r="K293" s="446"/>
      <c r="L293" s="221"/>
      <c r="M293" s="100"/>
      <c r="N293" s="100">
        <f>MONTH(List346[[#This Row],[Tanggal Pengajuan]])</f>
        <v>1</v>
      </c>
      <c r="O293" s="183"/>
      <c r="P293" s="100"/>
      <c r="Q293" s="111"/>
      <c r="R293" s="230"/>
      <c r="T293" s="152">
        <f>+List346[[#This Row],[Pengajuan Donasi]]-List346[[#This Row],[Jumlah Transfer]]</f>
        <v>0</v>
      </c>
      <c r="U293" s="152"/>
    </row>
    <row r="294" spans="2:21" ht="30" customHeight="1" x14ac:dyDescent="0.2">
      <c r="B294" s="102"/>
      <c r="C294" s="67"/>
      <c r="D294" s="103"/>
      <c r="E294" s="103"/>
      <c r="F294" s="103"/>
      <c r="G294" s="15">
        <f>IFERROR(+VLOOKUP(D:D,'Data Base P.Asuhan &amp; Jompo'!B:I,7,0),0)</f>
        <v>0</v>
      </c>
      <c r="H294" s="258"/>
      <c r="I294" s="258">
        <v>0</v>
      </c>
      <c r="J294" s="213" t="str">
        <f>IF(List346[[#This Row],[Tanggal Trf]]&gt;0,"Done","-")</f>
        <v>-</v>
      </c>
      <c r="K294" s="446"/>
      <c r="L294" s="221"/>
      <c r="M294" s="100"/>
      <c r="N294" s="100">
        <f>MONTH(List346[[#This Row],[Tanggal Pengajuan]])</f>
        <v>1</v>
      </c>
      <c r="O294" s="183"/>
      <c r="P294" s="100"/>
      <c r="Q294" s="111"/>
      <c r="R294" s="230"/>
      <c r="T294" s="152">
        <f>+List346[[#This Row],[Pengajuan Donasi]]-List346[[#This Row],[Jumlah Transfer]]</f>
        <v>0</v>
      </c>
      <c r="U294" s="152"/>
    </row>
    <row r="295" spans="2:21" ht="30" customHeight="1" x14ac:dyDescent="0.2">
      <c r="B295" s="102"/>
      <c r="C295" s="67"/>
      <c r="D295" s="103"/>
      <c r="E295" s="103"/>
      <c r="F295" s="103"/>
      <c r="G295" s="15">
        <f>IFERROR(+VLOOKUP(D:D,'Data Base P.Asuhan &amp; Jompo'!B:I,7,0),0)</f>
        <v>0</v>
      </c>
      <c r="H295" s="258"/>
      <c r="I295" s="258">
        <v>0</v>
      </c>
      <c r="J295" s="213" t="str">
        <f>IF(List346[[#This Row],[Tanggal Trf]]&gt;0,"Done","-")</f>
        <v>-</v>
      </c>
      <c r="K295" s="446"/>
      <c r="L295" s="221"/>
      <c r="M295" s="100"/>
      <c r="N295" s="100">
        <f>MONTH(List346[[#This Row],[Tanggal Pengajuan]])</f>
        <v>1</v>
      </c>
      <c r="O295" s="183"/>
      <c r="P295" s="100"/>
      <c r="Q295" s="111"/>
      <c r="R295" s="230"/>
      <c r="T295" s="152">
        <f>+List346[[#This Row],[Pengajuan Donasi]]-List346[[#This Row],[Jumlah Transfer]]</f>
        <v>0</v>
      </c>
      <c r="U295" s="152"/>
    </row>
    <row r="296" spans="2:21" ht="30" customHeight="1" x14ac:dyDescent="0.2">
      <c r="B296" s="102"/>
      <c r="C296" s="67"/>
      <c r="D296" s="103"/>
      <c r="E296" s="103"/>
      <c r="F296" s="103"/>
      <c r="G296" s="15">
        <f>IFERROR(+VLOOKUP(D:D,'Data Base P.Asuhan &amp; Jompo'!B:I,7,0),0)</f>
        <v>0</v>
      </c>
      <c r="H296" s="258"/>
      <c r="I296" s="258">
        <v>0</v>
      </c>
      <c r="J296" s="213" t="str">
        <f>IF(List346[[#This Row],[Tanggal Trf]]&gt;0,"Done","-")</f>
        <v>-</v>
      </c>
      <c r="K296" s="446"/>
      <c r="L296" s="221"/>
      <c r="M296" s="100"/>
      <c r="N296" s="100">
        <f>MONTH(List346[[#This Row],[Tanggal Pengajuan]])</f>
        <v>1</v>
      </c>
      <c r="O296" s="183"/>
      <c r="P296" s="100"/>
      <c r="Q296" s="111"/>
      <c r="R296" s="230"/>
      <c r="T296" s="152">
        <f>+List346[[#This Row],[Pengajuan Donasi]]-List346[[#This Row],[Jumlah Transfer]]</f>
        <v>0</v>
      </c>
      <c r="U296" s="152"/>
    </row>
    <row r="297" spans="2:21" ht="30" customHeight="1" x14ac:dyDescent="0.2">
      <c r="B297" s="102"/>
      <c r="C297" s="67"/>
      <c r="D297" s="103"/>
      <c r="E297" s="103"/>
      <c r="F297" s="103"/>
      <c r="G297" s="15">
        <f>IFERROR(+VLOOKUP(D:D,'Data Base P.Asuhan &amp; Jompo'!B:I,7,0),0)</f>
        <v>0</v>
      </c>
      <c r="H297" s="258"/>
      <c r="I297" s="258">
        <v>0</v>
      </c>
      <c r="J297" s="213" t="str">
        <f>IF(List346[[#This Row],[Tanggal Trf]]&gt;0,"Done","-")</f>
        <v>-</v>
      </c>
      <c r="K297" s="445"/>
      <c r="L297" s="221"/>
      <c r="M297" s="100"/>
      <c r="N297" s="100">
        <f>MONTH(List346[[#This Row],[Tanggal Pengajuan]])</f>
        <v>1</v>
      </c>
      <c r="O297" s="183"/>
      <c r="P297" s="105"/>
      <c r="Q297" s="111"/>
      <c r="R297" s="230"/>
      <c r="T297" s="152">
        <f>+List346[[#This Row],[Pengajuan Donasi]]-List346[[#This Row],[Jumlah Transfer]]</f>
        <v>0</v>
      </c>
      <c r="U297" s="152"/>
    </row>
    <row r="298" spans="2:21" ht="30" customHeight="1" x14ac:dyDescent="0.2">
      <c r="B298" s="102"/>
      <c r="C298" s="67"/>
      <c r="D298" s="103"/>
      <c r="E298" s="103"/>
      <c r="F298" s="103"/>
      <c r="G298" s="15">
        <f>IFERROR(+VLOOKUP(D:D,'Data Base P.Asuhan &amp; Jompo'!B:I,7,0),0)</f>
        <v>0</v>
      </c>
      <c r="H298" s="258"/>
      <c r="I298" s="258">
        <v>0</v>
      </c>
      <c r="J298" s="214" t="str">
        <f>IF(List346[[#This Row],[Tanggal Trf]]&gt;0,"Done","-")</f>
        <v>-</v>
      </c>
      <c r="K298" s="445"/>
      <c r="L298" s="221"/>
      <c r="M298" s="100"/>
      <c r="N298" s="100">
        <f>MONTH(List346[[#This Row],[Tanggal Pengajuan]])</f>
        <v>1</v>
      </c>
      <c r="O298" s="183"/>
      <c r="P298" s="105"/>
      <c r="Q298" s="111"/>
      <c r="R298" s="230"/>
      <c r="T298" s="152">
        <f>+List346[[#This Row],[Pengajuan Donasi]]-List346[[#This Row],[Jumlah Transfer]]</f>
        <v>0</v>
      </c>
      <c r="U298" s="152"/>
    </row>
    <row r="299" spans="2:21" ht="30" customHeight="1" x14ac:dyDescent="0.2">
      <c r="B299" s="102"/>
      <c r="C299" s="67"/>
      <c r="D299" s="103"/>
      <c r="E299" s="103"/>
      <c r="F299" s="103"/>
      <c r="G299" s="15">
        <f>IFERROR(+VLOOKUP(D:D,'Data Base P.Asuhan &amp; Jompo'!B:I,7,0),0)</f>
        <v>0</v>
      </c>
      <c r="H299" s="258"/>
      <c r="I299" s="258">
        <v>0</v>
      </c>
      <c r="J299" s="214" t="str">
        <f>IF(List346[[#This Row],[Tanggal Trf]]&gt;0,"Done","-")</f>
        <v>-</v>
      </c>
      <c r="K299" s="445"/>
      <c r="L299" s="221"/>
      <c r="M299" s="100"/>
      <c r="N299" s="100">
        <f>MONTH(List346[[#This Row],[Tanggal Pengajuan]])</f>
        <v>1</v>
      </c>
      <c r="O299" s="183"/>
      <c r="P299" s="105"/>
      <c r="Q299" s="111"/>
      <c r="R299" s="230"/>
      <c r="T299" s="152">
        <f>+List346[[#This Row],[Pengajuan Donasi]]-List346[[#This Row],[Jumlah Transfer]]</f>
        <v>0</v>
      </c>
      <c r="U299" s="152"/>
    </row>
    <row r="300" spans="2:21" ht="30" customHeight="1" x14ac:dyDescent="0.2">
      <c r="B300" s="102"/>
      <c r="C300" s="67"/>
      <c r="D300" s="103"/>
      <c r="E300" s="103"/>
      <c r="F300" s="103"/>
      <c r="G300" s="15">
        <f>IFERROR(+VLOOKUP(D:D,'Data Base P.Asuhan &amp; Jompo'!B:I,7,0),0)</f>
        <v>0</v>
      </c>
      <c r="H300" s="258"/>
      <c r="I300" s="258">
        <f>List346[[#This Row],[Pengajuan Donasi]]</f>
        <v>0</v>
      </c>
      <c r="J300" s="214" t="str">
        <f>IF(List346[[#This Row],[Tanggal Trf]]&gt;0,"Done","-")</f>
        <v>-</v>
      </c>
      <c r="K300" s="445"/>
      <c r="L300" s="221"/>
      <c r="M300" s="100"/>
      <c r="N300" s="100">
        <f>MONTH(List346[[#This Row],[Tanggal Pengajuan]])</f>
        <v>1</v>
      </c>
      <c r="O300" s="183"/>
      <c r="P300" s="105"/>
      <c r="Q300" s="111"/>
      <c r="R300" s="230"/>
      <c r="T300" s="152">
        <f>+List346[[#This Row],[Pengajuan Donasi]]-List346[[#This Row],[Jumlah Transfer]]</f>
        <v>0</v>
      </c>
      <c r="U300" s="152"/>
    </row>
    <row r="301" spans="2:21" ht="30" customHeight="1" x14ac:dyDescent="0.2">
      <c r="B301" s="102"/>
      <c r="C301" s="67"/>
      <c r="D301" s="103"/>
      <c r="E301" s="103"/>
      <c r="F301" s="103"/>
      <c r="G301" s="15">
        <f>IFERROR(+VLOOKUP(D:D,'Data Base P.Asuhan &amp; Jompo'!B:I,7,0),0)</f>
        <v>0</v>
      </c>
      <c r="H301" s="258"/>
      <c r="I301" s="258">
        <f>List346[[#This Row],[Pengajuan Donasi]]</f>
        <v>0</v>
      </c>
      <c r="J301" s="214" t="str">
        <f>IF(List346[[#This Row],[Tanggal Trf]]&gt;0,"Done","-")</f>
        <v>-</v>
      </c>
      <c r="K301" s="445"/>
      <c r="L301" s="221"/>
      <c r="M301" s="100"/>
      <c r="N301" s="100">
        <f>MONTH(List346[[#This Row],[Tanggal Pengajuan]])</f>
        <v>1</v>
      </c>
      <c r="O301" s="183"/>
      <c r="P301" s="105"/>
      <c r="Q301" s="111"/>
      <c r="R301" s="230"/>
      <c r="T301" s="152">
        <f>+List346[[#This Row],[Pengajuan Donasi]]-List346[[#This Row],[Jumlah Transfer]]</f>
        <v>0</v>
      </c>
      <c r="U301" s="152"/>
    </row>
    <row r="302" spans="2:21" ht="30" customHeight="1" x14ac:dyDescent="0.2">
      <c r="B302" s="102"/>
      <c r="C302" s="67"/>
      <c r="D302" s="103"/>
      <c r="E302" s="103"/>
      <c r="F302" s="103"/>
      <c r="G302" s="15">
        <f>IFERROR(+VLOOKUP(D:D,'Data Base P.Asuhan &amp; Jompo'!B:I,7,0),0)</f>
        <v>0</v>
      </c>
      <c r="H302" s="258"/>
      <c r="I302" s="258">
        <f>List346[[#This Row],[Pengajuan Donasi]]</f>
        <v>0</v>
      </c>
      <c r="J302" s="214" t="str">
        <f>IF(List346[[#This Row],[Tanggal Trf]]&gt;0,"Done","-")</f>
        <v>-</v>
      </c>
      <c r="K302" s="445"/>
      <c r="L302" s="221"/>
      <c r="M302" s="100"/>
      <c r="N302" s="100">
        <f>MONTH(List346[[#This Row],[Tanggal Pengajuan]])</f>
        <v>1</v>
      </c>
      <c r="O302" s="183"/>
      <c r="P302" s="105"/>
      <c r="Q302" s="111"/>
      <c r="R302" s="230"/>
      <c r="T302" s="152">
        <f>+List346[[#This Row],[Pengajuan Donasi]]-List346[[#This Row],[Jumlah Transfer]]</f>
        <v>0</v>
      </c>
      <c r="U302" s="152"/>
    </row>
    <row r="303" spans="2:21" ht="30" customHeight="1" x14ac:dyDescent="0.2">
      <c r="B303" s="102"/>
      <c r="C303" s="67"/>
      <c r="D303" s="103"/>
      <c r="E303" s="103"/>
      <c r="F303" s="103"/>
      <c r="G303" s="15">
        <f>IFERROR(+VLOOKUP(D:D,'Data Base P.Asuhan &amp; Jompo'!B:I,7,0),0)</f>
        <v>0</v>
      </c>
      <c r="H303" s="258"/>
      <c r="I303" s="258">
        <f>List346[[#This Row],[Pengajuan Donasi]]</f>
        <v>0</v>
      </c>
      <c r="J303" s="214" t="str">
        <f>IF(List346[[#This Row],[Tanggal Trf]]&gt;0,"Done","-")</f>
        <v>-</v>
      </c>
      <c r="K303" s="445"/>
      <c r="L303" s="221"/>
      <c r="M303" s="100"/>
      <c r="N303" s="100">
        <f>MONTH(List346[[#This Row],[Tanggal Pengajuan]])</f>
        <v>1</v>
      </c>
      <c r="O303" s="183"/>
      <c r="P303" s="105"/>
      <c r="Q303" s="111"/>
      <c r="R303" s="230"/>
      <c r="T303" s="152">
        <f>+List346[[#This Row],[Pengajuan Donasi]]-List346[[#This Row],[Jumlah Transfer]]</f>
        <v>0</v>
      </c>
      <c r="U303" s="152"/>
    </row>
    <row r="304" spans="2:21" ht="30" customHeight="1" x14ac:dyDescent="0.2">
      <c r="B304" s="102"/>
      <c r="C304" s="67"/>
      <c r="D304" s="103"/>
      <c r="E304" s="103"/>
      <c r="F304" s="103"/>
      <c r="G304" s="15">
        <f>IFERROR(+VLOOKUP(D:D,'Data Base P.Asuhan &amp; Jompo'!B:I,7,0),0)</f>
        <v>0</v>
      </c>
      <c r="H304" s="258"/>
      <c r="I304" s="258">
        <f>List346[[#This Row],[Pengajuan Donasi]]</f>
        <v>0</v>
      </c>
      <c r="J304" s="214" t="str">
        <f>IF(List346[[#This Row],[Tanggal Trf]]&gt;0,"Done","-")</f>
        <v>-</v>
      </c>
      <c r="K304" s="445"/>
      <c r="L304" s="221"/>
      <c r="M304" s="100"/>
      <c r="N304" s="100">
        <f>MONTH(List346[[#This Row],[Tanggal Pengajuan]])</f>
        <v>1</v>
      </c>
      <c r="O304" s="183"/>
      <c r="P304" s="105"/>
      <c r="Q304" s="111"/>
      <c r="R304" s="230"/>
      <c r="T304" s="152">
        <f>+List346[[#This Row],[Pengajuan Donasi]]-List346[[#This Row],[Jumlah Transfer]]</f>
        <v>0</v>
      </c>
      <c r="U304" s="152"/>
    </row>
    <row r="305" spans="2:21" ht="30" customHeight="1" x14ac:dyDescent="0.2">
      <c r="B305" s="102"/>
      <c r="C305" s="67"/>
      <c r="D305" s="103"/>
      <c r="E305" s="103"/>
      <c r="F305" s="103"/>
      <c r="G305" s="15">
        <f>IFERROR(+VLOOKUP(D:D,'Data Base P.Asuhan &amp; Jompo'!B:I,7,0),0)</f>
        <v>0</v>
      </c>
      <c r="H305" s="258"/>
      <c r="I305" s="258">
        <f>List346[[#This Row],[Pengajuan Donasi]]</f>
        <v>0</v>
      </c>
      <c r="J305" s="214" t="str">
        <f>IF(List346[[#This Row],[Tanggal Trf]]&gt;0,"Done","-")</f>
        <v>-</v>
      </c>
      <c r="K305" s="445"/>
      <c r="L305" s="221"/>
      <c r="M305" s="100"/>
      <c r="N305" s="100">
        <f>MONTH(List346[[#This Row],[Tanggal Pengajuan]])</f>
        <v>1</v>
      </c>
      <c r="O305" s="183"/>
      <c r="P305" s="105"/>
      <c r="Q305" s="111"/>
      <c r="R305" s="230"/>
      <c r="T305" s="152">
        <f>+List346[[#This Row],[Pengajuan Donasi]]-List346[[#This Row],[Jumlah Transfer]]</f>
        <v>0</v>
      </c>
      <c r="U305" s="152"/>
    </row>
    <row r="306" spans="2:21" ht="30" customHeight="1" x14ac:dyDescent="0.2">
      <c r="B306" s="102"/>
      <c r="C306" s="67"/>
      <c r="D306" s="103"/>
      <c r="E306" s="103"/>
      <c r="F306" s="103"/>
      <c r="G306" s="15">
        <f>IFERROR(+VLOOKUP(D:D,'Data Base P.Asuhan &amp; Jompo'!B:I,7,0),0)</f>
        <v>0</v>
      </c>
      <c r="H306" s="258"/>
      <c r="I306" s="258">
        <f>List346[[#This Row],[Pengajuan Donasi]]</f>
        <v>0</v>
      </c>
      <c r="J306" s="214" t="str">
        <f>IF(List346[[#This Row],[Tanggal Trf]]&gt;0,"Done","-")</f>
        <v>-</v>
      </c>
      <c r="K306" s="445"/>
      <c r="L306" s="221"/>
      <c r="M306" s="100"/>
      <c r="N306" s="100">
        <f>MONTH(List346[[#This Row],[Tanggal Pengajuan]])</f>
        <v>1</v>
      </c>
      <c r="O306" s="183"/>
      <c r="P306" s="105"/>
      <c r="Q306" s="111"/>
      <c r="R306" s="230"/>
      <c r="T306" s="152">
        <f>+List346[[#This Row],[Pengajuan Donasi]]-List346[[#This Row],[Jumlah Transfer]]</f>
        <v>0</v>
      </c>
      <c r="U306" s="152"/>
    </row>
    <row r="307" spans="2:21" ht="30" customHeight="1" x14ac:dyDescent="0.2">
      <c r="B307" s="102"/>
      <c r="C307" s="67"/>
      <c r="D307" s="103"/>
      <c r="E307" s="103"/>
      <c r="F307" s="103"/>
      <c r="G307" s="15">
        <f>IFERROR(+VLOOKUP(D:D,'Data Base P.Asuhan &amp; Jompo'!B:I,7,0),0)</f>
        <v>0</v>
      </c>
      <c r="H307" s="258"/>
      <c r="I307" s="258">
        <f>List346[[#This Row],[Pengajuan Donasi]]</f>
        <v>0</v>
      </c>
      <c r="J307" s="214" t="str">
        <f>IF(List346[[#This Row],[Tanggal Trf]]&gt;0,"Done","-")</f>
        <v>-</v>
      </c>
      <c r="K307" s="445"/>
      <c r="L307" s="221"/>
      <c r="M307" s="100"/>
      <c r="N307" s="100">
        <f>MONTH(List346[[#This Row],[Tanggal Pengajuan]])</f>
        <v>1</v>
      </c>
      <c r="O307" s="183"/>
      <c r="P307" s="105"/>
      <c r="Q307" s="111"/>
      <c r="R307" s="230"/>
      <c r="T307" s="152">
        <f>+List346[[#This Row],[Pengajuan Donasi]]-List346[[#This Row],[Jumlah Transfer]]</f>
        <v>0</v>
      </c>
      <c r="U307" s="152"/>
    </row>
    <row r="308" spans="2:21" ht="30" customHeight="1" x14ac:dyDescent="0.2">
      <c r="B308" s="102"/>
      <c r="C308" s="67"/>
      <c r="D308" s="103"/>
      <c r="E308" s="103"/>
      <c r="F308" s="103"/>
      <c r="G308" s="15">
        <f>IFERROR(+VLOOKUP(D:D,'Data Base P.Asuhan &amp; Jompo'!B:I,7,0),0)</f>
        <v>0</v>
      </c>
      <c r="H308" s="258"/>
      <c r="I308" s="258">
        <f>List346[[#This Row],[Pengajuan Donasi]]</f>
        <v>0</v>
      </c>
      <c r="J308" s="214" t="str">
        <f>IF(List346[[#This Row],[Tanggal Trf]]&gt;0,"Done","-")</f>
        <v>-</v>
      </c>
      <c r="K308" s="445"/>
      <c r="L308" s="221"/>
      <c r="M308" s="100"/>
      <c r="N308" s="100">
        <f>MONTH(List346[[#This Row],[Tanggal Pengajuan]])</f>
        <v>1</v>
      </c>
      <c r="O308" s="183"/>
      <c r="P308" s="105"/>
      <c r="Q308" s="111"/>
      <c r="R308" s="230"/>
      <c r="T308" s="152">
        <f>+List346[[#This Row],[Pengajuan Donasi]]-List346[[#This Row],[Jumlah Transfer]]</f>
        <v>0</v>
      </c>
      <c r="U308" s="152"/>
    </row>
    <row r="309" spans="2:21" ht="30" customHeight="1" x14ac:dyDescent="0.2">
      <c r="B309" s="102"/>
      <c r="C309" s="67"/>
      <c r="D309" s="103"/>
      <c r="E309" s="103"/>
      <c r="F309" s="103"/>
      <c r="G309" s="15">
        <f>IFERROR(+VLOOKUP(D:D,'Data Base P.Asuhan &amp; Jompo'!B:I,7,0),0)</f>
        <v>0</v>
      </c>
      <c r="H309" s="258"/>
      <c r="I309" s="258">
        <f>List346[[#This Row],[Pengajuan Donasi]]</f>
        <v>0</v>
      </c>
      <c r="J309" s="214" t="str">
        <f>IF(List346[[#This Row],[Tanggal Trf]]&gt;0,"Done","-")</f>
        <v>-</v>
      </c>
      <c r="K309" s="445"/>
      <c r="L309" s="221"/>
      <c r="M309" s="100"/>
      <c r="N309" s="100">
        <f>MONTH(List346[[#This Row],[Tanggal Pengajuan]])</f>
        <v>1</v>
      </c>
      <c r="O309" s="183"/>
      <c r="P309" s="105"/>
      <c r="Q309" s="111"/>
      <c r="R309" s="230"/>
      <c r="T309" s="152">
        <f>+List346[[#This Row],[Pengajuan Donasi]]-List346[[#This Row],[Jumlah Transfer]]</f>
        <v>0</v>
      </c>
      <c r="U309" s="152"/>
    </row>
    <row r="310" spans="2:21" ht="30" customHeight="1" x14ac:dyDescent="0.2">
      <c r="B310" s="102"/>
      <c r="C310" s="67"/>
      <c r="D310" s="103"/>
      <c r="E310" s="103"/>
      <c r="F310" s="103"/>
      <c r="G310" s="15">
        <f>IFERROR(+VLOOKUP(D:D,'Data Base P.Asuhan &amp; Jompo'!B:I,7,0),0)</f>
        <v>0</v>
      </c>
      <c r="H310" s="258"/>
      <c r="I310" s="258">
        <f>List346[[#This Row],[Pengajuan Donasi]]</f>
        <v>0</v>
      </c>
      <c r="J310" s="214" t="str">
        <f>IF(List346[[#This Row],[Tanggal Trf]]&gt;0,"Done","-")</f>
        <v>-</v>
      </c>
      <c r="K310" s="445"/>
      <c r="L310" s="221"/>
      <c r="M310" s="100"/>
      <c r="N310" s="100">
        <f>MONTH(List346[[#This Row],[Tanggal Pengajuan]])</f>
        <v>1</v>
      </c>
      <c r="O310" s="183"/>
      <c r="P310" s="105"/>
      <c r="Q310" s="111"/>
      <c r="R310" s="230"/>
      <c r="T310" s="152">
        <f>+List346[[#This Row],[Pengajuan Donasi]]-List346[[#This Row],[Jumlah Transfer]]</f>
        <v>0</v>
      </c>
      <c r="U310" s="152"/>
    </row>
    <row r="311" spans="2:21" ht="30" customHeight="1" x14ac:dyDescent="0.2">
      <c r="B311" s="102"/>
      <c r="C311" s="67"/>
      <c r="D311" s="103"/>
      <c r="E311" s="103"/>
      <c r="F311" s="103"/>
      <c r="G311" s="15">
        <f>IFERROR(+VLOOKUP(D:D,'Data Base P.Asuhan &amp; Jompo'!B:I,7,0),0)</f>
        <v>0</v>
      </c>
      <c r="H311" s="258"/>
      <c r="I311" s="258">
        <f>List346[[#This Row],[Pengajuan Donasi]]</f>
        <v>0</v>
      </c>
      <c r="J311" s="214" t="str">
        <f>IF(List346[[#This Row],[Tanggal Trf]]&gt;0,"Done","-")</f>
        <v>-</v>
      </c>
      <c r="K311" s="445"/>
      <c r="L311" s="221"/>
      <c r="M311" s="100"/>
      <c r="N311" s="100">
        <f>MONTH(List346[[#This Row],[Tanggal Pengajuan]])</f>
        <v>1</v>
      </c>
      <c r="O311" s="183"/>
      <c r="P311" s="105"/>
      <c r="Q311" s="111"/>
      <c r="R311" s="230"/>
      <c r="T311" s="152">
        <f>+List346[[#This Row],[Pengajuan Donasi]]-List346[[#This Row],[Jumlah Transfer]]</f>
        <v>0</v>
      </c>
      <c r="U311" s="152"/>
    </row>
    <row r="312" spans="2:21" ht="30" customHeight="1" x14ac:dyDescent="0.2">
      <c r="B312" s="102"/>
      <c r="C312" s="67"/>
      <c r="D312" s="103"/>
      <c r="E312" s="103"/>
      <c r="F312" s="103"/>
      <c r="G312" s="15">
        <f>IFERROR(+VLOOKUP(D:D,'Data Base P.Asuhan &amp; Jompo'!B:I,7,0),0)</f>
        <v>0</v>
      </c>
      <c r="H312" s="258"/>
      <c r="I312" s="258">
        <f>List346[[#This Row],[Pengajuan Donasi]]</f>
        <v>0</v>
      </c>
      <c r="J312" s="214" t="str">
        <f>IF(List346[[#This Row],[Tanggal Trf]]&gt;0,"Done","-")</f>
        <v>-</v>
      </c>
      <c r="K312" s="445"/>
      <c r="L312" s="221"/>
      <c r="M312" s="100"/>
      <c r="N312" s="100">
        <f>MONTH(List346[[#This Row],[Tanggal Pengajuan]])</f>
        <v>1</v>
      </c>
      <c r="O312" s="183"/>
      <c r="P312" s="105"/>
      <c r="Q312" s="111"/>
      <c r="R312" s="230"/>
      <c r="T312" s="152">
        <f>+List346[[#This Row],[Pengajuan Donasi]]-List346[[#This Row],[Jumlah Transfer]]</f>
        <v>0</v>
      </c>
      <c r="U312" s="152"/>
    </row>
    <row r="313" spans="2:21" ht="30" customHeight="1" x14ac:dyDescent="0.2">
      <c r="B313" s="102"/>
      <c r="C313" s="67"/>
      <c r="D313" s="103"/>
      <c r="E313" s="103"/>
      <c r="F313" s="103"/>
      <c r="G313" s="15">
        <f>IFERROR(+VLOOKUP(D:D,'Data Base P.Asuhan &amp; Jompo'!B:I,7,0),0)</f>
        <v>0</v>
      </c>
      <c r="H313" s="258"/>
      <c r="I313" s="258">
        <f>List346[[#This Row],[Pengajuan Donasi]]</f>
        <v>0</v>
      </c>
      <c r="J313" s="214" t="str">
        <f>IF(List346[[#This Row],[Tanggal Trf]]&gt;0,"Done","-")</f>
        <v>-</v>
      </c>
      <c r="K313" s="445"/>
      <c r="L313" s="221"/>
      <c r="M313" s="100"/>
      <c r="N313" s="100">
        <f>MONTH(List346[[#This Row],[Tanggal Pengajuan]])</f>
        <v>1</v>
      </c>
      <c r="O313" s="183"/>
      <c r="P313" s="105"/>
      <c r="Q313" s="111"/>
      <c r="R313" s="230"/>
      <c r="T313" s="152">
        <f>+List346[[#This Row],[Pengajuan Donasi]]-List346[[#This Row],[Jumlah Transfer]]</f>
        <v>0</v>
      </c>
      <c r="U313" s="152"/>
    </row>
    <row r="314" spans="2:21" ht="30" customHeight="1" x14ac:dyDescent="0.2">
      <c r="B314" s="102"/>
      <c r="C314" s="67"/>
      <c r="D314" s="103"/>
      <c r="E314" s="103"/>
      <c r="F314" s="103"/>
      <c r="G314" s="15">
        <f>IFERROR(+VLOOKUP(D:D,'Data Base P.Asuhan &amp; Jompo'!B:I,7,0),0)</f>
        <v>0</v>
      </c>
      <c r="H314" s="258"/>
      <c r="I314" s="258">
        <f>List346[[#This Row],[Pengajuan Donasi]]</f>
        <v>0</v>
      </c>
      <c r="J314" s="214" t="str">
        <f>IF(List346[[#This Row],[Tanggal Trf]]&gt;0,"Done","-")</f>
        <v>-</v>
      </c>
      <c r="K314" s="445"/>
      <c r="L314" s="221"/>
      <c r="M314" s="100"/>
      <c r="N314" s="100">
        <f>MONTH(List346[[#This Row],[Tanggal Pengajuan]])</f>
        <v>1</v>
      </c>
      <c r="O314" s="183"/>
      <c r="P314" s="105"/>
      <c r="Q314" s="111"/>
      <c r="R314" s="230"/>
      <c r="T314" s="152">
        <f>+List346[[#This Row],[Pengajuan Donasi]]-List346[[#This Row],[Jumlah Transfer]]</f>
        <v>0</v>
      </c>
      <c r="U314" s="152"/>
    </row>
    <row r="315" spans="2:21" ht="30" customHeight="1" x14ac:dyDescent="0.2">
      <c r="B315" s="102"/>
      <c r="C315" s="181"/>
      <c r="D315" s="103"/>
      <c r="E315" s="103"/>
      <c r="F315" s="103"/>
      <c r="G315" s="15">
        <f>IFERROR(+VLOOKUP(D:D,'Data Base P.Asuhan &amp; Jompo'!B:I,7,0),0)</f>
        <v>0</v>
      </c>
      <c r="H315" s="258"/>
      <c r="I315" s="258">
        <f>List346[[#This Row],[Pengajuan Donasi]]</f>
        <v>0</v>
      </c>
      <c r="J315" s="215" t="str">
        <f>IF(List346[[#This Row],[Tanggal Trf]]&gt;0,"Done","-")</f>
        <v>-</v>
      </c>
      <c r="K315" s="445"/>
      <c r="L315" s="221"/>
      <c r="M315" s="100"/>
      <c r="N315" s="20">
        <f>MONTH(List346[[#This Row],[Tanggal Pengajuan]])</f>
        <v>1</v>
      </c>
      <c r="O315" s="183"/>
      <c r="P315" s="105"/>
      <c r="Q315" s="198"/>
      <c r="R315" s="230"/>
      <c r="T315" s="152">
        <f>+List346[[#This Row],[Pengajuan Donasi]]-List346[[#This Row],[Jumlah Transfer]]</f>
        <v>0</v>
      </c>
      <c r="U315" s="152"/>
    </row>
    <row r="316" spans="2:21" ht="30" customHeight="1" x14ac:dyDescent="0.2">
      <c r="B316" s="102"/>
      <c r="C316" s="181"/>
      <c r="D316" s="103"/>
      <c r="E316" s="103"/>
      <c r="F316" s="103"/>
      <c r="G316" s="15">
        <f>IFERROR(+VLOOKUP(D:D,'Data Base P.Asuhan &amp; Jompo'!B:I,7,0),0)</f>
        <v>0</v>
      </c>
      <c r="H316" s="258"/>
      <c r="I316" s="258">
        <f>List346[[#This Row],[Pengajuan Donasi]]</f>
        <v>0</v>
      </c>
      <c r="J316" s="215" t="str">
        <f>IF(List346[[#This Row],[Tanggal Trf]]&gt;0,"Done","-")</f>
        <v>-</v>
      </c>
      <c r="K316" s="445"/>
      <c r="L316" s="221"/>
      <c r="M316" s="100"/>
      <c r="N316" s="20">
        <f>MONTH(List346[[#This Row],[Tanggal Pengajuan]])</f>
        <v>1</v>
      </c>
      <c r="O316" s="183"/>
      <c r="P316" s="105"/>
      <c r="Q316" s="198"/>
      <c r="R316" s="230"/>
      <c r="T316" s="152">
        <f>+List346[[#This Row],[Pengajuan Donasi]]-List346[[#This Row],[Jumlah Transfer]]</f>
        <v>0</v>
      </c>
      <c r="U316" s="152"/>
    </row>
    <row r="317" spans="2:21" ht="30" customHeight="1" x14ac:dyDescent="0.2">
      <c r="B317" s="102"/>
      <c r="C317" s="181"/>
      <c r="D317" s="103"/>
      <c r="E317" s="103"/>
      <c r="F317" s="103"/>
      <c r="G317" s="15">
        <f>IFERROR(+VLOOKUP(D:D,'Data Base P.Asuhan &amp; Jompo'!B:I,7,0),0)</f>
        <v>0</v>
      </c>
      <c r="H317" s="258"/>
      <c r="I317" s="258">
        <f>List346[[#This Row],[Pengajuan Donasi]]</f>
        <v>0</v>
      </c>
      <c r="J317" s="215" t="str">
        <f>IF(List346[[#This Row],[Tanggal Trf]]&gt;0,"Done","-")</f>
        <v>-</v>
      </c>
      <c r="K317" s="445"/>
      <c r="L317" s="221"/>
      <c r="M317" s="100"/>
      <c r="N317" s="20">
        <f>MONTH(List346[[#This Row],[Tanggal Pengajuan]])</f>
        <v>1</v>
      </c>
      <c r="O317" s="183"/>
      <c r="P317" s="105"/>
      <c r="Q317" s="198"/>
      <c r="R317" s="230"/>
      <c r="T317" s="152">
        <f>+List346[[#This Row],[Pengajuan Donasi]]-List346[[#This Row],[Jumlah Transfer]]</f>
        <v>0</v>
      </c>
      <c r="U317" s="152"/>
    </row>
    <row r="318" spans="2:21" ht="30" customHeight="1" x14ac:dyDescent="0.2">
      <c r="B318" s="102"/>
      <c r="C318" s="181"/>
      <c r="D318" s="103"/>
      <c r="E318" s="103"/>
      <c r="F318" s="103"/>
      <c r="G318" s="15">
        <f>IFERROR(+VLOOKUP(D:D,'Data Base P.Asuhan &amp; Jompo'!B:I,7,0),0)</f>
        <v>0</v>
      </c>
      <c r="H318" s="258"/>
      <c r="I318" s="258">
        <f>List346[[#This Row],[Pengajuan Donasi]]</f>
        <v>0</v>
      </c>
      <c r="J318" s="215" t="str">
        <f>IF(List346[[#This Row],[Tanggal Trf]]&gt;0,"Done","-")</f>
        <v>-</v>
      </c>
      <c r="K318" s="445"/>
      <c r="L318" s="221"/>
      <c r="M318" s="100"/>
      <c r="N318" s="20">
        <f>MONTH(List346[[#This Row],[Tanggal Pengajuan]])</f>
        <v>1</v>
      </c>
      <c r="O318" s="183"/>
      <c r="P318" s="105"/>
      <c r="Q318" s="198"/>
      <c r="R318" s="230"/>
      <c r="T318" s="152">
        <f>+List346[[#This Row],[Pengajuan Donasi]]-List346[[#This Row],[Jumlah Transfer]]</f>
        <v>0</v>
      </c>
      <c r="U318" s="152"/>
    </row>
    <row r="319" spans="2:21" ht="30" customHeight="1" x14ac:dyDescent="0.2">
      <c r="B319" s="102"/>
      <c r="C319" s="181"/>
      <c r="D319" s="103"/>
      <c r="E319" s="103"/>
      <c r="F319" s="103"/>
      <c r="G319" s="15">
        <f>IFERROR(+VLOOKUP(D:D,'Data Base P.Asuhan &amp; Jompo'!B:I,7,0),0)</f>
        <v>0</v>
      </c>
      <c r="H319" s="258"/>
      <c r="I319" s="258">
        <f>List346[[#This Row],[Pengajuan Donasi]]</f>
        <v>0</v>
      </c>
      <c r="J319" s="215" t="str">
        <f>IF(List346[[#This Row],[Tanggal Trf]]&gt;0,"Done","-")</f>
        <v>-</v>
      </c>
      <c r="K319" s="445"/>
      <c r="L319" s="221"/>
      <c r="M319" s="100"/>
      <c r="N319" s="20">
        <f>MONTH(List346[[#This Row],[Tanggal Pengajuan]])</f>
        <v>1</v>
      </c>
      <c r="O319" s="183"/>
      <c r="P319" s="105"/>
      <c r="Q319" s="198"/>
      <c r="R319" s="230"/>
      <c r="T319" s="152">
        <f>+List346[[#This Row],[Pengajuan Donasi]]-List346[[#This Row],[Jumlah Transfer]]</f>
        <v>0</v>
      </c>
      <c r="U319" s="152"/>
    </row>
    <row r="320" spans="2:21" ht="30" customHeight="1" x14ac:dyDescent="0.2">
      <c r="B320" s="102"/>
      <c r="C320" s="181"/>
      <c r="D320" s="103"/>
      <c r="E320" s="103"/>
      <c r="F320" s="103"/>
      <c r="G320" s="15">
        <f>IFERROR(+VLOOKUP(D:D,'Data Base P.Asuhan &amp; Jompo'!B:I,7,0),0)</f>
        <v>0</v>
      </c>
      <c r="H320" s="258"/>
      <c r="I320" s="258">
        <f>List346[[#This Row],[Pengajuan Donasi]]</f>
        <v>0</v>
      </c>
      <c r="J320" s="215" t="str">
        <f>IF(List346[[#This Row],[Tanggal Trf]]&gt;0,"Done","-")</f>
        <v>-</v>
      </c>
      <c r="K320" s="445"/>
      <c r="L320" s="221"/>
      <c r="M320" s="100"/>
      <c r="N320" s="20">
        <f>MONTH(List346[[#This Row],[Tanggal Pengajuan]])</f>
        <v>1</v>
      </c>
      <c r="O320" s="183"/>
      <c r="P320" s="105"/>
      <c r="Q320" s="198"/>
      <c r="R320" s="230"/>
      <c r="T320" s="152">
        <f>+List346[[#This Row],[Pengajuan Donasi]]-List346[[#This Row],[Jumlah Transfer]]</f>
        <v>0</v>
      </c>
      <c r="U320" s="152"/>
    </row>
    <row r="321" spans="2:21" ht="30" customHeight="1" x14ac:dyDescent="0.2">
      <c r="B321" s="102"/>
      <c r="C321" s="181"/>
      <c r="D321" s="103"/>
      <c r="E321" s="103"/>
      <c r="F321" s="103"/>
      <c r="G321" s="15">
        <f>IFERROR(+VLOOKUP(D:D,'Data Base P.Asuhan &amp; Jompo'!B:I,7,0),0)</f>
        <v>0</v>
      </c>
      <c r="H321" s="258"/>
      <c r="I321" s="258">
        <f>List346[[#This Row],[Pengajuan Donasi]]</f>
        <v>0</v>
      </c>
      <c r="J321" s="215" t="str">
        <f>IF(List346[[#This Row],[Tanggal Trf]]&gt;0,"Done","-")</f>
        <v>-</v>
      </c>
      <c r="K321" s="445"/>
      <c r="L321" s="221"/>
      <c r="M321" s="100"/>
      <c r="N321" s="20">
        <f>MONTH(List346[[#This Row],[Tanggal Pengajuan]])</f>
        <v>1</v>
      </c>
      <c r="O321" s="183"/>
      <c r="P321" s="105"/>
      <c r="Q321" s="198"/>
      <c r="R321" s="230"/>
      <c r="T321" s="152">
        <f>+List346[[#This Row],[Pengajuan Donasi]]-List346[[#This Row],[Jumlah Transfer]]</f>
        <v>0</v>
      </c>
      <c r="U321" s="152"/>
    </row>
    <row r="322" spans="2:21" ht="30" customHeight="1" x14ac:dyDescent="0.2">
      <c r="B322" s="102"/>
      <c r="C322" s="67"/>
      <c r="D322" s="103"/>
      <c r="E322" s="103"/>
      <c r="F322" s="103"/>
      <c r="G322" s="15">
        <f>IFERROR(+VLOOKUP(D:D,'Data Base P.Asuhan &amp; Jompo'!B:I,7,0),0)</f>
        <v>0</v>
      </c>
      <c r="H322" s="258"/>
      <c r="I322" s="258">
        <f>List346[[#This Row],[Pengajuan Donasi]]</f>
        <v>0</v>
      </c>
      <c r="J322" s="214" t="str">
        <f>IF(List346[[#This Row],[Tanggal Trf]]&gt;0,"Done","-")</f>
        <v>-</v>
      </c>
      <c r="K322" s="445"/>
      <c r="L322" s="221"/>
      <c r="M322" s="100"/>
      <c r="N322" s="100">
        <f>MONTH(List346[[#This Row],[Tanggal Pengajuan]])</f>
        <v>1</v>
      </c>
      <c r="O322" s="183"/>
      <c r="P322" s="105"/>
      <c r="Q322" s="111"/>
      <c r="R322" s="230"/>
      <c r="T322" s="152">
        <f>+List346[[#This Row],[Pengajuan Donasi]]-List346[[#This Row],[Jumlah Transfer]]</f>
        <v>0</v>
      </c>
      <c r="U322" s="152"/>
    </row>
    <row r="323" spans="2:21" ht="30" customHeight="1" x14ac:dyDescent="0.2">
      <c r="B323" s="102"/>
      <c r="C323" s="67"/>
      <c r="D323" s="103"/>
      <c r="E323" s="103"/>
      <c r="F323" s="103"/>
      <c r="G323" s="15">
        <f>IFERROR(+VLOOKUP(D:D,'Data Base P.Asuhan &amp; Jompo'!B:I,7,0),0)</f>
        <v>0</v>
      </c>
      <c r="H323" s="258"/>
      <c r="I323" s="258">
        <f>List346[[#This Row],[Pengajuan Donasi]]</f>
        <v>0</v>
      </c>
      <c r="J323" s="214" t="str">
        <f>IF(List346[[#This Row],[Tanggal Trf]]&gt;0,"Done","-")</f>
        <v>-</v>
      </c>
      <c r="K323" s="445"/>
      <c r="L323" s="221"/>
      <c r="M323" s="100"/>
      <c r="N323" s="100">
        <f>MONTH(List346[[#This Row],[Tanggal Pengajuan]])</f>
        <v>1</v>
      </c>
      <c r="O323" s="183"/>
      <c r="P323" s="105"/>
      <c r="Q323" s="111"/>
      <c r="R323" s="230"/>
      <c r="T323" s="152">
        <f>+List346[[#This Row],[Pengajuan Donasi]]-List346[[#This Row],[Jumlah Transfer]]</f>
        <v>0</v>
      </c>
      <c r="U323" s="152"/>
    </row>
    <row r="324" spans="2:21" ht="30" customHeight="1" x14ac:dyDescent="0.2">
      <c r="B324" s="102"/>
      <c r="C324" s="67"/>
      <c r="D324" s="103"/>
      <c r="E324" s="103"/>
      <c r="F324" s="103"/>
      <c r="G324" s="15">
        <f>IFERROR(+VLOOKUP(D:D,'Data Base P.Asuhan &amp; Jompo'!B:I,7,0),0)</f>
        <v>0</v>
      </c>
      <c r="H324" s="258"/>
      <c r="I324" s="258">
        <f>List346[[#This Row],[Pengajuan Donasi]]</f>
        <v>0</v>
      </c>
      <c r="J324" s="214" t="str">
        <f>IF(List346[[#This Row],[Tanggal Trf]]&gt;0,"Done","-")</f>
        <v>-</v>
      </c>
      <c r="K324" s="445"/>
      <c r="L324" s="221"/>
      <c r="M324" s="100"/>
      <c r="N324" s="100">
        <f>MONTH(List346[[#This Row],[Tanggal Pengajuan]])</f>
        <v>1</v>
      </c>
      <c r="O324" s="183"/>
      <c r="P324" s="105"/>
      <c r="Q324" s="111"/>
      <c r="R324" s="230"/>
      <c r="T324" s="152">
        <f>+List346[[#This Row],[Pengajuan Donasi]]-List346[[#This Row],[Jumlah Transfer]]</f>
        <v>0</v>
      </c>
      <c r="U324" s="152"/>
    </row>
    <row r="325" spans="2:21" ht="30" customHeight="1" x14ac:dyDescent="0.2">
      <c r="B325" s="102"/>
      <c r="C325" s="67"/>
      <c r="D325" s="103"/>
      <c r="E325" s="103"/>
      <c r="F325" s="103"/>
      <c r="G325" s="15">
        <f>IFERROR(+VLOOKUP(D:D,'Data Base P.Asuhan &amp; Jompo'!B:I,7,0),0)</f>
        <v>0</v>
      </c>
      <c r="H325" s="258"/>
      <c r="I325" s="258">
        <f>List346[[#This Row],[Pengajuan Donasi]]</f>
        <v>0</v>
      </c>
      <c r="J325" s="214" t="str">
        <f>IF(List346[[#This Row],[Tanggal Trf]]&gt;0,"Done","-")</f>
        <v>-</v>
      </c>
      <c r="K325" s="445"/>
      <c r="L325" s="221"/>
      <c r="M325" s="100"/>
      <c r="N325" s="100">
        <f>MONTH(List346[[#This Row],[Tanggal Pengajuan]])</f>
        <v>1</v>
      </c>
      <c r="O325" s="183"/>
      <c r="P325" s="105"/>
      <c r="Q325" s="111"/>
      <c r="R325" s="230"/>
      <c r="T325" s="152">
        <f>+List346[[#This Row],[Pengajuan Donasi]]-List346[[#This Row],[Jumlah Transfer]]</f>
        <v>0</v>
      </c>
      <c r="U325" s="152"/>
    </row>
    <row r="326" spans="2:21" ht="30" customHeight="1" x14ac:dyDescent="0.2">
      <c r="B326" s="102"/>
      <c r="C326" s="67"/>
      <c r="D326" s="103"/>
      <c r="E326" s="103"/>
      <c r="F326" s="103"/>
      <c r="G326" s="15">
        <f>IFERROR(+VLOOKUP(D:D,'Data Base P.Asuhan &amp; Jompo'!B:I,7,0),0)</f>
        <v>0</v>
      </c>
      <c r="H326" s="258"/>
      <c r="I326" s="258">
        <f>List346[[#This Row],[Pengajuan Donasi]]</f>
        <v>0</v>
      </c>
      <c r="J326" s="214" t="str">
        <f>IF(List346[[#This Row],[Tanggal Trf]]&gt;0,"Done","-")</f>
        <v>-</v>
      </c>
      <c r="K326" s="445"/>
      <c r="L326" s="221"/>
      <c r="M326" s="100"/>
      <c r="N326" s="100">
        <f>MONTH(List346[[#This Row],[Tanggal Pengajuan]])</f>
        <v>1</v>
      </c>
      <c r="O326" s="183"/>
      <c r="P326" s="105"/>
      <c r="Q326" s="111"/>
      <c r="R326" s="230"/>
      <c r="T326" s="152">
        <f>+List346[[#This Row],[Pengajuan Donasi]]-List346[[#This Row],[Jumlah Transfer]]</f>
        <v>0</v>
      </c>
      <c r="U326" s="152"/>
    </row>
    <row r="327" spans="2:21" ht="30" customHeight="1" x14ac:dyDescent="0.2">
      <c r="B327" s="102"/>
      <c r="C327" s="67"/>
      <c r="D327" s="103"/>
      <c r="E327" s="103"/>
      <c r="F327" s="103"/>
      <c r="G327" s="15">
        <f>IFERROR(+VLOOKUP(D:D,'Data Base P.Asuhan &amp; Jompo'!B:I,7,0),0)</f>
        <v>0</v>
      </c>
      <c r="H327" s="258"/>
      <c r="I327" s="258">
        <f>List346[[#This Row],[Pengajuan Donasi]]</f>
        <v>0</v>
      </c>
      <c r="J327" s="214" t="str">
        <f>IF(List346[[#This Row],[Tanggal Trf]]&gt;0,"Done","-")</f>
        <v>-</v>
      </c>
      <c r="K327" s="445"/>
      <c r="L327" s="221"/>
      <c r="M327" s="100"/>
      <c r="N327" s="100">
        <f>MONTH(List346[[#This Row],[Tanggal Pengajuan]])</f>
        <v>1</v>
      </c>
      <c r="O327" s="183"/>
      <c r="P327" s="105"/>
      <c r="Q327" s="111"/>
      <c r="R327" s="230"/>
      <c r="T327" s="152">
        <f>+List346[[#This Row],[Pengajuan Donasi]]-List346[[#This Row],[Jumlah Transfer]]</f>
        <v>0</v>
      </c>
      <c r="U327" s="152"/>
    </row>
    <row r="328" spans="2:21" ht="15.75" x14ac:dyDescent="0.2">
      <c r="B328" s="102"/>
      <c r="C328" s="67"/>
      <c r="D328" s="14"/>
      <c r="E328" s="103"/>
      <c r="F328" s="103"/>
      <c r="G328" s="15">
        <f>IFERROR(+VLOOKUP(D:D,'Data Base P.Asuhan &amp; Jompo'!B:I,7,0),0)</f>
        <v>0</v>
      </c>
      <c r="H328" s="258"/>
      <c r="I328" s="258">
        <f>List346[[#This Row],[Pengajuan Donasi]]</f>
        <v>0</v>
      </c>
      <c r="J328" s="214" t="str">
        <f>IF(List346[[#This Row],[Tanggal Trf]]&gt;0,"Done","-")</f>
        <v>-</v>
      </c>
      <c r="K328" s="437"/>
      <c r="L328" s="221"/>
      <c r="M328" s="105"/>
      <c r="N328" s="100">
        <f>MONTH(List346[[#This Row],[Tanggal Pengajuan]])</f>
        <v>1</v>
      </c>
      <c r="O328" s="183"/>
      <c r="P328" s="105"/>
      <c r="Q328" s="111"/>
      <c r="R328" s="230"/>
      <c r="T328" s="152">
        <f>+List346[[#This Row],[Pengajuan Donasi]]-List346[[#This Row],[Jumlah Transfer]]</f>
        <v>0</v>
      </c>
      <c r="U328" s="152"/>
    </row>
    <row r="329" spans="2:21" ht="30" customHeight="1" x14ac:dyDescent="0.2">
      <c r="B329" s="102"/>
      <c r="C329" s="67"/>
      <c r="D329" s="14"/>
      <c r="E329" s="14"/>
      <c r="F329" s="14"/>
      <c r="G329" s="15">
        <f>IFERROR(+VLOOKUP(D:D,'Data Base P.Asuhan &amp; Jompo'!B:I,7,0),0)</f>
        <v>0</v>
      </c>
      <c r="H329" s="262"/>
      <c r="I329" s="258">
        <f>List346[[#This Row],[Pengajuan Donasi]]</f>
        <v>0</v>
      </c>
      <c r="J329" s="214" t="str">
        <f>IF(List346[[#This Row],[Tanggal Trf]]&gt;0,"Done","-")</f>
        <v>-</v>
      </c>
      <c r="K329" s="437"/>
      <c r="L329" s="221"/>
      <c r="M329" s="66"/>
      <c r="N329" s="100">
        <f>MONTH(List346[[#This Row],[Tanggal Pengajuan]])</f>
        <v>1</v>
      </c>
      <c r="O329" s="183"/>
      <c r="P329" s="105"/>
      <c r="Q329" s="111"/>
      <c r="R329" s="230"/>
      <c r="T329" s="152">
        <f>+List346[[#This Row],[Pengajuan Donasi]]-List346[[#This Row],[Jumlah Transfer]]</f>
        <v>0</v>
      </c>
      <c r="U329" s="152"/>
    </row>
    <row r="330" spans="2:21" ht="30" customHeight="1" x14ac:dyDescent="0.2">
      <c r="B330" s="102"/>
      <c r="C330" s="67"/>
      <c r="D330" s="14"/>
      <c r="E330" s="14"/>
      <c r="F330" s="14"/>
      <c r="G330" s="15">
        <f>IFERROR(+VLOOKUP(D:D,'Data Base P.Asuhan &amp; Jompo'!B:I,7,0),0)</f>
        <v>0</v>
      </c>
      <c r="H330" s="993"/>
      <c r="I330" s="258">
        <f>List346[[#This Row],[Pengajuan Donasi]]</f>
        <v>0</v>
      </c>
      <c r="J330" s="214" t="str">
        <f>IF(List346[[#This Row],[Tanggal Trf]]&gt;0,"Done","-")</f>
        <v>-</v>
      </c>
      <c r="K330" s="437"/>
      <c r="L330" s="221"/>
      <c r="M330" s="992"/>
      <c r="N330" s="100">
        <f>MONTH(List346[[#This Row],[Tanggal Pengajuan]])</f>
        <v>1</v>
      </c>
      <c r="O330" s="183"/>
      <c r="P330" s="105"/>
      <c r="Q330" s="111"/>
      <c r="R330" s="230"/>
      <c r="T330" s="152">
        <f>+List346[[#This Row],[Pengajuan Donasi]]-List346[[#This Row],[Jumlah Transfer]]</f>
        <v>0</v>
      </c>
      <c r="U330" s="152"/>
    </row>
    <row r="331" spans="2:21" ht="30" customHeight="1" x14ac:dyDescent="0.2">
      <c r="B331" s="102"/>
      <c r="C331" s="67"/>
      <c r="D331" s="14"/>
      <c r="E331" s="14"/>
      <c r="F331" s="14"/>
      <c r="G331" s="15">
        <f>IFERROR(+VLOOKUP(D:D,'Data Base P.Asuhan &amp; Jompo'!B:I,7,0),0)</f>
        <v>0</v>
      </c>
      <c r="H331" s="262"/>
      <c r="I331" s="258">
        <f>List346[[#This Row],[Pengajuan Donasi]]</f>
        <v>0</v>
      </c>
      <c r="J331" s="214" t="str">
        <f>IF(List346[[#This Row],[Tanggal Trf]]&gt;0,"Done","-")</f>
        <v>-</v>
      </c>
      <c r="K331" s="437"/>
      <c r="L331" s="221"/>
      <c r="M331" s="14"/>
      <c r="N331" s="100">
        <f>MONTH(List346[[#This Row],[Tanggal Pengajuan]])</f>
        <v>1</v>
      </c>
      <c r="O331" s="183"/>
      <c r="P331" s="100"/>
      <c r="Q331" s="111"/>
      <c r="R331" s="230"/>
      <c r="T331" s="152">
        <f>+List346[[#This Row],[Pengajuan Donasi]]-List346[[#This Row],[Jumlah Transfer]]</f>
        <v>0</v>
      </c>
      <c r="U331" s="152"/>
    </row>
    <row r="332" spans="2:21" ht="30" customHeight="1" x14ac:dyDescent="0.2">
      <c r="B332" s="102"/>
      <c r="C332" s="67"/>
      <c r="D332" s="14"/>
      <c r="E332" s="14"/>
      <c r="F332" s="14"/>
      <c r="G332" s="15">
        <f>IFERROR(+VLOOKUP(D:D,'Data Base P.Asuhan &amp; Jompo'!B:I,7,0),0)</f>
        <v>0</v>
      </c>
      <c r="H332" s="993"/>
      <c r="I332" s="258">
        <f>List346[[#This Row],[Pengajuan Donasi]]</f>
        <v>0</v>
      </c>
      <c r="J332" s="214" t="str">
        <f>IF(List346[[#This Row],[Tanggal Trf]]&gt;0,"Done","-")</f>
        <v>-</v>
      </c>
      <c r="K332" s="437"/>
      <c r="L332" s="221"/>
      <c r="M332" s="992"/>
      <c r="N332" s="100">
        <f>MONTH(List346[[#This Row],[Tanggal Pengajuan]])</f>
        <v>1</v>
      </c>
      <c r="O332" s="183"/>
      <c r="P332" s="105"/>
      <c r="Q332" s="111"/>
      <c r="R332" s="230"/>
      <c r="T332" s="152">
        <f>+List346[[#This Row],[Pengajuan Donasi]]-List346[[#This Row],[Jumlah Transfer]]</f>
        <v>0</v>
      </c>
      <c r="U332" s="152"/>
    </row>
    <row r="333" spans="2:21" ht="30" customHeight="1" x14ac:dyDescent="0.2">
      <c r="B333" s="102"/>
      <c r="C333" s="67"/>
      <c r="D333" s="14"/>
      <c r="E333" s="14"/>
      <c r="F333" s="14"/>
      <c r="G333" s="15">
        <f>IFERROR(+VLOOKUP(D:D,'Data Base P.Asuhan &amp; Jompo'!B:I,7,0),0)</f>
        <v>0</v>
      </c>
      <c r="H333" s="262"/>
      <c r="I333" s="258">
        <f>List346[[#This Row],[Pengajuan Donasi]]</f>
        <v>0</v>
      </c>
      <c r="J333" s="214" t="str">
        <f>IF(List346[[#This Row],[Tanggal Trf]]&gt;0,"Done","-")</f>
        <v>-</v>
      </c>
      <c r="K333" s="437"/>
      <c r="L333" s="221"/>
      <c r="M333" s="14"/>
      <c r="N333" s="100">
        <f>MONTH(List346[[#This Row],[Tanggal Pengajuan]])</f>
        <v>1</v>
      </c>
      <c r="O333" s="183"/>
      <c r="P333" s="105"/>
      <c r="Q333" s="111"/>
      <c r="R333" s="230"/>
      <c r="T333" s="152">
        <f>+List346[[#This Row],[Pengajuan Donasi]]-List346[[#This Row],[Jumlah Transfer]]</f>
        <v>0</v>
      </c>
      <c r="U333" s="152"/>
    </row>
    <row r="334" spans="2:21" ht="30" customHeight="1" x14ac:dyDescent="0.2">
      <c r="B334" s="102"/>
      <c r="C334" s="67"/>
      <c r="D334" s="14"/>
      <c r="E334" s="14"/>
      <c r="F334" s="14"/>
      <c r="G334" s="15">
        <f>IFERROR(+VLOOKUP(D:D,'Data Base P.Asuhan &amp; Jompo'!B:I,7,0),0)</f>
        <v>0</v>
      </c>
      <c r="H334" s="993"/>
      <c r="I334" s="258">
        <f>List346[[#This Row],[Pengajuan Donasi]]</f>
        <v>0</v>
      </c>
      <c r="J334" s="214" t="str">
        <f>IF(List346[[#This Row],[Tanggal Trf]]&gt;0,"Done","-")</f>
        <v>-</v>
      </c>
      <c r="K334" s="437"/>
      <c r="L334" s="221"/>
      <c r="M334" s="992"/>
      <c r="N334" s="100">
        <f>MONTH(List346[[#This Row],[Tanggal Pengajuan]])</f>
        <v>1</v>
      </c>
      <c r="O334" s="183"/>
      <c r="P334" s="105"/>
      <c r="Q334" s="111"/>
      <c r="R334" s="230"/>
      <c r="T334" s="152">
        <f>+List346[[#This Row],[Pengajuan Donasi]]-List346[[#This Row],[Jumlah Transfer]]</f>
        <v>0</v>
      </c>
      <c r="U334" s="152"/>
    </row>
    <row r="335" spans="2:21" ht="30" customHeight="1" x14ac:dyDescent="0.2">
      <c r="B335" s="102"/>
      <c r="C335" s="67"/>
      <c r="D335" s="14"/>
      <c r="E335" s="14"/>
      <c r="F335" s="14"/>
      <c r="G335" s="15">
        <f>IFERROR(+VLOOKUP(D:D,'Data Base P.Asuhan &amp; Jompo'!B:I,7,0),0)</f>
        <v>0</v>
      </c>
      <c r="H335" s="262"/>
      <c r="I335" s="258">
        <f>List346[[#This Row],[Pengajuan Donasi]]</f>
        <v>0</v>
      </c>
      <c r="J335" s="214" t="str">
        <f>IF(List346[[#This Row],[Tanggal Trf]]&gt;0,"Done","-")</f>
        <v>-</v>
      </c>
      <c r="K335" s="437"/>
      <c r="L335" s="221"/>
      <c r="M335" s="14"/>
      <c r="N335" s="100">
        <f>MONTH(List346[[#This Row],[Tanggal Pengajuan]])</f>
        <v>1</v>
      </c>
      <c r="O335" s="183"/>
      <c r="P335" s="100"/>
      <c r="Q335" s="111"/>
      <c r="R335" s="230"/>
      <c r="T335" s="152">
        <f>+List346[[#This Row],[Pengajuan Donasi]]-List346[[#This Row],[Jumlah Transfer]]</f>
        <v>0</v>
      </c>
      <c r="U335" s="152"/>
    </row>
    <row r="336" spans="2:21" ht="30" customHeight="1" x14ac:dyDescent="0.2">
      <c r="B336" s="102"/>
      <c r="C336" s="67"/>
      <c r="D336" s="14"/>
      <c r="E336" s="14"/>
      <c r="F336" s="14"/>
      <c r="G336" s="15">
        <f>IFERROR(+VLOOKUP(D:D,'Data Base P.Asuhan &amp; Jompo'!B:I,7,0),0)</f>
        <v>0</v>
      </c>
      <c r="H336" s="993"/>
      <c r="I336" s="258">
        <f>List346[[#This Row],[Pengajuan Donasi]]</f>
        <v>0</v>
      </c>
      <c r="J336" s="214" t="str">
        <f>IF(List346[[#This Row],[Tanggal Trf]]&gt;0,"Done","-")</f>
        <v>-</v>
      </c>
      <c r="K336" s="437"/>
      <c r="L336" s="221"/>
      <c r="M336" s="992"/>
      <c r="N336" s="100">
        <f>MONTH(List346[[#This Row],[Tanggal Pengajuan]])</f>
        <v>1</v>
      </c>
      <c r="O336" s="183"/>
      <c r="P336" s="105"/>
      <c r="Q336" s="111"/>
      <c r="R336" s="230"/>
      <c r="T336" s="152">
        <f>+List346[[#This Row],[Pengajuan Donasi]]-List346[[#This Row],[Jumlah Transfer]]</f>
        <v>0</v>
      </c>
      <c r="U336" s="152"/>
    </row>
    <row r="337" spans="2:21" ht="30" customHeight="1" x14ac:dyDescent="0.2">
      <c r="B337" s="102"/>
      <c r="C337" s="67"/>
      <c r="D337" s="14"/>
      <c r="E337" s="14"/>
      <c r="F337" s="14"/>
      <c r="G337" s="15">
        <f>IFERROR(+VLOOKUP(D:D,'Data Base P.Asuhan &amp; Jompo'!B:I,7,0),0)</f>
        <v>0</v>
      </c>
      <c r="H337" s="262"/>
      <c r="I337" s="258">
        <f>List346[[#This Row],[Pengajuan Donasi]]</f>
        <v>0</v>
      </c>
      <c r="J337" s="214" t="str">
        <f>IF(List346[[#This Row],[Tanggal Trf]]&gt;0,"Done","-")</f>
        <v>-</v>
      </c>
      <c r="K337" s="437"/>
      <c r="L337" s="221"/>
      <c r="M337" s="14"/>
      <c r="N337" s="100">
        <f>MONTH(List346[[#This Row],[Tanggal Pengajuan]])</f>
        <v>1</v>
      </c>
      <c r="O337" s="183"/>
      <c r="P337" s="105"/>
      <c r="Q337" s="111"/>
      <c r="R337" s="230"/>
      <c r="T337" s="152">
        <f>+List346[[#This Row],[Pengajuan Donasi]]-List346[[#This Row],[Jumlah Transfer]]</f>
        <v>0</v>
      </c>
      <c r="U337" s="152"/>
    </row>
    <row r="338" spans="2:21" ht="30" customHeight="1" x14ac:dyDescent="0.2">
      <c r="B338" s="102"/>
      <c r="C338" s="67"/>
      <c r="D338" s="14"/>
      <c r="E338" s="14"/>
      <c r="F338" s="14"/>
      <c r="G338" s="15">
        <f>IFERROR(+VLOOKUP(D:D,'Data Base P.Asuhan &amp; Jompo'!B:I,7,0),0)</f>
        <v>0</v>
      </c>
      <c r="H338" s="993"/>
      <c r="I338" s="258">
        <f>List346[[#This Row],[Pengajuan Donasi]]</f>
        <v>0</v>
      </c>
      <c r="J338" s="214" t="str">
        <f>IF(List346[[#This Row],[Tanggal Trf]]&gt;0,"Done","-")</f>
        <v>-</v>
      </c>
      <c r="K338" s="437"/>
      <c r="L338" s="221"/>
      <c r="M338" s="992"/>
      <c r="N338" s="100">
        <f>MONTH(List346[[#This Row],[Tanggal Pengajuan]])</f>
        <v>1</v>
      </c>
      <c r="O338" s="183"/>
      <c r="P338" s="105"/>
      <c r="Q338" s="111"/>
      <c r="R338" s="230"/>
      <c r="T338" s="152">
        <f>+List346[[#This Row],[Pengajuan Donasi]]-List346[[#This Row],[Jumlah Transfer]]</f>
        <v>0</v>
      </c>
      <c r="U338" s="152"/>
    </row>
    <row r="339" spans="2:21" ht="30" customHeight="1" x14ac:dyDescent="0.2">
      <c r="B339" s="102"/>
      <c r="C339" s="67"/>
      <c r="D339" s="14"/>
      <c r="E339" s="14"/>
      <c r="F339" s="14"/>
      <c r="G339" s="15">
        <f>IFERROR(+VLOOKUP(D:D,'Data Base P.Asuhan &amp; Jompo'!B:I,7,0),0)</f>
        <v>0</v>
      </c>
      <c r="H339" s="262"/>
      <c r="I339" s="258">
        <f>List346[[#This Row],[Pengajuan Donasi]]</f>
        <v>0</v>
      </c>
      <c r="J339" s="214" t="str">
        <f>IF(List346[[#This Row],[Tanggal Trf]]&gt;0,"Done","-")</f>
        <v>-</v>
      </c>
      <c r="K339" s="437"/>
      <c r="L339" s="221"/>
      <c r="M339" s="14"/>
      <c r="N339" s="100">
        <f>MONTH(List346[[#This Row],[Tanggal Pengajuan]])</f>
        <v>1</v>
      </c>
      <c r="O339" s="183"/>
      <c r="P339" s="100"/>
      <c r="Q339" s="111"/>
      <c r="R339" s="230"/>
      <c r="T339" s="152">
        <f>+List346[[#This Row],[Pengajuan Donasi]]-List346[[#This Row],[Jumlah Transfer]]</f>
        <v>0</v>
      </c>
      <c r="U339" s="152"/>
    </row>
    <row r="340" spans="2:21" ht="30" customHeight="1" x14ac:dyDescent="0.2">
      <c r="B340" s="102"/>
      <c r="C340" s="67"/>
      <c r="D340" s="14"/>
      <c r="E340" s="14"/>
      <c r="F340" s="14"/>
      <c r="G340" s="15">
        <f>IFERROR(+VLOOKUP(D:D,'Data Base P.Asuhan &amp; Jompo'!B:I,7,0),0)</f>
        <v>0</v>
      </c>
      <c r="H340" s="993"/>
      <c r="I340" s="258">
        <f>List346[[#This Row],[Pengajuan Donasi]]</f>
        <v>0</v>
      </c>
      <c r="J340" s="214" t="str">
        <f>IF(List346[[#This Row],[Tanggal Trf]]&gt;0,"Done","-")</f>
        <v>-</v>
      </c>
      <c r="K340" s="437"/>
      <c r="L340" s="221"/>
      <c r="M340" s="992"/>
      <c r="N340" s="100">
        <f>MONTH(List346[[#This Row],[Tanggal Pengajuan]])</f>
        <v>1</v>
      </c>
      <c r="O340" s="183"/>
      <c r="P340" s="105"/>
      <c r="Q340" s="111"/>
      <c r="R340" s="230"/>
      <c r="T340" s="152">
        <f>+List346[[#This Row],[Pengajuan Donasi]]-List346[[#This Row],[Jumlah Transfer]]</f>
        <v>0</v>
      </c>
      <c r="U340" s="152"/>
    </row>
    <row r="341" spans="2:21" ht="30" customHeight="1" x14ac:dyDescent="0.2">
      <c r="B341" s="102"/>
      <c r="C341" s="67"/>
      <c r="D341" s="14"/>
      <c r="E341" s="14"/>
      <c r="F341" s="14"/>
      <c r="G341" s="15">
        <f>IFERROR(+VLOOKUP(D:D,'Data Base P.Asuhan &amp; Jompo'!B:I,7,0),0)</f>
        <v>0</v>
      </c>
      <c r="H341" s="262"/>
      <c r="I341" s="258">
        <f>List346[[#This Row],[Pengajuan Donasi]]</f>
        <v>0</v>
      </c>
      <c r="J341" s="214" t="str">
        <f>IF(List346[[#This Row],[Tanggal Trf]]&gt;0,"Done","-")</f>
        <v>-</v>
      </c>
      <c r="K341" s="437"/>
      <c r="L341" s="221"/>
      <c r="M341" s="18"/>
      <c r="N341" s="100">
        <f>MONTH(List346[[#This Row],[Tanggal Pengajuan]])</f>
        <v>1</v>
      </c>
      <c r="O341" s="183"/>
      <c r="P341" s="105"/>
      <c r="Q341" s="111"/>
      <c r="R341" s="230"/>
      <c r="T341" s="152">
        <f>+List346[[#This Row],[Pengajuan Donasi]]-List346[[#This Row],[Jumlah Transfer]]</f>
        <v>0</v>
      </c>
      <c r="U341" s="152"/>
    </row>
    <row r="342" spans="2:21" ht="30" customHeight="1" x14ac:dyDescent="0.2">
      <c r="B342" s="102"/>
      <c r="C342" s="181"/>
      <c r="D342" s="14"/>
      <c r="E342" s="14"/>
      <c r="F342" s="14"/>
      <c r="G342" s="15">
        <f>IFERROR(+VLOOKUP(D:D,'Data Base P.Asuhan &amp; Jompo'!B:I,7,0),0)</f>
        <v>0</v>
      </c>
      <c r="H342" s="262"/>
      <c r="I342" s="258">
        <f>List346[[#This Row],[Pengajuan Donasi]]</f>
        <v>0</v>
      </c>
      <c r="J342" s="215" t="str">
        <f>IF(List346[[#This Row],[Tanggal Trf]]&gt;0,"Done","-")</f>
        <v>-</v>
      </c>
      <c r="K342" s="438"/>
      <c r="L342" s="221"/>
      <c r="M342" s="20"/>
      <c r="N342" s="20">
        <f>MONTH(List346[[#This Row],[Tanggal Pengajuan]])</f>
        <v>1</v>
      </c>
      <c r="O342" s="183"/>
      <c r="P342" s="105"/>
      <c r="Q342" s="198"/>
      <c r="R342" s="230"/>
      <c r="T342" s="152">
        <f>+List346[[#This Row],[Pengajuan Donasi]]-List346[[#This Row],[Jumlah Transfer]]</f>
        <v>0</v>
      </c>
      <c r="U342" s="152"/>
    </row>
    <row r="343" spans="2:21" ht="30" customHeight="1" x14ac:dyDescent="0.2">
      <c r="B343" s="102"/>
      <c r="C343" s="67"/>
      <c r="D343" s="14"/>
      <c r="E343" s="103"/>
      <c r="F343" s="103"/>
      <c r="G343" s="15">
        <f>IFERROR(+VLOOKUP(D:D,'Data Base P.Asuhan &amp; Jompo'!B:I,7,0),0)</f>
        <v>0</v>
      </c>
      <c r="H343" s="258"/>
      <c r="I343" s="258">
        <f>List346[[#This Row],[Pengajuan Donasi]]</f>
        <v>0</v>
      </c>
      <c r="J343" s="213" t="str">
        <f>IF(List346[[#This Row],[Tanggal Trf]]&gt;0,"Done","-")</f>
        <v>-</v>
      </c>
      <c r="K343" s="437"/>
      <c r="L343" s="221"/>
      <c r="M343" s="100"/>
      <c r="N343" s="100">
        <f>MONTH(List346[[#This Row],[Tanggal Pengajuan]])</f>
        <v>1</v>
      </c>
      <c r="O343" s="183"/>
      <c r="P343" s="100"/>
      <c r="Q343" s="111"/>
      <c r="R343" s="230"/>
      <c r="T343" s="152">
        <f>+List346[[#This Row],[Pengajuan Donasi]]-List346[[#This Row],[Jumlah Transfer]]</f>
        <v>0</v>
      </c>
      <c r="U343" s="152"/>
    </row>
    <row r="344" spans="2:21" ht="30" customHeight="1" x14ac:dyDescent="0.2">
      <c r="B344" s="102"/>
      <c r="C344" s="67"/>
      <c r="D344" s="14"/>
      <c r="E344" s="103"/>
      <c r="F344" s="103"/>
      <c r="G344" s="15">
        <f>IFERROR(+VLOOKUP(D:D,'Data Base P.Asuhan &amp; Jompo'!B:I,7,0),0)</f>
        <v>0</v>
      </c>
      <c r="H344" s="258"/>
      <c r="I344" s="258">
        <f>List346[[#This Row],[Pengajuan Donasi]]</f>
        <v>0</v>
      </c>
      <c r="J344" s="213" t="str">
        <f>IF(List346[[#This Row],[Tanggal Trf]]&gt;0,"Done","-")</f>
        <v>-</v>
      </c>
      <c r="K344" s="437"/>
      <c r="L344" s="221"/>
      <c r="M344" s="100"/>
      <c r="N344" s="100">
        <f>MONTH(List346[[#This Row],[Tanggal Pengajuan]])</f>
        <v>1</v>
      </c>
      <c r="O344" s="183"/>
      <c r="P344" s="105"/>
      <c r="Q344" s="111"/>
      <c r="R344" s="230"/>
      <c r="T344" s="152">
        <f>+List346[[#This Row],[Pengajuan Donasi]]-List346[[#This Row],[Jumlah Transfer]]</f>
        <v>0</v>
      </c>
      <c r="U344" s="152"/>
    </row>
    <row r="345" spans="2:21" ht="30" customHeight="1" x14ac:dyDescent="0.2">
      <c r="B345" s="102"/>
      <c r="C345" s="67"/>
      <c r="D345" s="103"/>
      <c r="E345" s="103"/>
      <c r="F345" s="103"/>
      <c r="G345" s="15">
        <f>IFERROR(+VLOOKUP(D:D,'Data Base P.Asuhan &amp; Jompo'!B:I,7,0),0)</f>
        <v>0</v>
      </c>
      <c r="H345" s="258"/>
      <c r="I345" s="258">
        <f>List346[[#This Row],[Pengajuan Donasi]]</f>
        <v>0</v>
      </c>
      <c r="J345" s="213" t="str">
        <f>IF(List346[[#This Row],[Tanggal Trf]]&gt;0,"Done","-")</f>
        <v>-</v>
      </c>
      <c r="K345" s="437"/>
      <c r="L345" s="221"/>
      <c r="M345" s="105"/>
      <c r="N345" s="100">
        <f>MONTH(List346[[#This Row],[Tanggal Pengajuan]])</f>
        <v>1</v>
      </c>
      <c r="O345" s="183"/>
      <c r="P345" s="105"/>
      <c r="Q345" s="111"/>
      <c r="R345" s="230"/>
      <c r="T345" s="152">
        <f>+List346[[#This Row],[Pengajuan Donasi]]-List346[[#This Row],[Jumlah Transfer]]</f>
        <v>0</v>
      </c>
      <c r="U345" s="152"/>
    </row>
    <row r="346" spans="2:21" ht="30" customHeight="1" x14ac:dyDescent="0.2">
      <c r="B346" s="102"/>
      <c r="C346" s="67"/>
      <c r="D346" s="14"/>
      <c r="E346" s="103"/>
      <c r="F346" s="103"/>
      <c r="G346" s="15">
        <f>IFERROR(+VLOOKUP(D:D,'Data Base P.Asuhan &amp; Jompo'!B:I,7,0),0)</f>
        <v>0</v>
      </c>
      <c r="H346" s="258"/>
      <c r="I346" s="258">
        <f>List346[[#This Row],[Pengajuan Donasi]]</f>
        <v>0</v>
      </c>
      <c r="J346" s="213" t="str">
        <f>IF(List346[[#This Row],[Tanggal Trf]]&gt;0,"Done","-")</f>
        <v>-</v>
      </c>
      <c r="K346" s="437"/>
      <c r="L346" s="221"/>
      <c r="M346" s="100"/>
      <c r="N346" s="100">
        <f>MONTH(List346[[#This Row],[Tanggal Pengajuan]])</f>
        <v>1</v>
      </c>
      <c r="O346" s="183"/>
      <c r="P346" s="105"/>
      <c r="Q346" s="111"/>
      <c r="R346" s="230"/>
      <c r="T346" s="152">
        <f>+List346[[#This Row],[Pengajuan Donasi]]-List346[[#This Row],[Jumlah Transfer]]</f>
        <v>0</v>
      </c>
      <c r="U346" s="152"/>
    </row>
    <row r="347" spans="2:21" ht="30" customHeight="1" x14ac:dyDescent="0.2">
      <c r="B347" s="102"/>
      <c r="C347" s="67"/>
      <c r="D347" s="14"/>
      <c r="E347" s="14"/>
      <c r="F347" s="14"/>
      <c r="G347" s="15">
        <f>IFERROR(+VLOOKUP(D:D,'Data Base P.Asuhan &amp; Jompo'!B:I,7,0),0)</f>
        <v>0</v>
      </c>
      <c r="H347" s="258"/>
      <c r="I347" s="258">
        <f>List346[[#This Row],[Pengajuan Donasi]]</f>
        <v>0</v>
      </c>
      <c r="J347" s="214" t="str">
        <f>IF(List346[[#This Row],[Tanggal Trf]]&gt;0,"Done","-")</f>
        <v>-</v>
      </c>
      <c r="K347" s="437"/>
      <c r="L347" s="221"/>
      <c r="M347" s="105"/>
      <c r="N347" s="100">
        <f>MONTH(List346[[#This Row],[Tanggal Pengajuan]])</f>
        <v>1</v>
      </c>
      <c r="O347" s="183"/>
      <c r="P347" s="105"/>
      <c r="Q347" s="111"/>
      <c r="R347" s="230"/>
      <c r="T347" s="152">
        <f>+List346[[#This Row],[Pengajuan Donasi]]-List346[[#This Row],[Jumlah Transfer]]</f>
        <v>0</v>
      </c>
      <c r="U347" s="152"/>
    </row>
    <row r="348" spans="2:21" ht="30" customHeight="1" x14ac:dyDescent="0.2">
      <c r="B348" s="102"/>
      <c r="C348" s="67"/>
      <c r="D348" s="14"/>
      <c r="E348" s="103"/>
      <c r="F348" s="103"/>
      <c r="G348" s="15">
        <f>IFERROR(+VLOOKUP(D:D,'Data Base P.Asuhan &amp; Jompo'!B:I,7,0),0)</f>
        <v>0</v>
      </c>
      <c r="H348" s="258"/>
      <c r="I348" s="258">
        <f>List346[[#This Row],[Pengajuan Donasi]]</f>
        <v>0</v>
      </c>
      <c r="J348" s="213" t="str">
        <f>IF(List346[[#This Row],[Tanggal Trf]]&gt;0,"Done","-")</f>
        <v>-</v>
      </c>
      <c r="K348" s="437"/>
      <c r="L348" s="221"/>
      <c r="M348" s="105"/>
      <c r="N348" s="100">
        <f>MONTH(List346[[#This Row],[Tanggal Pengajuan]])</f>
        <v>1</v>
      </c>
      <c r="O348" s="183"/>
      <c r="P348" s="100"/>
      <c r="Q348" s="111"/>
      <c r="R348" s="230"/>
      <c r="T348" s="152">
        <f>+List346[[#This Row],[Pengajuan Donasi]]-List346[[#This Row],[Jumlah Transfer]]</f>
        <v>0</v>
      </c>
      <c r="U348" s="152"/>
    </row>
    <row r="349" spans="2:21" ht="30" customHeight="1" x14ac:dyDescent="0.2">
      <c r="B349" s="102"/>
      <c r="C349" s="67"/>
      <c r="D349" s="103"/>
      <c r="E349" s="14"/>
      <c r="F349" s="14"/>
      <c r="G349" s="15">
        <f>IFERROR(+VLOOKUP(D:D,'Data Base P.Asuhan &amp; Jompo'!B:I,7,0),0)</f>
        <v>0</v>
      </c>
      <c r="H349" s="258"/>
      <c r="I349" s="258">
        <f>List346[[#This Row],[Pengajuan Donasi]]</f>
        <v>0</v>
      </c>
      <c r="J349" s="213" t="str">
        <f>IF(List346[[#This Row],[Tanggal Trf]]&gt;0,"Done","-")</f>
        <v>-</v>
      </c>
      <c r="K349" s="437"/>
      <c r="L349" s="221"/>
      <c r="M349" s="100"/>
      <c r="N349" s="100">
        <f>MONTH(List346[[#This Row],[Tanggal Pengajuan]])</f>
        <v>1</v>
      </c>
      <c r="O349" s="183"/>
      <c r="P349" s="105"/>
      <c r="Q349" s="111"/>
      <c r="R349" s="230"/>
      <c r="T349" s="152">
        <f>+List346[[#This Row],[Pengajuan Donasi]]-List346[[#This Row],[Jumlah Transfer]]</f>
        <v>0</v>
      </c>
      <c r="U349" s="152"/>
    </row>
    <row r="350" spans="2:21" ht="30" customHeight="1" x14ac:dyDescent="0.2">
      <c r="B350" s="102"/>
      <c r="C350" s="67"/>
      <c r="D350" s="103"/>
      <c r="E350" s="14"/>
      <c r="F350" s="14"/>
      <c r="G350" s="15">
        <f>IFERROR(+VLOOKUP(D:D,'Data Base P.Asuhan &amp; Jompo'!B:I,7,0),0)</f>
        <v>0</v>
      </c>
      <c r="H350" s="258"/>
      <c r="I350" s="258">
        <f>List346[[#This Row],[Pengajuan Donasi]]</f>
        <v>0</v>
      </c>
      <c r="J350" s="213" t="str">
        <f>IF(List346[[#This Row],[Tanggal Trf]]&gt;0,"Done","-")</f>
        <v>-</v>
      </c>
      <c r="K350" s="437"/>
      <c r="L350" s="221"/>
      <c r="M350" s="100"/>
      <c r="N350" s="100">
        <f>MONTH(List346[[#This Row],[Tanggal Pengajuan]])</f>
        <v>1</v>
      </c>
      <c r="O350" s="183"/>
      <c r="P350" s="105"/>
      <c r="Q350" s="111"/>
      <c r="R350" s="230"/>
      <c r="T350" s="152">
        <f>+List346[[#This Row],[Pengajuan Donasi]]-List346[[#This Row],[Jumlah Transfer]]</f>
        <v>0</v>
      </c>
      <c r="U350" s="152"/>
    </row>
    <row r="351" spans="2:21" ht="30" customHeight="1" x14ac:dyDescent="0.2">
      <c r="B351" s="102"/>
      <c r="C351" s="67"/>
      <c r="D351" s="103"/>
      <c r="E351" s="14"/>
      <c r="F351" s="14"/>
      <c r="G351" s="15">
        <f>IFERROR(+VLOOKUP(D:D,'Data Base P.Asuhan &amp; Jompo'!B:I,7,0),0)</f>
        <v>0</v>
      </c>
      <c r="H351" s="258"/>
      <c r="I351" s="258">
        <f>List346[[#This Row],[Pengajuan Donasi]]</f>
        <v>0</v>
      </c>
      <c r="J351" s="213" t="str">
        <f>IF(List346[[#This Row],[Tanggal Trf]]&gt;0,"Done","-")</f>
        <v>-</v>
      </c>
      <c r="K351" s="437"/>
      <c r="L351" s="221"/>
      <c r="M351" s="100"/>
      <c r="N351" s="100">
        <f>MONTH(List346[[#This Row],[Tanggal Pengajuan]])</f>
        <v>1</v>
      </c>
      <c r="O351" s="183"/>
      <c r="P351" s="105"/>
      <c r="Q351" s="111"/>
      <c r="R351" s="230"/>
      <c r="T351" s="152">
        <f>+List346[[#This Row],[Pengajuan Donasi]]-List346[[#This Row],[Jumlah Transfer]]</f>
        <v>0</v>
      </c>
      <c r="U351" s="152"/>
    </row>
    <row r="352" spans="2:21" ht="30" customHeight="1" x14ac:dyDescent="0.2">
      <c r="B352" s="102"/>
      <c r="C352" s="67"/>
      <c r="D352" s="103"/>
      <c r="E352" s="14"/>
      <c r="F352" s="14"/>
      <c r="G352" s="15">
        <f>IFERROR(+VLOOKUP(D:D,'Data Base P.Asuhan &amp; Jompo'!B:I,7,0),0)</f>
        <v>0</v>
      </c>
      <c r="H352" s="258"/>
      <c r="I352" s="258">
        <f>List346[[#This Row],[Pengajuan Donasi]]</f>
        <v>0</v>
      </c>
      <c r="J352" s="213" t="str">
        <f>IF(List346[[#This Row],[Tanggal Trf]]&gt;0,"Done","-")</f>
        <v>-</v>
      </c>
      <c r="K352" s="437"/>
      <c r="L352" s="221"/>
      <c r="M352" s="100"/>
      <c r="N352" s="100">
        <f>MONTH(List346[[#This Row],[Tanggal Pengajuan]])</f>
        <v>1</v>
      </c>
      <c r="O352" s="183"/>
      <c r="P352" s="105"/>
      <c r="Q352" s="111"/>
      <c r="R352" s="230"/>
      <c r="T352" s="152">
        <f>+List346[[#This Row],[Pengajuan Donasi]]-List346[[#This Row],[Jumlah Transfer]]</f>
        <v>0</v>
      </c>
      <c r="U352" s="152"/>
    </row>
    <row r="353" spans="2:21" ht="30" customHeight="1" x14ac:dyDescent="0.2">
      <c r="B353" s="102"/>
      <c r="C353" s="67"/>
      <c r="D353" s="103"/>
      <c r="E353" s="14"/>
      <c r="F353" s="14"/>
      <c r="G353" s="15">
        <f>IFERROR(+VLOOKUP(D:D,'Data Base P.Asuhan &amp; Jompo'!B:I,7,0),0)</f>
        <v>0</v>
      </c>
      <c r="H353" s="258"/>
      <c r="I353" s="258">
        <f>List346[[#This Row],[Pengajuan Donasi]]</f>
        <v>0</v>
      </c>
      <c r="J353" s="213" t="str">
        <f>IF(List346[[#This Row],[Tanggal Trf]]&gt;0,"Done","-")</f>
        <v>-</v>
      </c>
      <c r="K353" s="437"/>
      <c r="L353" s="221"/>
      <c r="M353" s="100"/>
      <c r="N353" s="100">
        <f>MONTH(List346[[#This Row],[Tanggal Pengajuan]])</f>
        <v>1</v>
      </c>
      <c r="O353" s="183"/>
      <c r="P353" s="105"/>
      <c r="Q353" s="111"/>
      <c r="R353" s="230"/>
      <c r="T353" s="152">
        <f>+List346[[#This Row],[Pengajuan Donasi]]-List346[[#This Row],[Jumlah Transfer]]</f>
        <v>0</v>
      </c>
      <c r="U353" s="152"/>
    </row>
    <row r="354" spans="2:21" ht="30" customHeight="1" x14ac:dyDescent="0.2">
      <c r="B354" s="102"/>
      <c r="C354" s="67"/>
      <c r="D354" s="103"/>
      <c r="E354" s="14"/>
      <c r="F354" s="14"/>
      <c r="G354" s="15">
        <f>IFERROR(+VLOOKUP(D:D,'Data Base P.Asuhan &amp; Jompo'!B:I,7,0),0)</f>
        <v>0</v>
      </c>
      <c r="H354" s="258"/>
      <c r="I354" s="258">
        <f>List346[[#This Row],[Pengajuan Donasi]]</f>
        <v>0</v>
      </c>
      <c r="J354" s="213" t="str">
        <f>IF(List346[[#This Row],[Tanggal Trf]]&gt;0,"Done","-")</f>
        <v>-</v>
      </c>
      <c r="K354" s="437"/>
      <c r="L354" s="221"/>
      <c r="M354" s="100"/>
      <c r="N354" s="100">
        <f>MONTH(List346[[#This Row],[Tanggal Pengajuan]])</f>
        <v>1</v>
      </c>
      <c r="O354" s="183"/>
      <c r="P354" s="105"/>
      <c r="Q354" s="111"/>
      <c r="R354" s="230"/>
      <c r="T354" s="152">
        <f>+List346[[#This Row],[Pengajuan Donasi]]-List346[[#This Row],[Jumlah Transfer]]</f>
        <v>0</v>
      </c>
      <c r="U354" s="152"/>
    </row>
    <row r="355" spans="2:21" ht="30" customHeight="1" x14ac:dyDescent="0.2">
      <c r="B355" s="102"/>
      <c r="C355" s="67"/>
      <c r="D355" s="103"/>
      <c r="E355" s="14"/>
      <c r="F355" s="14"/>
      <c r="G355" s="15">
        <f>IFERROR(+VLOOKUP(D:D,'Data Base P.Asuhan &amp; Jompo'!B:I,7,0),0)</f>
        <v>0</v>
      </c>
      <c r="H355" s="258"/>
      <c r="I355" s="258">
        <f>List346[[#This Row],[Pengajuan Donasi]]</f>
        <v>0</v>
      </c>
      <c r="J355" s="213" t="str">
        <f>IF(List346[[#This Row],[Tanggal Trf]]&gt;0,"Done","-")</f>
        <v>-</v>
      </c>
      <c r="K355" s="437"/>
      <c r="L355" s="221"/>
      <c r="M355" s="100"/>
      <c r="N355" s="100">
        <f>MONTH(List346[[#This Row],[Tanggal Pengajuan]])</f>
        <v>1</v>
      </c>
      <c r="O355" s="183"/>
      <c r="P355" s="105"/>
      <c r="Q355" s="111"/>
      <c r="R355" s="230"/>
      <c r="T355" s="152">
        <f>+List346[[#This Row],[Pengajuan Donasi]]-List346[[#This Row],[Jumlah Transfer]]</f>
        <v>0</v>
      </c>
      <c r="U355" s="152"/>
    </row>
    <row r="356" spans="2:21" ht="30" customHeight="1" x14ac:dyDescent="0.2">
      <c r="B356" s="102"/>
      <c r="C356" s="67"/>
      <c r="D356" s="103"/>
      <c r="E356" s="14"/>
      <c r="F356" s="14"/>
      <c r="G356" s="15">
        <f>IFERROR(+VLOOKUP(D:D,'Data Base P.Asuhan &amp; Jompo'!B:I,7,0),0)</f>
        <v>0</v>
      </c>
      <c r="H356" s="258"/>
      <c r="I356" s="258">
        <f>List346[[#This Row],[Pengajuan Donasi]]</f>
        <v>0</v>
      </c>
      <c r="J356" s="213" t="str">
        <f>IF(List346[[#This Row],[Tanggal Trf]]&gt;0,"Done","-")</f>
        <v>-</v>
      </c>
      <c r="K356" s="437"/>
      <c r="L356" s="221"/>
      <c r="M356" s="100"/>
      <c r="N356" s="100">
        <f>MONTH(List346[[#This Row],[Tanggal Pengajuan]])</f>
        <v>1</v>
      </c>
      <c r="O356" s="183"/>
      <c r="P356" s="105"/>
      <c r="Q356" s="111"/>
      <c r="R356" s="230"/>
      <c r="T356" s="152">
        <f>+List346[[#This Row],[Pengajuan Donasi]]-List346[[#This Row],[Jumlah Transfer]]</f>
        <v>0</v>
      </c>
      <c r="U356" s="152"/>
    </row>
    <row r="357" spans="2:21" ht="30" customHeight="1" x14ac:dyDescent="0.2">
      <c r="B357" s="102"/>
      <c r="C357" s="67"/>
      <c r="D357" s="103"/>
      <c r="E357" s="14"/>
      <c r="F357" s="14"/>
      <c r="G357" s="15">
        <f>IFERROR(+VLOOKUP(D:D,'Data Base P.Asuhan &amp; Jompo'!B:I,7,0),0)</f>
        <v>0</v>
      </c>
      <c r="H357" s="258"/>
      <c r="I357" s="258">
        <f>List346[[#This Row],[Pengajuan Donasi]]</f>
        <v>0</v>
      </c>
      <c r="J357" s="213" t="str">
        <f>IF(List346[[#This Row],[Tanggal Trf]]&gt;0,"Done","-")</f>
        <v>-</v>
      </c>
      <c r="K357" s="437"/>
      <c r="L357" s="221"/>
      <c r="M357" s="100"/>
      <c r="N357" s="100">
        <f>MONTH(List346[[#This Row],[Tanggal Pengajuan]])</f>
        <v>1</v>
      </c>
      <c r="O357" s="183"/>
      <c r="P357" s="105"/>
      <c r="Q357" s="111"/>
      <c r="R357" s="230"/>
      <c r="T357" s="152">
        <f>+List346[[#This Row],[Pengajuan Donasi]]-List346[[#This Row],[Jumlah Transfer]]</f>
        <v>0</v>
      </c>
      <c r="U357" s="152"/>
    </row>
    <row r="358" spans="2:21" ht="30" customHeight="1" x14ac:dyDescent="0.2">
      <c r="B358" s="102"/>
      <c r="C358" s="67"/>
      <c r="D358" s="103"/>
      <c r="E358" s="14"/>
      <c r="F358" s="14"/>
      <c r="G358" s="15">
        <f>IFERROR(+VLOOKUP(D:D,'Data Base P.Asuhan &amp; Jompo'!B:I,7,0),0)</f>
        <v>0</v>
      </c>
      <c r="H358" s="258"/>
      <c r="I358" s="258">
        <f>List346[[#This Row],[Pengajuan Donasi]]</f>
        <v>0</v>
      </c>
      <c r="J358" s="213" t="str">
        <f>IF(List346[[#This Row],[Tanggal Trf]]&gt;0,"Done","-")</f>
        <v>-</v>
      </c>
      <c r="K358" s="437"/>
      <c r="L358" s="221"/>
      <c r="M358" s="100"/>
      <c r="N358" s="100">
        <f>MONTH(List346[[#This Row],[Tanggal Pengajuan]])</f>
        <v>1</v>
      </c>
      <c r="O358" s="183"/>
      <c r="P358" s="105"/>
      <c r="Q358" s="111"/>
      <c r="R358" s="230"/>
      <c r="T358" s="152">
        <f>+List346[[#This Row],[Pengajuan Donasi]]-List346[[#This Row],[Jumlah Transfer]]</f>
        <v>0</v>
      </c>
      <c r="U358" s="152"/>
    </row>
    <row r="359" spans="2:21" ht="30" customHeight="1" x14ac:dyDescent="0.2">
      <c r="B359" s="102"/>
      <c r="C359" s="67"/>
      <c r="D359" s="103"/>
      <c r="E359" s="14"/>
      <c r="F359" s="14"/>
      <c r="G359" s="15">
        <f>IFERROR(+VLOOKUP(D:D,'Data Base P.Asuhan &amp; Jompo'!B:I,7,0),0)</f>
        <v>0</v>
      </c>
      <c r="H359" s="258"/>
      <c r="I359" s="258">
        <f>List346[[#This Row],[Pengajuan Donasi]]</f>
        <v>0</v>
      </c>
      <c r="J359" s="213" t="str">
        <f>IF(List346[[#This Row],[Tanggal Trf]]&gt;0,"Done","-")</f>
        <v>-</v>
      </c>
      <c r="K359" s="437"/>
      <c r="L359" s="221"/>
      <c r="M359" s="100"/>
      <c r="N359" s="100">
        <f>MONTH(List346[[#This Row],[Tanggal Pengajuan]])</f>
        <v>1</v>
      </c>
      <c r="O359" s="183"/>
      <c r="P359" s="105"/>
      <c r="Q359" s="111"/>
      <c r="R359" s="230"/>
      <c r="T359" s="152">
        <f>+List346[[#This Row],[Pengajuan Donasi]]-List346[[#This Row],[Jumlah Transfer]]</f>
        <v>0</v>
      </c>
      <c r="U359" s="152"/>
    </row>
    <row r="360" spans="2:21" ht="30" customHeight="1" x14ac:dyDescent="0.2">
      <c r="B360" s="102"/>
      <c r="C360" s="67"/>
      <c r="D360" s="103"/>
      <c r="E360" s="14"/>
      <c r="F360" s="14"/>
      <c r="G360" s="15">
        <f>IFERROR(+VLOOKUP(D:D,'Data Base P.Asuhan &amp; Jompo'!B:I,7,0),0)</f>
        <v>0</v>
      </c>
      <c r="H360" s="258"/>
      <c r="I360" s="258">
        <f>List346[[#This Row],[Pengajuan Donasi]]</f>
        <v>0</v>
      </c>
      <c r="J360" s="213" t="str">
        <f>IF(List346[[#This Row],[Tanggal Trf]]&gt;0,"Done","-")</f>
        <v>-</v>
      </c>
      <c r="K360" s="437"/>
      <c r="L360" s="221"/>
      <c r="M360" s="100"/>
      <c r="N360" s="100">
        <f>MONTH(List346[[#This Row],[Tanggal Pengajuan]])</f>
        <v>1</v>
      </c>
      <c r="O360" s="183"/>
      <c r="P360" s="105"/>
      <c r="Q360" s="111"/>
      <c r="R360" s="230"/>
      <c r="T360" s="152">
        <f>+List346[[#This Row],[Pengajuan Donasi]]-List346[[#This Row],[Jumlah Transfer]]</f>
        <v>0</v>
      </c>
      <c r="U360" s="152"/>
    </row>
    <row r="361" spans="2:21" ht="30" customHeight="1" x14ac:dyDescent="0.2">
      <c r="B361" s="102"/>
      <c r="C361" s="181"/>
      <c r="D361" s="103"/>
      <c r="E361" s="14"/>
      <c r="F361" s="14"/>
      <c r="G361" s="15">
        <f>IFERROR(+VLOOKUP(D:D,'Data Base P.Asuhan &amp; Jompo'!B:I,7,0),0)</f>
        <v>0</v>
      </c>
      <c r="H361" s="258"/>
      <c r="I361" s="258">
        <f>List346[[#This Row],[Pengajuan Donasi]]</f>
        <v>0</v>
      </c>
      <c r="J361" s="213" t="str">
        <f>IF(List346[[#This Row],[Tanggal Trf]]&gt;0,"Done","-")</f>
        <v>-</v>
      </c>
      <c r="K361" s="437"/>
      <c r="L361" s="221"/>
      <c r="M361" s="100"/>
      <c r="N361" s="20">
        <f>MONTH(List346[[#This Row],[Tanggal Pengajuan]])</f>
        <v>1</v>
      </c>
      <c r="O361" s="183"/>
      <c r="P361" s="105"/>
      <c r="Q361" s="198"/>
      <c r="R361" s="230"/>
      <c r="T361" s="152">
        <f>+List346[[#This Row],[Pengajuan Donasi]]-List346[[#This Row],[Jumlah Transfer]]</f>
        <v>0</v>
      </c>
      <c r="U361" s="152"/>
    </row>
    <row r="362" spans="2:21" ht="30" customHeight="1" x14ac:dyDescent="0.2">
      <c r="B362" s="102"/>
      <c r="C362" s="181"/>
      <c r="D362" s="103"/>
      <c r="E362" s="14"/>
      <c r="F362" s="14"/>
      <c r="G362" s="15">
        <f>IFERROR(+VLOOKUP(D:D,'Data Base P.Asuhan &amp; Jompo'!B:I,7,0),0)</f>
        <v>0</v>
      </c>
      <c r="H362" s="258"/>
      <c r="I362" s="258">
        <f>List346[[#This Row],[Pengajuan Donasi]]</f>
        <v>0</v>
      </c>
      <c r="J362" s="213" t="str">
        <f>IF(List346[[#This Row],[Tanggal Trf]]&gt;0,"Done","-")</f>
        <v>-</v>
      </c>
      <c r="K362" s="437"/>
      <c r="L362" s="221"/>
      <c r="M362" s="100"/>
      <c r="N362" s="20">
        <f>MONTH(List346[[#This Row],[Tanggal Pengajuan]])</f>
        <v>1</v>
      </c>
      <c r="O362" s="183"/>
      <c r="P362" s="105"/>
      <c r="Q362" s="198"/>
      <c r="R362" s="230"/>
      <c r="T362" s="152">
        <f>+List346[[#This Row],[Pengajuan Donasi]]-List346[[#This Row],[Jumlah Transfer]]</f>
        <v>0</v>
      </c>
      <c r="U362" s="152"/>
    </row>
    <row r="363" spans="2:21" ht="30" customHeight="1" x14ac:dyDescent="0.2">
      <c r="B363" s="102"/>
      <c r="C363" s="181"/>
      <c r="D363" s="103"/>
      <c r="E363" s="14"/>
      <c r="F363" s="14"/>
      <c r="G363" s="15">
        <f>IFERROR(+VLOOKUP(D:D,'Data Base P.Asuhan &amp; Jompo'!B:I,7,0),0)</f>
        <v>0</v>
      </c>
      <c r="H363" s="258"/>
      <c r="I363" s="258">
        <f>List346[[#This Row],[Pengajuan Donasi]]</f>
        <v>0</v>
      </c>
      <c r="J363" s="213" t="str">
        <f>IF(List346[[#This Row],[Tanggal Trf]]&gt;0,"Done","-")</f>
        <v>-</v>
      </c>
      <c r="K363" s="437"/>
      <c r="L363" s="221"/>
      <c r="M363" s="100"/>
      <c r="N363" s="20">
        <f>MONTH(List346[[#This Row],[Tanggal Pengajuan]])</f>
        <v>1</v>
      </c>
      <c r="O363" s="183"/>
      <c r="P363" s="105"/>
      <c r="Q363" s="198"/>
      <c r="R363" s="230"/>
      <c r="T363" s="152">
        <f>+List346[[#This Row],[Pengajuan Donasi]]-List346[[#This Row],[Jumlah Transfer]]</f>
        <v>0</v>
      </c>
      <c r="U363" s="152"/>
    </row>
    <row r="364" spans="2:21" ht="30" customHeight="1" x14ac:dyDescent="0.2">
      <c r="B364" s="102"/>
      <c r="C364" s="67"/>
      <c r="D364" s="14"/>
      <c r="E364" s="14"/>
      <c r="F364" s="14"/>
      <c r="G364" s="15">
        <f>IFERROR(+VLOOKUP(D:D,'Data Base P.Asuhan &amp; Jompo'!B:I,7,0),0)</f>
        <v>0</v>
      </c>
      <c r="H364" s="258"/>
      <c r="I364" s="258">
        <f>List346[[#This Row],[Pengajuan Donasi]]</f>
        <v>0</v>
      </c>
      <c r="J364" s="213" t="str">
        <f>IF(List346[[#This Row],[Tanggal Trf]]&gt;0,"Done","-")</f>
        <v>-</v>
      </c>
      <c r="K364" s="437"/>
      <c r="L364" s="221"/>
      <c r="M364" s="14"/>
      <c r="N364" s="100">
        <f>MONTH(List346[[#This Row],[Tanggal Pengajuan]])</f>
        <v>1</v>
      </c>
      <c r="O364" s="183"/>
      <c r="P364" s="105"/>
      <c r="Q364" s="111"/>
      <c r="R364" s="230"/>
      <c r="T364" s="152">
        <f>+List346[[#This Row],[Pengajuan Donasi]]-List346[[#This Row],[Jumlah Transfer]]</f>
        <v>0</v>
      </c>
      <c r="U364" s="152"/>
    </row>
    <row r="365" spans="2:21" ht="30" customHeight="1" x14ac:dyDescent="0.2">
      <c r="B365" s="102"/>
      <c r="C365" s="67"/>
      <c r="D365" s="103"/>
      <c r="E365" s="14"/>
      <c r="F365" s="14"/>
      <c r="G365" s="15">
        <f>IFERROR(+VLOOKUP(D:D,'Data Base P.Asuhan &amp; Jompo'!B:I,7,0),0)</f>
        <v>0</v>
      </c>
      <c r="H365" s="258"/>
      <c r="I365" s="258">
        <f>List346[[#This Row],[Pengajuan Donasi]]</f>
        <v>0</v>
      </c>
      <c r="J365" s="213" t="str">
        <f>IF(List346[[#This Row],[Tanggal Trf]]&gt;0,"Done","-")</f>
        <v>-</v>
      </c>
      <c r="K365" s="437"/>
      <c r="L365" s="221"/>
      <c r="M365" s="100"/>
      <c r="N365" s="100">
        <f>MONTH(List346[[#This Row],[Tanggal Pengajuan]])</f>
        <v>1</v>
      </c>
      <c r="O365" s="183"/>
      <c r="P365" s="105"/>
      <c r="Q365" s="111"/>
      <c r="R365" s="230"/>
      <c r="T365" s="152">
        <f>+List346[[#This Row],[Pengajuan Donasi]]-List346[[#This Row],[Jumlah Transfer]]</f>
        <v>0</v>
      </c>
      <c r="U365" s="152"/>
    </row>
    <row r="366" spans="2:21" ht="30" customHeight="1" x14ac:dyDescent="0.2">
      <c r="B366" s="102"/>
      <c r="C366" s="67"/>
      <c r="D366" s="103"/>
      <c r="E366" s="14"/>
      <c r="F366" s="14"/>
      <c r="G366" s="15">
        <f>IFERROR(+VLOOKUP(D:D,'Data Base P.Asuhan &amp; Jompo'!B:I,7,0),0)</f>
        <v>0</v>
      </c>
      <c r="H366" s="258"/>
      <c r="I366" s="258">
        <f>List346[[#This Row],[Pengajuan Donasi]]</f>
        <v>0</v>
      </c>
      <c r="J366" s="213" t="str">
        <f>IF(List346[[#This Row],[Tanggal Trf]]&gt;0,"Done","-")</f>
        <v>-</v>
      </c>
      <c r="K366" s="437"/>
      <c r="L366" s="221"/>
      <c r="M366" s="105"/>
      <c r="N366" s="100">
        <f>MONTH(List346[[#This Row],[Tanggal Pengajuan]])</f>
        <v>1</v>
      </c>
      <c r="O366" s="183"/>
      <c r="P366" s="100"/>
      <c r="Q366" s="111"/>
      <c r="R366" s="230"/>
      <c r="T366" s="152">
        <f>+List346[[#This Row],[Pengajuan Donasi]]-List346[[#This Row],[Jumlah Transfer]]</f>
        <v>0</v>
      </c>
      <c r="U366" s="152"/>
    </row>
    <row r="367" spans="2:21" ht="30" customHeight="1" x14ac:dyDescent="0.2">
      <c r="B367" s="102"/>
      <c r="C367" s="67"/>
      <c r="D367" s="14"/>
      <c r="E367" s="103"/>
      <c r="F367" s="103"/>
      <c r="G367" s="15">
        <f>IFERROR(+VLOOKUP(D:D,'Data Base P.Asuhan &amp; Jompo'!B:I,7,0),0)</f>
        <v>0</v>
      </c>
      <c r="H367" s="258"/>
      <c r="I367" s="258">
        <f>List346[[#This Row],[Pengajuan Donasi]]</f>
        <v>0</v>
      </c>
      <c r="J367" s="213" t="str">
        <f>IF(List346[[#This Row],[Tanggal Trf]]&gt;0,"Done","-")</f>
        <v>-</v>
      </c>
      <c r="K367" s="437"/>
      <c r="L367" s="221"/>
      <c r="M367" s="100"/>
      <c r="N367" s="100">
        <f>MONTH(List346[[#This Row],[Tanggal Pengajuan]])</f>
        <v>1</v>
      </c>
      <c r="O367" s="183"/>
      <c r="P367" s="105"/>
      <c r="Q367" s="111"/>
      <c r="R367" s="230"/>
      <c r="T367" s="152">
        <f>+List346[[#This Row],[Pengajuan Donasi]]-List346[[#This Row],[Jumlah Transfer]]</f>
        <v>0</v>
      </c>
      <c r="U367" s="152"/>
    </row>
    <row r="368" spans="2:21" ht="30" customHeight="1" x14ac:dyDescent="0.2">
      <c r="B368" s="102"/>
      <c r="C368" s="67"/>
      <c r="D368" s="14"/>
      <c r="E368" s="103"/>
      <c r="F368" s="103"/>
      <c r="G368" s="15">
        <f>IFERROR(+VLOOKUP(D:D,'Data Base P.Asuhan &amp; Jompo'!B:I,7,0),0)</f>
        <v>0</v>
      </c>
      <c r="H368" s="258"/>
      <c r="I368" s="258">
        <f>List346[[#This Row],[Pengajuan Donasi]]</f>
        <v>0</v>
      </c>
      <c r="J368" s="213" t="str">
        <f>IF(List346[[#This Row],[Tanggal Trf]]&gt;0,"Done","-")</f>
        <v>-</v>
      </c>
      <c r="K368" s="437"/>
      <c r="L368" s="221"/>
      <c r="M368" s="100"/>
      <c r="N368" s="100">
        <f>MONTH(List346[[#This Row],[Tanggal Pengajuan]])</f>
        <v>1</v>
      </c>
      <c r="O368" s="183"/>
      <c r="P368" s="105"/>
      <c r="Q368" s="111"/>
      <c r="R368" s="230"/>
      <c r="T368" s="152">
        <f>+List346[[#This Row],[Pengajuan Donasi]]-List346[[#This Row],[Jumlah Transfer]]</f>
        <v>0</v>
      </c>
      <c r="U368" s="152"/>
    </row>
    <row r="369" spans="2:21" ht="30" customHeight="1" x14ac:dyDescent="0.2">
      <c r="B369" s="102"/>
      <c r="C369" s="67"/>
      <c r="D369" s="14"/>
      <c r="E369" s="103"/>
      <c r="F369" s="103"/>
      <c r="G369" s="15">
        <f>IFERROR(+VLOOKUP(D:D,'Data Base P.Asuhan &amp; Jompo'!B:I,7,0),0)</f>
        <v>0</v>
      </c>
      <c r="H369" s="258"/>
      <c r="I369" s="258">
        <f>List346[[#This Row],[Pengajuan Donasi]]</f>
        <v>0</v>
      </c>
      <c r="J369" s="213" t="str">
        <f>IF(List346[[#This Row],[Tanggal Trf]]&gt;0,"Done","-")</f>
        <v>-</v>
      </c>
      <c r="K369" s="437"/>
      <c r="L369" s="221"/>
      <c r="M369" s="100"/>
      <c r="N369" s="100">
        <f>MONTH(List346[[#This Row],[Tanggal Pengajuan]])</f>
        <v>1</v>
      </c>
      <c r="O369" s="183"/>
      <c r="P369" s="105"/>
      <c r="Q369" s="111"/>
      <c r="R369" s="230"/>
      <c r="T369" s="152">
        <f>+List346[[#This Row],[Pengajuan Donasi]]-List346[[#This Row],[Jumlah Transfer]]</f>
        <v>0</v>
      </c>
      <c r="U369" s="152"/>
    </row>
    <row r="370" spans="2:21" ht="30" customHeight="1" x14ac:dyDescent="0.2">
      <c r="B370" s="102"/>
      <c r="C370" s="67"/>
      <c r="D370" s="14"/>
      <c r="E370" s="103"/>
      <c r="F370" s="103"/>
      <c r="G370" s="15">
        <f>IFERROR(+VLOOKUP(D:D,'Data Base P.Asuhan &amp; Jompo'!B:I,7,0),0)</f>
        <v>0</v>
      </c>
      <c r="H370" s="258"/>
      <c r="I370" s="258">
        <f>List346[[#This Row],[Pengajuan Donasi]]</f>
        <v>0</v>
      </c>
      <c r="J370" s="213" t="str">
        <f>IF(List346[[#This Row],[Tanggal Trf]]&gt;0,"Done","-")</f>
        <v>-</v>
      </c>
      <c r="K370" s="437"/>
      <c r="L370" s="221"/>
      <c r="M370" s="100"/>
      <c r="N370" s="100">
        <f>MONTH(List346[[#This Row],[Tanggal Pengajuan]])</f>
        <v>1</v>
      </c>
      <c r="O370" s="183"/>
      <c r="P370" s="105"/>
      <c r="Q370" s="111"/>
      <c r="R370" s="230"/>
      <c r="T370" s="152">
        <f>+List346[[#This Row],[Pengajuan Donasi]]-List346[[#This Row],[Jumlah Transfer]]</f>
        <v>0</v>
      </c>
      <c r="U370" s="152"/>
    </row>
    <row r="371" spans="2:21" ht="30" customHeight="1" x14ac:dyDescent="0.2">
      <c r="B371" s="102"/>
      <c r="C371" s="67"/>
      <c r="D371" s="14"/>
      <c r="E371" s="103"/>
      <c r="F371" s="103"/>
      <c r="G371" s="15">
        <f>IFERROR(+VLOOKUP(D:D,'Data Base P.Asuhan &amp; Jompo'!B:I,7,0),0)</f>
        <v>0</v>
      </c>
      <c r="H371" s="267"/>
      <c r="I371" s="258">
        <f>List346[[#This Row],[Pengajuan Donasi]]</f>
        <v>0</v>
      </c>
      <c r="J371" s="213" t="str">
        <f>IF(List346[[#This Row],[Tanggal Trf]]&gt;0,"Done","-")</f>
        <v>-</v>
      </c>
      <c r="K371" s="437"/>
      <c r="L371" s="221"/>
      <c r="M371" s="100"/>
      <c r="N371" s="100">
        <f>MONTH(List346[[#This Row],[Tanggal Pengajuan]])</f>
        <v>1</v>
      </c>
      <c r="O371" s="183"/>
      <c r="P371" s="105"/>
      <c r="Q371" s="111"/>
      <c r="R371" s="230"/>
      <c r="T371" s="152">
        <f>+List346[[#This Row],[Pengajuan Donasi]]-List346[[#This Row],[Jumlah Transfer]]</f>
        <v>0</v>
      </c>
      <c r="U371" s="152"/>
    </row>
    <row r="372" spans="2:21" ht="30" customHeight="1" x14ac:dyDescent="0.2">
      <c r="B372" s="102"/>
      <c r="C372" s="67"/>
      <c r="D372" s="14"/>
      <c r="E372" s="103"/>
      <c r="F372" s="103"/>
      <c r="G372" s="15">
        <f>IFERROR(+VLOOKUP(D:D,'Data Base P.Asuhan &amp; Jompo'!B:I,7,0),0)</f>
        <v>0</v>
      </c>
      <c r="H372" s="258"/>
      <c r="I372" s="258">
        <f>List346[[#This Row],[Pengajuan Donasi]]</f>
        <v>0</v>
      </c>
      <c r="J372" s="213" t="str">
        <f>IF(List346[[#This Row],[Tanggal Trf]]&gt;0,"Done","-")</f>
        <v>-</v>
      </c>
      <c r="K372" s="437"/>
      <c r="L372" s="221"/>
      <c r="M372" s="100"/>
      <c r="N372" s="100">
        <f>MONTH(List346[[#This Row],[Tanggal Pengajuan]])</f>
        <v>1</v>
      </c>
      <c r="O372" s="183"/>
      <c r="P372" s="105"/>
      <c r="Q372" s="111"/>
      <c r="R372" s="230"/>
      <c r="T372" s="152">
        <f>+List346[[#This Row],[Pengajuan Donasi]]-List346[[#This Row],[Jumlah Transfer]]</f>
        <v>0</v>
      </c>
      <c r="U372" s="152"/>
    </row>
    <row r="373" spans="2:21" ht="30" customHeight="1" x14ac:dyDescent="0.2">
      <c r="B373" s="102"/>
      <c r="C373" s="67"/>
      <c r="D373" s="14"/>
      <c r="E373" s="103"/>
      <c r="F373" s="103"/>
      <c r="G373" s="15">
        <f>IFERROR(+VLOOKUP(D:D,'Data Base P.Asuhan &amp; Jompo'!B:I,7,0),0)</f>
        <v>0</v>
      </c>
      <c r="H373" s="258"/>
      <c r="I373" s="258">
        <f>List346[[#This Row],[Pengajuan Donasi]]</f>
        <v>0</v>
      </c>
      <c r="J373" s="213" t="str">
        <f>IF(List346[[#This Row],[Tanggal Trf]]&gt;0,"Done","-")</f>
        <v>-</v>
      </c>
      <c r="K373" s="437"/>
      <c r="L373" s="221"/>
      <c r="M373" s="100"/>
      <c r="N373" s="100">
        <f>MONTH(List346[[#This Row],[Tanggal Pengajuan]])</f>
        <v>1</v>
      </c>
      <c r="O373" s="183"/>
      <c r="P373" s="20"/>
      <c r="Q373" s="111"/>
      <c r="R373" s="230"/>
      <c r="T373" s="152">
        <f>+List346[[#This Row],[Pengajuan Donasi]]-List346[[#This Row],[Jumlah Transfer]]</f>
        <v>0</v>
      </c>
      <c r="U373" s="152"/>
    </row>
    <row r="374" spans="2:21" ht="30" customHeight="1" x14ac:dyDescent="0.2">
      <c r="B374" s="102"/>
      <c r="C374" s="67"/>
      <c r="D374" s="14"/>
      <c r="E374" s="103"/>
      <c r="F374" s="103"/>
      <c r="G374" s="15">
        <f>IFERROR(+VLOOKUP(D:D,'Data Base P.Asuhan &amp; Jompo'!B:I,7,0),0)</f>
        <v>0</v>
      </c>
      <c r="H374" s="258"/>
      <c r="I374" s="258">
        <f>List346[[#This Row],[Pengajuan Donasi]]</f>
        <v>0</v>
      </c>
      <c r="J374" s="213" t="str">
        <f>IF(List346[[#This Row],[Tanggal Trf]]&gt;0,"Done","-")</f>
        <v>-</v>
      </c>
      <c r="K374" s="437"/>
      <c r="L374" s="221"/>
      <c r="M374" s="100"/>
      <c r="N374" s="100">
        <f>MONTH(List346[[#This Row],[Tanggal Pengajuan]])</f>
        <v>1</v>
      </c>
      <c r="O374" s="183"/>
      <c r="P374" s="105"/>
      <c r="Q374" s="111"/>
      <c r="R374" s="230"/>
      <c r="T374" s="152">
        <f>+List346[[#This Row],[Pengajuan Donasi]]-List346[[#This Row],[Jumlah Transfer]]</f>
        <v>0</v>
      </c>
      <c r="U374" s="152"/>
    </row>
    <row r="375" spans="2:21" ht="30" customHeight="1" x14ac:dyDescent="0.2">
      <c r="B375" s="102"/>
      <c r="C375" s="181"/>
      <c r="D375" s="14"/>
      <c r="E375" s="176"/>
      <c r="F375" s="103"/>
      <c r="G375" s="15">
        <f>IFERROR(+VLOOKUP(D:D,'Data Base P.Asuhan &amp; Jompo'!B:I,7,0),0)</f>
        <v>0</v>
      </c>
      <c r="H375" s="258"/>
      <c r="I375" s="258">
        <f>List346[[#This Row],[Pengajuan Donasi]]</f>
        <v>0</v>
      </c>
      <c r="J375" s="213" t="str">
        <f>IF(List346[[#This Row],[Tanggal Trf]]&gt;0,"Done","-")</f>
        <v>-</v>
      </c>
      <c r="K375" s="438"/>
      <c r="L375" s="221"/>
      <c r="M375" s="20"/>
      <c r="N375" s="20">
        <f>MONTH(List346[[#This Row],[Tanggal Pengajuan]])</f>
        <v>1</v>
      </c>
      <c r="O375" s="183"/>
      <c r="P375" s="20"/>
      <c r="Q375" s="198"/>
      <c r="R375" s="230"/>
      <c r="T375" s="152">
        <f>+List346[[#This Row],[Pengajuan Donasi]]-List346[[#This Row],[Jumlah Transfer]]</f>
        <v>0</v>
      </c>
      <c r="U375" s="152"/>
    </row>
    <row r="376" spans="2:21" ht="30" customHeight="1" x14ac:dyDescent="0.2">
      <c r="B376" s="102"/>
      <c r="C376" s="181"/>
      <c r="D376" s="14"/>
      <c r="E376" s="176"/>
      <c r="F376" s="103"/>
      <c r="G376" s="15">
        <f>IFERROR(+VLOOKUP(D:D,'Data Base P.Asuhan &amp; Jompo'!B:I,7,0),0)</f>
        <v>0</v>
      </c>
      <c r="H376" s="258"/>
      <c r="I376" s="258">
        <f>List346[[#This Row],[Pengajuan Donasi]]</f>
        <v>0</v>
      </c>
      <c r="J376" s="213" t="str">
        <f>IF(List346[[#This Row],[Tanggal Trf]]&gt;0,"Done","-")</f>
        <v>-</v>
      </c>
      <c r="K376" s="438"/>
      <c r="L376" s="221"/>
      <c r="M376" s="20"/>
      <c r="N376" s="20">
        <f>MONTH(List346[[#This Row],[Tanggal Pengajuan]])</f>
        <v>1</v>
      </c>
      <c r="O376" s="183"/>
      <c r="P376" s="20"/>
      <c r="Q376" s="198"/>
      <c r="R376" s="230"/>
      <c r="T376" s="152">
        <f>+List346[[#This Row],[Pengajuan Donasi]]-List346[[#This Row],[Jumlah Transfer]]</f>
        <v>0</v>
      </c>
      <c r="U376" s="152"/>
    </row>
    <row r="377" spans="2:21" ht="30" customHeight="1" x14ac:dyDescent="0.2">
      <c r="B377" s="102"/>
      <c r="C377" s="67"/>
      <c r="D377" s="103"/>
      <c r="E377" s="103"/>
      <c r="F377" s="103"/>
      <c r="G377" s="15">
        <f>IFERROR(+VLOOKUP(D:D,'Data Base P.Asuhan &amp; Jompo'!B:I,7,0),0)</f>
        <v>0</v>
      </c>
      <c r="H377" s="258"/>
      <c r="I377" s="258">
        <f>List346[[#This Row],[Pengajuan Donasi]]</f>
        <v>0</v>
      </c>
      <c r="J377" s="213" t="str">
        <f>IF(List346[[#This Row],[Tanggal Trf]]&gt;0,"Done","-")</f>
        <v>-</v>
      </c>
      <c r="K377" s="437"/>
      <c r="L377" s="221"/>
      <c r="M377" s="100"/>
      <c r="N377" s="100">
        <f>MONTH(List346[[#This Row],[Tanggal Pengajuan]])</f>
        <v>1</v>
      </c>
      <c r="O377" s="183"/>
      <c r="P377" s="105"/>
      <c r="Q377" s="111"/>
      <c r="R377" s="230"/>
      <c r="T377" s="152">
        <f>+List346[[#This Row],[Pengajuan Donasi]]-List346[[#This Row],[Jumlah Transfer]]</f>
        <v>0</v>
      </c>
      <c r="U377" s="152"/>
    </row>
    <row r="378" spans="2:21" ht="30" customHeight="1" x14ac:dyDescent="0.2">
      <c r="B378" s="102"/>
      <c r="C378" s="67"/>
      <c r="D378" s="103"/>
      <c r="E378" s="103"/>
      <c r="F378" s="103"/>
      <c r="G378" s="15">
        <f>IFERROR(+VLOOKUP(D:D,'Data Base P.Asuhan &amp; Jompo'!B:I,7,0),0)</f>
        <v>0</v>
      </c>
      <c r="H378" s="258"/>
      <c r="I378" s="258">
        <f>List346[[#This Row],[Pengajuan Donasi]]</f>
        <v>0</v>
      </c>
      <c r="J378" s="213" t="str">
        <f>IF(List346[[#This Row],[Tanggal Trf]]&gt;0,"Done","-")</f>
        <v>-</v>
      </c>
      <c r="K378" s="437"/>
      <c r="L378" s="221"/>
      <c r="M378" s="100"/>
      <c r="N378" s="100">
        <f>MONTH(List346[[#This Row],[Tanggal Pengajuan]])</f>
        <v>1</v>
      </c>
      <c r="O378" s="183"/>
      <c r="P378" s="105"/>
      <c r="Q378" s="111"/>
      <c r="R378" s="230"/>
      <c r="T378" s="152">
        <f>+List346[[#This Row],[Pengajuan Donasi]]-List346[[#This Row],[Jumlah Transfer]]</f>
        <v>0</v>
      </c>
      <c r="U378" s="152"/>
    </row>
    <row r="379" spans="2:21" ht="30" customHeight="1" x14ac:dyDescent="0.2">
      <c r="B379" s="102"/>
      <c r="C379" s="67"/>
      <c r="D379" s="103"/>
      <c r="E379" s="103"/>
      <c r="F379" s="103"/>
      <c r="G379" s="15">
        <f>IFERROR(+VLOOKUP(D:D,'Data Base P.Asuhan &amp; Jompo'!B:I,7,0),0)</f>
        <v>0</v>
      </c>
      <c r="H379" s="258"/>
      <c r="I379" s="258">
        <f>List346[[#This Row],[Pengajuan Donasi]]</f>
        <v>0</v>
      </c>
      <c r="J379" s="213" t="str">
        <f>IF(List346[[#This Row],[Tanggal Trf]]&gt;0,"Done","-")</f>
        <v>-</v>
      </c>
      <c r="K379" s="437"/>
      <c r="L379" s="221"/>
      <c r="M379" s="100"/>
      <c r="N379" s="100">
        <f>MONTH(List346[[#This Row],[Tanggal Pengajuan]])</f>
        <v>1</v>
      </c>
      <c r="O379" s="183"/>
      <c r="P379" s="105"/>
      <c r="Q379" s="111"/>
      <c r="R379" s="230"/>
      <c r="T379" s="152">
        <f>+List346[[#This Row],[Pengajuan Donasi]]-List346[[#This Row],[Jumlah Transfer]]</f>
        <v>0</v>
      </c>
      <c r="U379" s="152"/>
    </row>
    <row r="380" spans="2:21" ht="30" customHeight="1" x14ac:dyDescent="0.2">
      <c r="B380" s="102"/>
      <c r="C380" s="67"/>
      <c r="D380" s="103"/>
      <c r="E380" s="103"/>
      <c r="F380" s="103"/>
      <c r="G380" s="15">
        <f>IFERROR(+VLOOKUP(D:D,'Data Base P.Asuhan &amp; Jompo'!B:I,7,0),0)</f>
        <v>0</v>
      </c>
      <c r="H380" s="258"/>
      <c r="I380" s="258">
        <f>List346[[#This Row],[Pengajuan Donasi]]</f>
        <v>0</v>
      </c>
      <c r="J380" s="213" t="str">
        <f>IF(List346[[#This Row],[Tanggal Trf]]&gt;0,"Done","-")</f>
        <v>-</v>
      </c>
      <c r="K380" s="437"/>
      <c r="L380" s="221"/>
      <c r="M380" s="100"/>
      <c r="N380" s="100">
        <f>MONTH(List346[[#This Row],[Tanggal Pengajuan]])</f>
        <v>1</v>
      </c>
      <c r="O380" s="183"/>
      <c r="P380" s="105"/>
      <c r="Q380" s="111"/>
      <c r="R380" s="230"/>
      <c r="T380" s="152">
        <f>+List346[[#This Row],[Pengajuan Donasi]]-List346[[#This Row],[Jumlah Transfer]]</f>
        <v>0</v>
      </c>
      <c r="U380" s="152"/>
    </row>
    <row r="381" spans="2:21" ht="30" customHeight="1" x14ac:dyDescent="0.2">
      <c r="B381" s="102"/>
      <c r="C381" s="67"/>
      <c r="D381" s="103"/>
      <c r="E381" s="103"/>
      <c r="F381" s="103"/>
      <c r="G381" s="15">
        <f>IFERROR(+VLOOKUP(D:D,'Data Base P.Asuhan &amp; Jompo'!B:I,7,0),0)</f>
        <v>0</v>
      </c>
      <c r="H381" s="258"/>
      <c r="I381" s="258">
        <f>List346[[#This Row],[Pengajuan Donasi]]</f>
        <v>0</v>
      </c>
      <c r="J381" s="213" t="str">
        <f>IF(List346[[#This Row],[Tanggal Trf]]&gt;0,"Done","-")</f>
        <v>-</v>
      </c>
      <c r="K381" s="437"/>
      <c r="L381" s="221"/>
      <c r="M381" s="100"/>
      <c r="N381" s="100">
        <f>MONTH(List346[[#This Row],[Tanggal Pengajuan]])</f>
        <v>1</v>
      </c>
      <c r="O381" s="183"/>
      <c r="P381" s="105"/>
      <c r="Q381" s="111"/>
      <c r="R381" s="230"/>
      <c r="T381" s="152">
        <f>+List346[[#This Row],[Pengajuan Donasi]]-List346[[#This Row],[Jumlah Transfer]]</f>
        <v>0</v>
      </c>
      <c r="U381" s="152"/>
    </row>
    <row r="382" spans="2:21" ht="30" customHeight="1" x14ac:dyDescent="0.2">
      <c r="B382" s="102"/>
      <c r="C382" s="67"/>
      <c r="D382" s="14"/>
      <c r="E382" s="103"/>
      <c r="F382" s="103"/>
      <c r="G382" s="15">
        <f>IFERROR(+VLOOKUP(D:D,'Data Base P.Asuhan &amp; Jompo'!B:I,7,0),0)</f>
        <v>0</v>
      </c>
      <c r="H382" s="258"/>
      <c r="I382" s="258">
        <f>List346[[#This Row],[Pengajuan Donasi]]</f>
        <v>0</v>
      </c>
      <c r="J382" s="213" t="str">
        <f>IF(List346[[#This Row],[Tanggal Trf]]&gt;0,"Done","-")</f>
        <v>-</v>
      </c>
      <c r="K382" s="437"/>
      <c r="L382" s="221"/>
      <c r="M382" s="100"/>
      <c r="N382" s="100">
        <f>MONTH(List346[[#This Row],[Tanggal Pengajuan]])</f>
        <v>1</v>
      </c>
      <c r="O382" s="183"/>
      <c r="P382" s="105"/>
      <c r="Q382" s="111"/>
      <c r="R382" s="230"/>
      <c r="T382" s="152">
        <f>+List346[[#This Row],[Pengajuan Donasi]]-List346[[#This Row],[Jumlah Transfer]]</f>
        <v>0</v>
      </c>
      <c r="U382" s="152"/>
    </row>
    <row r="383" spans="2:21" ht="30" customHeight="1" x14ac:dyDescent="0.2">
      <c r="B383" s="102"/>
      <c r="C383" s="67"/>
      <c r="D383" s="100"/>
      <c r="E383" s="103"/>
      <c r="F383" s="103"/>
      <c r="G383" s="15">
        <f>IFERROR(+VLOOKUP(D:D,'Data Base P.Asuhan &amp; Jompo'!B:I,7,0),0)</f>
        <v>0</v>
      </c>
      <c r="H383" s="258"/>
      <c r="I383" s="258">
        <f>List346[[#This Row],[Pengajuan Donasi]]</f>
        <v>0</v>
      </c>
      <c r="J383" s="213" t="str">
        <f>IF(List346[[#This Row],[Tanggal Trf]]&gt;0,"Done","-")</f>
        <v>-</v>
      </c>
      <c r="K383" s="445"/>
      <c r="L383" s="221"/>
      <c r="M383" s="100"/>
      <c r="N383" s="100">
        <f>MONTH(List346[[#This Row],[Tanggal Pengajuan]])</f>
        <v>1</v>
      </c>
      <c r="O383" s="183"/>
      <c r="P383" s="105"/>
      <c r="Q383" s="111"/>
      <c r="R383" s="233"/>
      <c r="T383" s="152">
        <f>+List346[[#This Row],[Pengajuan Donasi]]-List346[[#This Row],[Jumlah Transfer]]</f>
        <v>0</v>
      </c>
      <c r="U383" s="152"/>
    </row>
    <row r="384" spans="2:21" ht="30" customHeight="1" x14ac:dyDescent="0.2">
      <c r="B384" s="102"/>
      <c r="C384" s="67"/>
      <c r="D384" s="14"/>
      <c r="E384" s="103"/>
      <c r="F384" s="103"/>
      <c r="G384" s="15">
        <f>IFERROR(+VLOOKUP(D:D,'Data Base P.Asuhan &amp; Jompo'!B:I,7,0),0)</f>
        <v>0</v>
      </c>
      <c r="H384" s="258"/>
      <c r="I384" s="258">
        <f>List346[[#This Row],[Pengajuan Donasi]]</f>
        <v>0</v>
      </c>
      <c r="J384" s="213" t="str">
        <f>IF(List346[[#This Row],[Tanggal Trf]]&gt;0,"Done","-")</f>
        <v>-</v>
      </c>
      <c r="K384" s="445"/>
      <c r="L384" s="221"/>
      <c r="M384" s="100"/>
      <c r="N384" s="100">
        <f>MONTH(List346[[#This Row],[Tanggal Pengajuan]])</f>
        <v>1</v>
      </c>
      <c r="O384" s="183"/>
      <c r="P384" s="105"/>
      <c r="Q384" s="111"/>
      <c r="R384" s="230"/>
      <c r="T384" s="152">
        <f>+List346[[#This Row],[Pengajuan Donasi]]-List346[[#This Row],[Jumlah Transfer]]</f>
        <v>0</v>
      </c>
      <c r="U384" s="152"/>
    </row>
    <row r="385" spans="2:21" ht="30" customHeight="1" x14ac:dyDescent="0.2">
      <c r="B385" s="102"/>
      <c r="C385" s="67"/>
      <c r="D385" s="14"/>
      <c r="E385" s="103"/>
      <c r="F385" s="103"/>
      <c r="G385" s="15">
        <f>IFERROR(+VLOOKUP(D:D,'Data Base P.Asuhan &amp; Jompo'!B:I,7,0),0)</f>
        <v>0</v>
      </c>
      <c r="H385" s="258"/>
      <c r="I385" s="258">
        <f>List346[[#This Row],[Pengajuan Donasi]]</f>
        <v>0</v>
      </c>
      <c r="J385" s="213" t="str">
        <f>IF(List346[[#This Row],[Tanggal Trf]]&gt;0,"Done","-")</f>
        <v>-</v>
      </c>
      <c r="K385" s="445"/>
      <c r="L385" s="221"/>
      <c r="M385" s="100"/>
      <c r="N385" s="100">
        <f>MONTH(List346[[#This Row],[Tanggal Pengajuan]])</f>
        <v>1</v>
      </c>
      <c r="O385" s="183"/>
      <c r="P385" s="105"/>
      <c r="Q385" s="111"/>
      <c r="R385" s="230"/>
      <c r="T385" s="152">
        <f>+List346[[#This Row],[Pengajuan Donasi]]-List346[[#This Row],[Jumlah Transfer]]</f>
        <v>0</v>
      </c>
      <c r="U385" s="152"/>
    </row>
    <row r="386" spans="2:21" ht="30" customHeight="1" x14ac:dyDescent="0.2">
      <c r="B386" s="102"/>
      <c r="C386" s="67"/>
      <c r="D386" s="14"/>
      <c r="E386" s="103"/>
      <c r="F386" s="103"/>
      <c r="G386" s="15">
        <f>IFERROR(+VLOOKUP(D:D,'Data Base P.Asuhan &amp; Jompo'!B:I,7,0),0)</f>
        <v>0</v>
      </c>
      <c r="H386" s="258"/>
      <c r="I386" s="258">
        <f>List346[[#This Row],[Pengajuan Donasi]]</f>
        <v>0</v>
      </c>
      <c r="J386" s="213" t="str">
        <f>IF(List346[[#This Row],[Tanggal Trf]]&gt;0,"Done","-")</f>
        <v>-</v>
      </c>
      <c r="K386" s="445"/>
      <c r="L386" s="221"/>
      <c r="M386" s="100"/>
      <c r="N386" s="100">
        <f>MONTH(List346[[#This Row],[Tanggal Pengajuan]])</f>
        <v>1</v>
      </c>
      <c r="O386" s="183"/>
      <c r="P386" s="105"/>
      <c r="Q386" s="111"/>
      <c r="R386" s="230"/>
      <c r="T386" s="152">
        <f>+List346[[#This Row],[Pengajuan Donasi]]-List346[[#This Row],[Jumlah Transfer]]</f>
        <v>0</v>
      </c>
      <c r="U386" s="152"/>
    </row>
    <row r="387" spans="2:21" ht="30" customHeight="1" x14ac:dyDescent="0.2">
      <c r="B387" s="102"/>
      <c r="C387" s="67"/>
      <c r="D387" s="14"/>
      <c r="E387" s="103"/>
      <c r="F387" s="103"/>
      <c r="G387" s="15">
        <f>IFERROR(+VLOOKUP(D:D,'Data Base P.Asuhan &amp; Jompo'!B:I,7,0),0)</f>
        <v>0</v>
      </c>
      <c r="H387" s="258"/>
      <c r="I387" s="258">
        <f>List346[[#This Row],[Pengajuan Donasi]]</f>
        <v>0</v>
      </c>
      <c r="J387" s="213" t="str">
        <f>IF(List346[[#This Row],[Tanggal Trf]]&gt;0,"Done","-")</f>
        <v>-</v>
      </c>
      <c r="K387" s="445"/>
      <c r="L387" s="221"/>
      <c r="M387" s="100"/>
      <c r="N387" s="100">
        <f>MONTH(List346[[#This Row],[Tanggal Pengajuan]])</f>
        <v>1</v>
      </c>
      <c r="O387" s="183"/>
      <c r="P387" s="105"/>
      <c r="Q387" s="111"/>
      <c r="R387" s="230"/>
      <c r="T387" s="152">
        <f>+List346[[#This Row],[Pengajuan Donasi]]-List346[[#This Row],[Jumlah Transfer]]</f>
        <v>0</v>
      </c>
      <c r="U387" s="152"/>
    </row>
    <row r="388" spans="2:21" ht="30" customHeight="1" x14ac:dyDescent="0.2">
      <c r="B388" s="102"/>
      <c r="C388" s="67"/>
      <c r="D388" s="14"/>
      <c r="E388" s="103"/>
      <c r="F388" s="103"/>
      <c r="G388" s="15">
        <f>IFERROR(+VLOOKUP(D:D,'Data Base P.Asuhan &amp; Jompo'!B:I,7,0),0)</f>
        <v>0</v>
      </c>
      <c r="H388" s="258"/>
      <c r="I388" s="258">
        <f>List346[[#This Row],[Pengajuan Donasi]]</f>
        <v>0</v>
      </c>
      <c r="J388" s="213" t="str">
        <f>IF(List346[[#This Row],[Tanggal Trf]]&gt;0,"Done","-")</f>
        <v>-</v>
      </c>
      <c r="K388" s="445"/>
      <c r="L388" s="221"/>
      <c r="M388" s="100"/>
      <c r="N388" s="100">
        <f>MONTH(List346[[#This Row],[Tanggal Pengajuan]])</f>
        <v>1</v>
      </c>
      <c r="O388" s="183"/>
      <c r="P388" s="105"/>
      <c r="Q388" s="111"/>
      <c r="R388" s="230"/>
      <c r="T388" s="152">
        <f>+List346[[#This Row],[Pengajuan Donasi]]-List346[[#This Row],[Jumlah Transfer]]</f>
        <v>0</v>
      </c>
      <c r="U388" s="152"/>
    </row>
    <row r="389" spans="2:21" ht="30" customHeight="1" x14ac:dyDescent="0.2">
      <c r="B389" s="102"/>
      <c r="C389" s="67"/>
      <c r="D389" s="14"/>
      <c r="E389" s="103"/>
      <c r="F389" s="103"/>
      <c r="G389" s="15">
        <f>IFERROR(+VLOOKUP(D:D,'Data Base P.Asuhan &amp; Jompo'!B:I,7,0),0)</f>
        <v>0</v>
      </c>
      <c r="H389" s="258"/>
      <c r="I389" s="258">
        <f>List346[[#This Row],[Pengajuan Donasi]]</f>
        <v>0</v>
      </c>
      <c r="J389" s="214" t="str">
        <f>IF(List346[[#This Row],[Tanggal Trf]]&gt;0,"Done","-")</f>
        <v>-</v>
      </c>
      <c r="K389" s="445"/>
      <c r="L389" s="221"/>
      <c r="M389" s="100"/>
      <c r="N389" s="100">
        <f>MONTH(List346[[#This Row],[Tanggal Pengajuan]])</f>
        <v>1</v>
      </c>
      <c r="O389" s="183"/>
      <c r="P389" s="105"/>
      <c r="Q389" s="111"/>
      <c r="R389" s="230"/>
      <c r="T389" s="152">
        <f>+List346[[#This Row],[Pengajuan Donasi]]-List346[[#This Row],[Jumlah Transfer]]</f>
        <v>0</v>
      </c>
      <c r="U389" s="152"/>
    </row>
    <row r="390" spans="2:21" ht="30" customHeight="1" x14ac:dyDescent="0.2">
      <c r="B390" s="102"/>
      <c r="C390" s="67"/>
      <c r="D390" s="14"/>
      <c r="E390" s="103"/>
      <c r="F390" s="103"/>
      <c r="G390" s="15">
        <f>IFERROR(+VLOOKUP(D:D,'Data Base P.Asuhan &amp; Jompo'!B:I,7,0),0)</f>
        <v>0</v>
      </c>
      <c r="H390" s="258"/>
      <c r="I390" s="258">
        <f>List346[[#This Row],[Pengajuan Donasi]]</f>
        <v>0</v>
      </c>
      <c r="J390" s="214" t="str">
        <f>IF(List346[[#This Row],[Tanggal Trf]]&gt;0,"Done","-")</f>
        <v>-</v>
      </c>
      <c r="K390" s="445"/>
      <c r="L390" s="221"/>
      <c r="M390" s="100"/>
      <c r="N390" s="100">
        <f>MONTH(List346[[#This Row],[Tanggal Pengajuan]])</f>
        <v>1</v>
      </c>
      <c r="O390" s="183"/>
      <c r="P390" s="105"/>
      <c r="Q390" s="111"/>
      <c r="R390" s="230"/>
      <c r="T390" s="152">
        <f>+List346[[#This Row],[Pengajuan Donasi]]-List346[[#This Row],[Jumlah Transfer]]</f>
        <v>0</v>
      </c>
      <c r="U390" s="152"/>
    </row>
    <row r="391" spans="2:21" ht="30" customHeight="1" x14ac:dyDescent="0.2">
      <c r="B391" s="102"/>
      <c r="C391" s="67"/>
      <c r="D391" s="14"/>
      <c r="E391" s="103"/>
      <c r="F391" s="103"/>
      <c r="G391" s="15">
        <f>IFERROR(+VLOOKUP(D:D,'Data Base P.Asuhan &amp; Jompo'!B:I,7,0),0)</f>
        <v>0</v>
      </c>
      <c r="H391" s="258"/>
      <c r="I391" s="258">
        <f>List346[[#This Row],[Pengajuan Donasi]]</f>
        <v>0</v>
      </c>
      <c r="J391" s="214" t="str">
        <f>IF(List346[[#This Row],[Tanggal Trf]]&gt;0,"Done","-")</f>
        <v>-</v>
      </c>
      <c r="K391" s="445"/>
      <c r="L391" s="221"/>
      <c r="M391" s="100"/>
      <c r="N391" s="100">
        <f>MONTH(List346[[#This Row],[Tanggal Pengajuan]])</f>
        <v>1</v>
      </c>
      <c r="O391" s="183"/>
      <c r="P391" s="105"/>
      <c r="Q391" s="111"/>
      <c r="R391" s="230"/>
      <c r="T391" s="152">
        <f>+List346[[#This Row],[Pengajuan Donasi]]-List346[[#This Row],[Jumlah Transfer]]</f>
        <v>0</v>
      </c>
      <c r="U391" s="152"/>
    </row>
    <row r="392" spans="2:21" ht="30" customHeight="1" x14ac:dyDescent="0.2">
      <c r="B392" s="102"/>
      <c r="C392" s="67"/>
      <c r="D392" s="14"/>
      <c r="E392" s="103"/>
      <c r="F392" s="103"/>
      <c r="G392" s="15">
        <f>IFERROR(+VLOOKUP(D:D,'Data Base P.Asuhan &amp; Jompo'!B:I,7,0),0)</f>
        <v>0</v>
      </c>
      <c r="H392" s="258"/>
      <c r="I392" s="258">
        <f>List346[[#This Row],[Pengajuan Donasi]]</f>
        <v>0</v>
      </c>
      <c r="J392" s="214" t="str">
        <f>IF(List346[[#This Row],[Tanggal Trf]]&gt;0,"Done","-")</f>
        <v>-</v>
      </c>
      <c r="K392" s="445"/>
      <c r="L392" s="221"/>
      <c r="M392" s="100"/>
      <c r="N392" s="100">
        <f>MONTH(List346[[#This Row],[Tanggal Pengajuan]])</f>
        <v>1</v>
      </c>
      <c r="O392" s="183"/>
      <c r="P392" s="105"/>
      <c r="Q392" s="111"/>
      <c r="R392" s="230"/>
      <c r="T392" s="152">
        <f>+List346[[#This Row],[Pengajuan Donasi]]-List346[[#This Row],[Jumlah Transfer]]</f>
        <v>0</v>
      </c>
      <c r="U392" s="152"/>
    </row>
    <row r="393" spans="2:21" ht="30" customHeight="1" x14ac:dyDescent="0.2">
      <c r="B393" s="102"/>
      <c r="C393" s="67"/>
      <c r="D393" s="14"/>
      <c r="E393" s="103"/>
      <c r="F393" s="103"/>
      <c r="G393" s="15">
        <f>IFERROR(+VLOOKUP(D:D,'Data Base P.Asuhan &amp; Jompo'!B:I,7,0),0)</f>
        <v>0</v>
      </c>
      <c r="H393" s="258"/>
      <c r="I393" s="258">
        <f>List346[[#This Row],[Pengajuan Donasi]]</f>
        <v>0</v>
      </c>
      <c r="J393" s="214" t="str">
        <f>IF(List346[[#This Row],[Tanggal Trf]]&gt;0,"Done","-")</f>
        <v>-</v>
      </c>
      <c r="K393" s="445"/>
      <c r="L393" s="221"/>
      <c r="M393" s="100"/>
      <c r="N393" s="100">
        <f>MONTH(List346[[#This Row],[Tanggal Pengajuan]])</f>
        <v>1</v>
      </c>
      <c r="O393" s="183"/>
      <c r="P393" s="105"/>
      <c r="Q393" s="111"/>
      <c r="R393" s="230"/>
      <c r="T393" s="152">
        <f>+List346[[#This Row],[Pengajuan Donasi]]-List346[[#This Row],[Jumlah Transfer]]</f>
        <v>0</v>
      </c>
      <c r="U393" s="152"/>
    </row>
    <row r="394" spans="2:21" ht="30" customHeight="1" x14ac:dyDescent="0.2">
      <c r="B394" s="102"/>
      <c r="C394" s="67"/>
      <c r="D394" s="14"/>
      <c r="E394" s="103"/>
      <c r="F394" s="103"/>
      <c r="G394" s="15">
        <f>IFERROR(+VLOOKUP(D:D,'Data Base P.Asuhan &amp; Jompo'!B:I,7,0),0)</f>
        <v>0</v>
      </c>
      <c r="H394" s="258"/>
      <c r="I394" s="258">
        <f>List346[[#This Row],[Pengajuan Donasi]]</f>
        <v>0</v>
      </c>
      <c r="J394" s="214" t="str">
        <f>IF(List346[[#This Row],[Tanggal Trf]]&gt;0,"Done","-")</f>
        <v>-</v>
      </c>
      <c r="K394" s="445"/>
      <c r="L394" s="221"/>
      <c r="M394" s="100"/>
      <c r="N394" s="100">
        <f>MONTH(List346[[#This Row],[Tanggal Pengajuan]])</f>
        <v>1</v>
      </c>
      <c r="O394" s="183"/>
      <c r="P394" s="105"/>
      <c r="Q394" s="111"/>
      <c r="R394" s="230"/>
      <c r="T394" s="152">
        <f>+List346[[#This Row],[Pengajuan Donasi]]-List346[[#This Row],[Jumlah Transfer]]</f>
        <v>0</v>
      </c>
      <c r="U394" s="152"/>
    </row>
    <row r="395" spans="2:21" ht="30" customHeight="1" x14ac:dyDescent="0.2">
      <c r="B395" s="102"/>
      <c r="C395" s="67"/>
      <c r="D395" s="14"/>
      <c r="E395" s="103"/>
      <c r="F395" s="103"/>
      <c r="G395" s="15">
        <f>IFERROR(+VLOOKUP(D:D,'Data Base P.Asuhan &amp; Jompo'!B:I,7,0),0)</f>
        <v>0</v>
      </c>
      <c r="H395" s="258"/>
      <c r="I395" s="258">
        <f>List346[[#This Row],[Pengajuan Donasi]]</f>
        <v>0</v>
      </c>
      <c r="J395" s="214" t="str">
        <f>IF(List346[[#This Row],[Tanggal Trf]]&gt;0,"Done","-")</f>
        <v>-</v>
      </c>
      <c r="K395" s="445"/>
      <c r="L395" s="221"/>
      <c r="M395" s="100"/>
      <c r="N395" s="100">
        <f>MONTH(List346[[#This Row],[Tanggal Pengajuan]])</f>
        <v>1</v>
      </c>
      <c r="O395" s="183"/>
      <c r="P395" s="105"/>
      <c r="Q395" s="111"/>
      <c r="R395" s="230"/>
      <c r="T395" s="152">
        <f>+List346[[#This Row],[Pengajuan Donasi]]-List346[[#This Row],[Jumlah Transfer]]</f>
        <v>0</v>
      </c>
      <c r="U395" s="152"/>
    </row>
    <row r="396" spans="2:21" ht="30" customHeight="1" x14ac:dyDescent="0.2">
      <c r="B396" s="102"/>
      <c r="C396" s="67"/>
      <c r="D396" s="14"/>
      <c r="E396" s="103"/>
      <c r="F396" s="103"/>
      <c r="G396" s="15">
        <f>IFERROR(+VLOOKUP(D:D,'Data Base P.Asuhan &amp; Jompo'!B:I,7,0),0)</f>
        <v>0</v>
      </c>
      <c r="H396" s="258"/>
      <c r="I396" s="258">
        <f>List346[[#This Row],[Pengajuan Donasi]]</f>
        <v>0</v>
      </c>
      <c r="J396" s="214" t="str">
        <f>IF(List346[[#This Row],[Tanggal Trf]]&gt;0,"Done","-")</f>
        <v>-</v>
      </c>
      <c r="K396" s="445"/>
      <c r="L396" s="221"/>
      <c r="M396" s="100"/>
      <c r="N396" s="100">
        <f>MONTH(List346[[#This Row],[Tanggal Pengajuan]])</f>
        <v>1</v>
      </c>
      <c r="O396" s="183"/>
      <c r="P396" s="105"/>
      <c r="Q396" s="111"/>
      <c r="R396" s="230"/>
      <c r="T396" s="152">
        <f>+List346[[#This Row],[Pengajuan Donasi]]-List346[[#This Row],[Jumlah Transfer]]</f>
        <v>0</v>
      </c>
      <c r="U396" s="152"/>
    </row>
    <row r="397" spans="2:21" ht="30" customHeight="1" x14ac:dyDescent="0.2">
      <c r="B397" s="102"/>
      <c r="C397" s="67"/>
      <c r="D397" s="14"/>
      <c r="E397" s="103"/>
      <c r="F397" s="103"/>
      <c r="G397" s="15">
        <f>IFERROR(+VLOOKUP(D:D,'Data Base P.Asuhan &amp; Jompo'!B:I,7,0),0)</f>
        <v>0</v>
      </c>
      <c r="H397" s="258"/>
      <c r="I397" s="258">
        <f>List346[[#This Row],[Pengajuan Donasi]]</f>
        <v>0</v>
      </c>
      <c r="J397" s="214" t="str">
        <f>IF(List346[[#This Row],[Tanggal Trf]]&gt;0,"Done","-")</f>
        <v>-</v>
      </c>
      <c r="K397" s="445"/>
      <c r="L397" s="221"/>
      <c r="M397" s="100"/>
      <c r="N397" s="100">
        <f>MONTH(List346[[#This Row],[Tanggal Pengajuan]])</f>
        <v>1</v>
      </c>
      <c r="O397" s="183"/>
      <c r="P397" s="105"/>
      <c r="Q397" s="111"/>
      <c r="R397" s="230"/>
      <c r="T397" s="152">
        <f>+List346[[#This Row],[Pengajuan Donasi]]-List346[[#This Row],[Jumlah Transfer]]</f>
        <v>0</v>
      </c>
      <c r="U397" s="152"/>
    </row>
    <row r="398" spans="2:21" ht="30" customHeight="1" x14ac:dyDescent="0.2">
      <c r="B398" s="102"/>
      <c r="C398" s="67"/>
      <c r="D398" s="14"/>
      <c r="E398" s="103"/>
      <c r="F398" s="103"/>
      <c r="G398" s="15">
        <f>IFERROR(+VLOOKUP(D:D,'Data Base P.Asuhan &amp; Jompo'!B:I,7,0),0)</f>
        <v>0</v>
      </c>
      <c r="H398" s="258"/>
      <c r="I398" s="258">
        <f>List346[[#This Row],[Pengajuan Donasi]]</f>
        <v>0</v>
      </c>
      <c r="J398" s="214" t="str">
        <f>IF(List346[[#This Row],[Tanggal Trf]]&gt;0,"Done","-")</f>
        <v>-</v>
      </c>
      <c r="K398" s="445"/>
      <c r="L398" s="221"/>
      <c r="M398" s="100"/>
      <c r="N398" s="100">
        <f>MONTH(List346[[#This Row],[Tanggal Pengajuan]])</f>
        <v>1</v>
      </c>
      <c r="O398" s="183"/>
      <c r="P398" s="105"/>
      <c r="Q398" s="111"/>
      <c r="R398" s="230"/>
      <c r="T398" s="152">
        <f>+List346[[#This Row],[Pengajuan Donasi]]-List346[[#This Row],[Jumlah Transfer]]</f>
        <v>0</v>
      </c>
      <c r="U398" s="152"/>
    </row>
    <row r="399" spans="2:21" ht="30" customHeight="1" x14ac:dyDescent="0.2">
      <c r="B399" s="102"/>
      <c r="C399" s="67"/>
      <c r="D399" s="14"/>
      <c r="E399" s="103"/>
      <c r="F399" s="103"/>
      <c r="G399" s="15">
        <f>IFERROR(+VLOOKUP(D:D,'Data Base P.Asuhan &amp; Jompo'!B:I,7,0),0)</f>
        <v>0</v>
      </c>
      <c r="H399" s="258"/>
      <c r="I399" s="258">
        <f>List346[[#This Row],[Pengajuan Donasi]]</f>
        <v>0</v>
      </c>
      <c r="J399" s="214" t="str">
        <f>IF(List346[[#This Row],[Tanggal Trf]]&gt;0,"Done","-")</f>
        <v>-</v>
      </c>
      <c r="K399" s="445"/>
      <c r="L399" s="221"/>
      <c r="M399" s="100"/>
      <c r="N399" s="100">
        <f>MONTH(List346[[#This Row],[Tanggal Pengajuan]])</f>
        <v>1</v>
      </c>
      <c r="O399" s="183"/>
      <c r="P399" s="105"/>
      <c r="Q399" s="111"/>
      <c r="R399" s="230"/>
      <c r="T399" s="152">
        <f>+List346[[#This Row],[Pengajuan Donasi]]-List346[[#This Row],[Jumlah Transfer]]</f>
        <v>0</v>
      </c>
      <c r="U399" s="152"/>
    </row>
    <row r="400" spans="2:21" ht="30" customHeight="1" x14ac:dyDescent="0.2">
      <c r="B400" s="102"/>
      <c r="C400" s="67"/>
      <c r="D400" s="14"/>
      <c r="E400" s="103"/>
      <c r="F400" s="103"/>
      <c r="G400" s="15">
        <f>IFERROR(+VLOOKUP(D:D,'Data Base P.Asuhan &amp; Jompo'!B:I,7,0),0)</f>
        <v>0</v>
      </c>
      <c r="H400" s="258"/>
      <c r="I400" s="258">
        <f>List346[[#This Row],[Pengajuan Donasi]]</f>
        <v>0</v>
      </c>
      <c r="J400" s="214" t="str">
        <f>IF(List346[[#This Row],[Tanggal Trf]]&gt;0,"Done","-")</f>
        <v>-</v>
      </c>
      <c r="K400" s="445"/>
      <c r="L400" s="221"/>
      <c r="M400" s="100"/>
      <c r="N400" s="100">
        <f>MONTH(List346[[#This Row],[Tanggal Pengajuan]])</f>
        <v>1</v>
      </c>
      <c r="O400" s="183"/>
      <c r="P400" s="105"/>
      <c r="Q400" s="111"/>
      <c r="R400" s="230"/>
      <c r="T400" s="152">
        <f>+List346[[#This Row],[Pengajuan Donasi]]-List346[[#This Row],[Jumlah Transfer]]</f>
        <v>0</v>
      </c>
      <c r="U400" s="152"/>
    </row>
    <row r="401" spans="2:21" ht="30" customHeight="1" x14ac:dyDescent="0.2">
      <c r="B401" s="102"/>
      <c r="C401" s="67"/>
      <c r="D401" s="14"/>
      <c r="E401" s="103"/>
      <c r="F401" s="103"/>
      <c r="G401" s="15">
        <f>IFERROR(+VLOOKUP(D:D,'Data Base P.Asuhan &amp; Jompo'!B:I,7,0),0)</f>
        <v>0</v>
      </c>
      <c r="H401" s="258"/>
      <c r="I401" s="258">
        <f>List346[[#This Row],[Pengajuan Donasi]]</f>
        <v>0</v>
      </c>
      <c r="J401" s="214" t="str">
        <f>IF(List346[[#This Row],[Tanggal Trf]]&gt;0,"Done","-")</f>
        <v>-</v>
      </c>
      <c r="K401" s="445"/>
      <c r="L401" s="221"/>
      <c r="M401" s="100"/>
      <c r="N401" s="100">
        <f>MONTH(List346[[#This Row],[Tanggal Pengajuan]])</f>
        <v>1</v>
      </c>
      <c r="O401" s="183"/>
      <c r="P401" s="105"/>
      <c r="Q401" s="111"/>
      <c r="R401" s="230"/>
      <c r="T401" s="152">
        <f>+List346[[#This Row],[Pengajuan Donasi]]-List346[[#This Row],[Jumlah Transfer]]</f>
        <v>0</v>
      </c>
      <c r="U401" s="152"/>
    </row>
    <row r="402" spans="2:21" ht="30" customHeight="1" x14ac:dyDescent="0.2">
      <c r="B402" s="102"/>
      <c r="C402" s="67"/>
      <c r="D402" s="14"/>
      <c r="E402" s="103"/>
      <c r="F402" s="103"/>
      <c r="G402" s="15">
        <f>IFERROR(+VLOOKUP(D:D,'Data Base P.Asuhan &amp; Jompo'!B:I,7,0),0)</f>
        <v>0</v>
      </c>
      <c r="H402" s="258"/>
      <c r="I402" s="258">
        <f>List346[[#This Row],[Pengajuan Donasi]]</f>
        <v>0</v>
      </c>
      <c r="J402" s="214" t="str">
        <f>IF(List346[[#This Row],[Tanggal Trf]]&gt;0,"Done","-")</f>
        <v>-</v>
      </c>
      <c r="K402" s="445"/>
      <c r="L402" s="221"/>
      <c r="M402" s="100"/>
      <c r="N402" s="100">
        <f>MONTH(List346[[#This Row],[Tanggal Pengajuan]])</f>
        <v>1</v>
      </c>
      <c r="O402" s="183"/>
      <c r="P402" s="105"/>
      <c r="Q402" s="111"/>
      <c r="R402" s="230"/>
      <c r="T402" s="152">
        <f>+List346[[#This Row],[Pengajuan Donasi]]-List346[[#This Row],[Jumlah Transfer]]</f>
        <v>0</v>
      </c>
      <c r="U402" s="152"/>
    </row>
    <row r="403" spans="2:21" ht="30" customHeight="1" x14ac:dyDescent="0.2">
      <c r="B403" s="102"/>
      <c r="C403" s="67"/>
      <c r="D403" s="14"/>
      <c r="E403" s="103"/>
      <c r="F403" s="103"/>
      <c r="G403" s="15">
        <f>IFERROR(+VLOOKUP(D:D,'Data Base P.Asuhan &amp; Jompo'!B:I,7,0),0)</f>
        <v>0</v>
      </c>
      <c r="H403" s="258"/>
      <c r="I403" s="258">
        <f>List346[[#This Row],[Pengajuan Donasi]]</f>
        <v>0</v>
      </c>
      <c r="J403" s="214" t="str">
        <f>IF(List346[[#This Row],[Tanggal Trf]]&gt;0,"Done","-")</f>
        <v>-</v>
      </c>
      <c r="K403" s="445"/>
      <c r="L403" s="221"/>
      <c r="M403" s="100"/>
      <c r="N403" s="100">
        <f>MONTH(List346[[#This Row],[Tanggal Pengajuan]])</f>
        <v>1</v>
      </c>
      <c r="O403" s="183"/>
      <c r="P403" s="105"/>
      <c r="Q403" s="154"/>
      <c r="R403" s="230"/>
      <c r="T403" s="152">
        <f>+List346[[#This Row],[Pengajuan Donasi]]-List346[[#This Row],[Jumlah Transfer]]</f>
        <v>0</v>
      </c>
      <c r="U403" s="152"/>
    </row>
    <row r="404" spans="2:21" ht="30" customHeight="1" x14ac:dyDescent="0.2">
      <c r="B404" s="102"/>
      <c r="C404" s="67"/>
      <c r="D404" s="14"/>
      <c r="E404" s="103"/>
      <c r="F404" s="103"/>
      <c r="G404" s="15">
        <f>IFERROR(+VLOOKUP(D:D,'Data Base P.Asuhan &amp; Jompo'!B:I,7,0),0)</f>
        <v>0</v>
      </c>
      <c r="H404" s="258"/>
      <c r="I404" s="258">
        <f>List346[[#This Row],[Pengajuan Donasi]]</f>
        <v>0</v>
      </c>
      <c r="J404" s="214" t="str">
        <f>IF(List346[[#This Row],[Tanggal Trf]]&gt;0,"Done","-")</f>
        <v>-</v>
      </c>
      <c r="K404" s="445"/>
      <c r="L404" s="221"/>
      <c r="M404" s="100"/>
      <c r="N404" s="100">
        <f>MONTH(List346[[#This Row],[Tanggal Pengajuan]])</f>
        <v>1</v>
      </c>
      <c r="O404" s="183"/>
      <c r="P404" s="105"/>
      <c r="Q404" s="111"/>
      <c r="R404" s="230"/>
      <c r="T404" s="152">
        <f>+List346[[#This Row],[Pengajuan Donasi]]-List346[[#This Row],[Jumlah Transfer]]</f>
        <v>0</v>
      </c>
      <c r="U404" s="152"/>
    </row>
    <row r="405" spans="2:21" ht="30" customHeight="1" x14ac:dyDescent="0.2">
      <c r="B405" s="102"/>
      <c r="C405" s="67"/>
      <c r="D405" s="14"/>
      <c r="E405" s="103"/>
      <c r="F405" s="103"/>
      <c r="G405" s="15">
        <f>IFERROR(+VLOOKUP(D:D,'Data Base P.Asuhan &amp; Jompo'!B:I,7,0),0)</f>
        <v>0</v>
      </c>
      <c r="H405" s="258"/>
      <c r="I405" s="258">
        <f>List346[[#This Row],[Pengajuan Donasi]]</f>
        <v>0</v>
      </c>
      <c r="J405" s="214" t="str">
        <f>IF(List346[[#This Row],[Tanggal Trf]]&gt;0,"Done","-")</f>
        <v>-</v>
      </c>
      <c r="K405" s="445"/>
      <c r="L405" s="221"/>
      <c r="M405" s="100"/>
      <c r="N405" s="100">
        <f>MONTH(List346[[#This Row],[Tanggal Pengajuan]])</f>
        <v>1</v>
      </c>
      <c r="O405" s="183"/>
      <c r="P405" s="105"/>
      <c r="Q405" s="111"/>
      <c r="R405" s="230"/>
      <c r="T405" s="152">
        <f>+List346[[#This Row],[Pengajuan Donasi]]-List346[[#This Row],[Jumlah Transfer]]</f>
        <v>0</v>
      </c>
      <c r="U405" s="152"/>
    </row>
    <row r="406" spans="2:21" ht="30" customHeight="1" x14ac:dyDescent="0.2">
      <c r="B406" s="102"/>
      <c r="C406" s="67"/>
      <c r="D406" s="14"/>
      <c r="E406" s="103"/>
      <c r="F406" s="103"/>
      <c r="G406" s="15">
        <f>IFERROR(+VLOOKUP(D:D,'Data Base P.Asuhan &amp; Jompo'!B:I,7,0),0)</f>
        <v>0</v>
      </c>
      <c r="H406" s="258"/>
      <c r="I406" s="258">
        <f>List346[[#This Row],[Pengajuan Donasi]]</f>
        <v>0</v>
      </c>
      <c r="J406" s="214" t="str">
        <f>IF(List346[[#This Row],[Tanggal Trf]]&gt;0,"Done","-")</f>
        <v>-</v>
      </c>
      <c r="K406" s="445"/>
      <c r="L406" s="221"/>
      <c r="M406" s="100"/>
      <c r="N406" s="100">
        <f>MONTH(List346[[#This Row],[Tanggal Pengajuan]])</f>
        <v>1</v>
      </c>
      <c r="O406" s="183"/>
      <c r="P406" s="105"/>
      <c r="Q406" s="111"/>
      <c r="R406" s="230"/>
      <c r="T406" s="152">
        <f>+List346[[#This Row],[Pengajuan Donasi]]-List346[[#This Row],[Jumlah Transfer]]</f>
        <v>0</v>
      </c>
      <c r="U406" s="152"/>
    </row>
    <row r="407" spans="2:21" ht="30" customHeight="1" x14ac:dyDescent="0.2">
      <c r="B407" s="102"/>
      <c r="C407" s="67"/>
      <c r="D407" s="14"/>
      <c r="E407" s="103"/>
      <c r="F407" s="103"/>
      <c r="G407" s="15">
        <f>IFERROR(+VLOOKUP(D:D,'Data Base P.Asuhan &amp; Jompo'!B:I,7,0),0)</f>
        <v>0</v>
      </c>
      <c r="H407" s="258"/>
      <c r="I407" s="258">
        <f>List346[[#This Row],[Pengajuan Donasi]]</f>
        <v>0</v>
      </c>
      <c r="J407" s="214" t="str">
        <f>IF(List346[[#This Row],[Tanggal Trf]]&gt;0,"Done","-")</f>
        <v>-</v>
      </c>
      <c r="K407" s="445"/>
      <c r="L407" s="221"/>
      <c r="M407" s="100"/>
      <c r="N407" s="100">
        <f>MONTH(List346[[#This Row],[Tanggal Pengajuan]])</f>
        <v>1</v>
      </c>
      <c r="O407" s="183"/>
      <c r="P407" s="105"/>
      <c r="Q407" s="111"/>
      <c r="R407" s="230"/>
      <c r="T407" s="152">
        <f>+List346[[#This Row],[Pengajuan Donasi]]-List346[[#This Row],[Jumlah Transfer]]</f>
        <v>0</v>
      </c>
      <c r="U407" s="152"/>
    </row>
    <row r="408" spans="2:21" ht="30" customHeight="1" x14ac:dyDescent="0.2">
      <c r="B408" s="102"/>
      <c r="C408" s="67"/>
      <c r="D408" s="14"/>
      <c r="E408" s="103"/>
      <c r="F408" s="103"/>
      <c r="G408" s="15">
        <f>IFERROR(+VLOOKUP(D:D,'Data Base P.Asuhan &amp; Jompo'!B:I,7,0),0)</f>
        <v>0</v>
      </c>
      <c r="H408" s="258"/>
      <c r="I408" s="258">
        <f>List346[[#This Row],[Pengajuan Donasi]]</f>
        <v>0</v>
      </c>
      <c r="J408" s="213" t="str">
        <f>IF(List346[[#This Row],[Tanggal Trf]]&gt;0,"Done","-")</f>
        <v>-</v>
      </c>
      <c r="K408" s="445"/>
      <c r="L408" s="221"/>
      <c r="M408" s="100"/>
      <c r="N408" s="100">
        <f>MONTH(List346[[#This Row],[Tanggal Pengajuan]])</f>
        <v>1</v>
      </c>
      <c r="O408" s="183"/>
      <c r="P408" s="105"/>
      <c r="Q408" s="111"/>
      <c r="R408" s="230"/>
      <c r="T408" s="152">
        <f>+List346[[#This Row],[Pengajuan Donasi]]-List346[[#This Row],[Jumlah Transfer]]</f>
        <v>0</v>
      </c>
      <c r="U408" s="152"/>
    </row>
    <row r="409" spans="2:21" ht="30" customHeight="1" x14ac:dyDescent="0.2">
      <c r="B409" s="102"/>
      <c r="C409" s="67"/>
      <c r="D409" s="14"/>
      <c r="E409" s="103"/>
      <c r="F409" s="103"/>
      <c r="G409" s="15">
        <f>IFERROR(+VLOOKUP(D:D,'Data Base P.Asuhan &amp; Jompo'!B:I,7,0),0)</f>
        <v>0</v>
      </c>
      <c r="H409" s="258"/>
      <c r="I409" s="258">
        <f>List346[[#This Row],[Pengajuan Donasi]]</f>
        <v>0</v>
      </c>
      <c r="J409" s="213" t="str">
        <f>IF(List346[[#This Row],[Tanggal Trf]]&gt;0,"Done","-")</f>
        <v>-</v>
      </c>
      <c r="K409" s="445"/>
      <c r="L409" s="221"/>
      <c r="M409" s="100"/>
      <c r="N409" s="100">
        <f>MONTH(List346[[#This Row],[Tanggal Pengajuan]])</f>
        <v>1</v>
      </c>
      <c r="O409" s="183"/>
      <c r="P409" s="105"/>
      <c r="Q409" s="111"/>
      <c r="R409" s="230"/>
      <c r="T409" s="152">
        <f>+List346[[#This Row],[Pengajuan Donasi]]-List346[[#This Row],[Jumlah Transfer]]</f>
        <v>0</v>
      </c>
      <c r="U409" s="152"/>
    </row>
    <row r="410" spans="2:21" ht="30" customHeight="1" x14ac:dyDescent="0.2">
      <c r="B410" s="102"/>
      <c r="C410" s="67"/>
      <c r="D410" s="14"/>
      <c r="E410" s="103"/>
      <c r="F410" s="103"/>
      <c r="G410" s="15">
        <f>IFERROR(+VLOOKUP(D:D,'Data Base P.Asuhan &amp; Jompo'!B:I,7,0),0)</f>
        <v>0</v>
      </c>
      <c r="H410" s="258"/>
      <c r="I410" s="258">
        <f>List346[[#This Row],[Pengajuan Donasi]]</f>
        <v>0</v>
      </c>
      <c r="J410" s="213" t="str">
        <f>IF(List346[[#This Row],[Tanggal Trf]]&gt;0,"Done","-")</f>
        <v>-</v>
      </c>
      <c r="K410" s="445"/>
      <c r="L410" s="221"/>
      <c r="M410" s="100"/>
      <c r="N410" s="100">
        <f>MONTH(List346[[#This Row],[Tanggal Pengajuan]])</f>
        <v>1</v>
      </c>
      <c r="O410" s="183"/>
      <c r="P410" s="105"/>
      <c r="Q410" s="111"/>
      <c r="R410" s="230"/>
      <c r="T410" s="152">
        <f>+List346[[#This Row],[Pengajuan Donasi]]-List346[[#This Row],[Jumlah Transfer]]</f>
        <v>0</v>
      </c>
      <c r="U410" s="152"/>
    </row>
    <row r="411" spans="2:21" ht="30" customHeight="1" x14ac:dyDescent="0.2">
      <c r="B411" s="102"/>
      <c r="C411" s="67"/>
      <c r="D411" s="14"/>
      <c r="E411" s="103"/>
      <c r="F411" s="103"/>
      <c r="G411" s="15">
        <f>IFERROR(+VLOOKUP(D:D,'Data Base P.Asuhan &amp; Jompo'!B:I,7,0),0)</f>
        <v>0</v>
      </c>
      <c r="H411" s="258"/>
      <c r="I411" s="258">
        <f>List346[[#This Row],[Pengajuan Donasi]]</f>
        <v>0</v>
      </c>
      <c r="J411" s="213" t="str">
        <f>IF(List346[[#This Row],[Tanggal Trf]]&gt;0,"Done","-")</f>
        <v>-</v>
      </c>
      <c r="K411" s="445"/>
      <c r="L411" s="221"/>
      <c r="M411" s="100"/>
      <c r="N411" s="100">
        <f>MONTH(List346[[#This Row],[Tanggal Pengajuan]])</f>
        <v>1</v>
      </c>
      <c r="O411" s="183"/>
      <c r="P411" s="105"/>
      <c r="Q411" s="111"/>
      <c r="R411" s="230"/>
      <c r="T411" s="152">
        <f>+List346[[#This Row],[Pengajuan Donasi]]-List346[[#This Row],[Jumlah Transfer]]</f>
        <v>0</v>
      </c>
      <c r="U411" s="152"/>
    </row>
    <row r="412" spans="2:21" ht="30" customHeight="1" x14ac:dyDescent="0.2">
      <c r="B412" s="102"/>
      <c r="C412" s="67"/>
      <c r="D412" s="14"/>
      <c r="E412" s="103"/>
      <c r="F412" s="103"/>
      <c r="G412" s="15">
        <f>IFERROR(+VLOOKUP(D:D,'Data Base P.Asuhan &amp; Jompo'!B:I,7,0),0)</f>
        <v>0</v>
      </c>
      <c r="H412" s="258"/>
      <c r="I412" s="258">
        <f>List346[[#This Row],[Pengajuan Donasi]]</f>
        <v>0</v>
      </c>
      <c r="J412" s="213" t="str">
        <f>IF(List346[[#This Row],[Tanggal Trf]]&gt;0,"Done","-")</f>
        <v>-</v>
      </c>
      <c r="K412" s="445"/>
      <c r="L412" s="221"/>
      <c r="M412" s="100"/>
      <c r="N412" s="100">
        <f>MONTH(List346[[#This Row],[Tanggal Pengajuan]])</f>
        <v>1</v>
      </c>
      <c r="O412" s="183"/>
      <c r="P412" s="105"/>
      <c r="Q412" s="111"/>
      <c r="R412" s="230"/>
      <c r="T412" s="152">
        <f>+List346[[#This Row],[Pengajuan Donasi]]-List346[[#This Row],[Jumlah Transfer]]</f>
        <v>0</v>
      </c>
      <c r="U412" s="152"/>
    </row>
    <row r="413" spans="2:21" ht="30" customHeight="1" x14ac:dyDescent="0.2">
      <c r="B413" s="102"/>
      <c r="C413" s="67"/>
      <c r="D413" s="14"/>
      <c r="E413" s="103"/>
      <c r="F413" s="103"/>
      <c r="G413" s="15">
        <f>IFERROR(+VLOOKUP(D:D,'Data Base P.Asuhan &amp; Jompo'!B:I,7,0),0)</f>
        <v>0</v>
      </c>
      <c r="H413" s="258"/>
      <c r="I413" s="258">
        <f>List346[[#This Row],[Pengajuan Donasi]]</f>
        <v>0</v>
      </c>
      <c r="J413" s="213" t="str">
        <f>IF(List346[[#This Row],[Tanggal Trf]]&gt;0,"Done","-")</f>
        <v>-</v>
      </c>
      <c r="K413" s="445"/>
      <c r="L413" s="221"/>
      <c r="M413" s="100"/>
      <c r="N413" s="100">
        <f>MONTH(List346[[#This Row],[Tanggal Pengajuan]])</f>
        <v>1</v>
      </c>
      <c r="O413" s="183"/>
      <c r="P413" s="105"/>
      <c r="Q413" s="111"/>
      <c r="R413" s="230"/>
      <c r="T413" s="152">
        <f>+List346[[#This Row],[Pengajuan Donasi]]-List346[[#This Row],[Jumlah Transfer]]</f>
        <v>0</v>
      </c>
      <c r="U413" s="152"/>
    </row>
    <row r="414" spans="2:21" ht="30" customHeight="1" x14ac:dyDescent="0.2">
      <c r="B414" s="102"/>
      <c r="C414" s="67"/>
      <c r="D414" s="14"/>
      <c r="E414" s="103"/>
      <c r="F414" s="103"/>
      <c r="G414" s="15">
        <f>IFERROR(+VLOOKUP(D:D,'Data Base P.Asuhan &amp; Jompo'!B:I,7,0),0)</f>
        <v>0</v>
      </c>
      <c r="H414" s="258"/>
      <c r="I414" s="258">
        <f>List346[[#This Row],[Pengajuan Donasi]]</f>
        <v>0</v>
      </c>
      <c r="J414" s="213" t="str">
        <f>IF(List346[[#This Row],[Tanggal Trf]]&gt;0,"Done","-")</f>
        <v>-</v>
      </c>
      <c r="K414" s="445"/>
      <c r="L414" s="221"/>
      <c r="M414" s="100"/>
      <c r="N414" s="100">
        <f>MONTH(List346[[#This Row],[Tanggal Pengajuan]])</f>
        <v>1</v>
      </c>
      <c r="O414" s="183"/>
      <c r="P414" s="105"/>
      <c r="Q414" s="111"/>
      <c r="R414" s="230"/>
      <c r="T414" s="152">
        <f>+List346[[#This Row],[Pengajuan Donasi]]-List346[[#This Row],[Jumlah Transfer]]</f>
        <v>0</v>
      </c>
      <c r="U414" s="152"/>
    </row>
    <row r="415" spans="2:21" ht="30" customHeight="1" x14ac:dyDescent="0.2">
      <c r="B415" s="13"/>
      <c r="C415" s="994"/>
      <c r="D415" s="14"/>
      <c r="E415" s="14"/>
      <c r="F415" s="14"/>
      <c r="G415" s="15">
        <f>IFERROR(+VLOOKUP(D:D,'Data Base P.Asuhan &amp; Jompo'!B:I,7,0),0)</f>
        <v>0</v>
      </c>
      <c r="H415" s="377"/>
      <c r="I415" s="258">
        <f>List346[[#This Row],[Pengajuan Donasi]]</f>
        <v>0</v>
      </c>
      <c r="J415" s="214" t="str">
        <f>IF(List346[[#This Row],[Tanggal Trf]]&gt;0,"Done","-")</f>
        <v>-</v>
      </c>
      <c r="K415" s="437"/>
      <c r="L415" s="221"/>
      <c r="M415" s="66"/>
      <c r="N415" s="100">
        <f>MONTH(List346[[#This Row],[Tanggal Pengajuan]])</f>
        <v>1</v>
      </c>
      <c r="O415" s="183"/>
      <c r="P415" s="100"/>
      <c r="Q415" s="111"/>
      <c r="R415" s="230"/>
      <c r="T415" s="152">
        <f>+List346[[#This Row],[Pengajuan Donasi]]-List346[[#This Row],[Jumlah Transfer]]</f>
        <v>0</v>
      </c>
      <c r="U415" s="152"/>
    </row>
    <row r="416" spans="2:21" ht="30" customHeight="1" x14ac:dyDescent="0.2">
      <c r="B416" s="13"/>
      <c r="C416" s="67"/>
      <c r="D416" s="14"/>
      <c r="E416" s="14"/>
      <c r="F416" s="14"/>
      <c r="G416" s="15">
        <f>IFERROR(+VLOOKUP(D:D,'Data Base P.Asuhan &amp; Jompo'!B:I,7,0),0)</f>
        <v>0</v>
      </c>
      <c r="H416" s="380"/>
      <c r="I416" s="258">
        <f>List346[[#This Row],[Pengajuan Donasi]]</f>
        <v>0</v>
      </c>
      <c r="J416" s="214" t="str">
        <f>IF(List346[[#This Row],[Tanggal Trf]]&gt;0,"Done","-")</f>
        <v>-</v>
      </c>
      <c r="K416" s="437"/>
      <c r="L416" s="221"/>
      <c r="M416" s="992"/>
      <c r="N416" s="100">
        <f>MONTH(List346[[#This Row],[Tanggal Pengajuan]])</f>
        <v>1</v>
      </c>
      <c r="O416" s="183"/>
      <c r="P416" s="100"/>
      <c r="Q416" s="111"/>
      <c r="R416" s="230"/>
      <c r="T416" s="152">
        <f>+List346[[#This Row],[Pengajuan Donasi]]-List346[[#This Row],[Jumlah Transfer]]</f>
        <v>0</v>
      </c>
      <c r="U416" s="152"/>
    </row>
    <row r="417" spans="2:21" ht="30" customHeight="1" x14ac:dyDescent="0.2">
      <c r="B417" s="13"/>
      <c r="C417" s="67"/>
      <c r="D417" s="14"/>
      <c r="E417" s="14"/>
      <c r="F417" s="14"/>
      <c r="G417" s="15">
        <f>IFERROR(+VLOOKUP(D:D,'Data Base P.Asuhan &amp; Jompo'!B:I,7,0),0)</f>
        <v>0</v>
      </c>
      <c r="H417" s="377"/>
      <c r="I417" s="258">
        <f>List346[[#This Row],[Pengajuan Donasi]]</f>
        <v>0</v>
      </c>
      <c r="J417" s="214" t="str">
        <f>IF(List346[[#This Row],[Tanggal Trf]]&gt;0,"Done","-")</f>
        <v>-</v>
      </c>
      <c r="K417" s="437"/>
      <c r="L417" s="221"/>
      <c r="M417" s="14"/>
      <c r="N417" s="100">
        <f>MONTH(List346[[#This Row],[Tanggal Pengajuan]])</f>
        <v>1</v>
      </c>
      <c r="O417" s="183"/>
      <c r="P417" s="100"/>
      <c r="Q417" s="111"/>
      <c r="R417" s="230"/>
      <c r="T417" s="152">
        <f>+List346[[#This Row],[Pengajuan Donasi]]-List346[[#This Row],[Jumlah Transfer]]</f>
        <v>0</v>
      </c>
      <c r="U417" s="152"/>
    </row>
    <row r="418" spans="2:21" ht="30" customHeight="1" x14ac:dyDescent="0.2">
      <c r="B418" s="13"/>
      <c r="C418" s="67"/>
      <c r="D418" s="14"/>
      <c r="E418" s="14"/>
      <c r="F418" s="14"/>
      <c r="G418" s="15">
        <f>IFERROR(+VLOOKUP(D:D,'Data Base P.Asuhan &amp; Jompo'!B:I,7,0),0)</f>
        <v>0</v>
      </c>
      <c r="H418" s="380"/>
      <c r="I418" s="258">
        <f>List346[[#This Row],[Pengajuan Donasi]]</f>
        <v>0</v>
      </c>
      <c r="J418" s="214" t="str">
        <f>IF(List346[[#This Row],[Tanggal Trf]]&gt;0,"Done","-")</f>
        <v>-</v>
      </c>
      <c r="K418" s="437"/>
      <c r="L418" s="221"/>
      <c r="M418" s="992"/>
      <c r="N418" s="100">
        <f>MONTH(List346[[#This Row],[Tanggal Pengajuan]])</f>
        <v>1</v>
      </c>
      <c r="O418" s="183"/>
      <c r="P418" s="100"/>
      <c r="Q418" s="111"/>
      <c r="R418" s="230"/>
      <c r="T418" s="152">
        <f>+List346[[#This Row],[Pengajuan Donasi]]-List346[[#This Row],[Jumlah Transfer]]</f>
        <v>0</v>
      </c>
      <c r="U418" s="152"/>
    </row>
    <row r="419" spans="2:21" ht="30" customHeight="1" x14ac:dyDescent="0.2">
      <c r="B419" s="13"/>
      <c r="C419" s="67"/>
      <c r="D419" s="14"/>
      <c r="E419" s="14"/>
      <c r="F419" s="14"/>
      <c r="G419" s="15">
        <f>IFERROR(+VLOOKUP(D:D,'Data Base P.Asuhan &amp; Jompo'!B:I,7,0),0)</f>
        <v>0</v>
      </c>
      <c r="H419" s="377"/>
      <c r="I419" s="258">
        <f>List346[[#This Row],[Pengajuan Donasi]]</f>
        <v>0</v>
      </c>
      <c r="J419" s="214" t="str">
        <f>IF(List346[[#This Row],[Tanggal Trf]]&gt;0,"Done","-")</f>
        <v>-</v>
      </c>
      <c r="K419" s="437"/>
      <c r="L419" s="221"/>
      <c r="M419" s="14"/>
      <c r="N419" s="100">
        <f>MONTH(List346[[#This Row],[Tanggal Pengajuan]])</f>
        <v>1</v>
      </c>
      <c r="O419" s="183"/>
      <c r="P419" s="100"/>
      <c r="Q419" s="111"/>
      <c r="R419" s="230"/>
      <c r="T419" s="152">
        <f>+List346[[#This Row],[Pengajuan Donasi]]-List346[[#This Row],[Jumlah Transfer]]</f>
        <v>0</v>
      </c>
      <c r="U419" s="152"/>
    </row>
    <row r="420" spans="2:21" ht="30" customHeight="1" x14ac:dyDescent="0.2">
      <c r="B420" s="13"/>
      <c r="C420" s="67"/>
      <c r="D420" s="14"/>
      <c r="E420" s="14"/>
      <c r="F420" s="14"/>
      <c r="G420" s="15">
        <f>IFERROR(+VLOOKUP(D:D,'Data Base P.Asuhan &amp; Jompo'!B:I,7,0),0)</f>
        <v>0</v>
      </c>
      <c r="H420" s="380"/>
      <c r="I420" s="258">
        <f>List346[[#This Row],[Pengajuan Donasi]]</f>
        <v>0</v>
      </c>
      <c r="J420" s="214" t="str">
        <f>IF(List346[[#This Row],[Tanggal Trf]]&gt;0,"Done","-")</f>
        <v>-</v>
      </c>
      <c r="K420" s="437"/>
      <c r="L420" s="221"/>
      <c r="M420" s="992"/>
      <c r="N420" s="100">
        <f>MONTH(List346[[#This Row],[Tanggal Pengajuan]])</f>
        <v>1</v>
      </c>
      <c r="O420" s="183"/>
      <c r="P420" s="100"/>
      <c r="Q420" s="111"/>
      <c r="R420" s="230"/>
      <c r="T420" s="152">
        <f>+List346[[#This Row],[Pengajuan Donasi]]-List346[[#This Row],[Jumlah Transfer]]</f>
        <v>0</v>
      </c>
      <c r="U420" s="152"/>
    </row>
    <row r="421" spans="2:21" ht="30" customHeight="1" x14ac:dyDescent="0.2">
      <c r="B421" s="13"/>
      <c r="C421" s="67"/>
      <c r="D421" s="14"/>
      <c r="E421" s="14"/>
      <c r="F421" s="14"/>
      <c r="G421" s="15">
        <f>IFERROR(+VLOOKUP(D:D,'Data Base P.Asuhan &amp; Jompo'!B:I,7,0),0)</f>
        <v>0</v>
      </c>
      <c r="H421" s="377"/>
      <c r="I421" s="258">
        <f>List346[[#This Row],[Pengajuan Donasi]]</f>
        <v>0</v>
      </c>
      <c r="J421" s="214" t="str">
        <f>IF(List346[[#This Row],[Tanggal Trf]]&gt;0,"Done","-")</f>
        <v>-</v>
      </c>
      <c r="K421" s="437"/>
      <c r="L421" s="221"/>
      <c r="M421" s="14"/>
      <c r="N421" s="100">
        <f>MONTH(List346[[#This Row],[Tanggal Pengajuan]])</f>
        <v>1</v>
      </c>
      <c r="O421" s="183"/>
      <c r="P421" s="100"/>
      <c r="Q421" s="111"/>
      <c r="R421" s="230"/>
      <c r="T421" s="152">
        <f>+List346[[#This Row],[Pengajuan Donasi]]-List346[[#This Row],[Jumlah Transfer]]</f>
        <v>0</v>
      </c>
      <c r="U421" s="152"/>
    </row>
    <row r="422" spans="2:21" ht="30" customHeight="1" x14ac:dyDescent="0.2">
      <c r="B422" s="13"/>
      <c r="C422" s="67"/>
      <c r="D422" s="14"/>
      <c r="E422" s="14"/>
      <c r="F422" s="14"/>
      <c r="G422" s="15">
        <f>IFERROR(+VLOOKUP(D:D,'Data Base P.Asuhan &amp; Jompo'!B:I,7,0),0)</f>
        <v>0</v>
      </c>
      <c r="H422" s="380"/>
      <c r="I422" s="258">
        <f>List346[[#This Row],[Pengajuan Donasi]]</f>
        <v>0</v>
      </c>
      <c r="J422" s="214" t="str">
        <f>IF(List346[[#This Row],[Tanggal Trf]]&gt;0,"Done","-")</f>
        <v>-</v>
      </c>
      <c r="K422" s="437"/>
      <c r="L422" s="221"/>
      <c r="M422" s="992"/>
      <c r="N422" s="100">
        <f>MONTH(List346[[#This Row],[Tanggal Pengajuan]])</f>
        <v>1</v>
      </c>
      <c r="O422" s="183"/>
      <c r="P422" s="100"/>
      <c r="Q422" s="111"/>
      <c r="R422" s="230"/>
      <c r="T422" s="152">
        <f>+List346[[#This Row],[Pengajuan Donasi]]-List346[[#This Row],[Jumlah Transfer]]</f>
        <v>0</v>
      </c>
      <c r="U422" s="152"/>
    </row>
    <row r="423" spans="2:21" ht="30" customHeight="1" x14ac:dyDescent="0.2">
      <c r="B423" s="13"/>
      <c r="C423" s="67"/>
      <c r="D423" s="14"/>
      <c r="E423" s="14"/>
      <c r="F423" s="14"/>
      <c r="G423" s="15">
        <f>IFERROR(+VLOOKUP(D:D,'Data Base P.Asuhan &amp; Jompo'!B:I,7,0),0)</f>
        <v>0</v>
      </c>
      <c r="H423" s="377"/>
      <c r="I423" s="258">
        <f>List346[[#This Row],[Pengajuan Donasi]]</f>
        <v>0</v>
      </c>
      <c r="J423" s="214" t="str">
        <f>IF(List346[[#This Row],[Tanggal Trf]]&gt;0,"Done","-")</f>
        <v>-</v>
      </c>
      <c r="K423" s="437"/>
      <c r="L423" s="221"/>
      <c r="M423" s="14"/>
      <c r="N423" s="100">
        <f>MONTH(List346[[#This Row],[Tanggal Pengajuan]])</f>
        <v>1</v>
      </c>
      <c r="O423" s="183"/>
      <c r="P423" s="100"/>
      <c r="Q423" s="111"/>
      <c r="R423" s="230"/>
      <c r="T423" s="152">
        <f>+List346[[#This Row],[Pengajuan Donasi]]-List346[[#This Row],[Jumlah Transfer]]</f>
        <v>0</v>
      </c>
      <c r="U423" s="152"/>
    </row>
    <row r="424" spans="2:21" ht="30" customHeight="1" x14ac:dyDescent="0.2">
      <c r="B424" s="13"/>
      <c r="C424" s="67"/>
      <c r="D424" s="14"/>
      <c r="E424" s="14"/>
      <c r="F424" s="14"/>
      <c r="G424" s="15">
        <f>IFERROR(+VLOOKUP(D:D,'Data Base P.Asuhan &amp; Jompo'!B:I,7,0),0)</f>
        <v>0</v>
      </c>
      <c r="H424" s="380"/>
      <c r="I424" s="258">
        <f>List346[[#This Row],[Pengajuan Donasi]]</f>
        <v>0</v>
      </c>
      <c r="J424" s="214" t="str">
        <f>IF(List346[[#This Row],[Tanggal Trf]]&gt;0,"Done","-")</f>
        <v>-</v>
      </c>
      <c r="K424" s="437"/>
      <c r="L424" s="221"/>
      <c r="M424" s="992"/>
      <c r="N424" s="100">
        <f>MONTH(List346[[#This Row],[Tanggal Pengajuan]])</f>
        <v>1</v>
      </c>
      <c r="O424" s="183"/>
      <c r="P424" s="100"/>
      <c r="Q424" s="111"/>
      <c r="R424" s="230"/>
      <c r="T424" s="152">
        <f>+List346[[#This Row],[Pengajuan Donasi]]-List346[[#This Row],[Jumlah Transfer]]</f>
        <v>0</v>
      </c>
      <c r="U424" s="152"/>
    </row>
    <row r="425" spans="2:21" ht="30" customHeight="1" x14ac:dyDescent="0.2">
      <c r="B425" s="13"/>
      <c r="C425" s="67"/>
      <c r="D425" s="14"/>
      <c r="E425" s="14"/>
      <c r="F425" s="14"/>
      <c r="G425" s="15">
        <f>IFERROR(+VLOOKUP(D:D,'Data Base P.Asuhan &amp; Jompo'!B:I,7,0),0)</f>
        <v>0</v>
      </c>
      <c r="H425" s="377"/>
      <c r="I425" s="258">
        <f>List346[[#This Row],[Pengajuan Donasi]]</f>
        <v>0</v>
      </c>
      <c r="J425" s="214" t="str">
        <f>IF(List346[[#This Row],[Tanggal Trf]]&gt;0,"Done","-")</f>
        <v>-</v>
      </c>
      <c r="K425" s="437"/>
      <c r="L425" s="221"/>
      <c r="M425" s="14"/>
      <c r="N425" s="100">
        <f>MONTH(List346[[#This Row],[Tanggal Pengajuan]])</f>
        <v>1</v>
      </c>
      <c r="O425" s="183"/>
      <c r="P425" s="100"/>
      <c r="Q425" s="111"/>
      <c r="R425" s="230"/>
      <c r="T425" s="152">
        <f>+List346[[#This Row],[Pengajuan Donasi]]-List346[[#This Row],[Jumlah Transfer]]</f>
        <v>0</v>
      </c>
      <c r="U425" s="152"/>
    </row>
    <row r="426" spans="2:21" ht="30" customHeight="1" x14ac:dyDescent="0.2">
      <c r="B426" s="13"/>
      <c r="C426" s="67"/>
      <c r="D426" s="14"/>
      <c r="E426" s="14"/>
      <c r="F426" s="14"/>
      <c r="G426" s="15">
        <f>IFERROR(+VLOOKUP(D:D,'Data Base P.Asuhan &amp; Jompo'!B:I,7,0),0)</f>
        <v>0</v>
      </c>
      <c r="H426" s="380"/>
      <c r="I426" s="258">
        <f>List346[[#This Row],[Pengajuan Donasi]]</f>
        <v>0</v>
      </c>
      <c r="J426" s="214" t="str">
        <f>IF(List346[[#This Row],[Tanggal Trf]]&gt;0,"Done","-")</f>
        <v>-</v>
      </c>
      <c r="K426" s="437"/>
      <c r="L426" s="221"/>
      <c r="M426" s="992"/>
      <c r="N426" s="100">
        <f>MONTH(List346[[#This Row],[Tanggal Pengajuan]])</f>
        <v>1</v>
      </c>
      <c r="O426" s="183"/>
      <c r="P426" s="100"/>
      <c r="Q426" s="111"/>
      <c r="R426" s="230"/>
      <c r="T426" s="152">
        <f>+List346[[#This Row],[Pengajuan Donasi]]-List346[[#This Row],[Jumlah Transfer]]</f>
        <v>0</v>
      </c>
      <c r="U426" s="152"/>
    </row>
    <row r="427" spans="2:21" ht="30" customHeight="1" x14ac:dyDescent="0.2">
      <c r="B427" s="13"/>
      <c r="C427" s="67"/>
      <c r="D427" s="14"/>
      <c r="E427" s="14"/>
      <c r="F427" s="14"/>
      <c r="G427" s="15">
        <f>IFERROR(+VLOOKUP(D:D,'Data Base P.Asuhan &amp; Jompo'!B:I,7,0),0)</f>
        <v>0</v>
      </c>
      <c r="H427" s="377"/>
      <c r="I427" s="258">
        <f>List346[[#This Row],[Pengajuan Donasi]]</f>
        <v>0</v>
      </c>
      <c r="J427" s="214" t="str">
        <f>IF(List346[[#This Row],[Tanggal Trf]]&gt;0,"Done","-")</f>
        <v>-</v>
      </c>
      <c r="K427" s="437"/>
      <c r="L427" s="221"/>
      <c r="M427" s="18"/>
      <c r="N427" s="100">
        <f>MONTH(List346[[#This Row],[Tanggal Pengajuan]])</f>
        <v>1</v>
      </c>
      <c r="O427" s="183"/>
      <c r="P427" s="100"/>
      <c r="Q427" s="111"/>
      <c r="R427" s="230"/>
      <c r="T427" s="152">
        <f>+List346[[#This Row],[Pengajuan Donasi]]-List346[[#This Row],[Jumlah Transfer]]</f>
        <v>0</v>
      </c>
      <c r="U427" s="152"/>
    </row>
    <row r="428" spans="2:21" ht="30" customHeight="1" x14ac:dyDescent="0.2">
      <c r="B428" s="13"/>
      <c r="C428" s="67"/>
      <c r="D428" s="14"/>
      <c r="E428" s="14"/>
      <c r="F428" s="14"/>
      <c r="G428" s="15">
        <f>IFERROR(+VLOOKUP(D:D,'Data Base P.Asuhan &amp; Jompo'!B:I,7,0),0)</f>
        <v>0</v>
      </c>
      <c r="H428" s="377"/>
      <c r="I428" s="258">
        <f>List346[[#This Row],[Pengajuan Donasi]]</f>
        <v>0</v>
      </c>
      <c r="J428" s="215" t="str">
        <f>IF(List346[[#This Row],[Tanggal Trf]]&gt;0,"Done","-")</f>
        <v>-</v>
      </c>
      <c r="K428" s="438"/>
      <c r="L428" s="221"/>
      <c r="M428" s="20"/>
      <c r="N428" s="20">
        <f>MONTH(List346[[#This Row],[Tanggal Pengajuan]])</f>
        <v>1</v>
      </c>
      <c r="O428" s="183"/>
      <c r="P428" s="100"/>
      <c r="Q428" s="111"/>
      <c r="R428" s="230"/>
      <c r="T428" s="152">
        <f>+List346[[#This Row],[Pengajuan Donasi]]-List346[[#This Row],[Jumlah Transfer]]</f>
        <v>0</v>
      </c>
      <c r="U428" s="152"/>
    </row>
    <row r="429" spans="2:21" ht="30" customHeight="1" x14ac:dyDescent="0.2">
      <c r="B429" s="13"/>
      <c r="C429" s="67"/>
      <c r="D429" s="14"/>
      <c r="E429" s="103"/>
      <c r="F429" s="103"/>
      <c r="G429" s="15">
        <f>IFERROR(+VLOOKUP(D:D,'Data Base P.Asuhan &amp; Jompo'!B:I,7,0),0)</f>
        <v>0</v>
      </c>
      <c r="H429" s="258"/>
      <c r="I429" s="258">
        <f>List346[[#This Row],[Pengajuan Donasi]]</f>
        <v>0</v>
      </c>
      <c r="J429" s="213" t="str">
        <f>IF(List346[[#This Row],[Tanggal Trf]]&gt;0,"Done","-")</f>
        <v>-</v>
      </c>
      <c r="K429" s="437"/>
      <c r="L429" s="221"/>
      <c r="M429" s="100"/>
      <c r="N429" s="100">
        <f>MONTH(List346[[#This Row],[Tanggal Pengajuan]])</f>
        <v>1</v>
      </c>
      <c r="O429" s="183"/>
      <c r="P429" s="100"/>
      <c r="Q429" s="111"/>
      <c r="R429" s="230"/>
      <c r="T429" s="152">
        <f>+List346[[#This Row],[Pengajuan Donasi]]-List346[[#This Row],[Jumlah Transfer]]</f>
        <v>0</v>
      </c>
      <c r="U429" s="152"/>
    </row>
    <row r="430" spans="2:21" ht="30" customHeight="1" x14ac:dyDescent="0.2">
      <c r="B430" s="13"/>
      <c r="C430" s="67"/>
      <c r="D430" s="14"/>
      <c r="E430" s="103"/>
      <c r="F430" s="103"/>
      <c r="G430" s="15">
        <f>IFERROR(+VLOOKUP(D:D,'Data Base P.Asuhan &amp; Jompo'!B:I,7,0),0)</f>
        <v>0</v>
      </c>
      <c r="H430" s="258"/>
      <c r="I430" s="258">
        <f>List346[[#This Row],[Pengajuan Donasi]]</f>
        <v>0</v>
      </c>
      <c r="J430" s="213" t="str">
        <f>IF(List346[[#This Row],[Tanggal Trf]]&gt;0,"Done","-")</f>
        <v>-</v>
      </c>
      <c r="K430" s="437"/>
      <c r="L430" s="221"/>
      <c r="M430" s="100"/>
      <c r="N430" s="100">
        <f>MONTH(List346[[#This Row],[Tanggal Pengajuan]])</f>
        <v>1</v>
      </c>
      <c r="O430" s="183"/>
      <c r="P430" s="100"/>
      <c r="Q430" s="111"/>
      <c r="R430" s="230"/>
      <c r="T430" s="152">
        <f>+List346[[#This Row],[Pengajuan Donasi]]-List346[[#This Row],[Jumlah Transfer]]</f>
        <v>0</v>
      </c>
      <c r="U430" s="152"/>
    </row>
    <row r="431" spans="2:21" ht="30" customHeight="1" x14ac:dyDescent="0.2">
      <c r="B431" s="13"/>
      <c r="C431" s="67"/>
      <c r="D431" s="14"/>
      <c r="E431" s="14"/>
      <c r="F431" s="14"/>
      <c r="G431" s="15">
        <f>IFERROR(+VLOOKUP(D:D,'Data Base P.Asuhan &amp; Jompo'!B:I,7,0),0)</f>
        <v>0</v>
      </c>
      <c r="H431" s="258"/>
      <c r="I431" s="258">
        <f>List346[[#This Row],[Pengajuan Donasi]]</f>
        <v>0</v>
      </c>
      <c r="J431" s="213" t="str">
        <f>IF(List346[[#This Row],[Tanggal Trf]]&gt;0,"Done","-")</f>
        <v>-</v>
      </c>
      <c r="K431" s="437"/>
      <c r="L431" s="221"/>
      <c r="M431" s="14"/>
      <c r="N431" s="100">
        <f>MONTH(List346[[#This Row],[Tanggal Pengajuan]])</f>
        <v>1</v>
      </c>
      <c r="O431" s="183"/>
      <c r="P431" s="100"/>
      <c r="Q431" s="111"/>
      <c r="R431" s="230"/>
      <c r="T431" s="152">
        <f>+List346[[#This Row],[Pengajuan Donasi]]-List346[[#This Row],[Jumlah Transfer]]</f>
        <v>0</v>
      </c>
      <c r="U431" s="152"/>
    </row>
    <row r="432" spans="2:21" ht="30" customHeight="1" x14ac:dyDescent="0.2">
      <c r="B432" s="13"/>
      <c r="C432" s="67"/>
      <c r="D432" s="103"/>
      <c r="E432" s="14"/>
      <c r="F432" s="14"/>
      <c r="G432" s="15">
        <f>IFERROR(+VLOOKUP(D:D,'Data Base P.Asuhan &amp; Jompo'!B:I,7,0),0)</f>
        <v>0</v>
      </c>
      <c r="H432" s="258"/>
      <c r="I432" s="258">
        <f>List346[[#This Row],[Pengajuan Donasi]]</f>
        <v>0</v>
      </c>
      <c r="J432" s="213" t="str">
        <f>IF(List346[[#This Row],[Tanggal Trf]]&gt;0,"Done","-")</f>
        <v>-</v>
      </c>
      <c r="K432" s="437"/>
      <c r="L432" s="221"/>
      <c r="M432" s="100"/>
      <c r="N432" s="100">
        <f>MONTH(List346[[#This Row],[Tanggal Pengajuan]])</f>
        <v>1</v>
      </c>
      <c r="O432" s="221"/>
      <c r="P432" s="100"/>
      <c r="Q432" s="111"/>
      <c r="R432" s="230"/>
      <c r="T432" s="152">
        <f>+List346[[#This Row],[Pengajuan Donasi]]-List346[[#This Row],[Jumlah Transfer]]</f>
        <v>0</v>
      </c>
      <c r="U432" s="152"/>
    </row>
    <row r="433" spans="2:21" ht="30" customHeight="1" x14ac:dyDescent="0.2">
      <c r="B433" s="13"/>
      <c r="C433" s="67"/>
      <c r="D433" s="103"/>
      <c r="E433" s="14"/>
      <c r="F433" s="14"/>
      <c r="G433" s="15">
        <f>IFERROR(+VLOOKUP(D:D,'Data Base P.Asuhan &amp; Jompo'!B:I,7,0),0)</f>
        <v>0</v>
      </c>
      <c r="H433" s="258"/>
      <c r="I433" s="258">
        <f>List346[[#This Row],[Pengajuan Donasi]]</f>
        <v>0</v>
      </c>
      <c r="J433" s="213" t="str">
        <f>IF(List346[[#This Row],[Tanggal Trf]]&gt;0,"Done","-")</f>
        <v>-</v>
      </c>
      <c r="K433" s="437"/>
      <c r="L433" s="221"/>
      <c r="M433" s="100"/>
      <c r="N433" s="100">
        <f>MONTH(List346[[#This Row],[Tanggal Pengajuan]])</f>
        <v>1</v>
      </c>
      <c r="O433" s="221"/>
      <c r="P433" s="100"/>
      <c r="Q433" s="111"/>
      <c r="R433" s="230"/>
      <c r="T433" s="152">
        <f>+List346[[#This Row],[Pengajuan Donasi]]-List346[[#This Row],[Jumlah Transfer]]</f>
        <v>0</v>
      </c>
      <c r="U433" s="152"/>
    </row>
    <row r="434" spans="2:21" ht="30" customHeight="1" x14ac:dyDescent="0.2">
      <c r="B434" s="13"/>
      <c r="C434" s="67"/>
      <c r="D434" s="103"/>
      <c r="E434" s="14"/>
      <c r="F434" s="14"/>
      <c r="G434" s="15">
        <f>IFERROR(+VLOOKUP(D:D,'Data Base P.Asuhan &amp; Jompo'!B:I,7,0),0)</f>
        <v>0</v>
      </c>
      <c r="H434" s="258"/>
      <c r="I434" s="258">
        <f>List346[[#This Row],[Pengajuan Donasi]]</f>
        <v>0</v>
      </c>
      <c r="J434" s="213" t="str">
        <f>IF(List346[[#This Row],[Tanggal Trf]]&gt;0,"Done","-")</f>
        <v>-</v>
      </c>
      <c r="K434" s="437"/>
      <c r="L434" s="221"/>
      <c r="M434" s="100"/>
      <c r="N434" s="100">
        <f>MONTH(List346[[#This Row],[Tanggal Pengajuan]])</f>
        <v>1</v>
      </c>
      <c r="O434" s="221"/>
      <c r="P434" s="100"/>
      <c r="Q434" s="111"/>
      <c r="R434" s="230"/>
      <c r="T434" s="152">
        <f>+List346[[#This Row],[Pengajuan Donasi]]-List346[[#This Row],[Jumlah Transfer]]</f>
        <v>0</v>
      </c>
      <c r="U434" s="152"/>
    </row>
    <row r="435" spans="2:21" ht="30" customHeight="1" x14ac:dyDescent="0.2">
      <c r="B435" s="13"/>
      <c r="C435" s="67"/>
      <c r="D435" s="103"/>
      <c r="E435" s="14"/>
      <c r="F435" s="14"/>
      <c r="G435" s="15">
        <f>IFERROR(+VLOOKUP(D:D,'Data Base P.Asuhan &amp; Jompo'!B:I,7,0),0)</f>
        <v>0</v>
      </c>
      <c r="H435" s="258"/>
      <c r="I435" s="258">
        <f>List346[[#This Row],[Pengajuan Donasi]]</f>
        <v>0</v>
      </c>
      <c r="J435" s="213" t="str">
        <f>IF(List346[[#This Row],[Tanggal Trf]]&gt;0,"Done","-")</f>
        <v>-</v>
      </c>
      <c r="K435" s="437"/>
      <c r="L435" s="221"/>
      <c r="M435" s="100"/>
      <c r="N435" s="100">
        <f>MONTH(List346[[#This Row],[Tanggal Pengajuan]])</f>
        <v>1</v>
      </c>
      <c r="O435" s="221"/>
      <c r="P435" s="100"/>
      <c r="Q435" s="111"/>
      <c r="R435" s="230"/>
      <c r="T435" s="152">
        <f>+List346[[#This Row],[Pengajuan Donasi]]-List346[[#This Row],[Jumlah Transfer]]</f>
        <v>0</v>
      </c>
      <c r="U435" s="152"/>
    </row>
    <row r="436" spans="2:21" ht="30" customHeight="1" x14ac:dyDescent="0.2">
      <c r="B436" s="13"/>
      <c r="C436" s="67"/>
      <c r="D436" s="103"/>
      <c r="E436" s="14"/>
      <c r="F436" s="14"/>
      <c r="G436" s="15">
        <f>IFERROR(+VLOOKUP(D:D,'Data Base P.Asuhan &amp; Jompo'!B:I,7,0),0)</f>
        <v>0</v>
      </c>
      <c r="H436" s="258"/>
      <c r="I436" s="258">
        <f>List346[[#This Row],[Pengajuan Donasi]]</f>
        <v>0</v>
      </c>
      <c r="J436" s="213" t="str">
        <f>IF(List346[[#This Row],[Tanggal Trf]]&gt;0,"Done","-")</f>
        <v>-</v>
      </c>
      <c r="K436" s="437"/>
      <c r="L436" s="221"/>
      <c r="M436" s="100"/>
      <c r="N436" s="100">
        <f>MONTH(List346[[#This Row],[Tanggal Pengajuan]])</f>
        <v>1</v>
      </c>
      <c r="O436" s="221"/>
      <c r="P436" s="100"/>
      <c r="Q436" s="111"/>
      <c r="R436" s="230"/>
      <c r="T436" s="152">
        <f>+List346[[#This Row],[Pengajuan Donasi]]-List346[[#This Row],[Jumlah Transfer]]</f>
        <v>0</v>
      </c>
      <c r="U436" s="152"/>
    </row>
    <row r="437" spans="2:21" ht="30" customHeight="1" x14ac:dyDescent="0.2">
      <c r="B437" s="13"/>
      <c r="C437" s="67"/>
      <c r="D437" s="103"/>
      <c r="E437" s="14"/>
      <c r="F437" s="14"/>
      <c r="G437" s="15">
        <f>IFERROR(+VLOOKUP(D:D,'Data Base P.Asuhan &amp; Jompo'!B:I,7,0),0)</f>
        <v>0</v>
      </c>
      <c r="H437" s="258"/>
      <c r="I437" s="258">
        <f>List346[[#This Row],[Pengajuan Donasi]]</f>
        <v>0</v>
      </c>
      <c r="J437" s="213" t="str">
        <f>IF(List346[[#This Row],[Tanggal Trf]]&gt;0,"Done","-")</f>
        <v>-</v>
      </c>
      <c r="K437" s="437"/>
      <c r="L437" s="221"/>
      <c r="M437" s="100"/>
      <c r="N437" s="100">
        <f>MONTH(List346[[#This Row],[Tanggal Pengajuan]])</f>
        <v>1</v>
      </c>
      <c r="O437" s="221"/>
      <c r="P437" s="100"/>
      <c r="Q437" s="111"/>
      <c r="R437" s="230"/>
      <c r="T437" s="152">
        <f>+List346[[#This Row],[Pengajuan Donasi]]-List346[[#This Row],[Jumlah Transfer]]</f>
        <v>0</v>
      </c>
      <c r="U437" s="152"/>
    </row>
    <row r="438" spans="2:21" ht="30" customHeight="1" x14ac:dyDescent="0.2">
      <c r="B438" s="13"/>
      <c r="C438" s="67"/>
      <c r="D438" s="103"/>
      <c r="E438" s="14"/>
      <c r="F438" s="14"/>
      <c r="G438" s="15">
        <f>IFERROR(+VLOOKUP(D:D,'Data Base P.Asuhan &amp; Jompo'!B:I,7,0),0)</f>
        <v>0</v>
      </c>
      <c r="H438" s="258"/>
      <c r="I438" s="258">
        <f>List346[[#This Row],[Pengajuan Donasi]]</f>
        <v>0</v>
      </c>
      <c r="J438" s="213" t="str">
        <f>IF(List346[[#This Row],[Tanggal Trf]]&gt;0,"Done","-")</f>
        <v>-</v>
      </c>
      <c r="K438" s="437"/>
      <c r="L438" s="221"/>
      <c r="M438" s="100"/>
      <c r="N438" s="100">
        <f>MONTH(List346[[#This Row],[Tanggal Pengajuan]])</f>
        <v>1</v>
      </c>
      <c r="O438" s="221"/>
      <c r="P438" s="100"/>
      <c r="Q438" s="111"/>
      <c r="R438" s="230"/>
      <c r="T438" s="152">
        <f>+List346[[#This Row],[Pengajuan Donasi]]-List346[[#This Row],[Jumlah Transfer]]</f>
        <v>0</v>
      </c>
      <c r="U438" s="152"/>
    </row>
    <row r="439" spans="2:21" ht="30" customHeight="1" x14ac:dyDescent="0.2">
      <c r="B439" s="13"/>
      <c r="C439" s="67"/>
      <c r="D439" s="103"/>
      <c r="E439" s="14"/>
      <c r="F439" s="14"/>
      <c r="G439" s="15">
        <f>IFERROR(+VLOOKUP(D:D,'Data Base P.Asuhan &amp; Jompo'!B:I,7,0),0)</f>
        <v>0</v>
      </c>
      <c r="H439" s="258"/>
      <c r="I439" s="258">
        <f>List346[[#This Row],[Pengajuan Donasi]]</f>
        <v>0</v>
      </c>
      <c r="J439" s="213" t="str">
        <f>IF(List346[[#This Row],[Tanggal Trf]]&gt;0,"Done","-")</f>
        <v>-</v>
      </c>
      <c r="K439" s="437"/>
      <c r="L439" s="221"/>
      <c r="M439" s="100"/>
      <c r="N439" s="100">
        <f>MONTH(List346[[#This Row],[Tanggal Pengajuan]])</f>
        <v>1</v>
      </c>
      <c r="O439" s="221"/>
      <c r="P439" s="100"/>
      <c r="Q439" s="111"/>
      <c r="R439" s="230"/>
      <c r="T439" s="152">
        <f>+List346[[#This Row],[Pengajuan Donasi]]-List346[[#This Row],[Jumlah Transfer]]</f>
        <v>0</v>
      </c>
      <c r="U439" s="152"/>
    </row>
    <row r="440" spans="2:21" ht="30" customHeight="1" x14ac:dyDescent="0.2">
      <c r="B440" s="13"/>
      <c r="C440" s="67"/>
      <c r="D440" s="103"/>
      <c r="E440" s="14"/>
      <c r="F440" s="14"/>
      <c r="G440" s="15">
        <f>IFERROR(+VLOOKUP(D:D,'Data Base P.Asuhan &amp; Jompo'!B:I,7,0),0)</f>
        <v>0</v>
      </c>
      <c r="H440" s="258"/>
      <c r="I440" s="258">
        <f>List346[[#This Row],[Pengajuan Donasi]]</f>
        <v>0</v>
      </c>
      <c r="J440" s="213" t="str">
        <f>IF(List346[[#This Row],[Tanggal Trf]]&gt;0,"Done","-")</f>
        <v>-</v>
      </c>
      <c r="K440" s="437"/>
      <c r="L440" s="221"/>
      <c r="M440" s="100"/>
      <c r="N440" s="100">
        <f>MONTH(List346[[#This Row],[Tanggal Pengajuan]])</f>
        <v>1</v>
      </c>
      <c r="O440" s="221"/>
      <c r="P440" s="100"/>
      <c r="Q440" s="111"/>
      <c r="R440" s="230"/>
      <c r="T440" s="152">
        <f>+List346[[#This Row],[Pengajuan Donasi]]-List346[[#This Row],[Jumlah Transfer]]</f>
        <v>0</v>
      </c>
      <c r="U440" s="152"/>
    </row>
    <row r="441" spans="2:21" ht="30" customHeight="1" x14ac:dyDescent="0.2">
      <c r="B441" s="13"/>
      <c r="C441" s="67"/>
      <c r="D441" s="103"/>
      <c r="E441" s="14"/>
      <c r="F441" s="14"/>
      <c r="G441" s="15">
        <f>IFERROR(+VLOOKUP(D:D,'Data Base P.Asuhan &amp; Jompo'!B:I,7,0),0)</f>
        <v>0</v>
      </c>
      <c r="H441" s="258"/>
      <c r="I441" s="258">
        <f>List346[[#This Row],[Pengajuan Donasi]]</f>
        <v>0</v>
      </c>
      <c r="J441" s="213" t="str">
        <f>IF(List346[[#This Row],[Tanggal Trf]]&gt;0,"Done","-")</f>
        <v>-</v>
      </c>
      <c r="K441" s="437"/>
      <c r="L441" s="221"/>
      <c r="M441" s="100"/>
      <c r="N441" s="100">
        <f>MONTH(List346[[#This Row],[Tanggal Pengajuan]])</f>
        <v>1</v>
      </c>
      <c r="O441" s="221"/>
      <c r="P441" s="100"/>
      <c r="Q441" s="111"/>
      <c r="R441" s="230"/>
      <c r="T441" s="152">
        <f>+List346[[#This Row],[Pengajuan Donasi]]-List346[[#This Row],[Jumlah Transfer]]</f>
        <v>0</v>
      </c>
      <c r="U441" s="152"/>
    </row>
    <row r="442" spans="2:21" ht="30" customHeight="1" x14ac:dyDescent="0.2">
      <c r="B442" s="13"/>
      <c r="C442" s="67"/>
      <c r="D442" s="103"/>
      <c r="E442" s="14"/>
      <c r="F442" s="14"/>
      <c r="G442" s="15">
        <f>IFERROR(+VLOOKUP(D:D,'Data Base P.Asuhan &amp; Jompo'!B:I,7,0),0)</f>
        <v>0</v>
      </c>
      <c r="H442" s="258"/>
      <c r="I442" s="258">
        <f>List346[[#This Row],[Pengajuan Donasi]]</f>
        <v>0</v>
      </c>
      <c r="J442" s="213" t="str">
        <f>IF(List346[[#This Row],[Tanggal Trf]]&gt;0,"Done","-")</f>
        <v>-</v>
      </c>
      <c r="K442" s="437"/>
      <c r="L442" s="221"/>
      <c r="M442" s="100"/>
      <c r="N442" s="100">
        <f>MONTH(List346[[#This Row],[Tanggal Pengajuan]])</f>
        <v>1</v>
      </c>
      <c r="O442" s="221"/>
      <c r="P442" s="100"/>
      <c r="Q442" s="111"/>
      <c r="R442" s="230"/>
      <c r="T442" s="152">
        <f>+List346[[#This Row],[Pengajuan Donasi]]-List346[[#This Row],[Jumlah Transfer]]</f>
        <v>0</v>
      </c>
      <c r="U442" s="152"/>
    </row>
    <row r="443" spans="2:21" ht="30" customHeight="1" x14ac:dyDescent="0.2">
      <c r="B443" s="13"/>
      <c r="C443" s="67"/>
      <c r="D443" s="103"/>
      <c r="E443" s="14"/>
      <c r="F443" s="14"/>
      <c r="G443" s="15">
        <f>IFERROR(+VLOOKUP(D:D,'Data Base P.Asuhan &amp; Jompo'!B:I,7,0),0)</f>
        <v>0</v>
      </c>
      <c r="H443" s="258"/>
      <c r="I443" s="258">
        <f>List346[[#This Row],[Pengajuan Donasi]]</f>
        <v>0</v>
      </c>
      <c r="J443" s="213" t="str">
        <f>IF(List346[[#This Row],[Tanggal Trf]]&gt;0,"Done","-")</f>
        <v>-</v>
      </c>
      <c r="K443" s="437"/>
      <c r="L443" s="221"/>
      <c r="M443" s="100"/>
      <c r="N443" s="100">
        <f>MONTH(List346[[#This Row],[Tanggal Pengajuan]])</f>
        <v>1</v>
      </c>
      <c r="O443" s="221"/>
      <c r="P443" s="100"/>
      <c r="Q443" s="111"/>
      <c r="R443" s="230"/>
      <c r="T443" s="152">
        <f>+List346[[#This Row],[Pengajuan Donasi]]-List346[[#This Row],[Jumlah Transfer]]</f>
        <v>0</v>
      </c>
      <c r="U443" s="152"/>
    </row>
    <row r="444" spans="2:21" ht="30" customHeight="1" x14ac:dyDescent="0.2">
      <c r="B444" s="13"/>
      <c r="C444" s="67"/>
      <c r="D444" s="103"/>
      <c r="E444" s="14"/>
      <c r="F444" s="14"/>
      <c r="G444" s="15">
        <f>IFERROR(+VLOOKUP(D:D,'Data Base P.Asuhan &amp; Jompo'!B:I,7,0),0)</f>
        <v>0</v>
      </c>
      <c r="H444" s="258"/>
      <c r="I444" s="258">
        <f>List346[[#This Row],[Pengajuan Donasi]]</f>
        <v>0</v>
      </c>
      <c r="J444" s="213" t="str">
        <f>IF(List346[[#This Row],[Tanggal Trf]]&gt;0,"Done","-")</f>
        <v>-</v>
      </c>
      <c r="K444" s="437"/>
      <c r="L444" s="221"/>
      <c r="M444" s="100"/>
      <c r="N444" s="20">
        <f>MONTH(List346[[#This Row],[Tanggal Pengajuan]])</f>
        <v>1</v>
      </c>
      <c r="O444" s="221"/>
      <c r="P444" s="100"/>
      <c r="Q444" s="111"/>
      <c r="R444" s="230"/>
      <c r="T444" s="152">
        <f>+List346[[#This Row],[Pengajuan Donasi]]-List346[[#This Row],[Jumlah Transfer]]</f>
        <v>0</v>
      </c>
      <c r="U444" s="152"/>
    </row>
    <row r="445" spans="2:21" ht="30" customHeight="1" x14ac:dyDescent="0.2">
      <c r="B445" s="13"/>
      <c r="C445" s="67"/>
      <c r="D445" s="103"/>
      <c r="E445" s="14"/>
      <c r="F445" s="14"/>
      <c r="G445" s="15">
        <f>IFERROR(+VLOOKUP(D:D,'Data Base P.Asuhan &amp; Jompo'!B:I,7,0),0)</f>
        <v>0</v>
      </c>
      <c r="H445" s="258"/>
      <c r="I445" s="258">
        <f>List346[[#This Row],[Pengajuan Donasi]]</f>
        <v>0</v>
      </c>
      <c r="J445" s="213" t="str">
        <f>IF(List346[[#This Row],[Tanggal Trf]]&gt;0,"Done","-")</f>
        <v>-</v>
      </c>
      <c r="K445" s="437"/>
      <c r="L445" s="221"/>
      <c r="M445" s="100"/>
      <c r="N445" s="20">
        <f>MONTH(List346[[#This Row],[Tanggal Pengajuan]])</f>
        <v>1</v>
      </c>
      <c r="O445" s="221"/>
      <c r="P445" s="100"/>
      <c r="Q445" s="111"/>
      <c r="R445" s="230"/>
      <c r="T445" s="152">
        <f>+List346[[#This Row],[Pengajuan Donasi]]-List346[[#This Row],[Jumlah Transfer]]</f>
        <v>0</v>
      </c>
      <c r="U445" s="152"/>
    </row>
    <row r="446" spans="2:21" ht="30" customHeight="1" x14ac:dyDescent="0.2">
      <c r="B446" s="13"/>
      <c r="C446" s="67"/>
      <c r="D446" s="103"/>
      <c r="E446" s="14"/>
      <c r="F446" s="14"/>
      <c r="G446" s="15">
        <f>IFERROR(+VLOOKUP(D:D,'Data Base P.Asuhan &amp; Jompo'!B:I,7,0),0)</f>
        <v>0</v>
      </c>
      <c r="H446" s="258"/>
      <c r="I446" s="258">
        <f>List346[[#This Row],[Pengajuan Donasi]]</f>
        <v>0</v>
      </c>
      <c r="J446" s="213" t="str">
        <f>IF(List346[[#This Row],[Tanggal Trf]]&gt;0,"Done","-")</f>
        <v>-</v>
      </c>
      <c r="K446" s="437"/>
      <c r="L446" s="221"/>
      <c r="M446" s="100"/>
      <c r="N446" s="20">
        <f>MONTH(List346[[#This Row],[Tanggal Pengajuan]])</f>
        <v>1</v>
      </c>
      <c r="O446" s="221"/>
      <c r="P446" s="100"/>
      <c r="Q446" s="111"/>
      <c r="R446" s="230"/>
      <c r="T446" s="152">
        <f>+List346[[#This Row],[Pengajuan Donasi]]-List346[[#This Row],[Jumlah Transfer]]</f>
        <v>0</v>
      </c>
      <c r="U446" s="152"/>
    </row>
    <row r="447" spans="2:21" ht="30" customHeight="1" x14ac:dyDescent="0.2">
      <c r="B447" s="13"/>
      <c r="C447" s="67"/>
      <c r="D447" s="14"/>
      <c r="E447" s="14"/>
      <c r="F447" s="14"/>
      <c r="G447" s="15">
        <f>IFERROR(+VLOOKUP(D:D,'Data Base P.Asuhan &amp; Jompo'!B:I,7,0),0)</f>
        <v>0</v>
      </c>
      <c r="H447" s="258"/>
      <c r="I447" s="258">
        <f>List346[[#This Row],[Pengajuan Donasi]]</f>
        <v>0</v>
      </c>
      <c r="J447" s="214" t="str">
        <f>IF(List346[[#This Row],[Tanggal Trf]]&gt;0,"Done","-")</f>
        <v>-</v>
      </c>
      <c r="K447" s="437"/>
      <c r="L447" s="221"/>
      <c r="M447" s="105"/>
      <c r="N447" s="100">
        <f>MONTH(List346[[#This Row],[Tanggal Pengajuan]])</f>
        <v>1</v>
      </c>
      <c r="O447" s="183"/>
      <c r="P447" s="100"/>
      <c r="Q447" s="111"/>
      <c r="R447" s="230"/>
      <c r="T447" s="152">
        <f>+List346[[#This Row],[Pengajuan Donasi]]-List346[[#This Row],[Jumlah Transfer]]</f>
        <v>0</v>
      </c>
      <c r="U447" s="152"/>
    </row>
    <row r="448" spans="2:21" ht="30" customHeight="1" x14ac:dyDescent="0.2">
      <c r="B448" s="13"/>
      <c r="C448" s="67"/>
      <c r="D448" s="14"/>
      <c r="E448" s="103"/>
      <c r="F448" s="103"/>
      <c r="G448" s="15">
        <f>IFERROR(+VLOOKUP(D:D,'Data Base P.Asuhan &amp; Jompo'!B:I,7,0),0)</f>
        <v>0</v>
      </c>
      <c r="H448" s="258"/>
      <c r="I448" s="258">
        <f>List346[[#This Row],[Pengajuan Donasi]]</f>
        <v>0</v>
      </c>
      <c r="J448" s="213" t="str">
        <f>IF(List346[[#This Row],[Tanggal Trf]]&gt;0,"Done","-")</f>
        <v>-</v>
      </c>
      <c r="K448" s="437"/>
      <c r="L448" s="221"/>
      <c r="M448" s="100"/>
      <c r="N448" s="100">
        <f>MONTH(List346[[#This Row],[Tanggal Pengajuan]])</f>
        <v>1</v>
      </c>
      <c r="O448" s="183"/>
      <c r="P448" s="100"/>
      <c r="Q448" s="111"/>
      <c r="R448" s="230"/>
      <c r="T448" s="152">
        <f>+List346[[#This Row],[Pengajuan Donasi]]-List346[[#This Row],[Jumlah Transfer]]</f>
        <v>0</v>
      </c>
      <c r="U448" s="152"/>
    </row>
    <row r="449" spans="2:21" ht="30" customHeight="1" x14ac:dyDescent="0.2">
      <c r="B449" s="13"/>
      <c r="C449" s="67"/>
      <c r="D449" s="14"/>
      <c r="E449" s="103"/>
      <c r="F449" s="103"/>
      <c r="G449" s="15">
        <f>IFERROR(+VLOOKUP(D:D,'Data Base P.Asuhan &amp; Jompo'!B:I,7,0),0)</f>
        <v>0</v>
      </c>
      <c r="H449" s="258"/>
      <c r="I449" s="258">
        <f>List346[[#This Row],[Pengajuan Donasi]]</f>
        <v>0</v>
      </c>
      <c r="J449" s="213" t="str">
        <f>IF(List346[[#This Row],[Tanggal Trf]]&gt;0,"Done","-")</f>
        <v>-</v>
      </c>
      <c r="K449" s="437"/>
      <c r="L449" s="221"/>
      <c r="M449" s="100"/>
      <c r="N449" s="100">
        <f>MONTH(List346[[#This Row],[Tanggal Pengajuan]])</f>
        <v>1</v>
      </c>
      <c r="O449" s="183"/>
      <c r="P449" s="100"/>
      <c r="Q449" s="111"/>
      <c r="R449" s="230"/>
      <c r="T449" s="152">
        <f>+List346[[#This Row],[Pengajuan Donasi]]-List346[[#This Row],[Jumlah Transfer]]</f>
        <v>0</v>
      </c>
      <c r="U449" s="152"/>
    </row>
    <row r="450" spans="2:21" ht="30" customHeight="1" x14ac:dyDescent="0.2">
      <c r="B450" s="13"/>
      <c r="C450" s="67"/>
      <c r="D450" s="14"/>
      <c r="E450" s="103"/>
      <c r="F450" s="103"/>
      <c r="G450" s="15">
        <f>IFERROR(+VLOOKUP(D:D,'Data Base P.Asuhan &amp; Jompo'!B:I,7,0),0)</f>
        <v>0</v>
      </c>
      <c r="H450" s="258"/>
      <c r="I450" s="258">
        <f>List346[[#This Row],[Pengajuan Donasi]]</f>
        <v>0</v>
      </c>
      <c r="J450" s="213" t="str">
        <f>IF(List346[[#This Row],[Tanggal Trf]]&gt;0,"Done","-")</f>
        <v>-</v>
      </c>
      <c r="K450" s="437"/>
      <c r="L450" s="221"/>
      <c r="M450" s="100"/>
      <c r="N450" s="100">
        <f>MONTH(List346[[#This Row],[Tanggal Pengajuan]])</f>
        <v>1</v>
      </c>
      <c r="O450" s="183"/>
      <c r="P450" s="100"/>
      <c r="Q450" s="111"/>
      <c r="R450" s="230"/>
      <c r="T450" s="152">
        <f>+List346[[#This Row],[Pengajuan Donasi]]-List346[[#This Row],[Jumlah Transfer]]</f>
        <v>0</v>
      </c>
      <c r="U450" s="152"/>
    </row>
    <row r="451" spans="2:21" ht="30" customHeight="1" x14ac:dyDescent="0.2">
      <c r="B451" s="13"/>
      <c r="C451" s="67"/>
      <c r="D451" s="14"/>
      <c r="E451" s="103"/>
      <c r="F451" s="103"/>
      <c r="G451" s="15">
        <f>IFERROR(+VLOOKUP(D:D,'Data Base P.Asuhan &amp; Jompo'!B:I,7,0),0)</f>
        <v>0</v>
      </c>
      <c r="H451" s="267"/>
      <c r="I451" s="258">
        <f>List346[[#This Row],[Pengajuan Donasi]]</f>
        <v>0</v>
      </c>
      <c r="J451" s="213" t="str">
        <f>IF(List346[[#This Row],[Tanggal Trf]]&gt;0,"Done","-")</f>
        <v>-</v>
      </c>
      <c r="K451" s="437"/>
      <c r="L451" s="221"/>
      <c r="M451" s="100"/>
      <c r="N451" s="100">
        <f>MONTH(List346[[#This Row],[Tanggal Pengajuan]])</f>
        <v>1</v>
      </c>
      <c r="O451" s="183"/>
      <c r="P451" s="100"/>
      <c r="Q451" s="111"/>
      <c r="R451" s="230"/>
      <c r="T451" s="152">
        <f>+List346[[#This Row],[Pengajuan Donasi]]-List346[[#This Row],[Jumlah Transfer]]</f>
        <v>0</v>
      </c>
      <c r="U451" s="152"/>
    </row>
    <row r="452" spans="2:21" ht="30" customHeight="1" x14ac:dyDescent="0.2">
      <c r="B452" s="13"/>
      <c r="C452" s="67"/>
      <c r="D452" s="14"/>
      <c r="E452" s="103"/>
      <c r="F452" s="103"/>
      <c r="G452" s="15">
        <f>IFERROR(+VLOOKUP(D:D,'Data Base P.Asuhan &amp; Jompo'!B:I,7,0),0)</f>
        <v>0</v>
      </c>
      <c r="H452" s="258"/>
      <c r="I452" s="258">
        <f>List346[[#This Row],[Pengajuan Donasi]]</f>
        <v>0</v>
      </c>
      <c r="J452" s="213" t="str">
        <f>IF(List346[[#This Row],[Tanggal Trf]]&gt;0,"Done","-")</f>
        <v>-</v>
      </c>
      <c r="K452" s="437"/>
      <c r="L452" s="221"/>
      <c r="M452" s="100"/>
      <c r="N452" s="100">
        <f>MONTH(List346[[#This Row],[Tanggal Pengajuan]])</f>
        <v>1</v>
      </c>
      <c r="O452" s="183"/>
      <c r="P452" s="100"/>
      <c r="Q452" s="111"/>
      <c r="R452" s="230"/>
      <c r="T452" s="152">
        <f>+List346[[#This Row],[Pengajuan Donasi]]-List346[[#This Row],[Jumlah Transfer]]</f>
        <v>0</v>
      </c>
      <c r="U452" s="152"/>
    </row>
    <row r="453" spans="2:21" ht="30" customHeight="1" x14ac:dyDescent="0.2">
      <c r="B453" s="13"/>
      <c r="C453" s="67"/>
      <c r="D453" s="14"/>
      <c r="E453" s="103"/>
      <c r="F453" s="103"/>
      <c r="G453" s="15">
        <f>IFERROR(+VLOOKUP(D:D,'Data Base P.Asuhan &amp; Jompo'!B:I,7,0),0)</f>
        <v>0</v>
      </c>
      <c r="H453" s="258"/>
      <c r="I453" s="258">
        <f>List346[[#This Row],[Pengajuan Donasi]]</f>
        <v>0</v>
      </c>
      <c r="J453" s="213" t="str">
        <f>IF(List346[[#This Row],[Tanggal Trf]]&gt;0,"Done","-")</f>
        <v>-</v>
      </c>
      <c r="K453" s="437"/>
      <c r="L453" s="221"/>
      <c r="M453" s="100"/>
      <c r="N453" s="100">
        <f>MONTH(List346[[#This Row],[Tanggal Pengajuan]])</f>
        <v>1</v>
      </c>
      <c r="O453" s="183"/>
      <c r="P453" s="100"/>
      <c r="Q453" s="111"/>
      <c r="R453" s="230"/>
      <c r="T453" s="152">
        <f>+List346[[#This Row],[Pengajuan Donasi]]-List346[[#This Row],[Jumlah Transfer]]</f>
        <v>0</v>
      </c>
      <c r="U453" s="152"/>
    </row>
    <row r="454" spans="2:21" ht="30" customHeight="1" x14ac:dyDescent="0.2">
      <c r="B454" s="13"/>
      <c r="C454" s="67"/>
      <c r="D454" s="14"/>
      <c r="E454" s="103"/>
      <c r="F454" s="103"/>
      <c r="G454" s="15">
        <f>IFERROR(+VLOOKUP(D:D,'Data Base P.Asuhan &amp; Jompo'!B:I,7,0),0)</f>
        <v>0</v>
      </c>
      <c r="H454" s="258"/>
      <c r="I454" s="258">
        <f>List346[[#This Row],[Pengajuan Donasi]]</f>
        <v>0</v>
      </c>
      <c r="J454" s="213" t="str">
        <f>IF(List346[[#This Row],[Tanggal Trf]]&gt;0,"Done","-")</f>
        <v>-</v>
      </c>
      <c r="K454" s="437"/>
      <c r="L454" s="221"/>
      <c r="M454" s="100"/>
      <c r="N454" s="100">
        <f>MONTH(List346[[#This Row],[Tanggal Pengajuan]])</f>
        <v>1</v>
      </c>
      <c r="O454" s="183"/>
      <c r="P454" s="100"/>
      <c r="Q454" s="111"/>
      <c r="R454" s="230"/>
      <c r="T454" s="152">
        <f>+List346[[#This Row],[Pengajuan Donasi]]-List346[[#This Row],[Jumlah Transfer]]</f>
        <v>0</v>
      </c>
      <c r="U454" s="152"/>
    </row>
    <row r="455" spans="2:21" ht="30" customHeight="1" x14ac:dyDescent="0.2">
      <c r="B455" s="13"/>
      <c r="C455" s="67"/>
      <c r="D455" s="14"/>
      <c r="E455" s="103"/>
      <c r="F455" s="103"/>
      <c r="G455" s="15">
        <f>IFERROR(+VLOOKUP(D:D,'Data Base P.Asuhan &amp; Jompo'!B:I,7,0),0)</f>
        <v>0</v>
      </c>
      <c r="H455" s="258"/>
      <c r="I455" s="258">
        <f>List346[[#This Row],[Pengajuan Donasi]]</f>
        <v>0</v>
      </c>
      <c r="J455" s="213" t="str">
        <f>IF(List346[[#This Row],[Tanggal Trf]]&gt;0,"Done","-")</f>
        <v>-</v>
      </c>
      <c r="K455" s="437"/>
      <c r="L455" s="221"/>
      <c r="M455" s="100"/>
      <c r="N455" s="100">
        <f>MONTH(List346[[#This Row],[Tanggal Pengajuan]])</f>
        <v>1</v>
      </c>
      <c r="O455" s="183"/>
      <c r="P455" s="100"/>
      <c r="Q455" s="111"/>
      <c r="R455" s="230"/>
      <c r="T455" s="152">
        <f>+List346[[#This Row],[Pengajuan Donasi]]-List346[[#This Row],[Jumlah Transfer]]</f>
        <v>0</v>
      </c>
      <c r="U455" s="152"/>
    </row>
    <row r="456" spans="2:21" ht="30" customHeight="1" x14ac:dyDescent="0.2">
      <c r="B456" s="13"/>
      <c r="C456" s="67"/>
      <c r="D456" s="14"/>
      <c r="E456" s="176"/>
      <c r="F456" s="103"/>
      <c r="G456" s="15">
        <f>IFERROR(+VLOOKUP(D:D,'Data Base P.Asuhan &amp; Jompo'!B:I,7,0),0)</f>
        <v>0</v>
      </c>
      <c r="H456" s="258"/>
      <c r="I456" s="258">
        <f>List346[[#This Row],[Pengajuan Donasi]]</f>
        <v>0</v>
      </c>
      <c r="J456" s="213" t="str">
        <f>IF(List346[[#This Row],[Tanggal Trf]]&gt;0,"Done","-")</f>
        <v>-</v>
      </c>
      <c r="K456" s="437"/>
      <c r="L456" s="221"/>
      <c r="M456" s="100"/>
      <c r="N456" s="100">
        <f>MONTH(List346[[#This Row],[Tanggal Pengajuan]])</f>
        <v>1</v>
      </c>
      <c r="O456" s="183"/>
      <c r="P456" s="100"/>
      <c r="Q456" s="111"/>
      <c r="R456" s="230"/>
      <c r="T456" s="152">
        <f>+List346[[#This Row],[Pengajuan Donasi]]-List346[[#This Row],[Jumlah Transfer]]</f>
        <v>0</v>
      </c>
      <c r="U456" s="152"/>
    </row>
    <row r="457" spans="2:21" ht="30" customHeight="1" x14ac:dyDescent="0.2">
      <c r="B457" s="13"/>
      <c r="C457" s="67"/>
      <c r="D457" s="103"/>
      <c r="E457" s="103"/>
      <c r="F457" s="103"/>
      <c r="G457" s="15">
        <f>IFERROR(+VLOOKUP(D:D,'Data Base P.Asuhan &amp; Jompo'!B:I,7,0),0)</f>
        <v>0</v>
      </c>
      <c r="H457" s="258"/>
      <c r="I457" s="258">
        <f>List346[[#This Row],[Pengajuan Donasi]]</f>
        <v>0</v>
      </c>
      <c r="J457" s="213" t="str">
        <f>IF(List346[[#This Row],[Tanggal Trf]]&gt;0,"Done","-")</f>
        <v>-</v>
      </c>
      <c r="K457" s="437"/>
      <c r="L457" s="221"/>
      <c r="M457" s="105"/>
      <c r="N457" s="100">
        <f>MONTH(List346[[#This Row],[Tanggal Pengajuan]])</f>
        <v>1</v>
      </c>
      <c r="O457" s="183"/>
      <c r="P457" s="100"/>
      <c r="Q457" s="111"/>
      <c r="R457" s="230"/>
      <c r="T457" s="152">
        <f>+List346[[#This Row],[Pengajuan Donasi]]-List346[[#This Row],[Jumlah Transfer]]</f>
        <v>0</v>
      </c>
      <c r="U457" s="152"/>
    </row>
    <row r="458" spans="2:21" ht="30" customHeight="1" x14ac:dyDescent="0.2">
      <c r="B458" s="13"/>
      <c r="C458" s="67"/>
      <c r="D458" s="14"/>
      <c r="E458" s="103"/>
      <c r="F458" s="103"/>
      <c r="G458" s="15">
        <f>IFERROR(+VLOOKUP(D:D,'Data Base P.Asuhan &amp; Jompo'!B:I,7,0),0)</f>
        <v>0</v>
      </c>
      <c r="H458" s="258"/>
      <c r="I458" s="258">
        <f>List346[[#This Row],[Pengajuan Donasi]]</f>
        <v>0</v>
      </c>
      <c r="J458" s="213" t="str">
        <f>IF(List346[[#This Row],[Tanggal Trf]]&gt;0,"Done","-")</f>
        <v>-</v>
      </c>
      <c r="K458" s="437"/>
      <c r="L458" s="221"/>
      <c r="M458" s="100"/>
      <c r="N458" s="100">
        <f>MONTH(List346[[#This Row],[Tanggal Pengajuan]])</f>
        <v>1</v>
      </c>
      <c r="O458" s="183"/>
      <c r="P458" s="100"/>
      <c r="Q458" s="111"/>
      <c r="R458" s="230"/>
      <c r="T458" s="152">
        <f>+List346[[#This Row],[Pengajuan Donasi]]-List346[[#This Row],[Jumlah Transfer]]</f>
        <v>0</v>
      </c>
      <c r="U458" s="152"/>
    </row>
    <row r="459" spans="2:21" ht="30" customHeight="1" x14ac:dyDescent="0.2">
      <c r="B459" s="13"/>
      <c r="C459" s="67"/>
      <c r="D459" s="103"/>
      <c r="E459" s="14"/>
      <c r="F459" s="14"/>
      <c r="G459" s="15">
        <f>IFERROR(+VLOOKUP(D:D,'Data Base P.Asuhan &amp; Jompo'!B:I,7,0),0)</f>
        <v>0</v>
      </c>
      <c r="H459" s="258"/>
      <c r="I459" s="258">
        <f>List346[[#This Row],[Pengajuan Donasi]]</f>
        <v>0</v>
      </c>
      <c r="J459" s="213" t="str">
        <f>IF(List346[[#This Row],[Tanggal Trf]]&gt;0,"Done","-")</f>
        <v>-</v>
      </c>
      <c r="K459" s="437"/>
      <c r="L459" s="221"/>
      <c r="M459" s="105"/>
      <c r="N459" s="100">
        <f>MONTH(List346[[#This Row],[Tanggal Pengajuan]])</f>
        <v>1</v>
      </c>
      <c r="O459" s="183"/>
      <c r="P459" s="100"/>
      <c r="Q459" s="111"/>
      <c r="R459" s="230"/>
      <c r="T459" s="152">
        <f>+List346[[#This Row],[Pengajuan Donasi]]-List346[[#This Row],[Jumlah Transfer]]</f>
        <v>0</v>
      </c>
      <c r="U459" s="152"/>
    </row>
    <row r="460" spans="2:21" ht="30" customHeight="1" x14ac:dyDescent="0.2">
      <c r="B460" s="13"/>
      <c r="C460" s="67"/>
      <c r="D460" s="14"/>
      <c r="E460" s="103"/>
      <c r="F460" s="103"/>
      <c r="G460" s="15">
        <f>IFERROR(+VLOOKUP(D:D,'Data Base P.Asuhan &amp; Jompo'!B:I,7,0),0)</f>
        <v>0</v>
      </c>
      <c r="H460" s="258"/>
      <c r="I460" s="258">
        <f>List346[[#This Row],[Pengajuan Donasi]]</f>
        <v>0</v>
      </c>
      <c r="J460" s="213" t="str">
        <f>IF(List346[[#This Row],[Tanggal Trf]]&gt;0,"Done","-")</f>
        <v>-</v>
      </c>
      <c r="K460" s="437"/>
      <c r="L460" s="221"/>
      <c r="M460" s="105"/>
      <c r="N460" s="100">
        <f>MONTH(List346[[#This Row],[Tanggal Pengajuan]])</f>
        <v>1</v>
      </c>
      <c r="O460" s="183"/>
      <c r="P460" s="100"/>
      <c r="Q460" s="111"/>
      <c r="R460" s="230"/>
      <c r="T460" s="152">
        <f>+List346[[#This Row],[Pengajuan Donasi]]-List346[[#This Row],[Jumlah Transfer]]</f>
        <v>0</v>
      </c>
      <c r="U460" s="152"/>
    </row>
    <row r="461" spans="2:21" ht="30" customHeight="1" x14ac:dyDescent="0.2">
      <c r="B461" s="13"/>
      <c r="C461" s="67"/>
      <c r="D461" s="103"/>
      <c r="E461" s="14"/>
      <c r="F461" s="14"/>
      <c r="G461" s="15">
        <f>IFERROR(+VLOOKUP(D:D,'Data Base P.Asuhan &amp; Jompo'!B:I,7,0),0)</f>
        <v>0</v>
      </c>
      <c r="H461" s="258"/>
      <c r="I461" s="258">
        <f>List346[[#This Row],[Pengajuan Donasi]]</f>
        <v>0</v>
      </c>
      <c r="J461" s="213" t="str">
        <f>IF(List346[[#This Row],[Tanggal Trf]]&gt;0,"Done","-")</f>
        <v>-</v>
      </c>
      <c r="K461" s="437"/>
      <c r="L461" s="221"/>
      <c r="M461" s="100"/>
      <c r="N461" s="100">
        <f>MONTH(List346[[#This Row],[Tanggal Pengajuan]])</f>
        <v>1</v>
      </c>
      <c r="O461" s="183"/>
      <c r="P461" s="100"/>
      <c r="Q461" s="111"/>
      <c r="R461" s="230"/>
      <c r="T461" s="152">
        <f>+List346[[#This Row],[Pengajuan Donasi]]-List346[[#This Row],[Jumlah Transfer]]</f>
        <v>0</v>
      </c>
      <c r="U461" s="152"/>
    </row>
    <row r="462" spans="2:21" ht="30" customHeight="1" x14ac:dyDescent="0.2">
      <c r="B462" s="102"/>
      <c r="C462" s="67"/>
      <c r="D462" s="14"/>
      <c r="E462" s="103"/>
      <c r="F462" s="103"/>
      <c r="G462" s="15">
        <f>IFERROR(+VLOOKUP(D:D,'Data Base P.Asuhan &amp; Jompo'!B:I,7,0),0)</f>
        <v>0</v>
      </c>
      <c r="H462" s="258"/>
      <c r="I462" s="258">
        <f>List346[[#This Row],[Pengajuan Donasi]]</f>
        <v>0</v>
      </c>
      <c r="J462" s="214" t="str">
        <f>IF(List346[[#This Row],[Tanggal Trf]]&gt;0,"Done","-")</f>
        <v>-</v>
      </c>
      <c r="K462" s="437"/>
      <c r="L462" s="221"/>
      <c r="M462" s="105"/>
      <c r="N462" s="100">
        <f>MONTH(List346[[#This Row],[Tanggal Pengajuan]])</f>
        <v>1</v>
      </c>
      <c r="O462" s="183"/>
      <c r="P462" s="100"/>
      <c r="Q462" s="111"/>
      <c r="R462" s="230"/>
      <c r="T462" s="152">
        <f>+List346[[#This Row],[Pengajuan Donasi]]-List346[[#This Row],[Jumlah Transfer]]</f>
        <v>0</v>
      </c>
      <c r="U462" s="152"/>
    </row>
    <row r="463" spans="2:21" ht="30" customHeight="1" x14ac:dyDescent="0.2">
      <c r="B463" s="102"/>
      <c r="C463" s="67"/>
      <c r="D463" s="14"/>
      <c r="E463" s="103"/>
      <c r="F463" s="103"/>
      <c r="G463" s="15">
        <f>IFERROR(+VLOOKUP(D:D,'Data Base P.Asuhan &amp; Jompo'!B:I,7,0),0)</f>
        <v>0</v>
      </c>
      <c r="H463" s="258"/>
      <c r="I463" s="258">
        <f>List346[[#This Row],[Pengajuan Donasi]]</f>
        <v>0</v>
      </c>
      <c r="J463" s="214" t="str">
        <f>IF(List346[[#This Row],[Tanggal Trf]]&gt;0,"Done","-")</f>
        <v>-</v>
      </c>
      <c r="K463" s="437"/>
      <c r="L463" s="221"/>
      <c r="M463" s="105"/>
      <c r="N463" s="100">
        <f>MONTH(List346[[#This Row],[Tanggal Pengajuan]])</f>
        <v>1</v>
      </c>
      <c r="O463" s="183"/>
      <c r="P463" s="100"/>
      <c r="Q463" s="111"/>
      <c r="R463" s="230"/>
      <c r="T463" s="152">
        <f>+List346[[#This Row],[Pengajuan Donasi]]-List346[[#This Row],[Jumlah Transfer]]</f>
        <v>0</v>
      </c>
      <c r="U463" s="152"/>
    </row>
    <row r="464" spans="2:21" ht="30" customHeight="1" x14ac:dyDescent="0.2">
      <c r="B464" s="102"/>
      <c r="C464" s="67"/>
      <c r="D464" s="14"/>
      <c r="E464" s="103"/>
      <c r="F464" s="103"/>
      <c r="G464" s="15">
        <f>IFERROR(+VLOOKUP(D:D,'Data Base P.Asuhan &amp; Jompo'!B:I,7,0),0)</f>
        <v>0</v>
      </c>
      <c r="H464" s="258"/>
      <c r="I464" s="258">
        <f>List346[[#This Row],[Pengajuan Donasi]]</f>
        <v>0</v>
      </c>
      <c r="J464" s="214" t="str">
        <f>IF(List346[[#This Row],[Tanggal Trf]]&gt;0,"Done","-")</f>
        <v>-</v>
      </c>
      <c r="K464" s="437"/>
      <c r="L464" s="221"/>
      <c r="M464" s="105"/>
      <c r="N464" s="100">
        <f>MONTH(List346[[#This Row],[Tanggal Pengajuan]])</f>
        <v>1</v>
      </c>
      <c r="O464" s="183"/>
      <c r="P464" s="100"/>
      <c r="Q464" s="111"/>
      <c r="R464" s="230"/>
      <c r="T464" s="152">
        <f>+List346[[#This Row],[Pengajuan Donasi]]-List346[[#This Row],[Jumlah Transfer]]</f>
        <v>0</v>
      </c>
      <c r="U464" s="152"/>
    </row>
    <row r="465" spans="2:21" ht="30" customHeight="1" x14ac:dyDescent="0.2">
      <c r="B465" s="102"/>
      <c r="C465" s="67"/>
      <c r="D465" s="14"/>
      <c r="E465" s="103"/>
      <c r="F465" s="103"/>
      <c r="G465" s="15">
        <f>IFERROR(+VLOOKUP(D:D,'Data Base P.Asuhan &amp; Jompo'!B:I,7,0),0)</f>
        <v>0</v>
      </c>
      <c r="H465" s="258"/>
      <c r="I465" s="258">
        <f>List346[[#This Row],[Pengajuan Donasi]]</f>
        <v>0</v>
      </c>
      <c r="J465" s="214" t="str">
        <f>IF(List346[[#This Row],[Tanggal Trf]]&gt;0,"Done","-")</f>
        <v>-</v>
      </c>
      <c r="K465" s="437"/>
      <c r="L465" s="221"/>
      <c r="M465" s="105"/>
      <c r="N465" s="100">
        <f>MONTH(List346[[#This Row],[Tanggal Pengajuan]])</f>
        <v>1</v>
      </c>
      <c r="O465" s="183"/>
      <c r="P465" s="100"/>
      <c r="Q465" s="111"/>
      <c r="R465" s="230"/>
      <c r="T465" s="152">
        <f>+List346[[#This Row],[Pengajuan Donasi]]-List346[[#This Row],[Jumlah Transfer]]</f>
        <v>0</v>
      </c>
      <c r="U465" s="152"/>
    </row>
    <row r="466" spans="2:21" ht="30" customHeight="1" x14ac:dyDescent="0.2">
      <c r="B466" s="102"/>
      <c r="C466" s="67"/>
      <c r="D466" s="14"/>
      <c r="E466" s="103"/>
      <c r="F466" s="103"/>
      <c r="G466" s="15">
        <f>IFERROR(+VLOOKUP(D:D,'Data Base P.Asuhan &amp; Jompo'!B:I,7,0),0)</f>
        <v>0</v>
      </c>
      <c r="H466" s="258"/>
      <c r="I466" s="258">
        <f>List346[[#This Row],[Pengajuan Donasi]]</f>
        <v>0</v>
      </c>
      <c r="J466" s="214" t="str">
        <f>IF(List346[[#This Row],[Tanggal Trf]]&gt;0,"Done","-")</f>
        <v>-</v>
      </c>
      <c r="K466" s="437"/>
      <c r="L466" s="221"/>
      <c r="M466" s="105"/>
      <c r="N466" s="100">
        <f>MONTH(List346[[#This Row],[Tanggal Pengajuan]])</f>
        <v>1</v>
      </c>
      <c r="O466" s="183"/>
      <c r="P466" s="100"/>
      <c r="Q466" s="111"/>
      <c r="R466" s="367"/>
      <c r="T466" s="152">
        <f>+List346[[#This Row],[Pengajuan Donasi]]-List346[[#This Row],[Jumlah Transfer]]</f>
        <v>0</v>
      </c>
      <c r="U466" s="152"/>
    </row>
    <row r="467" spans="2:21" ht="30" customHeight="1" x14ac:dyDescent="0.2">
      <c r="B467" s="102"/>
      <c r="C467" s="67"/>
      <c r="D467" s="14"/>
      <c r="E467" s="103"/>
      <c r="F467" s="103"/>
      <c r="G467" s="15">
        <f>IFERROR(+VLOOKUP(D:D,'Data Base P.Asuhan &amp; Jompo'!B:I,7,0),0)</f>
        <v>0</v>
      </c>
      <c r="H467" s="258"/>
      <c r="I467" s="258">
        <f>List346[[#This Row],[Pengajuan Donasi]]</f>
        <v>0</v>
      </c>
      <c r="J467" s="214" t="str">
        <f>IF(List346[[#This Row],[Tanggal Trf]]&gt;0,"Done","-")</f>
        <v>-</v>
      </c>
      <c r="K467" s="437"/>
      <c r="L467" s="221"/>
      <c r="M467" s="105"/>
      <c r="N467" s="100">
        <f>MONTH(List346[[#This Row],[Tanggal Pengajuan]])</f>
        <v>1</v>
      </c>
      <c r="O467" s="183"/>
      <c r="P467" s="100"/>
      <c r="Q467" s="111"/>
      <c r="R467" s="367"/>
      <c r="T467" s="152">
        <f>+List346[[#This Row],[Pengajuan Donasi]]-List346[[#This Row],[Jumlah Transfer]]</f>
        <v>0</v>
      </c>
      <c r="U467" s="152"/>
    </row>
    <row r="468" spans="2:21" ht="30" customHeight="1" x14ac:dyDescent="0.2">
      <c r="B468" s="102"/>
      <c r="C468" s="67"/>
      <c r="D468" s="103"/>
      <c r="E468" s="14"/>
      <c r="F468" s="14"/>
      <c r="G468" s="15">
        <f>IFERROR(+VLOOKUP(D:D,'Data Base P.Asuhan &amp; Jompo'!B:I,7,0),0)</f>
        <v>0</v>
      </c>
      <c r="H468" s="258"/>
      <c r="I468" s="258">
        <f>List346[[#This Row],[Pengajuan Donasi]]</f>
        <v>0</v>
      </c>
      <c r="J468" s="213" t="str">
        <f>IF(List346[[#This Row],[Tanggal Trf]]&gt;0,"Done","-")</f>
        <v>-</v>
      </c>
      <c r="K468" s="437"/>
      <c r="L468" s="221"/>
      <c r="M468" s="100"/>
      <c r="N468" s="100">
        <f>MONTH(List346[[#This Row],[Tanggal Pengajuan]])</f>
        <v>1</v>
      </c>
      <c r="O468" s="183"/>
      <c r="P468" s="100"/>
      <c r="Q468" s="111"/>
      <c r="R468" s="367"/>
      <c r="T468" s="152">
        <f>+List346[[#This Row],[Pengajuan Donasi]]-List346[[#This Row],[Jumlah Transfer]]</f>
        <v>0</v>
      </c>
      <c r="U468" s="152"/>
    </row>
    <row r="469" spans="2:21" ht="30" customHeight="1" x14ac:dyDescent="0.2">
      <c r="B469" s="102"/>
      <c r="C469" s="67"/>
      <c r="D469" s="103"/>
      <c r="E469" s="14"/>
      <c r="F469" s="14"/>
      <c r="G469" s="15">
        <f>IFERROR(+VLOOKUP(D:D,'Data Base P.Asuhan &amp; Jompo'!B:I,7,0),0)</f>
        <v>0</v>
      </c>
      <c r="H469" s="258"/>
      <c r="I469" s="258">
        <f>List346[[#This Row],[Pengajuan Donasi]]</f>
        <v>0</v>
      </c>
      <c r="J469" s="213" t="str">
        <f>IF(List346[[#This Row],[Tanggal Trf]]&gt;0,"Done","-")</f>
        <v>-</v>
      </c>
      <c r="K469" s="437"/>
      <c r="L469" s="221"/>
      <c r="M469" s="100"/>
      <c r="N469" s="100">
        <f>MONTH(List346[[#This Row],[Tanggal Pengajuan]])</f>
        <v>1</v>
      </c>
      <c r="O469" s="183"/>
      <c r="P469" s="100"/>
      <c r="Q469" s="111"/>
      <c r="R469" s="367"/>
      <c r="T469" s="152">
        <f>+List346[[#This Row],[Pengajuan Donasi]]-List346[[#This Row],[Jumlah Transfer]]</f>
        <v>0</v>
      </c>
      <c r="U469" s="152"/>
    </row>
    <row r="470" spans="2:21" ht="30" customHeight="1" x14ac:dyDescent="0.2">
      <c r="B470" s="102"/>
      <c r="C470" s="67"/>
      <c r="D470" s="103"/>
      <c r="E470" s="14"/>
      <c r="F470" s="14"/>
      <c r="G470" s="15">
        <f>IFERROR(+VLOOKUP(D:D,'Data Base P.Asuhan &amp; Jompo'!B:I,7,0),0)</f>
        <v>0</v>
      </c>
      <c r="H470" s="258"/>
      <c r="I470" s="258">
        <f>List346[[#This Row],[Pengajuan Donasi]]</f>
        <v>0</v>
      </c>
      <c r="J470" s="213" t="str">
        <f>IF(List346[[#This Row],[Tanggal Trf]]&gt;0,"Done","-")</f>
        <v>-</v>
      </c>
      <c r="K470" s="437"/>
      <c r="L470" s="221"/>
      <c r="M470" s="100"/>
      <c r="N470" s="100">
        <f>MONTH(List346[[#This Row],[Tanggal Pengajuan]])</f>
        <v>1</v>
      </c>
      <c r="O470" s="183"/>
      <c r="P470" s="100"/>
      <c r="Q470" s="111"/>
      <c r="R470" s="367"/>
      <c r="T470" s="152">
        <f>+List346[[#This Row],[Pengajuan Donasi]]-List346[[#This Row],[Jumlah Transfer]]</f>
        <v>0</v>
      </c>
      <c r="U470" s="152"/>
    </row>
    <row r="471" spans="2:21" ht="30" customHeight="1" x14ac:dyDescent="0.2">
      <c r="B471" s="102"/>
      <c r="C471" s="67"/>
      <c r="D471" s="103"/>
      <c r="E471" s="14"/>
      <c r="F471" s="14"/>
      <c r="G471" s="15">
        <f>IFERROR(+VLOOKUP(D:D,'Data Base P.Asuhan &amp; Jompo'!B:I,7,0),0)</f>
        <v>0</v>
      </c>
      <c r="H471" s="258"/>
      <c r="I471" s="258">
        <f>List346[[#This Row],[Pengajuan Donasi]]</f>
        <v>0</v>
      </c>
      <c r="J471" s="213" t="str">
        <f>IF(List346[[#This Row],[Tanggal Trf]]&gt;0,"Done","-")</f>
        <v>-</v>
      </c>
      <c r="K471" s="437"/>
      <c r="L471" s="221"/>
      <c r="M471" s="100"/>
      <c r="N471" s="100">
        <f>MONTH(List346[[#This Row],[Tanggal Pengajuan]])</f>
        <v>1</v>
      </c>
      <c r="O471" s="183"/>
      <c r="P471" s="100"/>
      <c r="Q471" s="111"/>
      <c r="R471" s="367"/>
      <c r="T471" s="152">
        <f>+List346[[#This Row],[Pengajuan Donasi]]-List346[[#This Row],[Jumlah Transfer]]</f>
        <v>0</v>
      </c>
      <c r="U471" s="152"/>
    </row>
    <row r="472" spans="2:21" ht="30" customHeight="1" x14ac:dyDescent="0.2">
      <c r="B472" s="102"/>
      <c r="C472" s="67"/>
      <c r="D472" s="103"/>
      <c r="E472" s="14"/>
      <c r="F472" s="14"/>
      <c r="G472" s="15">
        <f>IFERROR(+VLOOKUP(D:D,'Data Base P.Asuhan &amp; Jompo'!B:I,7,0),0)</f>
        <v>0</v>
      </c>
      <c r="H472" s="258"/>
      <c r="I472" s="258">
        <f>List346[[#This Row],[Pengajuan Donasi]]</f>
        <v>0</v>
      </c>
      <c r="J472" s="213" t="str">
        <f>IF(List346[[#This Row],[Tanggal Trf]]&gt;0,"Done","-")</f>
        <v>-</v>
      </c>
      <c r="K472" s="437"/>
      <c r="L472" s="221"/>
      <c r="M472" s="100"/>
      <c r="N472" s="100">
        <f>MONTH(List346[[#This Row],[Tanggal Pengajuan]])</f>
        <v>1</v>
      </c>
      <c r="O472" s="183"/>
      <c r="P472" s="100"/>
      <c r="Q472" s="105"/>
      <c r="R472" s="367"/>
      <c r="T472" s="152">
        <f>+List346[[#This Row],[Pengajuan Donasi]]-List346[[#This Row],[Jumlah Transfer]]</f>
        <v>0</v>
      </c>
      <c r="U472" s="152"/>
    </row>
    <row r="473" spans="2:21" ht="30" customHeight="1" x14ac:dyDescent="0.2">
      <c r="B473" s="102"/>
      <c r="C473" s="67"/>
      <c r="D473" s="103"/>
      <c r="E473" s="14"/>
      <c r="F473" s="14"/>
      <c r="G473" s="15">
        <f>IFERROR(+VLOOKUP(D:D,'Data Base P.Asuhan &amp; Jompo'!B:I,7,0),0)</f>
        <v>0</v>
      </c>
      <c r="H473" s="258"/>
      <c r="I473" s="258">
        <f>List346[[#This Row],[Pengajuan Donasi]]</f>
        <v>0</v>
      </c>
      <c r="J473" s="213" t="str">
        <f>IF(List346[[#This Row],[Tanggal Trf]]&gt;0,"Done","-")</f>
        <v>-</v>
      </c>
      <c r="K473" s="437"/>
      <c r="L473" s="221"/>
      <c r="M473" s="931"/>
      <c r="N473" s="100">
        <f>MONTH(List346[[#This Row],[Tanggal Pengajuan]])</f>
        <v>1</v>
      </c>
      <c r="O473" s="183"/>
      <c r="P473" s="100"/>
      <c r="Q473" s="105"/>
      <c r="R473" s="367"/>
      <c r="T473" s="152">
        <f>+List346[[#This Row],[Pengajuan Donasi]]-List346[[#This Row],[Jumlah Transfer]]</f>
        <v>0</v>
      </c>
      <c r="U473" s="152"/>
    </row>
    <row r="474" spans="2:21" ht="30" customHeight="1" x14ac:dyDescent="0.2">
      <c r="B474" s="102"/>
      <c r="C474" s="67"/>
      <c r="D474" s="103"/>
      <c r="E474" s="14"/>
      <c r="F474" s="14"/>
      <c r="G474" s="15">
        <f>IFERROR(+VLOOKUP(D:D,'Data Base P.Asuhan &amp; Jompo'!B:I,7,0),0)</f>
        <v>0</v>
      </c>
      <c r="H474" s="258"/>
      <c r="I474" s="258">
        <f>List346[[#This Row],[Pengajuan Donasi]]</f>
        <v>0</v>
      </c>
      <c r="J474" s="213" t="str">
        <f>IF(List346[[#This Row],[Tanggal Trf]]&gt;0,"Done","-")</f>
        <v>-</v>
      </c>
      <c r="K474" s="437"/>
      <c r="L474" s="221"/>
      <c r="M474" s="100"/>
      <c r="N474" s="100">
        <f>MONTH(List346[[#This Row],[Tanggal Pengajuan]])</f>
        <v>1</v>
      </c>
      <c r="O474" s="183"/>
      <c r="P474" s="100"/>
      <c r="Q474" s="105"/>
      <c r="R474" s="367"/>
      <c r="T474" s="152">
        <f>+List346[[#This Row],[Pengajuan Donasi]]-List346[[#This Row],[Jumlah Transfer]]</f>
        <v>0</v>
      </c>
      <c r="U474" s="152"/>
    </row>
    <row r="475" spans="2:21" ht="30" customHeight="1" x14ac:dyDescent="0.2">
      <c r="B475" s="102"/>
      <c r="C475" s="67"/>
      <c r="D475" s="103"/>
      <c r="E475" s="14"/>
      <c r="F475" s="14"/>
      <c r="G475" s="15">
        <f>IFERROR(+VLOOKUP(D:D,'Data Base P.Asuhan &amp; Jompo'!B:I,7,0),0)</f>
        <v>0</v>
      </c>
      <c r="H475" s="258"/>
      <c r="I475" s="258">
        <f>List346[[#This Row],[Pengajuan Donasi]]</f>
        <v>0</v>
      </c>
      <c r="J475" s="213" t="str">
        <f>IF(List346[[#This Row],[Tanggal Trf]]&gt;0,"Done","-")</f>
        <v>-</v>
      </c>
      <c r="K475" s="437"/>
      <c r="L475" s="221"/>
      <c r="M475" s="100"/>
      <c r="N475" s="100">
        <f>MONTH(List346[[#This Row],[Tanggal Pengajuan]])</f>
        <v>1</v>
      </c>
      <c r="O475" s="183"/>
      <c r="P475" s="100"/>
      <c r="Q475" s="111"/>
      <c r="R475" s="367"/>
      <c r="T475" s="152">
        <f>+List346[[#This Row],[Pengajuan Donasi]]-List346[[#This Row],[Jumlah Transfer]]</f>
        <v>0</v>
      </c>
      <c r="U475" s="152"/>
    </row>
    <row r="476" spans="2:21" ht="30" customHeight="1" x14ac:dyDescent="0.2">
      <c r="B476" s="102"/>
      <c r="C476" s="67"/>
      <c r="D476" s="103"/>
      <c r="E476" s="14"/>
      <c r="F476" s="14"/>
      <c r="G476" s="15">
        <f>IFERROR(+VLOOKUP(D:D,'Data Base P.Asuhan &amp; Jompo'!B:I,7,0),0)</f>
        <v>0</v>
      </c>
      <c r="H476" s="258"/>
      <c r="I476" s="258">
        <f>List346[[#This Row],[Pengajuan Donasi]]</f>
        <v>0</v>
      </c>
      <c r="J476" s="213" t="str">
        <f>IF(List346[[#This Row],[Tanggal Trf]]&gt;0,"Done","-")</f>
        <v>-</v>
      </c>
      <c r="K476" s="437"/>
      <c r="L476" s="221"/>
      <c r="M476" s="100"/>
      <c r="N476" s="100">
        <f>MONTH(List346[[#This Row],[Tanggal Pengajuan]])</f>
        <v>1</v>
      </c>
      <c r="O476" s="183"/>
      <c r="P476" s="100"/>
      <c r="Q476" s="111"/>
      <c r="R476" s="367"/>
      <c r="T476" s="152">
        <f>+List346[[#This Row],[Pengajuan Donasi]]-List346[[#This Row],[Jumlah Transfer]]</f>
        <v>0</v>
      </c>
      <c r="U476" s="152"/>
    </row>
    <row r="477" spans="2:21" ht="30" customHeight="1" x14ac:dyDescent="0.2">
      <c r="B477" s="102"/>
      <c r="C477" s="67"/>
      <c r="D477" s="103"/>
      <c r="E477" s="14"/>
      <c r="F477" s="14"/>
      <c r="G477" s="15">
        <f>IFERROR(+VLOOKUP(D:D,'Data Base P.Asuhan &amp; Jompo'!B:I,7,0),0)</f>
        <v>0</v>
      </c>
      <c r="H477" s="258"/>
      <c r="I477" s="258">
        <f>List346[[#This Row],[Pengajuan Donasi]]</f>
        <v>0</v>
      </c>
      <c r="J477" s="213" t="str">
        <f>IF(List346[[#This Row],[Tanggal Trf]]&gt;0,"Done","-")</f>
        <v>-</v>
      </c>
      <c r="K477" s="437"/>
      <c r="L477" s="221"/>
      <c r="M477" s="931"/>
      <c r="N477" s="100">
        <f>MONTH(List346[[#This Row],[Tanggal Pengajuan]])</f>
        <v>1</v>
      </c>
      <c r="O477" s="183"/>
      <c r="P477" s="100"/>
      <c r="Q477" s="105"/>
      <c r="R477" s="367"/>
      <c r="T477" s="152">
        <f>+List346[[#This Row],[Pengajuan Donasi]]-List346[[#This Row],[Jumlah Transfer]]</f>
        <v>0</v>
      </c>
      <c r="U477" s="152"/>
    </row>
    <row r="478" spans="2:21" ht="30" customHeight="1" x14ac:dyDescent="0.2">
      <c r="B478" s="102"/>
      <c r="C478" s="67"/>
      <c r="D478" s="103"/>
      <c r="E478" s="14"/>
      <c r="F478" s="14"/>
      <c r="G478" s="15">
        <f>IFERROR(+VLOOKUP(D:D,'Data Base P.Asuhan &amp; Jompo'!B:I,7,0),0)</f>
        <v>0</v>
      </c>
      <c r="H478" s="258"/>
      <c r="I478" s="258">
        <f>List346[[#This Row],[Pengajuan Donasi]]</f>
        <v>0</v>
      </c>
      <c r="J478" s="213" t="str">
        <f>IF(List346[[#This Row],[Tanggal Trf]]&gt;0,"Done","-")</f>
        <v>-</v>
      </c>
      <c r="K478" s="437"/>
      <c r="L478" s="221"/>
      <c r="M478" s="931"/>
      <c r="N478" s="100">
        <f>MONTH(List346[[#This Row],[Tanggal Pengajuan]])</f>
        <v>1</v>
      </c>
      <c r="O478" s="183"/>
      <c r="P478" s="100"/>
      <c r="Q478" s="111"/>
      <c r="R478" s="367"/>
      <c r="T478" s="152">
        <f>+List346[[#This Row],[Pengajuan Donasi]]-List346[[#This Row],[Jumlah Transfer]]</f>
        <v>0</v>
      </c>
      <c r="U478" s="152"/>
    </row>
    <row r="479" spans="2:21" ht="30" customHeight="1" x14ac:dyDescent="0.2">
      <c r="B479" s="102"/>
      <c r="C479" s="67"/>
      <c r="D479" s="103"/>
      <c r="E479" s="14"/>
      <c r="F479" s="14"/>
      <c r="G479" s="15">
        <f>IFERROR(+VLOOKUP(D:D,'Data Base P.Asuhan &amp; Jompo'!B:I,7,0),0)</f>
        <v>0</v>
      </c>
      <c r="H479" s="258"/>
      <c r="I479" s="258">
        <f>List346[[#This Row],[Pengajuan Donasi]]</f>
        <v>0</v>
      </c>
      <c r="J479" s="213" t="str">
        <f>IF(List346[[#This Row],[Tanggal Trf]]&gt;0,"Done","-")</f>
        <v>-</v>
      </c>
      <c r="K479" s="437"/>
      <c r="L479" s="221"/>
      <c r="M479" s="931"/>
      <c r="N479" s="100">
        <f>MONTH(List346[[#This Row],[Tanggal Pengajuan]])</f>
        <v>1</v>
      </c>
      <c r="O479" s="183"/>
      <c r="P479" s="100"/>
      <c r="Q479" s="111"/>
      <c r="R479" s="367"/>
      <c r="T479" s="152">
        <f>+List346[[#This Row],[Pengajuan Donasi]]-List346[[#This Row],[Jumlah Transfer]]</f>
        <v>0</v>
      </c>
      <c r="U479" s="152"/>
    </row>
    <row r="480" spans="2:21" ht="30" customHeight="1" x14ac:dyDescent="0.2">
      <c r="B480" s="102"/>
      <c r="C480" s="67"/>
      <c r="D480" s="103"/>
      <c r="E480" s="14"/>
      <c r="F480" s="14"/>
      <c r="G480" s="15">
        <f>IFERROR(+VLOOKUP(D:D,'Data Base P.Asuhan &amp; Jompo'!B:I,7,0),0)</f>
        <v>0</v>
      </c>
      <c r="H480" s="258"/>
      <c r="I480" s="258">
        <f>List346[[#This Row],[Pengajuan Donasi]]</f>
        <v>0</v>
      </c>
      <c r="J480" s="213" t="str">
        <f>IF(List346[[#This Row],[Tanggal Trf]]&gt;0,"Done","-")</f>
        <v>-</v>
      </c>
      <c r="K480" s="437"/>
      <c r="L480" s="221"/>
      <c r="M480" s="931"/>
      <c r="N480" s="20">
        <f>MONTH(List346[[#This Row],[Tanggal Pengajuan]])</f>
        <v>1</v>
      </c>
      <c r="O480" s="183"/>
      <c r="P480" s="100"/>
      <c r="Q480" s="111"/>
      <c r="R480" s="367"/>
      <c r="T480" s="152">
        <f>+List346[[#This Row],[Pengajuan Donasi]]-List346[[#This Row],[Jumlah Transfer]]</f>
        <v>0</v>
      </c>
      <c r="U480" s="152"/>
    </row>
    <row r="481" spans="2:21" ht="30" customHeight="1" x14ac:dyDescent="0.2">
      <c r="B481" s="102"/>
      <c r="C481" s="67"/>
      <c r="D481" s="103"/>
      <c r="E481" s="14"/>
      <c r="F481" s="14"/>
      <c r="G481" s="15">
        <f>IFERROR(+VLOOKUP(D:D,'Data Base P.Asuhan &amp; Jompo'!B:I,7,0),0)</f>
        <v>0</v>
      </c>
      <c r="H481" s="258"/>
      <c r="I481" s="258">
        <f>List346[[#This Row],[Pengajuan Donasi]]</f>
        <v>0</v>
      </c>
      <c r="J481" s="213" t="str">
        <f>IF(List346[[#This Row],[Tanggal Trf]]&gt;0,"Done","-")</f>
        <v>-</v>
      </c>
      <c r="K481" s="437"/>
      <c r="L481" s="221"/>
      <c r="M481" s="100"/>
      <c r="N481" s="20">
        <f>MONTH(List346[[#This Row],[Tanggal Pengajuan]])</f>
        <v>1</v>
      </c>
      <c r="O481" s="183"/>
      <c r="P481" s="100"/>
      <c r="Q481" s="111"/>
      <c r="R481" s="367"/>
      <c r="T481" s="152">
        <f>+List346[[#This Row],[Pengajuan Donasi]]-List346[[#This Row],[Jumlah Transfer]]</f>
        <v>0</v>
      </c>
      <c r="U481" s="152"/>
    </row>
    <row r="482" spans="2:21" ht="30" customHeight="1" x14ac:dyDescent="0.2">
      <c r="B482" s="102"/>
      <c r="C482" s="67"/>
      <c r="D482" s="103"/>
      <c r="E482" s="14"/>
      <c r="F482" s="14"/>
      <c r="G482" s="15">
        <f>IFERROR(+VLOOKUP(D:D,'Data Base P.Asuhan &amp; Jompo'!B:I,7,0),0)</f>
        <v>0</v>
      </c>
      <c r="H482" s="258"/>
      <c r="I482" s="258">
        <f>List346[[#This Row],[Pengajuan Donasi]]</f>
        <v>0</v>
      </c>
      <c r="J482" s="213" t="str">
        <f>IF(List346[[#This Row],[Tanggal Trf]]&gt;0,"Done","-")</f>
        <v>-</v>
      </c>
      <c r="K482" s="437"/>
      <c r="L482" s="221"/>
      <c r="M482" s="100"/>
      <c r="N482" s="20">
        <f>MONTH(List346[[#This Row],[Tanggal Pengajuan]])</f>
        <v>1</v>
      </c>
      <c r="O482" s="183"/>
      <c r="P482" s="100"/>
      <c r="Q482" s="111"/>
      <c r="R482" s="367"/>
      <c r="T482" s="152">
        <f>+List346[[#This Row],[Pengajuan Donasi]]-List346[[#This Row],[Jumlah Transfer]]</f>
        <v>0</v>
      </c>
      <c r="U482" s="152"/>
    </row>
    <row r="483" spans="2:21" ht="30" customHeight="1" x14ac:dyDescent="0.2">
      <c r="B483" s="102"/>
      <c r="C483" s="67"/>
      <c r="D483" s="103"/>
      <c r="E483" s="103"/>
      <c r="F483" s="14"/>
      <c r="G483" s="15">
        <f>IFERROR(+VLOOKUP(D:D,'Data Base P.Asuhan &amp; Jompo'!B:I,7,0),0)</f>
        <v>0</v>
      </c>
      <c r="H483" s="258"/>
      <c r="I483" s="258">
        <f>List346[[#This Row],[Pengajuan Donasi]]</f>
        <v>0</v>
      </c>
      <c r="J483" s="214" t="str">
        <f>IF(List346[[#This Row],[Tanggal Trf]]&gt;0,"Done","-")</f>
        <v>-</v>
      </c>
      <c r="K483" s="437"/>
      <c r="L483" s="221"/>
      <c r="M483" s="105"/>
      <c r="N483" s="20">
        <f>MONTH(List346[[#This Row],[Tanggal Pengajuan]])</f>
        <v>1</v>
      </c>
      <c r="O483" s="183"/>
      <c r="P483" s="100"/>
      <c r="Q483" s="111"/>
      <c r="R483" s="367"/>
      <c r="T483" s="152">
        <f>+List346[[#This Row],[Pengajuan Donasi]]-List346[[#This Row],[Jumlah Transfer]]</f>
        <v>0</v>
      </c>
      <c r="U483" s="152"/>
    </row>
    <row r="484" spans="2:21" ht="30" customHeight="1" x14ac:dyDescent="0.2">
      <c r="B484" s="102"/>
      <c r="C484" s="67"/>
      <c r="D484" s="103"/>
      <c r="E484" s="103"/>
      <c r="F484" s="14"/>
      <c r="G484" s="15">
        <f>IFERROR(+VLOOKUP(D:D,'Data Base P.Asuhan &amp; Jompo'!B:I,7,0),0)</f>
        <v>0</v>
      </c>
      <c r="H484" s="258"/>
      <c r="I484" s="258">
        <f>List346[[#This Row],[Pengajuan Donasi]]</f>
        <v>0</v>
      </c>
      <c r="J484" s="214" t="str">
        <f>IF(List346[[#This Row],[Tanggal Trf]]&gt;0,"Done","-")</f>
        <v>-</v>
      </c>
      <c r="K484" s="437"/>
      <c r="L484" s="221"/>
      <c r="M484" s="105"/>
      <c r="N484" s="20">
        <f>MONTH(List346[[#This Row],[Tanggal Pengajuan]])</f>
        <v>1</v>
      </c>
      <c r="O484" s="183"/>
      <c r="P484" s="100"/>
      <c r="Q484" s="111"/>
      <c r="R484" s="367"/>
      <c r="T484" s="152">
        <f>+List346[[#This Row],[Pengajuan Donasi]]-List346[[#This Row],[Jumlah Transfer]]</f>
        <v>0</v>
      </c>
      <c r="U484" s="152"/>
    </row>
    <row r="485" spans="2:21" ht="30" customHeight="1" x14ac:dyDescent="0.2">
      <c r="B485" s="102"/>
      <c r="C485" s="67"/>
      <c r="D485" s="103"/>
      <c r="E485" s="103"/>
      <c r="F485" s="103"/>
      <c r="G485" s="15">
        <f>IFERROR(+VLOOKUP(D:D,'Data Base P.Asuhan &amp; Jompo'!B:I,7,0),0)</f>
        <v>0</v>
      </c>
      <c r="H485" s="258"/>
      <c r="I485" s="258">
        <f>List346[[#This Row],[Pengajuan Donasi]]</f>
        <v>0</v>
      </c>
      <c r="J485" s="214" t="str">
        <f>IF(List346[[#This Row],[Tanggal Trf]]&gt;0,"Done","-")</f>
        <v>-</v>
      </c>
      <c r="K485" s="437"/>
      <c r="L485" s="221"/>
      <c r="M485" s="105"/>
      <c r="N485" s="20">
        <f>MONTH(List346[[#This Row],[Tanggal Pengajuan]])</f>
        <v>1</v>
      </c>
      <c r="O485" s="183"/>
      <c r="P485" s="100"/>
      <c r="Q485" s="111"/>
      <c r="R485" s="367"/>
      <c r="T485" s="152">
        <f>+List346[[#This Row],[Pengajuan Donasi]]-List346[[#This Row],[Jumlah Transfer]]</f>
        <v>0</v>
      </c>
      <c r="U485" s="152"/>
    </row>
    <row r="486" spans="2:21" ht="30" customHeight="1" x14ac:dyDescent="0.2">
      <c r="B486" s="102"/>
      <c r="C486" s="67"/>
      <c r="D486" s="103"/>
      <c r="E486" s="103"/>
      <c r="F486" s="103"/>
      <c r="G486" s="15">
        <f>IFERROR(+VLOOKUP(D:D,'Data Base P.Asuhan &amp; Jompo'!B:I,7,0),0)</f>
        <v>0</v>
      </c>
      <c r="H486" s="258"/>
      <c r="I486" s="258">
        <f>List346[[#This Row],[Pengajuan Donasi]]</f>
        <v>0</v>
      </c>
      <c r="J486" s="214" t="str">
        <f>IF(List346[[#This Row],[Tanggal Trf]]&gt;0,"Done","-")</f>
        <v>-</v>
      </c>
      <c r="K486" s="437"/>
      <c r="L486" s="221"/>
      <c r="M486" s="105"/>
      <c r="N486" s="20">
        <f>MONTH(List346[[#This Row],[Tanggal Pengajuan]])</f>
        <v>1</v>
      </c>
      <c r="O486" s="183"/>
      <c r="P486" s="100"/>
      <c r="Q486" s="111"/>
      <c r="R486" s="367"/>
      <c r="T486" s="152">
        <f>+List346[[#This Row],[Pengajuan Donasi]]-List346[[#This Row],[Jumlah Transfer]]</f>
        <v>0</v>
      </c>
      <c r="U486" s="152"/>
    </row>
    <row r="487" spans="2:21" ht="30" customHeight="1" x14ac:dyDescent="0.2">
      <c r="B487" s="102"/>
      <c r="C487" s="67"/>
      <c r="D487" s="103"/>
      <c r="E487" s="103"/>
      <c r="F487" s="103"/>
      <c r="G487" s="15">
        <f>IFERROR(+VLOOKUP(D:D,'Data Base P.Asuhan &amp; Jompo'!B:I,7,0),0)</f>
        <v>0</v>
      </c>
      <c r="H487" s="258"/>
      <c r="I487" s="258">
        <f>List346[[#This Row],[Pengajuan Donasi]]</f>
        <v>0</v>
      </c>
      <c r="J487" s="214" t="str">
        <f>IF(List346[[#This Row],[Tanggal Trf]]&gt;0,"Done","-")</f>
        <v>-</v>
      </c>
      <c r="K487" s="437"/>
      <c r="L487" s="221"/>
      <c r="M487" s="105"/>
      <c r="N487" s="100">
        <f>MONTH(List346[[#This Row],[Tanggal Pengajuan]])</f>
        <v>1</v>
      </c>
      <c r="O487" s="183"/>
      <c r="P487" s="100"/>
      <c r="Q487" s="111"/>
      <c r="R487" s="367"/>
      <c r="T487" s="152">
        <f>+List346[[#This Row],[Pengajuan Donasi]]-List346[[#This Row],[Jumlah Transfer]]</f>
        <v>0</v>
      </c>
    </row>
    <row r="488" spans="2:21" ht="30" customHeight="1" x14ac:dyDescent="0.2">
      <c r="B488" s="102"/>
      <c r="C488" s="67"/>
      <c r="D488" s="103"/>
      <c r="E488" s="103"/>
      <c r="F488" s="103"/>
      <c r="G488" s="15">
        <f>IFERROR(+VLOOKUP(D:D,'Data Base P.Asuhan &amp; Jompo'!B:I,7,0),0)</f>
        <v>0</v>
      </c>
      <c r="H488" s="258"/>
      <c r="I488" s="258">
        <f>List346[[#This Row],[Pengajuan Donasi]]</f>
        <v>0</v>
      </c>
      <c r="J488" s="214" t="str">
        <f>IF(List346[[#This Row],[Tanggal Trf]]&gt;0,"Done","-")</f>
        <v>-</v>
      </c>
      <c r="K488" s="437"/>
      <c r="L488" s="221"/>
      <c r="M488" s="105"/>
      <c r="N488" s="100">
        <f>MONTH(List346[[#This Row],[Tanggal Pengajuan]])</f>
        <v>1</v>
      </c>
      <c r="O488" s="183"/>
      <c r="P488" s="100"/>
      <c r="Q488" s="111"/>
      <c r="R488" s="367"/>
      <c r="T488" s="152">
        <f>+List346[[#This Row],[Pengajuan Donasi]]-List346[[#This Row],[Jumlah Transfer]]</f>
        <v>0</v>
      </c>
    </row>
    <row r="489" spans="2:21" ht="30" customHeight="1" x14ac:dyDescent="0.2">
      <c r="B489" s="102"/>
      <c r="C489" s="67"/>
      <c r="D489" s="103"/>
      <c r="E489" s="103"/>
      <c r="F489" s="103"/>
      <c r="G489" s="15">
        <f>IFERROR(+VLOOKUP(D:D,'Data Base P.Asuhan &amp; Jompo'!B:I,7,0),0)</f>
        <v>0</v>
      </c>
      <c r="H489" s="258"/>
      <c r="I489" s="258">
        <f>List346[[#This Row],[Pengajuan Donasi]]</f>
        <v>0</v>
      </c>
      <c r="J489" s="214" t="str">
        <f>IF(List346[[#This Row],[Tanggal Trf]]&gt;0,"Done","-")</f>
        <v>-</v>
      </c>
      <c r="K489" s="437"/>
      <c r="L489" s="221"/>
      <c r="M489" s="105"/>
      <c r="N489" s="100">
        <f>MONTH(List346[[#This Row],[Tanggal Pengajuan]])</f>
        <v>1</v>
      </c>
      <c r="O489" s="183"/>
      <c r="P489" s="100"/>
      <c r="Q489" s="111"/>
      <c r="R489" s="367"/>
      <c r="T489" s="152">
        <f>+List346[[#This Row],[Pengajuan Donasi]]-List346[[#This Row],[Jumlah Transfer]]</f>
        <v>0</v>
      </c>
    </row>
    <row r="490" spans="2:21" ht="30" customHeight="1" x14ac:dyDescent="0.2">
      <c r="B490" s="102"/>
      <c r="C490" s="67"/>
      <c r="D490" s="103"/>
      <c r="E490" s="103"/>
      <c r="F490" s="103"/>
      <c r="G490" s="15">
        <f>IFERROR(+VLOOKUP(D:D,'Data Base P.Asuhan &amp; Jompo'!B:I,7,0),0)</f>
        <v>0</v>
      </c>
      <c r="H490" s="258"/>
      <c r="I490" s="258">
        <f>List346[[#This Row],[Pengajuan Donasi]]</f>
        <v>0</v>
      </c>
      <c r="J490" s="214" t="str">
        <f>IF(List346[[#This Row],[Tanggal Trf]]&gt;0,"Done","-")</f>
        <v>-</v>
      </c>
      <c r="K490" s="437"/>
      <c r="L490" s="221"/>
      <c r="M490" s="105"/>
      <c r="N490" s="100">
        <f>MONTH(List346[[#This Row],[Tanggal Pengajuan]])</f>
        <v>1</v>
      </c>
      <c r="O490" s="183"/>
      <c r="P490" s="100"/>
      <c r="Q490" s="111"/>
      <c r="R490" s="367"/>
      <c r="T490" s="152">
        <f>+List346[[#This Row],[Pengajuan Donasi]]-List346[[#This Row],[Jumlah Transfer]]</f>
        <v>0</v>
      </c>
    </row>
    <row r="491" spans="2:21" ht="30" customHeight="1" x14ac:dyDescent="0.2">
      <c r="B491" s="102"/>
      <c r="C491" s="67"/>
      <c r="D491" s="103"/>
      <c r="E491" s="103"/>
      <c r="F491" s="103"/>
      <c r="G491" s="15">
        <f>IFERROR(+VLOOKUP(D:D,'Data Base P.Asuhan &amp; Jompo'!B:I,7,0),0)</f>
        <v>0</v>
      </c>
      <c r="H491" s="271"/>
      <c r="I491" s="258">
        <f>List346[[#This Row],[Pengajuan Donasi]]</f>
        <v>0</v>
      </c>
      <c r="J491" s="214" t="str">
        <f>IF(List346[[#This Row],[Tanggal Trf]]&gt;0,"Done","-")</f>
        <v>-</v>
      </c>
      <c r="K491" s="437"/>
      <c r="L491" s="221"/>
      <c r="M491" s="105"/>
      <c r="N491" s="100">
        <f>MONTH(List346[[#This Row],[Tanggal Pengajuan]])</f>
        <v>1</v>
      </c>
      <c r="O491" s="183"/>
      <c r="P491" s="100"/>
      <c r="Q491" s="111"/>
      <c r="R491" s="367"/>
      <c r="T491" s="152">
        <f>+List346[[#This Row],[Pengajuan Donasi]]-List346[[#This Row],[Jumlah Transfer]]</f>
        <v>0</v>
      </c>
    </row>
    <row r="492" spans="2:21" ht="30" customHeight="1" x14ac:dyDescent="0.2">
      <c r="B492" s="102"/>
      <c r="C492" s="67"/>
      <c r="D492" s="103"/>
      <c r="E492" s="103"/>
      <c r="F492" s="103"/>
      <c r="G492" s="15">
        <f>IFERROR(+VLOOKUP(D:D,'Data Base P.Asuhan &amp; Jompo'!B:I,7,0),0)</f>
        <v>0</v>
      </c>
      <c r="H492" s="271"/>
      <c r="I492" s="258">
        <f>List346[[#This Row],[Pengajuan Donasi]]</f>
        <v>0</v>
      </c>
      <c r="J492" s="214" t="str">
        <f>IF(List346[[#This Row],[Tanggal Trf]]&gt;0,"Done","-")</f>
        <v>-</v>
      </c>
      <c r="K492" s="437"/>
      <c r="L492" s="221"/>
      <c r="M492" s="105"/>
      <c r="N492" s="100">
        <f>MONTH(List346[[#This Row],[Tanggal Pengajuan]])</f>
        <v>1</v>
      </c>
      <c r="O492" s="183"/>
      <c r="P492" s="100"/>
      <c r="Q492" s="111"/>
      <c r="R492" s="367"/>
      <c r="T492" s="152">
        <f>+List346[[#This Row],[Pengajuan Donasi]]-List346[[#This Row],[Jumlah Transfer]]</f>
        <v>0</v>
      </c>
    </row>
    <row r="493" spans="2:21" ht="30" customHeight="1" x14ac:dyDescent="0.2">
      <c r="B493" s="102"/>
      <c r="C493" s="67"/>
      <c r="D493" s="103"/>
      <c r="E493" s="103"/>
      <c r="F493" s="103"/>
      <c r="G493" s="15">
        <f>IFERROR(+VLOOKUP(D:D,'Data Base P.Asuhan &amp; Jompo'!B:I,7,0),0)</f>
        <v>0</v>
      </c>
      <c r="H493" s="258"/>
      <c r="I493" s="258">
        <f>List346[[#This Row],[Pengajuan Donasi]]</f>
        <v>0</v>
      </c>
      <c r="J493" s="214" t="str">
        <f>IF(List346[[#This Row],[Tanggal Trf]]&gt;0,"Done","-")</f>
        <v>-</v>
      </c>
      <c r="K493" s="437"/>
      <c r="L493" s="221"/>
      <c r="M493" s="105"/>
      <c r="N493" s="100">
        <f>MONTH(List346[[#This Row],[Tanggal Pengajuan]])</f>
        <v>1</v>
      </c>
      <c r="O493" s="183"/>
      <c r="P493" s="100"/>
      <c r="Q493" s="111"/>
      <c r="R493" s="367"/>
      <c r="T493" s="152">
        <f>+List346[[#This Row],[Pengajuan Donasi]]-List346[[#This Row],[Jumlah Transfer]]</f>
        <v>0</v>
      </c>
    </row>
    <row r="494" spans="2:21" ht="30" customHeight="1" x14ac:dyDescent="0.2">
      <c r="B494" s="102"/>
      <c r="C494" s="67"/>
      <c r="D494" s="103"/>
      <c r="E494" s="103"/>
      <c r="F494" s="103"/>
      <c r="G494" s="15">
        <f>IFERROR(+VLOOKUP(D:D,'Data Base P.Asuhan &amp; Jompo'!B:I,7,0),0)</f>
        <v>0</v>
      </c>
      <c r="H494" s="271"/>
      <c r="I494" s="258">
        <f>List346[[#This Row],[Pengajuan Donasi]]</f>
        <v>0</v>
      </c>
      <c r="J494" s="214" t="str">
        <f>IF(List346[[#This Row],[Tanggal Trf]]&gt;0,"Done","-")</f>
        <v>-</v>
      </c>
      <c r="K494" s="437"/>
      <c r="L494" s="221"/>
      <c r="M494" s="105"/>
      <c r="N494" s="100">
        <f>MONTH(List346[[#This Row],[Tanggal Pengajuan]])</f>
        <v>1</v>
      </c>
      <c r="O494" s="183"/>
      <c r="P494" s="100"/>
      <c r="Q494" s="111"/>
      <c r="R494" s="367"/>
      <c r="T494" s="152">
        <f>+List346[[#This Row],[Pengajuan Donasi]]-List346[[#This Row],[Jumlah Transfer]]</f>
        <v>0</v>
      </c>
    </row>
    <row r="495" spans="2:21" ht="30" customHeight="1" x14ac:dyDescent="0.2">
      <c r="B495" s="102"/>
      <c r="C495" s="67"/>
      <c r="D495" s="103"/>
      <c r="E495" s="103"/>
      <c r="F495" s="103"/>
      <c r="G495" s="15">
        <f>IFERROR(+VLOOKUP(D:D,'Data Base P.Asuhan &amp; Jompo'!B:I,7,0),0)</f>
        <v>0</v>
      </c>
      <c r="H495" s="271"/>
      <c r="I495" s="258">
        <f>List346[[#This Row],[Pengajuan Donasi]]</f>
        <v>0</v>
      </c>
      <c r="J495" s="214" t="str">
        <f>IF(List346[[#This Row],[Tanggal Trf]]&gt;0,"Done","-")</f>
        <v>-</v>
      </c>
      <c r="K495" s="437"/>
      <c r="L495" s="221"/>
      <c r="M495" s="105"/>
      <c r="N495" s="100">
        <f>MONTH(List346[[#This Row],[Tanggal Pengajuan]])</f>
        <v>1</v>
      </c>
      <c r="O495" s="183"/>
      <c r="P495" s="100"/>
      <c r="Q495" s="111"/>
      <c r="R495" s="367"/>
      <c r="T495" s="152">
        <f>+List346[[#This Row],[Pengajuan Donasi]]-List346[[#This Row],[Jumlah Transfer]]</f>
        <v>0</v>
      </c>
    </row>
    <row r="496" spans="2:21" ht="30" customHeight="1" x14ac:dyDescent="0.2">
      <c r="B496" s="102"/>
      <c r="C496" s="67"/>
      <c r="D496" s="103"/>
      <c r="E496" s="103"/>
      <c r="F496" s="103"/>
      <c r="G496" s="15">
        <f>IFERROR(+VLOOKUP(D:D,'Data Base P.Asuhan &amp; Jompo'!B:I,7,0),0)</f>
        <v>0</v>
      </c>
      <c r="H496" s="271"/>
      <c r="I496" s="258">
        <f>List346[[#This Row],[Pengajuan Donasi]]</f>
        <v>0</v>
      </c>
      <c r="J496" s="214" t="str">
        <f>IF(List346[[#This Row],[Tanggal Trf]]&gt;0,"Done","-")</f>
        <v>-</v>
      </c>
      <c r="K496" s="437"/>
      <c r="L496" s="221"/>
      <c r="M496" s="105"/>
      <c r="N496" s="100">
        <f>MONTH(List346[[#This Row],[Tanggal Pengajuan]])</f>
        <v>1</v>
      </c>
      <c r="O496" s="183"/>
      <c r="P496" s="100"/>
      <c r="Q496" s="111"/>
      <c r="R496" s="367"/>
      <c r="T496" s="152">
        <f>+List346[[#This Row],[Pengajuan Donasi]]-List346[[#This Row],[Jumlah Transfer]]</f>
        <v>0</v>
      </c>
    </row>
    <row r="497" spans="2:20" ht="30" customHeight="1" x14ac:dyDescent="0.2">
      <c r="B497" s="102"/>
      <c r="C497" s="67"/>
      <c r="D497" s="103"/>
      <c r="E497" s="103"/>
      <c r="F497" s="103"/>
      <c r="G497" s="15">
        <f>IFERROR(+VLOOKUP(D:D,'Data Base P.Asuhan &amp; Jompo'!B:I,7,0),0)</f>
        <v>0</v>
      </c>
      <c r="H497" s="271"/>
      <c r="I497" s="258">
        <f>List346[[#This Row],[Pengajuan Donasi]]</f>
        <v>0</v>
      </c>
      <c r="J497" s="214" t="str">
        <f>IF(List346[[#This Row],[Tanggal Trf]]&gt;0,"Done","-")</f>
        <v>-</v>
      </c>
      <c r="K497" s="437"/>
      <c r="L497" s="221"/>
      <c r="M497" s="105"/>
      <c r="N497" s="100">
        <f>MONTH(List346[[#This Row],[Tanggal Pengajuan]])</f>
        <v>1</v>
      </c>
      <c r="O497" s="183"/>
      <c r="P497" s="100"/>
      <c r="Q497" s="111"/>
      <c r="R497" s="367"/>
      <c r="T497" s="152">
        <f>+List346[[#This Row],[Pengajuan Donasi]]-List346[[#This Row],[Jumlah Transfer]]</f>
        <v>0</v>
      </c>
    </row>
    <row r="498" spans="2:20" ht="30" customHeight="1" x14ac:dyDescent="0.2">
      <c r="B498" s="102"/>
      <c r="C498" s="67"/>
      <c r="D498" s="103"/>
      <c r="E498" s="103"/>
      <c r="F498" s="103"/>
      <c r="G498" s="15">
        <f>IFERROR(+VLOOKUP(D:D,'Data Base P.Asuhan &amp; Jompo'!B:I,7,0),0)</f>
        <v>0</v>
      </c>
      <c r="H498" s="271"/>
      <c r="I498" s="258">
        <f>List346[[#This Row],[Pengajuan Donasi]]</f>
        <v>0</v>
      </c>
      <c r="J498" s="214" t="str">
        <f>IF(List346[[#This Row],[Tanggal Trf]]&gt;0,"Done","-")</f>
        <v>-</v>
      </c>
      <c r="K498" s="437"/>
      <c r="L498" s="221"/>
      <c r="M498" s="105"/>
      <c r="N498" s="100">
        <f>MONTH(List346[[#This Row],[Tanggal Pengajuan]])</f>
        <v>1</v>
      </c>
      <c r="O498" s="183"/>
      <c r="P498" s="100"/>
      <c r="Q498" s="111"/>
      <c r="R498" s="367"/>
      <c r="T498" s="152">
        <f>+List346[[#This Row],[Pengajuan Donasi]]-List346[[#This Row],[Jumlah Transfer]]</f>
        <v>0</v>
      </c>
    </row>
    <row r="499" spans="2:20" ht="30" customHeight="1" x14ac:dyDescent="0.2">
      <c r="B499" s="102"/>
      <c r="C499" s="67"/>
      <c r="D499" s="103"/>
      <c r="E499" s="103"/>
      <c r="F499" s="103"/>
      <c r="G499" s="15">
        <f>IFERROR(+VLOOKUP(D:D,'Data Base P.Asuhan &amp; Jompo'!B:I,7,0),0)</f>
        <v>0</v>
      </c>
      <c r="H499" s="271"/>
      <c r="I499" s="258">
        <f>List346[[#This Row],[Pengajuan Donasi]]</f>
        <v>0</v>
      </c>
      <c r="J499" s="214" t="str">
        <f>IF(List346[[#This Row],[Tanggal Trf]]&gt;0,"Done","-")</f>
        <v>-</v>
      </c>
      <c r="K499" s="437"/>
      <c r="L499" s="221"/>
      <c r="M499" s="105"/>
      <c r="N499" s="100">
        <f>MONTH(List346[[#This Row],[Tanggal Pengajuan]])</f>
        <v>1</v>
      </c>
      <c r="O499" s="183"/>
      <c r="P499" s="100"/>
      <c r="Q499" s="111"/>
      <c r="R499" s="367"/>
      <c r="T499" s="152">
        <f>+List346[[#This Row],[Pengajuan Donasi]]-List346[[#This Row],[Jumlah Transfer]]</f>
        <v>0</v>
      </c>
    </row>
    <row r="500" spans="2:20" ht="30" customHeight="1" x14ac:dyDescent="0.2">
      <c r="B500" s="102"/>
      <c r="C500" s="67"/>
      <c r="D500" s="103"/>
      <c r="E500" s="103"/>
      <c r="F500" s="103"/>
      <c r="G500" s="15">
        <f>IFERROR(+VLOOKUP(D:D,'Data Base P.Asuhan &amp; Jompo'!B:I,7,0),0)</f>
        <v>0</v>
      </c>
      <c r="H500" s="271"/>
      <c r="I500" s="258">
        <f>List346[[#This Row],[Pengajuan Donasi]]</f>
        <v>0</v>
      </c>
      <c r="J500" s="214" t="str">
        <f>IF(List346[[#This Row],[Tanggal Trf]]&gt;0,"Done","-")</f>
        <v>-</v>
      </c>
      <c r="K500" s="437"/>
      <c r="L500" s="221"/>
      <c r="M500" s="105"/>
      <c r="N500" s="100">
        <f>MONTH(List346[[#This Row],[Tanggal Pengajuan]])</f>
        <v>1</v>
      </c>
      <c r="O500" s="183"/>
      <c r="P500" s="100"/>
      <c r="Q500" s="111"/>
      <c r="R500" s="367"/>
      <c r="T500" s="152">
        <f>+List346[[#This Row],[Pengajuan Donasi]]-List346[[#This Row],[Jumlah Transfer]]</f>
        <v>0</v>
      </c>
    </row>
    <row r="501" spans="2:20" ht="30" customHeight="1" x14ac:dyDescent="0.2">
      <c r="B501" s="102"/>
      <c r="C501" s="67"/>
      <c r="D501" s="103"/>
      <c r="E501" s="103"/>
      <c r="F501" s="103"/>
      <c r="G501" s="15">
        <f>IFERROR(+VLOOKUP(D:D,'Data Base P.Asuhan &amp; Jompo'!B:I,7,0),0)</f>
        <v>0</v>
      </c>
      <c r="H501" s="271"/>
      <c r="I501" s="258">
        <f>List346[[#This Row],[Pengajuan Donasi]]</f>
        <v>0</v>
      </c>
      <c r="J501" s="214" t="str">
        <f>IF(List346[[#This Row],[Tanggal Trf]]&gt;0,"Done","-")</f>
        <v>-</v>
      </c>
      <c r="K501" s="437"/>
      <c r="L501" s="221"/>
      <c r="M501" s="105"/>
      <c r="N501" s="100">
        <f>MONTH(List346[[#This Row],[Tanggal Pengajuan]])</f>
        <v>1</v>
      </c>
      <c r="O501" s="183"/>
      <c r="P501" s="100"/>
      <c r="Q501" s="111"/>
      <c r="R501" s="367"/>
      <c r="T501" s="152">
        <f>+List346[[#This Row],[Pengajuan Donasi]]-List346[[#This Row],[Jumlah Transfer]]</f>
        <v>0</v>
      </c>
    </row>
    <row r="502" spans="2:20" ht="30" customHeight="1" x14ac:dyDescent="0.2">
      <c r="B502" s="102"/>
      <c r="C502" s="67"/>
      <c r="D502" s="103"/>
      <c r="E502" s="103"/>
      <c r="F502" s="103"/>
      <c r="G502" s="15">
        <f>IFERROR(+VLOOKUP(D:D,'Data Base P.Asuhan &amp; Jompo'!B:I,7,0),0)</f>
        <v>0</v>
      </c>
      <c r="H502" s="271"/>
      <c r="I502" s="258">
        <f>List346[[#This Row],[Pengajuan Donasi]]</f>
        <v>0</v>
      </c>
      <c r="J502" s="214" t="str">
        <f>IF(List346[[#This Row],[Tanggal Trf]]&gt;0,"Done","-")</f>
        <v>-</v>
      </c>
      <c r="K502" s="437"/>
      <c r="L502" s="221"/>
      <c r="M502" s="105"/>
      <c r="N502" s="100">
        <f>MONTH(List346[[#This Row],[Tanggal Pengajuan]])</f>
        <v>1</v>
      </c>
      <c r="O502" s="183"/>
      <c r="P502" s="100"/>
      <c r="Q502" s="111"/>
      <c r="R502" s="367"/>
      <c r="T502" s="152">
        <f>+List346[[#This Row],[Pengajuan Donasi]]-List346[[#This Row],[Jumlah Transfer]]</f>
        <v>0</v>
      </c>
    </row>
    <row r="503" spans="2:20" ht="30" customHeight="1" x14ac:dyDescent="0.2">
      <c r="B503" s="102"/>
      <c r="C503" s="67"/>
      <c r="D503" s="103"/>
      <c r="E503" s="103"/>
      <c r="F503" s="103"/>
      <c r="G503" s="15">
        <f>IFERROR(+VLOOKUP(D:D,'Data Base P.Asuhan &amp; Jompo'!B:I,7,0),0)</f>
        <v>0</v>
      </c>
      <c r="H503" s="271"/>
      <c r="I503" s="258">
        <f>List346[[#This Row],[Pengajuan Donasi]]</f>
        <v>0</v>
      </c>
      <c r="J503" s="214" t="str">
        <f>IF(List346[[#This Row],[Tanggal Trf]]&gt;0,"Done","-")</f>
        <v>-</v>
      </c>
      <c r="K503" s="437"/>
      <c r="L503" s="221"/>
      <c r="M503" s="105"/>
      <c r="N503" s="100">
        <f>MONTH(List346[[#This Row],[Tanggal Pengajuan]])</f>
        <v>1</v>
      </c>
      <c r="O503" s="183"/>
      <c r="P503" s="100"/>
      <c r="Q503" s="111"/>
      <c r="R503" s="367"/>
      <c r="T503" s="152">
        <f>+List346[[#This Row],[Pengajuan Donasi]]-List346[[#This Row],[Jumlah Transfer]]</f>
        <v>0</v>
      </c>
    </row>
    <row r="504" spans="2:20" ht="30" customHeight="1" x14ac:dyDescent="0.2">
      <c r="B504" s="102"/>
      <c r="C504" s="67"/>
      <c r="D504" s="103"/>
      <c r="E504" s="103"/>
      <c r="F504" s="103"/>
      <c r="G504" s="15">
        <f>IFERROR(+VLOOKUP(D:D,'Data Base P.Asuhan &amp; Jompo'!B:I,7,0),0)</f>
        <v>0</v>
      </c>
      <c r="H504" s="271"/>
      <c r="I504" s="258">
        <f>List346[[#This Row],[Pengajuan Donasi]]</f>
        <v>0</v>
      </c>
      <c r="J504" s="214" t="str">
        <f>IF(List346[[#This Row],[Tanggal Trf]]&gt;0,"Done","-")</f>
        <v>-</v>
      </c>
      <c r="K504" s="437"/>
      <c r="L504" s="221"/>
      <c r="M504" s="105"/>
      <c r="N504" s="100">
        <f>MONTH(List346[[#This Row],[Tanggal Pengajuan]])</f>
        <v>1</v>
      </c>
      <c r="O504" s="183"/>
      <c r="P504" s="100"/>
      <c r="Q504" s="111"/>
      <c r="R504" s="367"/>
      <c r="T504" s="152">
        <f>+List346[[#This Row],[Pengajuan Donasi]]-List346[[#This Row],[Jumlah Transfer]]</f>
        <v>0</v>
      </c>
    </row>
    <row r="505" spans="2:20" ht="30" customHeight="1" x14ac:dyDescent="0.2">
      <c r="B505" s="102"/>
      <c r="C505" s="67"/>
      <c r="D505" s="103"/>
      <c r="E505" s="103"/>
      <c r="F505" s="103"/>
      <c r="G505" s="15">
        <f>IFERROR(+VLOOKUP(D:D,'Data Base P.Asuhan &amp; Jompo'!B:I,7,0),0)</f>
        <v>0</v>
      </c>
      <c r="H505" s="271"/>
      <c r="I505" s="258">
        <f>List346[[#This Row],[Pengajuan Donasi]]</f>
        <v>0</v>
      </c>
      <c r="J505" s="214" t="str">
        <f>IF(List346[[#This Row],[Tanggal Trf]]&gt;0,"Done","-")</f>
        <v>-</v>
      </c>
      <c r="K505" s="440"/>
      <c r="L505" s="221"/>
      <c r="M505" s="105"/>
      <c r="N505" s="100">
        <f>MONTH(List346[[#This Row],[Tanggal Pengajuan]])</f>
        <v>1</v>
      </c>
      <c r="O505" s="183"/>
      <c r="P505" s="100"/>
      <c r="Q505" s="111"/>
      <c r="R505" s="367"/>
      <c r="T505" s="152">
        <f>+List346[[#This Row],[Pengajuan Donasi]]-List346[[#This Row],[Jumlah Transfer]]</f>
        <v>0</v>
      </c>
    </row>
    <row r="506" spans="2:20" ht="30" customHeight="1" x14ac:dyDescent="0.2">
      <c r="B506" s="102"/>
      <c r="C506" s="67"/>
      <c r="D506" s="103"/>
      <c r="E506" s="103"/>
      <c r="F506" s="103"/>
      <c r="G506" s="15">
        <f>IFERROR(+VLOOKUP(D:D,'Data Base P.Asuhan &amp; Jompo'!B:I,7,0),0)</f>
        <v>0</v>
      </c>
      <c r="H506" s="271"/>
      <c r="I506" s="258">
        <f>List346[[#This Row],[Pengajuan Donasi]]</f>
        <v>0</v>
      </c>
      <c r="J506" s="214" t="str">
        <f>IF(List346[[#This Row],[Tanggal Trf]]&gt;0,"Done","-")</f>
        <v>-</v>
      </c>
      <c r="K506" s="440"/>
      <c r="L506" s="221"/>
      <c r="M506" s="105"/>
      <c r="N506" s="100">
        <f>MONTH(List346[[#This Row],[Tanggal Pengajuan]])</f>
        <v>1</v>
      </c>
      <c r="O506" s="183"/>
      <c r="P506" s="100"/>
      <c r="Q506" s="111"/>
      <c r="R506" s="367"/>
      <c r="T506" s="152">
        <f>+List346[[#This Row],[Pengajuan Donasi]]-List346[[#This Row],[Jumlah Transfer]]</f>
        <v>0</v>
      </c>
    </row>
    <row r="507" spans="2:20" ht="30" customHeight="1" x14ac:dyDescent="0.2">
      <c r="B507" s="102"/>
      <c r="C507" s="67"/>
      <c r="D507" s="103"/>
      <c r="E507" s="103"/>
      <c r="F507" s="103"/>
      <c r="G507" s="15">
        <f>IFERROR(+VLOOKUP(D:D,'Data Base P.Asuhan &amp; Jompo'!B:I,7,0),0)</f>
        <v>0</v>
      </c>
      <c r="H507" s="271"/>
      <c r="I507" s="258">
        <f>List346[[#This Row],[Pengajuan Donasi]]</f>
        <v>0</v>
      </c>
      <c r="J507" s="214" t="str">
        <f>IF(List346[[#This Row],[Tanggal Trf]]&gt;0,"Done","-")</f>
        <v>-</v>
      </c>
      <c r="K507" s="437"/>
      <c r="L507" s="221"/>
      <c r="M507" s="105"/>
      <c r="N507" s="100">
        <f>MONTH(List346[[#This Row],[Tanggal Pengajuan]])</f>
        <v>1</v>
      </c>
      <c r="O507" s="183"/>
      <c r="P507" s="100"/>
      <c r="Q507" s="111"/>
      <c r="R507" s="367"/>
      <c r="T507" s="152">
        <f>+List346[[#This Row],[Pengajuan Donasi]]-List346[[#This Row],[Jumlah Transfer]]</f>
        <v>0</v>
      </c>
    </row>
    <row r="508" spans="2:20" ht="30" customHeight="1" x14ac:dyDescent="0.2">
      <c r="B508" s="102"/>
      <c r="C508" s="67"/>
      <c r="D508" s="103"/>
      <c r="E508" s="103"/>
      <c r="F508" s="103"/>
      <c r="G508" s="15">
        <f>IFERROR(+VLOOKUP(D:D,'Data Base P.Asuhan &amp; Jompo'!B:I,7,0),0)</f>
        <v>0</v>
      </c>
      <c r="H508" s="258"/>
      <c r="I508" s="258">
        <f>List346[[#This Row],[Pengajuan Donasi]]</f>
        <v>0</v>
      </c>
      <c r="J508" s="214" t="str">
        <f>IF(List346[[#This Row],[Tanggal Trf]]&gt;0,"Done","-")</f>
        <v>-</v>
      </c>
      <c r="K508" s="440"/>
      <c r="L508" s="221"/>
      <c r="M508" s="105"/>
      <c r="N508" s="100">
        <f>MONTH(List346[[#This Row],[Tanggal Pengajuan]])</f>
        <v>1</v>
      </c>
      <c r="O508" s="183"/>
      <c r="P508" s="100"/>
      <c r="Q508" s="111"/>
      <c r="R508" s="367"/>
      <c r="T508" s="152">
        <f>+List346[[#This Row],[Pengajuan Donasi]]-List346[[#This Row],[Jumlah Transfer]]</f>
        <v>0</v>
      </c>
    </row>
    <row r="509" spans="2:20" ht="30" customHeight="1" x14ac:dyDescent="0.2">
      <c r="B509" s="102"/>
      <c r="C509" s="67"/>
      <c r="D509" s="103"/>
      <c r="E509" s="103"/>
      <c r="F509" s="103"/>
      <c r="G509" s="15">
        <f>IFERROR(+VLOOKUP(D:D,'Data Base P.Asuhan &amp; Jompo'!B:I,7,0),0)</f>
        <v>0</v>
      </c>
      <c r="H509" s="258"/>
      <c r="I509" s="258">
        <f>List346[[#This Row],[Pengajuan Donasi]]</f>
        <v>0</v>
      </c>
      <c r="J509" s="214" t="str">
        <f>IF(List346[[#This Row],[Tanggal Trf]]&gt;0,"Done","-")</f>
        <v>-</v>
      </c>
      <c r="K509" s="440"/>
      <c r="L509" s="221"/>
      <c r="M509" s="105"/>
      <c r="N509" s="100">
        <f>MONTH(List346[[#This Row],[Tanggal Pengajuan]])</f>
        <v>1</v>
      </c>
      <c r="O509" s="183"/>
      <c r="P509" s="100"/>
      <c r="Q509" s="111"/>
      <c r="R509" s="367"/>
      <c r="T509" s="152">
        <f>+List346[[#This Row],[Pengajuan Donasi]]-List346[[#This Row],[Jumlah Transfer]]</f>
        <v>0</v>
      </c>
    </row>
    <row r="510" spans="2:20" ht="30" customHeight="1" x14ac:dyDescent="0.2">
      <c r="B510" s="102"/>
      <c r="C510" s="67"/>
      <c r="D510" s="103"/>
      <c r="E510" s="103"/>
      <c r="F510" s="103"/>
      <c r="G510" s="15">
        <f>IFERROR(+VLOOKUP(D:D,'Data Base P.Asuhan &amp; Jompo'!B:I,7,0),0)</f>
        <v>0</v>
      </c>
      <c r="H510" s="258"/>
      <c r="I510" s="258">
        <f>List346[[#This Row],[Pengajuan Donasi]]</f>
        <v>0</v>
      </c>
      <c r="J510" s="214" t="str">
        <f>IF(List346[[#This Row],[Tanggal Trf]]&gt;0,"Done","-")</f>
        <v>-</v>
      </c>
      <c r="K510" s="440"/>
      <c r="L510" s="221"/>
      <c r="M510" s="105"/>
      <c r="N510" s="100">
        <f>MONTH(List346[[#This Row],[Tanggal Pengajuan]])</f>
        <v>1</v>
      </c>
      <c r="O510" s="183"/>
      <c r="P510" s="100"/>
      <c r="Q510" s="111"/>
      <c r="R510" s="367"/>
      <c r="T510" s="152">
        <f>+List346[[#This Row],[Pengajuan Donasi]]-List346[[#This Row],[Jumlah Transfer]]</f>
        <v>0</v>
      </c>
    </row>
    <row r="511" spans="2:20" ht="30" customHeight="1" x14ac:dyDescent="0.2">
      <c r="B511" s="102"/>
      <c r="C511" s="67"/>
      <c r="D511" s="103"/>
      <c r="E511" s="103"/>
      <c r="F511" s="103"/>
      <c r="G511" s="15">
        <f>IFERROR(+VLOOKUP(D:D,'Data Base P.Asuhan &amp; Jompo'!B:I,7,0),0)</f>
        <v>0</v>
      </c>
      <c r="H511" s="258"/>
      <c r="I511" s="258">
        <f>List346[[#This Row],[Pengajuan Donasi]]</f>
        <v>0</v>
      </c>
      <c r="J511" s="214" t="str">
        <f>IF(List346[[#This Row],[Tanggal Trf]]&gt;0,"Done","-")</f>
        <v>-</v>
      </c>
      <c r="K511" s="440"/>
      <c r="L511" s="221"/>
      <c r="M511" s="105"/>
      <c r="N511" s="100">
        <f>MONTH(List346[[#This Row],[Tanggal Pengajuan]])</f>
        <v>1</v>
      </c>
      <c r="O511" s="183"/>
      <c r="P511" s="100"/>
      <c r="Q511" s="111"/>
      <c r="R511" s="367"/>
      <c r="T511" s="152">
        <f>+List346[[#This Row],[Pengajuan Donasi]]-List346[[#This Row],[Jumlah Transfer]]</f>
        <v>0</v>
      </c>
    </row>
    <row r="512" spans="2:20" ht="30" customHeight="1" x14ac:dyDescent="0.2">
      <c r="B512" s="102"/>
      <c r="C512" s="67"/>
      <c r="D512" s="103"/>
      <c r="E512" s="103"/>
      <c r="F512" s="103"/>
      <c r="G512" s="15">
        <f>IFERROR(+VLOOKUP(D:D,'Data Base P.Asuhan &amp; Jompo'!B:I,7,0),0)</f>
        <v>0</v>
      </c>
      <c r="H512" s="258"/>
      <c r="I512" s="258">
        <f>List346[[#This Row],[Pengajuan Donasi]]</f>
        <v>0</v>
      </c>
      <c r="J512" s="213" t="str">
        <f>IF(List346[[#This Row],[Tanggal Trf]]&gt;0,"Done","-")</f>
        <v>-</v>
      </c>
      <c r="K512" s="440"/>
      <c r="L512" s="221"/>
      <c r="M512" s="105"/>
      <c r="N512" s="100">
        <f>MONTH(List346[[#This Row],[Tanggal Pengajuan]])</f>
        <v>1</v>
      </c>
      <c r="O512" s="183"/>
      <c r="P512" s="100"/>
      <c r="Q512" s="111"/>
      <c r="R512" s="367"/>
      <c r="T512" s="152">
        <f>+List346[[#This Row],[Pengajuan Donasi]]-List346[[#This Row],[Jumlah Transfer]]</f>
        <v>0</v>
      </c>
    </row>
    <row r="513" spans="2:20" ht="30" customHeight="1" x14ac:dyDescent="0.2">
      <c r="B513" s="102"/>
      <c r="C513" s="67"/>
      <c r="D513" s="103"/>
      <c r="E513" s="103"/>
      <c r="F513" s="103"/>
      <c r="G513" s="15">
        <f>IFERROR(+VLOOKUP(D:D,'Data Base P.Asuhan &amp; Jompo'!B:I,7,0),0)</f>
        <v>0</v>
      </c>
      <c r="H513" s="258"/>
      <c r="I513" s="258">
        <f>List346[[#This Row],[Pengajuan Donasi]]</f>
        <v>0</v>
      </c>
      <c r="J513" s="214" t="str">
        <f>IF(List346[[#This Row],[Tanggal Trf]]&gt;0,"Done","-")</f>
        <v>-</v>
      </c>
      <c r="K513" s="440"/>
      <c r="L513" s="221"/>
      <c r="M513" s="105"/>
      <c r="N513" s="100">
        <f>MONTH(List346[[#This Row],[Tanggal Pengajuan]])</f>
        <v>1</v>
      </c>
      <c r="O513" s="183"/>
      <c r="P513" s="100"/>
      <c r="Q513" s="111"/>
      <c r="R513" s="367"/>
      <c r="T513" s="152">
        <f>+List346[[#This Row],[Pengajuan Donasi]]-List346[[#This Row],[Jumlah Transfer]]</f>
        <v>0</v>
      </c>
    </row>
    <row r="514" spans="2:20" ht="15.75" x14ac:dyDescent="0.2">
      <c r="B514" s="102"/>
      <c r="C514" s="67"/>
      <c r="D514" s="103"/>
      <c r="E514" s="103"/>
      <c r="F514" s="103"/>
      <c r="G514" s="15">
        <f>IFERROR(+VLOOKUP(D:D,'Data Base P.Asuhan &amp; Jompo'!B:I,7,0),0)</f>
        <v>0</v>
      </c>
      <c r="H514" s="271"/>
      <c r="I514" s="258">
        <f>List346[[#This Row],[Pengajuan Donasi]]</f>
        <v>0</v>
      </c>
      <c r="J514" s="214" t="str">
        <f>IF(List346[[#This Row],[Tanggal Trf]]&gt;0,"Done","-")</f>
        <v>-</v>
      </c>
      <c r="K514" s="437"/>
      <c r="L514" s="221"/>
      <c r="M514" s="105"/>
      <c r="N514" s="100">
        <f>MONTH(List346[[#This Row],[Tanggal Pengajuan]])</f>
        <v>1</v>
      </c>
      <c r="O514" s="183"/>
      <c r="P514" s="100"/>
      <c r="Q514" s="111"/>
      <c r="R514" s="367"/>
      <c r="T514" s="152">
        <f>+List346[[#This Row],[Pengajuan Donasi]]-List346[[#This Row],[Jumlah Transfer]]</f>
        <v>0</v>
      </c>
    </row>
    <row r="515" spans="2:20" ht="15.75" x14ac:dyDescent="0.2">
      <c r="B515" s="102"/>
      <c r="C515" s="67"/>
      <c r="D515" s="103"/>
      <c r="E515" s="103"/>
      <c r="F515" s="103"/>
      <c r="G515" s="15">
        <f>IFERROR(+VLOOKUP(D:D,'Data Base P.Asuhan &amp; Jompo'!B:I,7,0),0)</f>
        <v>0</v>
      </c>
      <c r="H515" s="271"/>
      <c r="I515" s="258">
        <f>List346[[#This Row],[Pengajuan Donasi]]</f>
        <v>0</v>
      </c>
      <c r="J515" s="214" t="str">
        <f>IF(List346[[#This Row],[Tanggal Trf]]&gt;0,"Done","-")</f>
        <v>-</v>
      </c>
      <c r="K515" s="437"/>
      <c r="L515" s="221"/>
      <c r="M515" s="105"/>
      <c r="N515" s="100">
        <f>MONTH(List346[[#This Row],[Tanggal Pengajuan]])</f>
        <v>1</v>
      </c>
      <c r="O515" s="183"/>
      <c r="P515" s="100"/>
      <c r="Q515" s="111"/>
      <c r="R515" s="367"/>
      <c r="T515" s="152">
        <f>+List346[[#This Row],[Pengajuan Donasi]]-List346[[#This Row],[Jumlah Transfer]]</f>
        <v>0</v>
      </c>
    </row>
    <row r="516" spans="2:20" ht="15.75" x14ac:dyDescent="0.2">
      <c r="B516" s="102"/>
      <c r="C516" s="67"/>
      <c r="D516" s="103"/>
      <c r="E516" s="103"/>
      <c r="F516" s="103"/>
      <c r="G516" s="15">
        <f>IFERROR(+VLOOKUP(D:D,'Data Base P.Asuhan &amp; Jompo'!B:I,7,0),0)</f>
        <v>0</v>
      </c>
      <c r="H516" s="271"/>
      <c r="I516" s="258">
        <f>List346[[#This Row],[Pengajuan Donasi]]</f>
        <v>0</v>
      </c>
      <c r="J516" s="214" t="str">
        <f>IF(List346[[#This Row],[Tanggal Trf]]&gt;0,"Done","-")</f>
        <v>-</v>
      </c>
      <c r="K516" s="437"/>
      <c r="L516" s="221"/>
      <c r="M516" s="105"/>
      <c r="N516" s="100">
        <f>MONTH(List346[[#This Row],[Tanggal Pengajuan]])</f>
        <v>1</v>
      </c>
      <c r="O516" s="183"/>
      <c r="P516" s="100"/>
      <c r="Q516" s="111"/>
      <c r="R516" s="367"/>
      <c r="T516" s="152">
        <f>+List346[[#This Row],[Pengajuan Donasi]]-List346[[#This Row],[Jumlah Transfer]]</f>
        <v>0</v>
      </c>
    </row>
    <row r="517" spans="2:20" ht="15.75" x14ac:dyDescent="0.2">
      <c r="B517" s="102"/>
      <c r="C517" s="67"/>
      <c r="D517" s="103"/>
      <c r="E517" s="103"/>
      <c r="F517" s="103"/>
      <c r="G517" s="15">
        <f>IFERROR(+VLOOKUP(D:D,'Data Base P.Asuhan &amp; Jompo'!B:I,7,0),0)</f>
        <v>0</v>
      </c>
      <c r="H517" s="271"/>
      <c r="I517" s="258">
        <f>List346[[#This Row],[Pengajuan Donasi]]</f>
        <v>0</v>
      </c>
      <c r="J517" s="214" t="str">
        <f>IF(List346[[#This Row],[Tanggal Trf]]&gt;0,"Done","-")</f>
        <v>-</v>
      </c>
      <c r="K517" s="437"/>
      <c r="L517" s="221"/>
      <c r="M517" s="105"/>
      <c r="N517" s="100">
        <f>MONTH(List346[[#This Row],[Tanggal Pengajuan]])</f>
        <v>1</v>
      </c>
      <c r="O517" s="183"/>
      <c r="P517" s="100"/>
      <c r="Q517" s="111"/>
      <c r="R517" s="367"/>
      <c r="T517" s="152">
        <f>+List346[[#This Row],[Pengajuan Donasi]]-List346[[#This Row],[Jumlah Transfer]]</f>
        <v>0</v>
      </c>
    </row>
    <row r="518" spans="2:20" ht="15.75" x14ac:dyDescent="0.2">
      <c r="B518" s="102"/>
      <c r="C518" s="67"/>
      <c r="D518" s="14"/>
      <c r="E518" s="14"/>
      <c r="F518" s="103"/>
      <c r="G518" s="15">
        <f>IFERROR(+VLOOKUP(D:D,'Data Base P.Asuhan &amp; Jompo'!B:I,7,0),0)</f>
        <v>0</v>
      </c>
      <c r="H518" s="271"/>
      <c r="I518" s="258">
        <f>List346[[#This Row],[Pengajuan Donasi]]</f>
        <v>0</v>
      </c>
      <c r="J518" s="214" t="str">
        <f>IF(List346[[#This Row],[Tanggal Trf]]&gt;0,"Done","-")</f>
        <v>-</v>
      </c>
      <c r="K518" s="437"/>
      <c r="L518" s="223"/>
      <c r="M518" s="105"/>
      <c r="N518" s="100">
        <f>MONTH(List346[[#This Row],[Tanggal Pengajuan]])</f>
        <v>1</v>
      </c>
      <c r="O518" s="183"/>
      <c r="P518" s="105"/>
      <c r="Q518" s="111"/>
      <c r="R518" s="367"/>
      <c r="T518" s="152">
        <f>+List346[[#This Row],[Pengajuan Donasi]]-List346[[#This Row],[Jumlah Transfer]]</f>
        <v>0</v>
      </c>
    </row>
    <row r="519" spans="2:20" ht="15.75" x14ac:dyDescent="0.2">
      <c r="B519" s="102"/>
      <c r="C519" s="67"/>
      <c r="D519" s="14"/>
      <c r="E519" s="14"/>
      <c r="F519" s="14"/>
      <c r="G519" s="15">
        <f>IFERROR(+VLOOKUP(D:D,'Data Base P.Asuhan &amp; Jompo'!B:I,7,0),0)</f>
        <v>0</v>
      </c>
      <c r="H519" s="377"/>
      <c r="I519" s="258">
        <f>List346[[#This Row],[Pengajuan Donasi]]</f>
        <v>0</v>
      </c>
      <c r="J519" s="214" t="str">
        <f>IF(List346[[#This Row],[Tanggal Trf]]&gt;0,"Done","-")</f>
        <v>-</v>
      </c>
      <c r="K519" s="437"/>
      <c r="L519" s="223"/>
      <c r="M519" s="66"/>
      <c r="N519" s="100">
        <f>MONTH(List346[[#This Row],[Tanggal Pengajuan]])</f>
        <v>1</v>
      </c>
      <c r="O519" s="183"/>
      <c r="P519" s="105"/>
      <c r="Q519" s="111"/>
      <c r="R519" s="367"/>
      <c r="T519" s="152">
        <f>+List346[[#This Row],[Pengajuan Donasi]]-List346[[#This Row],[Jumlah Transfer]]</f>
        <v>0</v>
      </c>
    </row>
    <row r="520" spans="2:20" ht="15.75" x14ac:dyDescent="0.2">
      <c r="B520" s="102"/>
      <c r="C520" s="67"/>
      <c r="D520" s="14"/>
      <c r="E520" s="14"/>
      <c r="F520" s="14"/>
      <c r="G520" s="15">
        <f>IFERROR(+VLOOKUP(D:D,'Data Base P.Asuhan &amp; Jompo'!B:I,7,0),0)</f>
        <v>0</v>
      </c>
      <c r="H520" s="380"/>
      <c r="I520" s="258">
        <f>List346[[#This Row],[Pengajuan Donasi]]</f>
        <v>0</v>
      </c>
      <c r="J520" s="214" t="str">
        <f>IF(List346[[#This Row],[Tanggal Trf]]&gt;0,"Done","-")</f>
        <v>-</v>
      </c>
      <c r="K520" s="437"/>
      <c r="L520" s="223"/>
      <c r="M520" s="992"/>
      <c r="N520" s="100">
        <f>MONTH(List346[[#This Row],[Tanggal Pengajuan]])</f>
        <v>1</v>
      </c>
      <c r="O520" s="183"/>
      <c r="P520" s="105"/>
      <c r="Q520" s="111"/>
      <c r="R520" s="367"/>
      <c r="T520" s="152">
        <f>+List346[[#This Row],[Pengajuan Donasi]]-List346[[#This Row],[Jumlah Transfer]]</f>
        <v>0</v>
      </c>
    </row>
    <row r="521" spans="2:20" ht="15.75" x14ac:dyDescent="0.2">
      <c r="B521" s="102"/>
      <c r="C521" s="67"/>
      <c r="D521" s="14"/>
      <c r="E521" s="14"/>
      <c r="F521" s="14"/>
      <c r="G521" s="15">
        <f>IFERROR(+VLOOKUP(D:D,'Data Base P.Asuhan &amp; Jompo'!B:I,7,0),0)</f>
        <v>0</v>
      </c>
      <c r="H521" s="377"/>
      <c r="I521" s="258">
        <f>List346[[#This Row],[Pengajuan Donasi]]</f>
        <v>0</v>
      </c>
      <c r="J521" s="214" t="str">
        <f>IF(List346[[#This Row],[Tanggal Trf]]&gt;0,"Done","-")</f>
        <v>-</v>
      </c>
      <c r="K521" s="437"/>
      <c r="L521" s="223"/>
      <c r="M521" s="14"/>
      <c r="N521" s="100">
        <f>MONTH(List346[[#This Row],[Tanggal Pengajuan]])</f>
        <v>1</v>
      </c>
      <c r="O521" s="183"/>
      <c r="P521" s="105"/>
      <c r="Q521" s="111"/>
      <c r="R521" s="367"/>
      <c r="T521" s="152">
        <f>+List346[[#This Row],[Pengajuan Donasi]]-List346[[#This Row],[Jumlah Transfer]]</f>
        <v>0</v>
      </c>
    </row>
    <row r="522" spans="2:20" ht="15.75" x14ac:dyDescent="0.2">
      <c r="B522" s="102"/>
      <c r="C522" s="67"/>
      <c r="D522" s="14"/>
      <c r="E522" s="14"/>
      <c r="F522" s="14"/>
      <c r="G522" s="15">
        <f>IFERROR(+VLOOKUP(D:D,'Data Base P.Asuhan &amp; Jompo'!B:I,7,0),0)</f>
        <v>0</v>
      </c>
      <c r="H522" s="380"/>
      <c r="I522" s="258">
        <f>List346[[#This Row],[Pengajuan Donasi]]</f>
        <v>0</v>
      </c>
      <c r="J522" s="214" t="str">
        <f>IF(List346[[#This Row],[Tanggal Trf]]&gt;0,"Done","-")</f>
        <v>-</v>
      </c>
      <c r="K522" s="437"/>
      <c r="L522" s="223"/>
      <c r="M522" s="992"/>
      <c r="N522" s="100">
        <f>MONTH(List346[[#This Row],[Tanggal Pengajuan]])</f>
        <v>1</v>
      </c>
      <c r="O522" s="183"/>
      <c r="P522" s="105"/>
      <c r="Q522" s="111"/>
      <c r="R522" s="367"/>
      <c r="T522" s="152">
        <f>+List346[[#This Row],[Pengajuan Donasi]]-List346[[#This Row],[Jumlah Transfer]]</f>
        <v>0</v>
      </c>
    </row>
    <row r="523" spans="2:20" ht="15.75" x14ac:dyDescent="0.2">
      <c r="B523" s="102"/>
      <c r="C523" s="67"/>
      <c r="D523" s="14"/>
      <c r="E523" s="14"/>
      <c r="F523" s="14"/>
      <c r="G523" s="15">
        <f>IFERROR(+VLOOKUP(D:D,'Data Base P.Asuhan &amp; Jompo'!B:I,7,0),0)</f>
        <v>0</v>
      </c>
      <c r="H523" s="377"/>
      <c r="I523" s="258">
        <f>List346[[#This Row],[Pengajuan Donasi]]</f>
        <v>0</v>
      </c>
      <c r="J523" s="214" t="str">
        <f>IF(List346[[#This Row],[Tanggal Trf]]&gt;0,"Done","-")</f>
        <v>-</v>
      </c>
      <c r="K523" s="437"/>
      <c r="L523" s="223"/>
      <c r="M523" s="14"/>
      <c r="N523" s="100">
        <f>MONTH(List346[[#This Row],[Tanggal Pengajuan]])</f>
        <v>1</v>
      </c>
      <c r="O523" s="183"/>
      <c r="P523" s="105"/>
      <c r="Q523" s="111"/>
      <c r="R523" s="367"/>
      <c r="T523" s="152">
        <f>+List346[[#This Row],[Pengajuan Donasi]]-List346[[#This Row],[Jumlah Transfer]]</f>
        <v>0</v>
      </c>
    </row>
    <row r="524" spans="2:20" ht="15.75" x14ac:dyDescent="0.2">
      <c r="B524" s="102"/>
      <c r="C524" s="67"/>
      <c r="D524" s="14"/>
      <c r="E524" s="14"/>
      <c r="F524" s="14"/>
      <c r="G524" s="15">
        <f>IFERROR(+VLOOKUP(D:D,'Data Base P.Asuhan &amp; Jompo'!B:I,7,0),0)</f>
        <v>0</v>
      </c>
      <c r="H524" s="380"/>
      <c r="I524" s="258">
        <f>List346[[#This Row],[Pengajuan Donasi]]</f>
        <v>0</v>
      </c>
      <c r="J524" s="214" t="str">
        <f>IF(List346[[#This Row],[Tanggal Trf]]&gt;0,"Done","-")</f>
        <v>-</v>
      </c>
      <c r="K524" s="437"/>
      <c r="L524" s="223"/>
      <c r="M524" s="992"/>
      <c r="N524" s="100">
        <f>MONTH(List346[[#This Row],[Tanggal Pengajuan]])</f>
        <v>1</v>
      </c>
      <c r="O524" s="183"/>
      <c r="P524" s="105"/>
      <c r="Q524" s="111"/>
      <c r="R524" s="367"/>
      <c r="T524" s="152">
        <f>+List346[[#This Row],[Pengajuan Donasi]]-List346[[#This Row],[Jumlah Transfer]]</f>
        <v>0</v>
      </c>
    </row>
    <row r="525" spans="2:20" ht="15.75" x14ac:dyDescent="0.2">
      <c r="B525" s="102"/>
      <c r="C525" s="67"/>
      <c r="D525" s="14"/>
      <c r="E525" s="14"/>
      <c r="F525" s="14"/>
      <c r="G525" s="15">
        <f>IFERROR(+VLOOKUP(D:D,'Data Base P.Asuhan &amp; Jompo'!B:I,7,0),0)</f>
        <v>0</v>
      </c>
      <c r="H525" s="377"/>
      <c r="I525" s="258">
        <f>List346[[#This Row],[Pengajuan Donasi]]</f>
        <v>0</v>
      </c>
      <c r="J525" s="214" t="str">
        <f>IF(List346[[#This Row],[Tanggal Trf]]&gt;0,"Done","-")</f>
        <v>-</v>
      </c>
      <c r="K525" s="437"/>
      <c r="L525" s="223"/>
      <c r="M525" s="14"/>
      <c r="N525" s="100">
        <f>MONTH(List346[[#This Row],[Tanggal Pengajuan]])</f>
        <v>1</v>
      </c>
      <c r="O525" s="183"/>
      <c r="P525" s="105"/>
      <c r="Q525" s="111"/>
      <c r="R525" s="367"/>
      <c r="T525" s="152">
        <f>+List346[[#This Row],[Pengajuan Donasi]]-List346[[#This Row],[Jumlah Transfer]]</f>
        <v>0</v>
      </c>
    </row>
    <row r="526" spans="2:20" ht="15.75" x14ac:dyDescent="0.2">
      <c r="B526" s="102"/>
      <c r="C526" s="67"/>
      <c r="D526" s="14"/>
      <c r="E526" s="14"/>
      <c r="F526" s="14"/>
      <c r="G526" s="15">
        <f>IFERROR(+VLOOKUP(D:D,'Data Base P.Asuhan &amp; Jompo'!B:I,7,0),0)</f>
        <v>0</v>
      </c>
      <c r="H526" s="380"/>
      <c r="I526" s="258">
        <f>List346[[#This Row],[Pengajuan Donasi]]</f>
        <v>0</v>
      </c>
      <c r="J526" s="214" t="str">
        <f>IF(List346[[#This Row],[Tanggal Trf]]&gt;0,"Done","-")</f>
        <v>-</v>
      </c>
      <c r="K526" s="437"/>
      <c r="L526" s="223"/>
      <c r="M526" s="992"/>
      <c r="N526" s="100">
        <f>MONTH(List346[[#This Row],[Tanggal Pengajuan]])</f>
        <v>1</v>
      </c>
      <c r="O526" s="183"/>
      <c r="P526" s="105"/>
      <c r="Q526" s="111"/>
      <c r="R526" s="367"/>
      <c r="T526" s="152">
        <f>+List346[[#This Row],[Pengajuan Donasi]]-List346[[#This Row],[Jumlah Transfer]]</f>
        <v>0</v>
      </c>
    </row>
    <row r="527" spans="2:20" ht="15.75" x14ac:dyDescent="0.2">
      <c r="B527" s="102"/>
      <c r="C527" s="67"/>
      <c r="D527" s="14"/>
      <c r="E527" s="14"/>
      <c r="F527" s="14"/>
      <c r="G527" s="15">
        <f>IFERROR(+VLOOKUP(D:D,'Data Base P.Asuhan &amp; Jompo'!B:I,7,0),0)</f>
        <v>0</v>
      </c>
      <c r="H527" s="377"/>
      <c r="I527" s="258">
        <f>List346[[#This Row],[Pengajuan Donasi]]</f>
        <v>0</v>
      </c>
      <c r="J527" s="214" t="str">
        <f>IF(List346[[#This Row],[Tanggal Trf]]&gt;0,"Done","-")</f>
        <v>-</v>
      </c>
      <c r="K527" s="437"/>
      <c r="L527" s="223"/>
      <c r="M527" s="14"/>
      <c r="N527" s="100">
        <f>MONTH(List346[[#This Row],[Tanggal Pengajuan]])</f>
        <v>1</v>
      </c>
      <c r="O527" s="183"/>
      <c r="P527" s="105"/>
      <c r="Q527" s="111"/>
      <c r="R527" s="367"/>
      <c r="T527" s="152">
        <f>+List346[[#This Row],[Pengajuan Donasi]]-List346[[#This Row],[Jumlah Transfer]]</f>
        <v>0</v>
      </c>
    </row>
    <row r="528" spans="2:20" ht="15.75" x14ac:dyDescent="0.2">
      <c r="B528" s="102"/>
      <c r="C528" s="67"/>
      <c r="D528" s="14"/>
      <c r="E528" s="14"/>
      <c r="F528" s="14"/>
      <c r="G528" s="15">
        <f>IFERROR(+VLOOKUP(D:D,'Data Base P.Asuhan &amp; Jompo'!B:I,7,0),0)</f>
        <v>0</v>
      </c>
      <c r="H528" s="380"/>
      <c r="I528" s="258">
        <f>List346[[#This Row],[Pengajuan Donasi]]</f>
        <v>0</v>
      </c>
      <c r="J528" s="214" t="str">
        <f>IF(List346[[#This Row],[Tanggal Trf]]&gt;0,"Done","-")</f>
        <v>-</v>
      </c>
      <c r="K528" s="437"/>
      <c r="L528" s="223"/>
      <c r="M528" s="992"/>
      <c r="N528" s="100">
        <f>MONTH(List346[[#This Row],[Tanggal Pengajuan]])</f>
        <v>1</v>
      </c>
      <c r="O528" s="183"/>
      <c r="P528" s="105"/>
      <c r="Q528" s="111"/>
      <c r="R528" s="367"/>
      <c r="T528" s="152">
        <f>+List346[[#This Row],[Pengajuan Donasi]]-List346[[#This Row],[Jumlah Transfer]]</f>
        <v>0</v>
      </c>
    </row>
    <row r="529" spans="2:20" ht="15.75" x14ac:dyDescent="0.2">
      <c r="B529" s="102"/>
      <c r="C529" s="67"/>
      <c r="D529" s="14"/>
      <c r="E529" s="14"/>
      <c r="F529" s="14"/>
      <c r="G529" s="15">
        <f>IFERROR(+VLOOKUP(D:D,'Data Base P.Asuhan &amp; Jompo'!B:I,7,0),0)</f>
        <v>0</v>
      </c>
      <c r="H529" s="377"/>
      <c r="I529" s="258">
        <f>List346[[#This Row],[Pengajuan Donasi]]</f>
        <v>0</v>
      </c>
      <c r="J529" s="214" t="str">
        <f>IF(List346[[#This Row],[Tanggal Trf]]&gt;0,"Done","-")</f>
        <v>-</v>
      </c>
      <c r="K529" s="437"/>
      <c r="L529" s="223"/>
      <c r="M529" s="14"/>
      <c r="N529" s="100">
        <f>MONTH(List346[[#This Row],[Tanggal Pengajuan]])</f>
        <v>1</v>
      </c>
      <c r="O529" s="183"/>
      <c r="P529" s="105"/>
      <c r="Q529" s="111"/>
      <c r="R529" s="367"/>
      <c r="T529" s="152">
        <f>+List346[[#This Row],[Pengajuan Donasi]]-List346[[#This Row],[Jumlah Transfer]]</f>
        <v>0</v>
      </c>
    </row>
    <row r="530" spans="2:20" ht="15.75" x14ac:dyDescent="0.2">
      <c r="B530" s="102"/>
      <c r="C530" s="67"/>
      <c r="D530" s="14"/>
      <c r="E530" s="14"/>
      <c r="F530" s="14"/>
      <c r="G530" s="15">
        <f>IFERROR(+VLOOKUP(D:D,'Data Base P.Asuhan &amp; Jompo'!B:I,7,0),0)</f>
        <v>0</v>
      </c>
      <c r="H530" s="380"/>
      <c r="I530" s="258">
        <f>List346[[#This Row],[Pengajuan Donasi]]</f>
        <v>0</v>
      </c>
      <c r="J530" s="214" t="str">
        <f>IF(List346[[#This Row],[Tanggal Trf]]&gt;0,"Done","-")</f>
        <v>-</v>
      </c>
      <c r="K530" s="437"/>
      <c r="L530" s="223"/>
      <c r="M530" s="992"/>
      <c r="N530" s="100">
        <f>MONTH(List346[[#This Row],[Tanggal Pengajuan]])</f>
        <v>1</v>
      </c>
      <c r="O530" s="183"/>
      <c r="P530" s="105"/>
      <c r="Q530" s="111"/>
      <c r="R530" s="367"/>
      <c r="T530" s="152">
        <f>+List346[[#This Row],[Pengajuan Donasi]]-List346[[#This Row],[Jumlah Transfer]]</f>
        <v>0</v>
      </c>
    </row>
    <row r="531" spans="2:20" ht="15.75" x14ac:dyDescent="0.2">
      <c r="B531" s="102"/>
      <c r="C531" s="67"/>
      <c r="D531" s="14"/>
      <c r="E531" s="14"/>
      <c r="F531" s="14"/>
      <c r="G531" s="15">
        <f>IFERROR(+VLOOKUP(D:D,'Data Base P.Asuhan &amp; Jompo'!B:I,7,0),0)</f>
        <v>0</v>
      </c>
      <c r="H531" s="377"/>
      <c r="I531" s="258">
        <f>List346[[#This Row],[Pengajuan Donasi]]</f>
        <v>0</v>
      </c>
      <c r="J531" s="214" t="str">
        <f>IF(List346[[#This Row],[Tanggal Trf]]&gt;0,"Done","-")</f>
        <v>-</v>
      </c>
      <c r="K531" s="437"/>
      <c r="L531" s="223"/>
      <c r="M531" s="18"/>
      <c r="N531" s="100">
        <f>MONTH(List346[[#This Row],[Tanggal Pengajuan]])</f>
        <v>1</v>
      </c>
      <c r="O531" s="183"/>
      <c r="P531" s="105"/>
      <c r="Q531" s="111"/>
      <c r="R531" s="367"/>
      <c r="T531" s="152">
        <f>+List346[[#This Row],[Pengajuan Donasi]]-List346[[#This Row],[Jumlah Transfer]]</f>
        <v>0</v>
      </c>
    </row>
    <row r="532" spans="2:20" ht="15.75" x14ac:dyDescent="0.2">
      <c r="B532" s="102"/>
      <c r="C532" s="67"/>
      <c r="D532" s="14"/>
      <c r="E532" s="14"/>
      <c r="F532" s="14"/>
      <c r="G532" s="15">
        <f>IFERROR(+VLOOKUP(D:D,'Data Base P.Asuhan &amp; Jompo'!B:I,7,0),0)</f>
        <v>0</v>
      </c>
      <c r="H532" s="377"/>
      <c r="I532" s="258">
        <f>List346[[#This Row],[Pengajuan Donasi]]</f>
        <v>0</v>
      </c>
      <c r="J532" s="214" t="str">
        <f>IF(List346[[#This Row],[Tanggal Trf]]&gt;0,"Done","-")</f>
        <v>-</v>
      </c>
      <c r="K532" s="437"/>
      <c r="L532" s="223"/>
      <c r="M532" s="20"/>
      <c r="N532" s="100">
        <f>MONTH(List346[[#This Row],[Tanggal Pengajuan]])</f>
        <v>1</v>
      </c>
      <c r="O532" s="183"/>
      <c r="P532" s="105"/>
      <c r="Q532" s="111"/>
      <c r="R532" s="367"/>
      <c r="T532" s="152">
        <f>+List346[[#This Row],[Pengajuan Donasi]]-List346[[#This Row],[Jumlah Transfer]]</f>
        <v>0</v>
      </c>
    </row>
    <row r="533" spans="2:20" ht="15.75" x14ac:dyDescent="0.2">
      <c r="B533" s="102"/>
      <c r="C533" s="67"/>
      <c r="D533" s="14"/>
      <c r="E533" s="103"/>
      <c r="F533" s="103"/>
      <c r="G533" s="15">
        <f>IFERROR(+VLOOKUP(D:D,'Data Base P.Asuhan &amp; Jompo'!B:I,7,0),0)</f>
        <v>0</v>
      </c>
      <c r="H533" s="258"/>
      <c r="I533" s="258">
        <f>List346[[#This Row],[Pengajuan Donasi]]</f>
        <v>0</v>
      </c>
      <c r="J533" s="214" t="str">
        <f>IF(List346[[#This Row],[Tanggal Trf]]&gt;0,"Done","-")</f>
        <v>-</v>
      </c>
      <c r="K533" s="437"/>
      <c r="L533" s="223"/>
      <c r="M533" s="100"/>
      <c r="N533" s="100">
        <f>MONTH(List346[[#This Row],[Tanggal Pengajuan]])</f>
        <v>1</v>
      </c>
      <c r="O533" s="183"/>
      <c r="P533" s="105"/>
      <c r="Q533" s="111"/>
      <c r="R533" s="367"/>
      <c r="T533" s="152">
        <f>+List346[[#This Row],[Pengajuan Donasi]]-List346[[#This Row],[Jumlah Transfer]]</f>
        <v>0</v>
      </c>
    </row>
    <row r="534" spans="2:20" ht="15.75" x14ac:dyDescent="0.2">
      <c r="B534" s="102"/>
      <c r="C534" s="67"/>
      <c r="D534" s="14"/>
      <c r="E534" s="103"/>
      <c r="F534" s="103"/>
      <c r="G534" s="15">
        <f>IFERROR(+VLOOKUP(D:D,'Data Base P.Asuhan &amp; Jompo'!B:I,7,0),0)</f>
        <v>0</v>
      </c>
      <c r="H534" s="258"/>
      <c r="I534" s="258">
        <f>List346[[#This Row],[Pengajuan Donasi]]</f>
        <v>0</v>
      </c>
      <c r="J534" s="214" t="str">
        <f>IF(List346[[#This Row],[Tanggal Trf]]&gt;0,"Done","-")</f>
        <v>-</v>
      </c>
      <c r="K534" s="437"/>
      <c r="L534" s="223"/>
      <c r="M534" s="100"/>
      <c r="N534" s="100">
        <f>MONTH(List346[[#This Row],[Tanggal Pengajuan]])</f>
        <v>1</v>
      </c>
      <c r="O534" s="183"/>
      <c r="P534" s="105"/>
      <c r="Q534" s="111"/>
      <c r="R534" s="367"/>
      <c r="T534" s="152">
        <f>+List346[[#This Row],[Pengajuan Donasi]]-List346[[#This Row],[Jumlah Transfer]]</f>
        <v>0</v>
      </c>
    </row>
    <row r="535" spans="2:20" ht="15.75" x14ac:dyDescent="0.2">
      <c r="B535" s="102"/>
      <c r="C535" s="67"/>
      <c r="D535" s="103"/>
      <c r="E535" s="103"/>
      <c r="F535" s="103"/>
      <c r="G535" s="15">
        <f>IFERROR(+VLOOKUP(D:D,'Data Base P.Asuhan &amp; Jompo'!B:I,7,0),0)</f>
        <v>0</v>
      </c>
      <c r="H535" s="258"/>
      <c r="I535" s="258">
        <f>List346[[#This Row],[Pengajuan Donasi]]</f>
        <v>0</v>
      </c>
      <c r="J535" s="214" t="str">
        <f>IF(List346[[#This Row],[Tanggal Trf]]&gt;0,"Done","-")</f>
        <v>-</v>
      </c>
      <c r="K535" s="437"/>
      <c r="L535" s="223"/>
      <c r="M535" s="105"/>
      <c r="N535" s="100">
        <f>MONTH(List346[[#This Row],[Tanggal Pengajuan]])</f>
        <v>1</v>
      </c>
      <c r="O535" s="183"/>
      <c r="P535" s="105"/>
      <c r="Q535" s="111"/>
      <c r="R535" s="367"/>
      <c r="T535" s="152">
        <f>+List346[[#This Row],[Pengajuan Donasi]]-List346[[#This Row],[Jumlah Transfer]]</f>
        <v>0</v>
      </c>
    </row>
    <row r="536" spans="2:20" ht="15.75" x14ac:dyDescent="0.2">
      <c r="B536" s="102"/>
      <c r="C536" s="67"/>
      <c r="D536" s="14"/>
      <c r="E536" s="103"/>
      <c r="F536" s="103"/>
      <c r="G536" s="15">
        <f>IFERROR(+VLOOKUP(D:D,'Data Base P.Asuhan &amp; Jompo'!B:I,7,0),0)</f>
        <v>0</v>
      </c>
      <c r="H536" s="258"/>
      <c r="I536" s="258">
        <f>List346[[#This Row],[Pengajuan Donasi]]</f>
        <v>0</v>
      </c>
      <c r="J536" s="214" t="str">
        <f>IF(List346[[#This Row],[Tanggal Trf]]&gt;0,"Done","-")</f>
        <v>-</v>
      </c>
      <c r="K536" s="437"/>
      <c r="L536" s="223"/>
      <c r="M536" s="100"/>
      <c r="N536" s="100">
        <f>MONTH(List346[[#This Row],[Tanggal Pengajuan]])</f>
        <v>1</v>
      </c>
      <c r="O536" s="183"/>
      <c r="P536" s="105"/>
      <c r="Q536" s="111"/>
      <c r="R536" s="367"/>
      <c r="T536" s="152">
        <f>+List346[[#This Row],[Pengajuan Donasi]]-List346[[#This Row],[Jumlah Transfer]]</f>
        <v>0</v>
      </c>
    </row>
    <row r="537" spans="2:20" ht="15.75" x14ac:dyDescent="0.2">
      <c r="B537" s="102"/>
      <c r="C537" s="67"/>
      <c r="D537" s="103"/>
      <c r="E537" s="14"/>
      <c r="F537" s="14"/>
      <c r="G537" s="15">
        <f>IFERROR(+VLOOKUP(D:D,'Data Base P.Asuhan &amp; Jompo'!B:I,7,0),0)</f>
        <v>0</v>
      </c>
      <c r="H537" s="258"/>
      <c r="I537" s="258">
        <f>List346[[#This Row],[Pengajuan Donasi]]</f>
        <v>0</v>
      </c>
      <c r="J537" s="214" t="str">
        <f>IF(List346[[#This Row],[Tanggal Trf]]&gt;0,"Done","-")</f>
        <v>-</v>
      </c>
      <c r="K537" s="437"/>
      <c r="L537" s="223"/>
      <c r="M537" s="100"/>
      <c r="N537" s="100">
        <f>MONTH(List346[[#This Row],[Tanggal Pengajuan]])</f>
        <v>1</v>
      </c>
      <c r="O537" s="183"/>
      <c r="P537" s="105"/>
      <c r="Q537" s="111"/>
      <c r="R537" s="367"/>
      <c r="T537" s="152">
        <f>+List346[[#This Row],[Pengajuan Donasi]]-List346[[#This Row],[Jumlah Transfer]]</f>
        <v>0</v>
      </c>
    </row>
    <row r="538" spans="2:20" ht="15.75" x14ac:dyDescent="0.2">
      <c r="B538" s="102"/>
      <c r="C538" s="67"/>
      <c r="D538" s="103"/>
      <c r="E538" s="14"/>
      <c r="F538" s="14"/>
      <c r="G538" s="15">
        <f>IFERROR(+VLOOKUP(D:D,'Data Base P.Asuhan &amp; Jompo'!B:I,7,0),0)</f>
        <v>0</v>
      </c>
      <c r="H538" s="258"/>
      <c r="I538" s="258">
        <f>List346[[#This Row],[Pengajuan Donasi]]</f>
        <v>0</v>
      </c>
      <c r="J538" s="214" t="str">
        <f>IF(List346[[#This Row],[Tanggal Trf]]&gt;0,"Done","-")</f>
        <v>-</v>
      </c>
      <c r="K538" s="440"/>
      <c r="L538" s="223"/>
      <c r="M538" s="105"/>
      <c r="N538" s="100">
        <f>MONTH(List346[[#This Row],[Tanggal Pengajuan]])</f>
        <v>1</v>
      </c>
      <c r="O538" s="183"/>
      <c r="P538" s="105"/>
      <c r="Q538" s="111"/>
      <c r="R538" s="367"/>
      <c r="T538" s="152">
        <f>+List346[[#This Row],[Pengajuan Donasi]]-List346[[#This Row],[Jumlah Transfer]]</f>
        <v>0</v>
      </c>
    </row>
    <row r="539" spans="2:20" ht="15.75" x14ac:dyDescent="0.2">
      <c r="B539" s="102"/>
      <c r="C539" s="67"/>
      <c r="D539" s="14"/>
      <c r="E539" s="103"/>
      <c r="F539" s="103"/>
      <c r="G539" s="15">
        <f>IFERROR(+VLOOKUP(D:D,'Data Base P.Asuhan &amp; Jompo'!B:I,7,0),0)</f>
        <v>0</v>
      </c>
      <c r="H539" s="258"/>
      <c r="I539" s="258">
        <f>List346[[#This Row],[Pengajuan Donasi]]</f>
        <v>0</v>
      </c>
      <c r="J539" s="214" t="str">
        <f>IF(List346[[#This Row],[Tanggal Trf]]&gt;0,"Done","-")</f>
        <v>-</v>
      </c>
      <c r="K539" s="437"/>
      <c r="L539" s="223"/>
      <c r="M539" s="105"/>
      <c r="N539" s="100">
        <f>MONTH(List346[[#This Row],[Tanggal Pengajuan]])</f>
        <v>1</v>
      </c>
      <c r="O539" s="183"/>
      <c r="P539" s="105"/>
      <c r="Q539" s="111"/>
      <c r="R539" s="367"/>
      <c r="T539" s="152">
        <f>+List346[[#This Row],[Pengajuan Donasi]]-List346[[#This Row],[Jumlah Transfer]]</f>
        <v>0</v>
      </c>
    </row>
    <row r="540" spans="2:20" ht="15.75" x14ac:dyDescent="0.2">
      <c r="B540" s="102"/>
      <c r="C540" s="67"/>
      <c r="D540" s="103"/>
      <c r="E540" s="14"/>
      <c r="F540" s="14"/>
      <c r="G540" s="15">
        <f>IFERROR(+VLOOKUP(D:D,'Data Base P.Asuhan &amp; Jompo'!B:I,7,0),0)</f>
        <v>0</v>
      </c>
      <c r="H540" s="258"/>
      <c r="I540" s="258">
        <f>List346[[#This Row],[Pengajuan Donasi]]</f>
        <v>0</v>
      </c>
      <c r="J540" s="214" t="str">
        <f>IF(List346[[#This Row],[Tanggal Trf]]&gt;0,"Done","-")</f>
        <v>-</v>
      </c>
      <c r="K540" s="445"/>
      <c r="L540" s="221"/>
      <c r="M540" s="403"/>
      <c r="N540" s="100">
        <f>MONTH(List346[[#This Row],[Tanggal Pengajuan]])</f>
        <v>1</v>
      </c>
      <c r="O540" s="183"/>
      <c r="P540" s="105"/>
      <c r="Q540" s="111"/>
      <c r="R540" s="367"/>
      <c r="T540" s="152">
        <f>+List346[[#This Row],[Pengajuan Donasi]]-List346[[#This Row],[Jumlah Transfer]]</f>
        <v>0</v>
      </c>
    </row>
    <row r="541" spans="2:20" ht="15.75" x14ac:dyDescent="0.2">
      <c r="B541" s="102"/>
      <c r="C541" s="67"/>
      <c r="D541" s="103"/>
      <c r="E541" s="14"/>
      <c r="F541" s="14"/>
      <c r="G541" s="15">
        <f>IFERROR(+VLOOKUP(D:D,'Data Base P.Asuhan &amp; Jompo'!B:I,7,0),0)</f>
        <v>0</v>
      </c>
      <c r="H541" s="258"/>
      <c r="I541" s="258">
        <f>List346[[#This Row],[Pengajuan Donasi]]</f>
        <v>0</v>
      </c>
      <c r="J541" s="214" t="str">
        <f>IF(List346[[#This Row],[Tanggal Trf]]&gt;0,"Done","-")</f>
        <v>-</v>
      </c>
      <c r="K541" s="445"/>
      <c r="L541" s="221"/>
      <c r="M541" s="403"/>
      <c r="N541" s="100">
        <f>MONTH(List346[[#This Row],[Tanggal Pengajuan]])</f>
        <v>1</v>
      </c>
      <c r="O541" s="183"/>
      <c r="P541" s="105"/>
      <c r="Q541" s="111"/>
      <c r="R541" s="367"/>
      <c r="T541" s="152">
        <f>+List346[[#This Row],[Pengajuan Donasi]]-List346[[#This Row],[Jumlah Transfer]]</f>
        <v>0</v>
      </c>
    </row>
    <row r="542" spans="2:20" ht="15.75" x14ac:dyDescent="0.2">
      <c r="B542" s="102"/>
      <c r="C542" s="67"/>
      <c r="D542" s="103"/>
      <c r="E542" s="14"/>
      <c r="F542" s="14"/>
      <c r="G542" s="15">
        <f>IFERROR(+VLOOKUP(D:D,'Data Base P.Asuhan &amp; Jompo'!B:I,7,0),0)</f>
        <v>0</v>
      </c>
      <c r="H542" s="258"/>
      <c r="I542" s="258">
        <f>List346[[#This Row],[Pengajuan Donasi]]</f>
        <v>0</v>
      </c>
      <c r="J542" s="214" t="str">
        <f>IF(List346[[#This Row],[Tanggal Trf]]&gt;0,"Done","-")</f>
        <v>-</v>
      </c>
      <c r="K542" s="445"/>
      <c r="L542" s="221"/>
      <c r="M542" s="403"/>
      <c r="N542" s="100">
        <f>MONTH(List346[[#This Row],[Tanggal Pengajuan]])</f>
        <v>1</v>
      </c>
      <c r="O542" s="183"/>
      <c r="P542" s="105"/>
      <c r="Q542" s="111"/>
      <c r="R542" s="367"/>
      <c r="T542" s="152">
        <f>+List346[[#This Row],[Pengajuan Donasi]]-List346[[#This Row],[Jumlah Transfer]]</f>
        <v>0</v>
      </c>
    </row>
    <row r="543" spans="2:20" ht="15.75" x14ac:dyDescent="0.2">
      <c r="B543" s="102"/>
      <c r="C543" s="67"/>
      <c r="D543" s="103"/>
      <c r="E543" s="14"/>
      <c r="F543" s="14"/>
      <c r="G543" s="15">
        <f>IFERROR(+VLOOKUP(D:D,'Data Base P.Asuhan &amp; Jompo'!B:I,7,0),0)</f>
        <v>0</v>
      </c>
      <c r="H543" s="258"/>
      <c r="I543" s="258">
        <f>List346[[#This Row],[Pengajuan Donasi]]</f>
        <v>0</v>
      </c>
      <c r="J543" s="214" t="str">
        <f>IF(List346[[#This Row],[Tanggal Trf]]&gt;0,"Done","-")</f>
        <v>-</v>
      </c>
      <c r="K543" s="445"/>
      <c r="L543" s="221"/>
      <c r="M543" s="403"/>
      <c r="N543" s="100">
        <f>MONTH(List346[[#This Row],[Tanggal Pengajuan]])</f>
        <v>1</v>
      </c>
      <c r="O543" s="183"/>
      <c r="P543" s="105"/>
      <c r="Q543" s="111"/>
      <c r="R543" s="367"/>
      <c r="T543" s="152">
        <f>+List346[[#This Row],[Pengajuan Donasi]]-List346[[#This Row],[Jumlah Transfer]]</f>
        <v>0</v>
      </c>
    </row>
    <row r="544" spans="2:20" ht="15.75" x14ac:dyDescent="0.2">
      <c r="B544" s="102"/>
      <c r="C544" s="67"/>
      <c r="D544" s="103"/>
      <c r="E544" s="14"/>
      <c r="F544" s="14"/>
      <c r="G544" s="15">
        <f>IFERROR(+VLOOKUP(D:D,'Data Base P.Asuhan &amp; Jompo'!B:I,7,0),0)</f>
        <v>0</v>
      </c>
      <c r="H544" s="258"/>
      <c r="I544" s="258">
        <f>List346[[#This Row],[Pengajuan Donasi]]</f>
        <v>0</v>
      </c>
      <c r="J544" s="214" t="str">
        <f>IF(List346[[#This Row],[Tanggal Trf]]&gt;0,"Done","-")</f>
        <v>-</v>
      </c>
      <c r="K544" s="445"/>
      <c r="L544" s="221"/>
      <c r="M544" s="403"/>
      <c r="N544" s="100">
        <f>MONTH(List346[[#This Row],[Tanggal Pengajuan]])</f>
        <v>1</v>
      </c>
      <c r="O544" s="183"/>
      <c r="P544" s="105"/>
      <c r="Q544" s="111"/>
      <c r="R544" s="367"/>
      <c r="T544" s="152">
        <f>+List346[[#This Row],[Pengajuan Donasi]]-List346[[#This Row],[Jumlah Transfer]]</f>
        <v>0</v>
      </c>
    </row>
    <row r="545" spans="2:20" ht="15.75" x14ac:dyDescent="0.2">
      <c r="B545" s="102"/>
      <c r="C545" s="67"/>
      <c r="D545" s="103"/>
      <c r="E545" s="14"/>
      <c r="F545" s="14"/>
      <c r="G545" s="15">
        <f>IFERROR(+VLOOKUP(D:D,'Data Base P.Asuhan &amp; Jompo'!B:I,7,0),0)</f>
        <v>0</v>
      </c>
      <c r="H545" s="258"/>
      <c r="I545" s="258">
        <f>List346[[#This Row],[Pengajuan Donasi]]</f>
        <v>0</v>
      </c>
      <c r="J545" s="214" t="str">
        <f>IF(List346[[#This Row],[Tanggal Trf]]&gt;0,"Done","-")</f>
        <v>-</v>
      </c>
      <c r="K545" s="445"/>
      <c r="L545" s="221"/>
      <c r="M545" s="931"/>
      <c r="N545" s="100">
        <f>MONTH(List346[[#This Row],[Tanggal Pengajuan]])</f>
        <v>1</v>
      </c>
      <c r="O545" s="183"/>
      <c r="P545" s="105"/>
      <c r="Q545" s="111"/>
      <c r="R545" s="367"/>
      <c r="T545" s="152">
        <f>+List346[[#This Row],[Pengajuan Donasi]]-List346[[#This Row],[Jumlah Transfer]]</f>
        <v>0</v>
      </c>
    </row>
    <row r="546" spans="2:20" ht="15.75" x14ac:dyDescent="0.2">
      <c r="B546" s="102"/>
      <c r="C546" s="67"/>
      <c r="D546" s="103"/>
      <c r="E546" s="14"/>
      <c r="F546" s="14"/>
      <c r="G546" s="15">
        <f>IFERROR(+VLOOKUP(D:D,'Data Base P.Asuhan &amp; Jompo'!B:I,7,0),0)</f>
        <v>0</v>
      </c>
      <c r="H546" s="258"/>
      <c r="I546" s="258">
        <f>List346[[#This Row],[Pengajuan Donasi]]</f>
        <v>0</v>
      </c>
      <c r="J546" s="213" t="str">
        <f>IF(List346[[#This Row],[Tanggal Trf]]&gt;0,"Done","-")</f>
        <v>-</v>
      </c>
      <c r="K546" s="445"/>
      <c r="L546" s="221"/>
      <c r="M546" s="403"/>
      <c r="N546" s="100">
        <f>MONTH(List346[[#This Row],[Tanggal Pengajuan]])</f>
        <v>1</v>
      </c>
      <c r="O546" s="183"/>
      <c r="P546" s="105"/>
      <c r="Q546" s="111"/>
      <c r="R546" s="367"/>
      <c r="T546" s="152">
        <f>+List346[[#This Row],[Pengajuan Donasi]]-List346[[#This Row],[Jumlah Transfer]]</f>
        <v>0</v>
      </c>
    </row>
    <row r="547" spans="2:20" ht="15.75" x14ac:dyDescent="0.2">
      <c r="B547" s="102"/>
      <c r="C547" s="67"/>
      <c r="D547" s="103"/>
      <c r="E547" s="14"/>
      <c r="F547" s="14"/>
      <c r="G547" s="15">
        <f>IFERROR(+VLOOKUP(D:D,'Data Base P.Asuhan &amp; Jompo'!B:I,7,0),0)</f>
        <v>0</v>
      </c>
      <c r="H547" s="258"/>
      <c r="I547" s="258">
        <f>List346[[#This Row],[Pengajuan Donasi]]</f>
        <v>0</v>
      </c>
      <c r="J547" s="213" t="str">
        <f>IF(List346[[#This Row],[Tanggal Trf]]&gt;0,"Done","-")</f>
        <v>-</v>
      </c>
      <c r="K547" s="445"/>
      <c r="L547" s="221"/>
      <c r="M547" s="403"/>
      <c r="N547" s="100">
        <f>MONTH(List346[[#This Row],[Tanggal Pengajuan]])</f>
        <v>1</v>
      </c>
      <c r="O547" s="183"/>
      <c r="P547" s="105"/>
      <c r="Q547" s="111"/>
      <c r="R547" s="367"/>
      <c r="T547" s="152">
        <f>+List346[[#This Row],[Pengajuan Donasi]]-List346[[#This Row],[Jumlah Transfer]]</f>
        <v>0</v>
      </c>
    </row>
    <row r="548" spans="2:20" ht="15.75" x14ac:dyDescent="0.2">
      <c r="B548" s="102"/>
      <c r="C548" s="67"/>
      <c r="D548" s="103"/>
      <c r="E548" s="14"/>
      <c r="F548" s="14"/>
      <c r="G548" s="15">
        <f>IFERROR(+VLOOKUP(D:D,'Data Base P.Asuhan &amp; Jompo'!B:I,7,0),0)</f>
        <v>0</v>
      </c>
      <c r="H548" s="258"/>
      <c r="I548" s="258">
        <f>List346[[#This Row],[Pengajuan Donasi]]</f>
        <v>0</v>
      </c>
      <c r="J548" s="213" t="str">
        <f>IF(List346[[#This Row],[Tanggal Trf]]&gt;0,"Done","-")</f>
        <v>-</v>
      </c>
      <c r="K548" s="445"/>
      <c r="L548" s="221"/>
      <c r="M548" s="403"/>
      <c r="N548" s="100">
        <f>MONTH(List346[[#This Row],[Tanggal Pengajuan]])</f>
        <v>1</v>
      </c>
      <c r="O548" s="183"/>
      <c r="P548" s="105"/>
      <c r="Q548" s="111"/>
      <c r="R548" s="367"/>
      <c r="T548" s="152">
        <f>+List346[[#This Row],[Pengajuan Donasi]]-List346[[#This Row],[Jumlah Transfer]]</f>
        <v>0</v>
      </c>
    </row>
    <row r="549" spans="2:20" ht="15.75" x14ac:dyDescent="0.2">
      <c r="B549" s="102"/>
      <c r="C549" s="67"/>
      <c r="D549" s="103"/>
      <c r="E549" s="14"/>
      <c r="F549" s="14"/>
      <c r="G549" s="15">
        <f>IFERROR(+VLOOKUP(D:D,'Data Base P.Asuhan &amp; Jompo'!B:I,7,0),0)</f>
        <v>0</v>
      </c>
      <c r="H549" s="258"/>
      <c r="I549" s="258">
        <f>List346[[#This Row],[Pengajuan Donasi]]</f>
        <v>0</v>
      </c>
      <c r="J549" s="213" t="str">
        <f>IF(List346[[#This Row],[Tanggal Trf]]&gt;0,"Done","-")</f>
        <v>-</v>
      </c>
      <c r="K549" s="445"/>
      <c r="L549" s="221"/>
      <c r="M549" s="931"/>
      <c r="N549" s="100">
        <f>MONTH(List346[[#This Row],[Tanggal Pengajuan]])</f>
        <v>1</v>
      </c>
      <c r="O549" s="183"/>
      <c r="P549" s="105"/>
      <c r="Q549" s="111"/>
      <c r="R549" s="367"/>
      <c r="T549" s="152">
        <f>+List346[[#This Row],[Pengajuan Donasi]]-List346[[#This Row],[Jumlah Transfer]]</f>
        <v>0</v>
      </c>
    </row>
    <row r="550" spans="2:20" ht="15.75" x14ac:dyDescent="0.2">
      <c r="B550" s="102"/>
      <c r="C550" s="67"/>
      <c r="D550" s="103"/>
      <c r="E550" s="14"/>
      <c r="F550" s="14"/>
      <c r="G550" s="15">
        <f>IFERROR(+VLOOKUP(D:D,'Data Base P.Asuhan &amp; Jompo'!B:I,7,0),0)</f>
        <v>0</v>
      </c>
      <c r="H550" s="258"/>
      <c r="I550" s="258">
        <f>List346[[#This Row],[Pengajuan Donasi]]</f>
        <v>0</v>
      </c>
      <c r="J550" s="213" t="str">
        <f>IF(List346[[#This Row],[Tanggal Trf]]&gt;0,"Done","-")</f>
        <v>-</v>
      </c>
      <c r="K550" s="445"/>
      <c r="L550" s="221"/>
      <c r="M550" s="931"/>
      <c r="N550" s="100">
        <f>MONTH(List346[[#This Row],[Tanggal Pengajuan]])</f>
        <v>1</v>
      </c>
      <c r="O550" s="183"/>
      <c r="P550" s="105"/>
      <c r="Q550" s="111"/>
      <c r="R550" s="367"/>
      <c r="T550" s="152">
        <f>+List346[[#This Row],[Pengajuan Donasi]]-List346[[#This Row],[Jumlah Transfer]]</f>
        <v>0</v>
      </c>
    </row>
    <row r="551" spans="2:20" ht="15.75" x14ac:dyDescent="0.2">
      <c r="B551" s="102"/>
      <c r="C551" s="67"/>
      <c r="D551" s="103"/>
      <c r="E551" s="14"/>
      <c r="F551" s="14"/>
      <c r="G551" s="15">
        <f>IFERROR(+VLOOKUP(D:D,'Data Base P.Asuhan &amp; Jompo'!B:I,7,0),0)</f>
        <v>0</v>
      </c>
      <c r="H551" s="258"/>
      <c r="I551" s="258">
        <f>List346[[#This Row],[Pengajuan Donasi]]</f>
        <v>0</v>
      </c>
      <c r="J551" s="213" t="str">
        <f>IF(List346[[#This Row],[Tanggal Trf]]&gt;0,"Done","-")</f>
        <v>-</v>
      </c>
      <c r="K551" s="445"/>
      <c r="L551" s="221"/>
      <c r="M551" s="931"/>
      <c r="N551" s="100">
        <f>MONTH(List346[[#This Row],[Tanggal Pengajuan]])</f>
        <v>1</v>
      </c>
      <c r="O551" s="183"/>
      <c r="P551" s="105"/>
      <c r="Q551" s="111"/>
      <c r="R551" s="367"/>
      <c r="T551" s="152">
        <f>+List346[[#This Row],[Pengajuan Donasi]]-List346[[#This Row],[Jumlah Transfer]]</f>
        <v>0</v>
      </c>
    </row>
    <row r="552" spans="2:20" ht="15.75" x14ac:dyDescent="0.2">
      <c r="B552" s="102"/>
      <c r="C552" s="67"/>
      <c r="D552" s="103"/>
      <c r="E552" s="14"/>
      <c r="F552" s="14"/>
      <c r="G552" s="15">
        <f>IFERROR(+VLOOKUP(D:D,'Data Base P.Asuhan &amp; Jompo'!B:I,7,0),0)</f>
        <v>0</v>
      </c>
      <c r="H552" s="258"/>
      <c r="I552" s="258">
        <f>List346[[#This Row],[Pengajuan Donasi]]</f>
        <v>0</v>
      </c>
      <c r="J552" s="213" t="str">
        <f>IF(List346[[#This Row],[Tanggal Trf]]&gt;0,"Done","-")</f>
        <v>-</v>
      </c>
      <c r="K552" s="445"/>
      <c r="L552" s="221"/>
      <c r="M552" s="931"/>
      <c r="N552" s="100">
        <f>MONTH(List346[[#This Row],[Tanggal Pengajuan]])</f>
        <v>1</v>
      </c>
      <c r="O552" s="183"/>
      <c r="P552" s="105"/>
      <c r="Q552" s="111"/>
      <c r="R552" s="367"/>
      <c r="T552" s="152">
        <f>+List346[[#This Row],[Pengajuan Donasi]]-List346[[#This Row],[Jumlah Transfer]]</f>
        <v>0</v>
      </c>
    </row>
    <row r="553" spans="2:20" ht="15.75" x14ac:dyDescent="0.2">
      <c r="B553" s="102"/>
      <c r="C553" s="67"/>
      <c r="D553" s="103"/>
      <c r="E553" s="14"/>
      <c r="F553" s="14"/>
      <c r="G553" s="15">
        <f>IFERROR(+VLOOKUP(D:D,'Data Base P.Asuhan &amp; Jompo'!B:I,7,0),0)</f>
        <v>0</v>
      </c>
      <c r="H553" s="258"/>
      <c r="I553" s="258">
        <f>List346[[#This Row],[Pengajuan Donasi]]</f>
        <v>0</v>
      </c>
      <c r="J553" s="213" t="str">
        <f>IF(List346[[#This Row],[Tanggal Trf]]&gt;0,"Done","-")</f>
        <v>-</v>
      </c>
      <c r="K553" s="445"/>
      <c r="L553" s="221"/>
      <c r="M553" s="403"/>
      <c r="N553" s="100">
        <f>MONTH(List346[[#This Row],[Tanggal Pengajuan]])</f>
        <v>1</v>
      </c>
      <c r="O553" s="183"/>
      <c r="P553" s="105"/>
      <c r="Q553" s="111"/>
      <c r="R553" s="367"/>
      <c r="T553" s="152">
        <f>+List346[[#This Row],[Pengajuan Donasi]]-List346[[#This Row],[Jumlah Transfer]]</f>
        <v>0</v>
      </c>
    </row>
    <row r="554" spans="2:20" ht="15.75" x14ac:dyDescent="0.2">
      <c r="B554" s="102"/>
      <c r="C554" s="67"/>
      <c r="D554" s="103"/>
      <c r="E554" s="14"/>
      <c r="F554" s="14"/>
      <c r="G554" s="15">
        <f>IFERROR(+VLOOKUP(D:D,'Data Base P.Asuhan &amp; Jompo'!B:I,7,0),0)</f>
        <v>0</v>
      </c>
      <c r="H554" s="258"/>
      <c r="I554" s="258">
        <f>List346[[#This Row],[Pengajuan Donasi]]</f>
        <v>0</v>
      </c>
      <c r="J554" s="213" t="str">
        <f>IF(List346[[#This Row],[Tanggal Trf]]&gt;0,"Done","-")</f>
        <v>-</v>
      </c>
      <c r="K554" s="445"/>
      <c r="L554" s="221"/>
      <c r="M554" s="403"/>
      <c r="N554" s="100">
        <f>MONTH(List346[[#This Row],[Tanggal Pengajuan]])</f>
        <v>1</v>
      </c>
      <c r="O554" s="183"/>
      <c r="P554" s="105"/>
      <c r="Q554" s="111"/>
      <c r="R554" s="367"/>
      <c r="T554" s="152">
        <f>+List346[[#This Row],[Pengajuan Donasi]]-List346[[#This Row],[Jumlah Transfer]]</f>
        <v>0</v>
      </c>
    </row>
    <row r="555" spans="2:20" ht="15.75" x14ac:dyDescent="0.2">
      <c r="B555" s="102"/>
      <c r="C555" s="67"/>
      <c r="D555" s="14"/>
      <c r="E555" s="14"/>
      <c r="F555" s="14"/>
      <c r="G555" s="15">
        <f>IFERROR(+VLOOKUP(D:D,'Data Base P.Asuhan &amp; Jompo'!B:I,7,0),0)</f>
        <v>0</v>
      </c>
      <c r="H555" s="258"/>
      <c r="I555" s="258">
        <f>List346[[#This Row],[Pengajuan Donasi]]</f>
        <v>0</v>
      </c>
      <c r="J555" s="213" t="str">
        <f>IF(List346[[#This Row],[Tanggal Trf]]&gt;0,"Done","-")</f>
        <v>-</v>
      </c>
      <c r="K555" s="437"/>
      <c r="L555" s="221"/>
      <c r="M555" s="404"/>
      <c r="N555" s="100">
        <f>MONTH(List346[[#This Row],[Tanggal Pengajuan]])</f>
        <v>1</v>
      </c>
      <c r="O555" s="183"/>
      <c r="P555" s="105"/>
      <c r="Q555" s="111"/>
      <c r="R555" s="367"/>
      <c r="T555" s="152">
        <f>+List346[[#This Row],[Pengajuan Donasi]]-List346[[#This Row],[Jumlah Transfer]]</f>
        <v>0</v>
      </c>
    </row>
    <row r="556" spans="2:20" ht="15.75" x14ac:dyDescent="0.2">
      <c r="B556" s="102"/>
      <c r="C556" s="67"/>
      <c r="D556" s="14"/>
      <c r="E556" s="103"/>
      <c r="F556" s="103"/>
      <c r="G556" s="15">
        <f>IFERROR(+VLOOKUP(D:D,'Data Base P.Asuhan &amp; Jompo'!B:I,7,0),0)</f>
        <v>0</v>
      </c>
      <c r="H556" s="258"/>
      <c r="I556" s="258">
        <f>List346[[#This Row],[Pengajuan Donasi]]</f>
        <v>0</v>
      </c>
      <c r="J556" s="213" t="str">
        <f>IF(List346[[#This Row],[Tanggal Trf]]&gt;0,"Done","-")</f>
        <v>-</v>
      </c>
      <c r="K556" s="445"/>
      <c r="L556" s="221"/>
      <c r="M556" s="403"/>
      <c r="N556" s="100">
        <f>MONTH(List346[[#This Row],[Tanggal Pengajuan]])</f>
        <v>1</v>
      </c>
      <c r="O556" s="183"/>
      <c r="P556" s="105"/>
      <c r="Q556" s="111"/>
      <c r="R556" s="367"/>
      <c r="T556" s="152">
        <f>+List346[[#This Row],[Pengajuan Donasi]]-List346[[#This Row],[Jumlah Transfer]]</f>
        <v>0</v>
      </c>
    </row>
    <row r="557" spans="2:20" ht="15.75" x14ac:dyDescent="0.2">
      <c r="B557" s="102"/>
      <c r="C557" s="181"/>
      <c r="D557" s="14"/>
      <c r="E557" s="103"/>
      <c r="F557" s="103"/>
      <c r="G557" s="15">
        <f>IFERROR(+VLOOKUP(D:D,'Data Base P.Asuhan &amp; Jompo'!B:I,7,0),0)</f>
        <v>0</v>
      </c>
      <c r="H557" s="258"/>
      <c r="I557" s="258">
        <f>List346[[#This Row],[Pengajuan Donasi]]</f>
        <v>0</v>
      </c>
      <c r="J557" s="213" t="str">
        <f>IF(List346[[#This Row],[Tanggal Trf]]&gt;0,"Done","-")</f>
        <v>-</v>
      </c>
      <c r="K557" s="445"/>
      <c r="L557" s="221"/>
      <c r="M557" s="403"/>
      <c r="N557" s="100">
        <f>MONTH(List346[[#This Row],[Tanggal Pengajuan]])</f>
        <v>1</v>
      </c>
      <c r="O557" s="183"/>
      <c r="P557" s="105"/>
      <c r="Q557" s="111"/>
      <c r="R557" s="367"/>
      <c r="T557" s="152">
        <f>+List346[[#This Row],[Pengajuan Donasi]]-List346[[#This Row],[Jumlah Transfer]]</f>
        <v>0</v>
      </c>
    </row>
    <row r="558" spans="2:20" ht="15.75" x14ac:dyDescent="0.2">
      <c r="B558" s="102"/>
      <c r="C558" s="181"/>
      <c r="D558" s="14"/>
      <c r="E558" s="176"/>
      <c r="F558" s="103"/>
      <c r="G558" s="15">
        <f>IFERROR(+VLOOKUP(D:D,'Data Base P.Asuhan &amp; Jompo'!B:I,7,0),0)</f>
        <v>0</v>
      </c>
      <c r="H558" s="258"/>
      <c r="I558" s="258">
        <f>List346[[#This Row],[Pengajuan Donasi]]</f>
        <v>0</v>
      </c>
      <c r="J558" s="213" t="str">
        <f>IF(List346[[#This Row],[Tanggal Trf]]&gt;0,"Done","-")</f>
        <v>-</v>
      </c>
      <c r="K558" s="445"/>
      <c r="L558" s="221"/>
      <c r="M558" s="403"/>
      <c r="N558" s="100">
        <f>MONTH(List346[[#This Row],[Tanggal Pengajuan]])</f>
        <v>1</v>
      </c>
      <c r="O558" s="183"/>
      <c r="P558" s="105"/>
      <c r="Q558" s="111"/>
      <c r="R558" s="367"/>
      <c r="T558" s="152">
        <f>+List346[[#This Row],[Pengajuan Donasi]]-List346[[#This Row],[Jumlah Transfer]]</f>
        <v>0</v>
      </c>
    </row>
    <row r="559" spans="2:20" ht="15.75" x14ac:dyDescent="0.2">
      <c r="B559" s="102"/>
      <c r="C559" s="67"/>
      <c r="D559" s="14"/>
      <c r="E559" s="14"/>
      <c r="F559" s="103"/>
      <c r="G559" s="15">
        <f>IFERROR(+VLOOKUP(D:D,'Data Base P.Asuhan &amp; Jompo'!B:I,7,0),0)</f>
        <v>0</v>
      </c>
      <c r="H559" s="258"/>
      <c r="I559" s="258">
        <f>List346[[#This Row],[Pengajuan Donasi]]</f>
        <v>0</v>
      </c>
      <c r="J559" s="213" t="str">
        <f>IF(List346[[#This Row],[Tanggal Trf]]&gt;0,"Done","-")</f>
        <v>-</v>
      </c>
      <c r="K559" s="445"/>
      <c r="L559" s="221"/>
      <c r="M559" s="403"/>
      <c r="N559" s="100">
        <f>MONTH(List346[[#This Row],[Tanggal Pengajuan]])</f>
        <v>1</v>
      </c>
      <c r="O559" s="183"/>
      <c r="P559" s="105"/>
      <c r="Q559" s="111"/>
      <c r="R559" s="367"/>
      <c r="T559" s="152">
        <f>+List346[[#This Row],[Pengajuan Donasi]]-List346[[#This Row],[Jumlah Transfer]]</f>
        <v>0</v>
      </c>
    </row>
    <row r="560" spans="2:20" ht="15.75" x14ac:dyDescent="0.2">
      <c r="B560" s="102"/>
      <c r="C560" s="67"/>
      <c r="D560" s="14"/>
      <c r="E560" s="103"/>
      <c r="F560" s="103"/>
      <c r="G560" s="15">
        <f>IFERROR(+VLOOKUP(D:D,'Data Base P.Asuhan &amp; Jompo'!B:I,7,0),0)</f>
        <v>0</v>
      </c>
      <c r="H560" s="267"/>
      <c r="I560" s="258">
        <f>List346[[#This Row],[Pengajuan Donasi]]</f>
        <v>0</v>
      </c>
      <c r="J560" s="213" t="str">
        <f>IF(List346[[#This Row],[Tanggal Trf]]&gt;0,"Done","-")</f>
        <v>-</v>
      </c>
      <c r="K560" s="437"/>
      <c r="L560" s="221"/>
      <c r="M560" s="403"/>
      <c r="N560" s="100">
        <f>MONTH(List346[[#This Row],[Tanggal Pengajuan]])</f>
        <v>1</v>
      </c>
      <c r="O560" s="183"/>
      <c r="P560" s="105"/>
      <c r="Q560" s="111"/>
      <c r="R560" s="367"/>
      <c r="T560" s="152">
        <f>+List346[[#This Row],[Pengajuan Donasi]]-List346[[#This Row],[Jumlah Transfer]]</f>
        <v>0</v>
      </c>
    </row>
    <row r="561" spans="2:20" ht="15.75" x14ac:dyDescent="0.2">
      <c r="B561" s="102"/>
      <c r="C561" s="67"/>
      <c r="D561" s="14"/>
      <c r="E561" s="103"/>
      <c r="F561" s="103"/>
      <c r="G561" s="15">
        <f>IFERROR(+VLOOKUP(D:D,'Data Base P.Asuhan &amp; Jompo'!B:I,7,0),0)</f>
        <v>0</v>
      </c>
      <c r="H561" s="258"/>
      <c r="I561" s="258">
        <f>List346[[#This Row],[Pengajuan Donasi]]</f>
        <v>0</v>
      </c>
      <c r="J561" s="213" t="str">
        <f>IF(List346[[#This Row],[Tanggal Trf]]&gt;0,"Done","-")</f>
        <v>-</v>
      </c>
      <c r="K561" s="437"/>
      <c r="L561" s="221"/>
      <c r="M561" s="403"/>
      <c r="N561" s="100">
        <f>MONTH(List346[[#This Row],[Tanggal Pengajuan]])</f>
        <v>1</v>
      </c>
      <c r="O561" s="183"/>
      <c r="P561" s="105"/>
      <c r="Q561" s="111"/>
      <c r="R561" s="367"/>
      <c r="T561" s="152">
        <f>+List346[[#This Row],[Pengajuan Donasi]]-List346[[#This Row],[Jumlah Transfer]]</f>
        <v>0</v>
      </c>
    </row>
    <row r="562" spans="2:20" ht="15.75" x14ac:dyDescent="0.2">
      <c r="B562" s="102"/>
      <c r="C562" s="67"/>
      <c r="D562" s="14"/>
      <c r="E562" s="103"/>
      <c r="F562" s="103"/>
      <c r="G562" s="15">
        <f>IFERROR(+VLOOKUP(D:D,'Data Base P.Asuhan &amp; Jompo'!B:I,7,0),0)</f>
        <v>0</v>
      </c>
      <c r="H562" s="258"/>
      <c r="I562" s="258">
        <f>List346[[#This Row],[Pengajuan Donasi]]</f>
        <v>0</v>
      </c>
      <c r="J562" s="213" t="str">
        <f>IF(List346[[#This Row],[Tanggal Trf]]&gt;0,"Done","-")</f>
        <v>-</v>
      </c>
      <c r="K562" s="437"/>
      <c r="L562" s="221"/>
      <c r="M562" s="403"/>
      <c r="N562" s="100">
        <f>MONTH(List346[[#This Row],[Tanggal Pengajuan]])</f>
        <v>1</v>
      </c>
      <c r="O562" s="183"/>
      <c r="P562" s="105"/>
      <c r="Q562" s="111"/>
      <c r="R562" s="367"/>
      <c r="T562" s="152">
        <f>+List346[[#This Row],[Pengajuan Donasi]]-List346[[#This Row],[Jumlah Transfer]]</f>
        <v>0</v>
      </c>
    </row>
    <row r="563" spans="2:20" ht="15.75" x14ac:dyDescent="0.2">
      <c r="B563" s="102"/>
      <c r="C563" s="67"/>
      <c r="D563" s="14"/>
      <c r="E563" s="103"/>
      <c r="F563" s="103"/>
      <c r="G563" s="15">
        <f>IFERROR(+VLOOKUP(D:D,'Data Base P.Asuhan &amp; Jompo'!B:I,7,0),0)</f>
        <v>0</v>
      </c>
      <c r="H563" s="258"/>
      <c r="I563" s="258">
        <f>List346[[#This Row],[Pengajuan Donasi]]</f>
        <v>0</v>
      </c>
      <c r="J563" s="213" t="str">
        <f>IF(List346[[#This Row],[Tanggal Trf]]&gt;0,"Done","-")</f>
        <v>-</v>
      </c>
      <c r="K563" s="437"/>
      <c r="L563" s="221"/>
      <c r="M563" s="403"/>
      <c r="N563" s="100">
        <f>MONTH(List346[[#This Row],[Tanggal Pengajuan]])</f>
        <v>1</v>
      </c>
      <c r="O563" s="183"/>
      <c r="P563" s="105"/>
      <c r="Q563" s="111"/>
      <c r="R563" s="367"/>
      <c r="T563" s="152">
        <f>+List346[[#This Row],[Pengajuan Donasi]]-List346[[#This Row],[Jumlah Transfer]]</f>
        <v>0</v>
      </c>
    </row>
    <row r="564" spans="2:20" ht="15.75" x14ac:dyDescent="0.2">
      <c r="B564" s="102"/>
      <c r="C564" s="67"/>
      <c r="D564" s="14"/>
      <c r="E564" s="103"/>
      <c r="F564" s="103"/>
      <c r="G564" s="15">
        <f>IFERROR(+VLOOKUP(D:D,'Data Base P.Asuhan &amp; Jompo'!B:I,7,0),0)</f>
        <v>0</v>
      </c>
      <c r="H564" s="258"/>
      <c r="I564" s="258">
        <f>List346[[#This Row],[Pengajuan Donasi]]</f>
        <v>0</v>
      </c>
      <c r="J564" s="213" t="str">
        <f>IF(List346[[#This Row],[Tanggal Trf]]&gt;0,"Done","-")</f>
        <v>-</v>
      </c>
      <c r="K564" s="437"/>
      <c r="L564" s="221"/>
      <c r="M564" s="403"/>
      <c r="N564" s="100">
        <f>MONTH(List346[[#This Row],[Tanggal Pengajuan]])</f>
        <v>1</v>
      </c>
      <c r="O564" s="183"/>
      <c r="P564" s="105"/>
      <c r="Q564" s="111"/>
      <c r="R564" s="367"/>
      <c r="T564" s="152">
        <f>+List346[[#This Row],[Pengajuan Donasi]]-List346[[#This Row],[Jumlah Transfer]]</f>
        <v>0</v>
      </c>
    </row>
    <row r="565" spans="2:20" ht="15.75" x14ac:dyDescent="0.2">
      <c r="B565" s="13"/>
      <c r="C565" s="67"/>
      <c r="D565" s="14"/>
      <c r="E565" s="103"/>
      <c r="F565" s="103"/>
      <c r="G565" s="15">
        <f>IFERROR(+VLOOKUP(D:D,'Data Base P.Asuhan &amp; Jompo'!B:I,7,0),0)</f>
        <v>0</v>
      </c>
      <c r="H565" s="258"/>
      <c r="I565" s="258">
        <f>List346[[#This Row],[Pengajuan Donasi]]</f>
        <v>0</v>
      </c>
      <c r="J565" s="214" t="str">
        <f>IF(List346[[#This Row],[Tanggal Trf]]&gt;0,"Done","-")</f>
        <v>-</v>
      </c>
      <c r="K565" s="452"/>
      <c r="L565" s="221"/>
      <c r="M565" s="406"/>
      <c r="N565" s="100">
        <f>MONTH(List346[[#This Row],[Tanggal Pengajuan]])</f>
        <v>1</v>
      </c>
      <c r="O565" s="183"/>
      <c r="P565" s="105"/>
      <c r="Q565" s="111"/>
      <c r="R565" s="367"/>
      <c r="T565" s="152">
        <f>+List346[[#This Row],[Pengajuan Donasi]]-List346[[#This Row],[Jumlah Transfer]]</f>
        <v>0</v>
      </c>
    </row>
    <row r="566" spans="2:20" ht="15.75" x14ac:dyDescent="0.2">
      <c r="B566" s="13"/>
      <c r="C566" s="67"/>
      <c r="D566" s="103"/>
      <c r="E566" s="103"/>
      <c r="F566" s="103"/>
      <c r="G566" s="15">
        <f>IFERROR(+VLOOKUP(D:D,'Data Base P.Asuhan &amp; Jompo'!B:I,7,0),0)</f>
        <v>0</v>
      </c>
      <c r="H566" s="258"/>
      <c r="I566" s="258">
        <f>List346[[#This Row],[Pengajuan Donasi]]</f>
        <v>0</v>
      </c>
      <c r="J566" s="214" t="str">
        <f>IF(List346[[#This Row],[Tanggal Trf]]&gt;0,"Done","-")</f>
        <v>-</v>
      </c>
      <c r="K566" s="437"/>
      <c r="L566" s="221"/>
      <c r="M566" s="403"/>
      <c r="N566" s="100">
        <f>MONTH(List346[[#This Row],[Tanggal Pengajuan]])</f>
        <v>1</v>
      </c>
      <c r="O566" s="183"/>
      <c r="P566" s="105"/>
      <c r="Q566" s="111"/>
      <c r="R566" s="367"/>
      <c r="T566" s="152">
        <f>+List346[[#This Row],[Pengajuan Donasi]]-List346[[#This Row],[Jumlah Transfer]]</f>
        <v>0</v>
      </c>
    </row>
    <row r="567" spans="2:20" ht="15.75" x14ac:dyDescent="0.2">
      <c r="B567" s="13"/>
      <c r="C567" s="67"/>
      <c r="D567" s="103"/>
      <c r="E567" s="103"/>
      <c r="F567" s="103"/>
      <c r="G567" s="15">
        <f>IFERROR(+VLOOKUP(D:D,'Data Base P.Asuhan &amp; Jompo'!B:I,7,0),0)</f>
        <v>0</v>
      </c>
      <c r="H567" s="258"/>
      <c r="I567" s="258">
        <f>List346[[#This Row],[Pengajuan Donasi]]</f>
        <v>0</v>
      </c>
      <c r="J567" s="213" t="str">
        <f>IF(List346[[#This Row],[Tanggal Trf]]&gt;0,"Done","-")</f>
        <v>-</v>
      </c>
      <c r="K567" s="445"/>
      <c r="L567" s="220"/>
      <c r="M567" s="403"/>
      <c r="N567" s="100">
        <f>MONTH(List346[[#This Row],[Tanggal Pengajuan]])</f>
        <v>1</v>
      </c>
      <c r="O567" s="183"/>
      <c r="P567" s="105"/>
      <c r="Q567" s="111"/>
      <c r="R567" s="367"/>
      <c r="T567" s="152">
        <f>+List346[[#This Row],[Pengajuan Donasi]]-List346[[#This Row],[Jumlah Transfer]]</f>
        <v>0</v>
      </c>
    </row>
    <row r="568" spans="2:20" ht="15.75" x14ac:dyDescent="0.2">
      <c r="B568" s="13"/>
      <c r="C568" s="67"/>
      <c r="D568" s="14"/>
      <c r="E568" s="103"/>
      <c r="F568" s="103"/>
      <c r="G568" s="15">
        <f>IFERROR(+VLOOKUP(D:D,'Data Base P.Asuhan &amp; Jompo'!B:I,7,0),0)</f>
        <v>0</v>
      </c>
      <c r="H568" s="258"/>
      <c r="I568" s="258">
        <f>List346[[#This Row],[Pengajuan Donasi]]</f>
        <v>0</v>
      </c>
      <c r="J568" s="213" t="str">
        <f>IF(List346[[#This Row],[Tanggal Trf]]&gt;0,"Done","-")</f>
        <v>-</v>
      </c>
      <c r="K568" s="445"/>
      <c r="L568" s="223"/>
      <c r="M568" s="100"/>
      <c r="N568" s="100">
        <f>MONTH(List346[[#This Row],[Tanggal Pengajuan]])</f>
        <v>1</v>
      </c>
      <c r="O568" s="183"/>
      <c r="P568" s="105"/>
      <c r="Q568" s="111"/>
      <c r="R568" s="367"/>
      <c r="T568" s="152">
        <f>+List346[[#This Row],[Pengajuan Donasi]]-List346[[#This Row],[Jumlah Transfer]]</f>
        <v>0</v>
      </c>
    </row>
    <row r="569" spans="2:20" ht="15.75" x14ac:dyDescent="0.2">
      <c r="B569" s="13"/>
      <c r="C569" s="67"/>
      <c r="D569" s="14"/>
      <c r="E569" s="103"/>
      <c r="F569" s="103"/>
      <c r="G569" s="15">
        <f>IFERROR(+VLOOKUP(D:D,'Data Base P.Asuhan &amp; Jompo'!B:I,7,0),0)</f>
        <v>0</v>
      </c>
      <c r="H569" s="258"/>
      <c r="I569" s="258">
        <f>List346[[#This Row],[Pengajuan Donasi]]</f>
        <v>0</v>
      </c>
      <c r="J569" s="213" t="str">
        <f>IF(List346[[#This Row],[Tanggal Trf]]&gt;0,"Done","-")</f>
        <v>-</v>
      </c>
      <c r="K569" s="445"/>
      <c r="L569" s="223"/>
      <c r="M569" s="100"/>
      <c r="N569" s="100">
        <f>MONTH(List346[[#This Row],[Tanggal Pengajuan]])</f>
        <v>1</v>
      </c>
      <c r="O569" s="183"/>
      <c r="P569" s="105"/>
      <c r="Q569" s="111"/>
      <c r="R569" s="367"/>
      <c r="T569" s="152">
        <f>+List346[[#This Row],[Pengajuan Donasi]]-List346[[#This Row],[Jumlah Transfer]]</f>
        <v>0</v>
      </c>
    </row>
    <row r="570" spans="2:20" ht="15.75" x14ac:dyDescent="0.2">
      <c r="B570" s="13"/>
      <c r="C570" s="67"/>
      <c r="D570" s="14"/>
      <c r="E570" s="103"/>
      <c r="F570" s="103"/>
      <c r="G570" s="15">
        <f>IFERROR(+VLOOKUP(D:D,'Data Base P.Asuhan &amp; Jompo'!B:I,7,0),0)</f>
        <v>0</v>
      </c>
      <c r="H570" s="258"/>
      <c r="I570" s="258">
        <f>List346[[#This Row],[Pengajuan Donasi]]</f>
        <v>0</v>
      </c>
      <c r="J570" s="213" t="str">
        <f>IF(List346[[#This Row],[Tanggal Trf]]&gt;0,"Done","-")</f>
        <v>-</v>
      </c>
      <c r="K570" s="445"/>
      <c r="L570" s="224"/>
      <c r="M570" s="100"/>
      <c r="N570" s="100">
        <f>MONTH(List346[[#This Row],[Tanggal Pengajuan]])</f>
        <v>1</v>
      </c>
      <c r="O570" s="183"/>
      <c r="P570" s="105"/>
      <c r="Q570" s="111"/>
      <c r="R570" s="367"/>
      <c r="T570" s="152">
        <f>+List346[[#This Row],[Pengajuan Donasi]]-List346[[#This Row],[Jumlah Transfer]]</f>
        <v>0</v>
      </c>
    </row>
    <row r="571" spans="2:20" ht="15.75" x14ac:dyDescent="0.2">
      <c r="B571" s="13"/>
      <c r="C571" s="67"/>
      <c r="D571" s="14"/>
      <c r="E571" s="103"/>
      <c r="F571" s="103"/>
      <c r="G571" s="15">
        <f>IFERROR(+VLOOKUP(D:D,'Data Base P.Asuhan &amp; Jompo'!B:I,7,0),0)</f>
        <v>0</v>
      </c>
      <c r="H571" s="258"/>
      <c r="I571" s="258">
        <f>List346[[#This Row],[Pengajuan Donasi]]</f>
        <v>0</v>
      </c>
      <c r="J571" s="213" t="str">
        <f>IF(List346[[#This Row],[Tanggal Trf]]&gt;0,"Done","-")</f>
        <v>-</v>
      </c>
      <c r="K571" s="445"/>
      <c r="L571" s="224"/>
      <c r="M571" s="100"/>
      <c r="N571" s="100">
        <f>MONTH(List346[[#This Row],[Tanggal Pengajuan]])</f>
        <v>1</v>
      </c>
      <c r="O571" s="183"/>
      <c r="P571" s="105"/>
      <c r="Q571" s="111"/>
      <c r="R571" s="367"/>
      <c r="T571" s="152">
        <f>+List346[[#This Row],[Pengajuan Donasi]]-List346[[#This Row],[Jumlah Transfer]]</f>
        <v>0</v>
      </c>
    </row>
    <row r="572" spans="2:20" ht="15.75" x14ac:dyDescent="0.2">
      <c r="B572" s="13"/>
      <c r="C572" s="67"/>
      <c r="D572" s="14"/>
      <c r="E572" s="103"/>
      <c r="F572" s="103"/>
      <c r="G572" s="15">
        <f>IFERROR(+VLOOKUP(D:D,'Data Base P.Asuhan &amp; Jompo'!B:I,7,0),0)</f>
        <v>0</v>
      </c>
      <c r="H572" s="258"/>
      <c r="I572" s="258">
        <f>List346[[#This Row],[Pengajuan Donasi]]</f>
        <v>0</v>
      </c>
      <c r="J572" s="213" t="str">
        <f>IF(List346[[#This Row],[Tanggal Trf]]&gt;0,"Done","-")</f>
        <v>-</v>
      </c>
      <c r="K572" s="445"/>
      <c r="L572" s="224"/>
      <c r="M572" s="100"/>
      <c r="N572" s="100">
        <f>MONTH(List346[[#This Row],[Tanggal Pengajuan]])</f>
        <v>1</v>
      </c>
      <c r="O572" s="183"/>
      <c r="P572" s="105"/>
      <c r="Q572" s="111"/>
      <c r="R572" s="367"/>
      <c r="T572" s="152">
        <f>+List346[[#This Row],[Pengajuan Donasi]]-List346[[#This Row],[Jumlah Transfer]]</f>
        <v>0</v>
      </c>
    </row>
    <row r="573" spans="2:20" ht="15.75" x14ac:dyDescent="0.2">
      <c r="B573" s="13"/>
      <c r="C573" s="67"/>
      <c r="D573" s="14"/>
      <c r="E573" s="103"/>
      <c r="F573" s="103"/>
      <c r="G573" s="15">
        <f>IFERROR(+VLOOKUP(D:D,'Data Base P.Asuhan &amp; Jompo'!B:I,7,0),0)</f>
        <v>0</v>
      </c>
      <c r="H573" s="258"/>
      <c r="I573" s="258">
        <f>List346[[#This Row],[Pengajuan Donasi]]</f>
        <v>0</v>
      </c>
      <c r="J573" s="213" t="str">
        <f>IF(List346[[#This Row],[Tanggal Trf]]&gt;0,"Done","-")</f>
        <v>-</v>
      </c>
      <c r="K573" s="445"/>
      <c r="L573" s="224"/>
      <c r="M573" s="100"/>
      <c r="N573" s="100">
        <f>MONTH(List346[[#This Row],[Tanggal Pengajuan]])</f>
        <v>1</v>
      </c>
      <c r="O573" s="183"/>
      <c r="P573" s="105"/>
      <c r="Q573" s="111"/>
      <c r="R573" s="367"/>
      <c r="T573" s="152">
        <f>+List346[[#This Row],[Pengajuan Donasi]]-List346[[#This Row],[Jumlah Transfer]]</f>
        <v>0</v>
      </c>
    </row>
    <row r="574" spans="2:20" ht="15.75" x14ac:dyDescent="0.2">
      <c r="B574" s="13"/>
      <c r="C574" s="67"/>
      <c r="D574" s="14"/>
      <c r="E574" s="103"/>
      <c r="F574" s="103"/>
      <c r="G574" s="15">
        <f>IFERROR(+VLOOKUP(D:D,'Data Base P.Asuhan &amp; Jompo'!B:I,7,0),0)</f>
        <v>0</v>
      </c>
      <c r="H574" s="258"/>
      <c r="I574" s="258">
        <f>List346[[#This Row],[Pengajuan Donasi]]</f>
        <v>0</v>
      </c>
      <c r="J574" s="213" t="str">
        <f>IF(List346[[#This Row],[Tanggal Trf]]&gt;0,"Done","-")</f>
        <v>-</v>
      </c>
      <c r="K574" s="445"/>
      <c r="L574" s="224"/>
      <c r="M574" s="100"/>
      <c r="N574" s="100">
        <f>MONTH(List346[[#This Row],[Tanggal Pengajuan]])</f>
        <v>1</v>
      </c>
      <c r="O574" s="183"/>
      <c r="P574" s="105"/>
      <c r="Q574" s="111"/>
      <c r="R574" s="367"/>
      <c r="T574" s="152">
        <f>+List346[[#This Row],[Pengajuan Donasi]]-List346[[#This Row],[Jumlah Transfer]]</f>
        <v>0</v>
      </c>
    </row>
    <row r="575" spans="2:20" ht="15.75" x14ac:dyDescent="0.2">
      <c r="B575" s="13"/>
      <c r="C575" s="67"/>
      <c r="D575" s="14"/>
      <c r="E575" s="103"/>
      <c r="F575" s="103"/>
      <c r="G575" s="15">
        <f>IFERROR(+VLOOKUP(D:D,'Data Base P.Asuhan &amp; Jompo'!B:I,7,0),0)</f>
        <v>0</v>
      </c>
      <c r="H575" s="258"/>
      <c r="I575" s="258">
        <f>List346[[#This Row],[Pengajuan Donasi]]</f>
        <v>0</v>
      </c>
      <c r="J575" s="213" t="str">
        <f>IF(List346[[#This Row],[Tanggal Trf]]&gt;0,"Done","-")</f>
        <v>-</v>
      </c>
      <c r="K575" s="445"/>
      <c r="L575" s="224"/>
      <c r="M575" s="100"/>
      <c r="N575" s="100">
        <f>MONTH(List346[[#This Row],[Tanggal Pengajuan]])</f>
        <v>1</v>
      </c>
      <c r="O575" s="183"/>
      <c r="P575" s="105"/>
      <c r="Q575" s="111"/>
      <c r="R575" s="367"/>
      <c r="T575" s="152">
        <f>+List346[[#This Row],[Pengajuan Donasi]]-List346[[#This Row],[Jumlah Transfer]]</f>
        <v>0</v>
      </c>
    </row>
    <row r="576" spans="2:20" ht="15.75" x14ac:dyDescent="0.2">
      <c r="B576" s="13"/>
      <c r="C576" s="67"/>
      <c r="D576" s="14"/>
      <c r="E576" s="103"/>
      <c r="F576" s="103"/>
      <c r="G576" s="15">
        <f>IFERROR(+VLOOKUP(D:D,'Data Base P.Asuhan &amp; Jompo'!B:I,7,0),0)</f>
        <v>0</v>
      </c>
      <c r="H576" s="258"/>
      <c r="I576" s="258">
        <f>List346[[#This Row],[Pengajuan Donasi]]</f>
        <v>0</v>
      </c>
      <c r="J576" s="213" t="str">
        <f>IF(List346[[#This Row],[Tanggal Trf]]&gt;0,"Done","-")</f>
        <v>-</v>
      </c>
      <c r="K576" s="445"/>
      <c r="L576" s="224"/>
      <c r="M576" s="100"/>
      <c r="N576" s="100">
        <f>MONTH(List346[[#This Row],[Tanggal Pengajuan]])</f>
        <v>1</v>
      </c>
      <c r="O576" s="183"/>
      <c r="P576" s="105"/>
      <c r="Q576" s="111"/>
      <c r="R576" s="367"/>
      <c r="T576" s="152">
        <f>+List346[[#This Row],[Pengajuan Donasi]]-List346[[#This Row],[Jumlah Transfer]]</f>
        <v>0</v>
      </c>
    </row>
    <row r="577" spans="2:20" ht="15.75" x14ac:dyDescent="0.2">
      <c r="B577" s="13"/>
      <c r="C577" s="67"/>
      <c r="D577" s="14"/>
      <c r="E577" s="103"/>
      <c r="F577" s="103"/>
      <c r="G577" s="15">
        <f>IFERROR(+VLOOKUP(D:D,'Data Base P.Asuhan &amp; Jompo'!B:I,7,0),0)</f>
        <v>0</v>
      </c>
      <c r="H577" s="258"/>
      <c r="I577" s="258">
        <f>List346[[#This Row],[Pengajuan Donasi]]</f>
        <v>0</v>
      </c>
      <c r="J577" s="213" t="str">
        <f>IF(List346[[#This Row],[Tanggal Trf]]&gt;0,"Done","-")</f>
        <v>-</v>
      </c>
      <c r="K577" s="445"/>
      <c r="L577" s="224"/>
      <c r="M577" s="100"/>
      <c r="N577" s="100">
        <f>MONTH(List346[[#This Row],[Tanggal Pengajuan]])</f>
        <v>1</v>
      </c>
      <c r="O577" s="183"/>
      <c r="P577" s="105"/>
      <c r="Q577" s="111"/>
      <c r="R577" s="367"/>
      <c r="T577" s="152">
        <f>+List346[[#This Row],[Pengajuan Donasi]]-List346[[#This Row],[Jumlah Transfer]]</f>
        <v>0</v>
      </c>
    </row>
    <row r="578" spans="2:20" ht="15.75" x14ac:dyDescent="0.2">
      <c r="B578" s="13"/>
      <c r="C578" s="67"/>
      <c r="D578" s="14"/>
      <c r="E578" s="103"/>
      <c r="F578" s="103"/>
      <c r="G578" s="15">
        <f>IFERROR(+VLOOKUP(D:D,'Data Base P.Asuhan &amp; Jompo'!B:I,7,0),0)</f>
        <v>0</v>
      </c>
      <c r="H578" s="258"/>
      <c r="I578" s="258">
        <f>List346[[#This Row],[Pengajuan Donasi]]</f>
        <v>0</v>
      </c>
      <c r="J578" s="213" t="str">
        <f>IF(List346[[#This Row],[Tanggal Trf]]&gt;0,"Done","-")</f>
        <v>-</v>
      </c>
      <c r="K578" s="445"/>
      <c r="L578" s="224"/>
      <c r="M578" s="100"/>
      <c r="N578" s="100">
        <f>MONTH(List346[[#This Row],[Tanggal Pengajuan]])</f>
        <v>1</v>
      </c>
      <c r="O578" s="183"/>
      <c r="P578" s="105"/>
      <c r="Q578" s="111"/>
      <c r="R578" s="367"/>
      <c r="T578" s="152">
        <f>+List346[[#This Row],[Pengajuan Donasi]]-List346[[#This Row],[Jumlah Transfer]]</f>
        <v>0</v>
      </c>
    </row>
    <row r="579" spans="2:20" ht="15.75" x14ac:dyDescent="0.2">
      <c r="B579" s="13"/>
      <c r="C579" s="67"/>
      <c r="D579" s="14"/>
      <c r="E579" s="103"/>
      <c r="F579" s="103"/>
      <c r="G579" s="15">
        <f>IFERROR(+VLOOKUP(D:D,'Data Base P.Asuhan &amp; Jompo'!B:I,7,0),0)</f>
        <v>0</v>
      </c>
      <c r="H579" s="258"/>
      <c r="I579" s="258">
        <f>List346[[#This Row],[Pengajuan Donasi]]</f>
        <v>0</v>
      </c>
      <c r="J579" s="213" t="str">
        <f>IF(List346[[#This Row],[Tanggal Trf]]&gt;0,"Done","-")</f>
        <v>-</v>
      </c>
      <c r="K579" s="445"/>
      <c r="L579" s="224"/>
      <c r="M579" s="100"/>
      <c r="N579" s="100">
        <f>MONTH(List346[[#This Row],[Tanggal Pengajuan]])</f>
        <v>1</v>
      </c>
      <c r="O579" s="183"/>
      <c r="P579" s="105"/>
      <c r="Q579" s="111"/>
      <c r="R579" s="367"/>
      <c r="T579" s="152">
        <f>+List346[[#This Row],[Pengajuan Donasi]]-List346[[#This Row],[Jumlah Transfer]]</f>
        <v>0</v>
      </c>
    </row>
    <row r="580" spans="2:20" ht="15.75" x14ac:dyDescent="0.2">
      <c r="B580" s="13"/>
      <c r="C580" s="67"/>
      <c r="D580" s="14"/>
      <c r="E580" s="103"/>
      <c r="F580" s="103"/>
      <c r="G580" s="15">
        <f>IFERROR(+VLOOKUP(D:D,'Data Base P.Asuhan &amp; Jompo'!B:I,7,0),0)</f>
        <v>0</v>
      </c>
      <c r="H580" s="258"/>
      <c r="I580" s="258">
        <f>List346[[#This Row],[Pengajuan Donasi]]</f>
        <v>0</v>
      </c>
      <c r="J580" s="213" t="str">
        <f>IF(List346[[#This Row],[Tanggal Trf]]&gt;0,"Done","-")</f>
        <v>-</v>
      </c>
      <c r="K580" s="445"/>
      <c r="L580" s="224"/>
      <c r="M580" s="100"/>
      <c r="N580" s="100">
        <f>MONTH(List346[[#This Row],[Tanggal Pengajuan]])</f>
        <v>1</v>
      </c>
      <c r="O580" s="183"/>
      <c r="P580" s="105"/>
      <c r="Q580" s="111"/>
      <c r="R580" s="367"/>
      <c r="T580" s="152">
        <f>+List346[[#This Row],[Pengajuan Donasi]]-List346[[#This Row],[Jumlah Transfer]]</f>
        <v>0</v>
      </c>
    </row>
    <row r="581" spans="2:20" ht="15.75" x14ac:dyDescent="0.2">
      <c r="B581" s="13"/>
      <c r="C581" s="67"/>
      <c r="D581" s="14"/>
      <c r="E581" s="103"/>
      <c r="F581" s="103"/>
      <c r="G581" s="15">
        <f>IFERROR(+VLOOKUP(D:D,'Data Base P.Asuhan &amp; Jompo'!B:I,7,0),0)</f>
        <v>0</v>
      </c>
      <c r="H581" s="258"/>
      <c r="I581" s="258">
        <f>List346[[#This Row],[Pengajuan Donasi]]</f>
        <v>0</v>
      </c>
      <c r="J581" s="213" t="str">
        <f>IF(List346[[#This Row],[Tanggal Trf]]&gt;0,"Done","-")</f>
        <v>-</v>
      </c>
      <c r="K581" s="445"/>
      <c r="L581" s="224"/>
      <c r="M581" s="100"/>
      <c r="N581" s="100">
        <f>MONTH(List346[[#This Row],[Tanggal Pengajuan]])</f>
        <v>1</v>
      </c>
      <c r="O581" s="183"/>
      <c r="P581" s="105"/>
      <c r="Q581" s="111"/>
      <c r="R581" s="367"/>
      <c r="T581" s="152">
        <f>+List346[[#This Row],[Pengajuan Donasi]]-List346[[#This Row],[Jumlah Transfer]]</f>
        <v>0</v>
      </c>
    </row>
    <row r="582" spans="2:20" ht="15.75" x14ac:dyDescent="0.2">
      <c r="B582" s="13"/>
      <c r="C582" s="67"/>
      <c r="D582" s="14"/>
      <c r="E582" s="103"/>
      <c r="F582" s="103"/>
      <c r="G582" s="15">
        <f>IFERROR(+VLOOKUP(D:D,'Data Base P.Asuhan &amp; Jompo'!B:I,7,0),0)</f>
        <v>0</v>
      </c>
      <c r="H582" s="258"/>
      <c r="I582" s="258">
        <f>List346[[#This Row],[Pengajuan Donasi]]</f>
        <v>0</v>
      </c>
      <c r="J582" s="213" t="str">
        <f>IF(List346[[#This Row],[Tanggal Trf]]&gt;0,"Done","-")</f>
        <v>-</v>
      </c>
      <c r="K582" s="445"/>
      <c r="L582" s="224"/>
      <c r="M582" s="100"/>
      <c r="N582" s="100">
        <f>MONTH(List346[[#This Row],[Tanggal Pengajuan]])</f>
        <v>1</v>
      </c>
      <c r="O582" s="183"/>
      <c r="P582" s="105"/>
      <c r="Q582" s="111"/>
      <c r="R582" s="367"/>
      <c r="T582" s="152">
        <f>+List346[[#This Row],[Pengajuan Donasi]]-List346[[#This Row],[Jumlah Transfer]]</f>
        <v>0</v>
      </c>
    </row>
    <row r="583" spans="2:20" ht="15.75" x14ac:dyDescent="0.2">
      <c r="B583" s="13"/>
      <c r="C583" s="67"/>
      <c r="D583" s="14"/>
      <c r="E583" s="103"/>
      <c r="F583" s="103"/>
      <c r="G583" s="15">
        <f>IFERROR(+VLOOKUP(D:D,'Data Base P.Asuhan &amp; Jompo'!B:I,7,0),0)</f>
        <v>0</v>
      </c>
      <c r="H583" s="258"/>
      <c r="I583" s="258">
        <f>List346[[#This Row],[Pengajuan Donasi]]</f>
        <v>0</v>
      </c>
      <c r="J583" s="213" t="str">
        <f>IF(List346[[#This Row],[Tanggal Trf]]&gt;0,"Done","-")</f>
        <v>-</v>
      </c>
      <c r="K583" s="445"/>
      <c r="L583" s="224"/>
      <c r="M583" s="100"/>
      <c r="N583" s="100">
        <f>MONTH(List346[[#This Row],[Tanggal Pengajuan]])</f>
        <v>1</v>
      </c>
      <c r="O583" s="183"/>
      <c r="P583" s="105"/>
      <c r="Q583" s="111"/>
      <c r="R583" s="367"/>
      <c r="T583" s="152">
        <f>+List346[[#This Row],[Pengajuan Donasi]]-List346[[#This Row],[Jumlah Transfer]]</f>
        <v>0</v>
      </c>
    </row>
    <row r="584" spans="2:20" ht="15.75" x14ac:dyDescent="0.2">
      <c r="B584" s="13"/>
      <c r="C584" s="67"/>
      <c r="D584" s="14"/>
      <c r="E584" s="103"/>
      <c r="F584" s="103"/>
      <c r="G584" s="15">
        <f>IFERROR(+VLOOKUP(D:D,'Data Base P.Asuhan &amp; Jompo'!B:I,7,0),0)</f>
        <v>0</v>
      </c>
      <c r="H584" s="258"/>
      <c r="I584" s="258">
        <f>List346[[#This Row],[Pengajuan Donasi]]</f>
        <v>0</v>
      </c>
      <c r="J584" s="213" t="str">
        <f>IF(List346[[#This Row],[Tanggal Trf]]&gt;0,"Done","-")</f>
        <v>-</v>
      </c>
      <c r="K584" s="445"/>
      <c r="L584" s="224"/>
      <c r="M584" s="100"/>
      <c r="N584" s="100">
        <f>MONTH(List346[[#This Row],[Tanggal Pengajuan]])</f>
        <v>1</v>
      </c>
      <c r="O584" s="183"/>
      <c r="P584" s="105"/>
      <c r="Q584" s="111"/>
      <c r="R584" s="367"/>
      <c r="T584" s="152">
        <f>+List346[[#This Row],[Pengajuan Donasi]]-List346[[#This Row],[Jumlah Transfer]]</f>
        <v>0</v>
      </c>
    </row>
    <row r="585" spans="2:20" ht="15.75" x14ac:dyDescent="0.2">
      <c r="B585" s="13"/>
      <c r="C585" s="67"/>
      <c r="D585" s="14"/>
      <c r="E585" s="103"/>
      <c r="F585" s="103"/>
      <c r="G585" s="15">
        <f>IFERROR(+VLOOKUP(D:D,'Data Base P.Asuhan &amp; Jompo'!B:I,7,0),0)</f>
        <v>0</v>
      </c>
      <c r="H585" s="258"/>
      <c r="I585" s="258">
        <f>List346[[#This Row],[Pengajuan Donasi]]</f>
        <v>0</v>
      </c>
      <c r="J585" s="213" t="str">
        <f>IF(List346[[#This Row],[Tanggal Trf]]&gt;0,"Done","-")</f>
        <v>-</v>
      </c>
      <c r="K585" s="445"/>
      <c r="L585" s="224"/>
      <c r="M585" s="100"/>
      <c r="N585" s="100">
        <f>MONTH(List346[[#This Row],[Tanggal Pengajuan]])</f>
        <v>1</v>
      </c>
      <c r="O585" s="183"/>
      <c r="P585" s="105"/>
      <c r="Q585" s="111"/>
      <c r="R585" s="367"/>
      <c r="T585" s="152">
        <f>+List346[[#This Row],[Pengajuan Donasi]]-List346[[#This Row],[Jumlah Transfer]]</f>
        <v>0</v>
      </c>
    </row>
    <row r="586" spans="2:20" ht="15.75" x14ac:dyDescent="0.2">
      <c r="B586" s="13"/>
      <c r="C586" s="67"/>
      <c r="D586" s="14"/>
      <c r="E586" s="103"/>
      <c r="F586" s="103"/>
      <c r="G586" s="15">
        <f>IFERROR(+VLOOKUP(D:D,'Data Base P.Asuhan &amp; Jompo'!B:I,7,0),0)</f>
        <v>0</v>
      </c>
      <c r="H586" s="258"/>
      <c r="I586" s="258">
        <f>List346[[#This Row],[Pengajuan Donasi]]</f>
        <v>0</v>
      </c>
      <c r="J586" s="213" t="str">
        <f>IF(List346[[#This Row],[Tanggal Trf]]&gt;0,"Done","-")</f>
        <v>-</v>
      </c>
      <c r="K586" s="445"/>
      <c r="L586" s="224"/>
      <c r="M586" s="100"/>
      <c r="N586" s="100">
        <f>MONTH(List346[[#This Row],[Tanggal Pengajuan]])</f>
        <v>1</v>
      </c>
      <c r="O586" s="183"/>
      <c r="P586" s="105"/>
      <c r="Q586" s="111"/>
      <c r="R586" s="367"/>
      <c r="T586" s="152">
        <f>+List346[[#This Row],[Pengajuan Donasi]]-List346[[#This Row],[Jumlah Transfer]]</f>
        <v>0</v>
      </c>
    </row>
    <row r="587" spans="2:20" ht="15.75" x14ac:dyDescent="0.2">
      <c r="B587" s="13"/>
      <c r="C587" s="67"/>
      <c r="D587" s="14"/>
      <c r="E587" s="103"/>
      <c r="F587" s="103"/>
      <c r="G587" s="15">
        <f>IFERROR(+VLOOKUP(D:D,'Data Base P.Asuhan &amp; Jompo'!B:I,7,0),0)</f>
        <v>0</v>
      </c>
      <c r="H587" s="258"/>
      <c r="I587" s="258">
        <f>List346[[#This Row],[Pengajuan Donasi]]</f>
        <v>0</v>
      </c>
      <c r="J587" s="213" t="str">
        <f>IF(List346[[#This Row],[Tanggal Trf]]&gt;0,"Done","-")</f>
        <v>-</v>
      </c>
      <c r="K587" s="445"/>
      <c r="L587" s="224"/>
      <c r="M587" s="100"/>
      <c r="N587" s="100">
        <f>MONTH(List346[[#This Row],[Tanggal Pengajuan]])</f>
        <v>1</v>
      </c>
      <c r="O587" s="183"/>
      <c r="P587" s="105"/>
      <c r="Q587" s="111"/>
      <c r="R587" s="367"/>
      <c r="T587" s="152">
        <f>+List346[[#This Row],[Pengajuan Donasi]]-List346[[#This Row],[Jumlah Transfer]]</f>
        <v>0</v>
      </c>
    </row>
    <row r="588" spans="2:20" ht="15.75" x14ac:dyDescent="0.2">
      <c r="B588" s="13"/>
      <c r="C588" s="67"/>
      <c r="D588" s="14"/>
      <c r="E588" s="103"/>
      <c r="F588" s="103"/>
      <c r="G588" s="15">
        <f>IFERROR(+VLOOKUP(D:D,'Data Base P.Asuhan &amp; Jompo'!B:I,7,0),0)</f>
        <v>0</v>
      </c>
      <c r="H588" s="258"/>
      <c r="I588" s="258">
        <f>List346[[#This Row],[Pengajuan Donasi]]</f>
        <v>0</v>
      </c>
      <c r="J588" s="213" t="str">
        <f>IF(List346[[#This Row],[Tanggal Trf]]&gt;0,"Done","-")</f>
        <v>-</v>
      </c>
      <c r="K588" s="445"/>
      <c r="L588" s="224"/>
      <c r="M588" s="100"/>
      <c r="N588" s="100">
        <f>MONTH(List346[[#This Row],[Tanggal Pengajuan]])</f>
        <v>1</v>
      </c>
      <c r="O588" s="183"/>
      <c r="P588" s="105"/>
      <c r="Q588" s="111"/>
      <c r="R588" s="367"/>
      <c r="T588" s="152">
        <f>+List346[[#This Row],[Pengajuan Donasi]]-List346[[#This Row],[Jumlah Transfer]]</f>
        <v>0</v>
      </c>
    </row>
    <row r="589" spans="2:20" ht="15.75" x14ac:dyDescent="0.2">
      <c r="B589" s="13"/>
      <c r="C589" s="67"/>
      <c r="D589" s="14"/>
      <c r="E589" s="103"/>
      <c r="F589" s="103"/>
      <c r="G589" s="15">
        <f>IFERROR(+VLOOKUP(D:D,'Data Base P.Asuhan &amp; Jompo'!B:I,7,0),0)</f>
        <v>0</v>
      </c>
      <c r="H589" s="258"/>
      <c r="I589" s="258">
        <f>List346[[#This Row],[Pengajuan Donasi]]</f>
        <v>0</v>
      </c>
      <c r="J589" s="213" t="str">
        <f>IF(List346[[#This Row],[Tanggal Trf]]&gt;0,"Done","-")</f>
        <v>-</v>
      </c>
      <c r="K589" s="445"/>
      <c r="L589" s="224"/>
      <c r="M589" s="100"/>
      <c r="N589" s="100">
        <f>MONTH(List346[[#This Row],[Tanggal Pengajuan]])</f>
        <v>1</v>
      </c>
      <c r="O589" s="183"/>
      <c r="P589" s="105"/>
      <c r="Q589" s="111"/>
      <c r="R589" s="367"/>
      <c r="T589" s="152">
        <f>+List346[[#This Row],[Pengajuan Donasi]]-List346[[#This Row],[Jumlah Transfer]]</f>
        <v>0</v>
      </c>
    </row>
    <row r="590" spans="2:20" ht="15.75" x14ac:dyDescent="0.2">
      <c r="B590" s="13"/>
      <c r="C590" s="67"/>
      <c r="D590" s="14"/>
      <c r="E590" s="103"/>
      <c r="F590" s="103"/>
      <c r="G590" s="15">
        <f>IFERROR(+VLOOKUP(D:D,'Data Base P.Asuhan &amp; Jompo'!B:I,7,0),0)</f>
        <v>0</v>
      </c>
      <c r="H590" s="258"/>
      <c r="I590" s="258">
        <f>List346[[#This Row],[Pengajuan Donasi]]</f>
        <v>0</v>
      </c>
      <c r="J590" s="213" t="str">
        <f>IF(List346[[#This Row],[Tanggal Trf]]&gt;0,"Done","-")</f>
        <v>-</v>
      </c>
      <c r="K590" s="445"/>
      <c r="L590" s="224"/>
      <c r="M590" s="100"/>
      <c r="N590" s="100">
        <f>MONTH(List346[[#This Row],[Tanggal Pengajuan]])</f>
        <v>1</v>
      </c>
      <c r="O590" s="183"/>
      <c r="P590" s="105"/>
      <c r="Q590" s="111"/>
      <c r="R590" s="367"/>
      <c r="T590" s="152">
        <f>+List346[[#This Row],[Pengajuan Donasi]]-List346[[#This Row],[Jumlah Transfer]]</f>
        <v>0</v>
      </c>
    </row>
    <row r="591" spans="2:20" ht="15.75" x14ac:dyDescent="0.2">
      <c r="B591" s="13"/>
      <c r="C591" s="67"/>
      <c r="D591" s="14"/>
      <c r="E591" s="103"/>
      <c r="F591" s="103"/>
      <c r="G591" s="15">
        <f>IFERROR(+VLOOKUP(D:D,'Data Base P.Asuhan &amp; Jompo'!B:I,7,0),0)</f>
        <v>0</v>
      </c>
      <c r="H591" s="258"/>
      <c r="I591" s="258">
        <f>List346[[#This Row],[Pengajuan Donasi]]</f>
        <v>0</v>
      </c>
      <c r="J591" s="213" t="str">
        <f>IF(List346[[#This Row],[Tanggal Trf]]&gt;0,"Done","-")</f>
        <v>-</v>
      </c>
      <c r="K591" s="445"/>
      <c r="L591" s="224"/>
      <c r="M591" s="100"/>
      <c r="N591" s="100">
        <f>MONTH(List346[[#This Row],[Tanggal Pengajuan]])</f>
        <v>1</v>
      </c>
      <c r="O591" s="183"/>
      <c r="P591" s="105"/>
      <c r="Q591" s="111"/>
      <c r="R591" s="367"/>
      <c r="T591" s="152">
        <f>+List346[[#This Row],[Pengajuan Donasi]]-List346[[#This Row],[Jumlah Transfer]]</f>
        <v>0</v>
      </c>
    </row>
    <row r="592" spans="2:20" ht="15.75" x14ac:dyDescent="0.2">
      <c r="B592" s="13"/>
      <c r="C592" s="67"/>
      <c r="D592" s="14"/>
      <c r="E592" s="103"/>
      <c r="F592" s="103"/>
      <c r="G592" s="15">
        <f>IFERROR(+VLOOKUP(D:D,'Data Base P.Asuhan &amp; Jompo'!B:I,7,0),0)</f>
        <v>0</v>
      </c>
      <c r="H592" s="258"/>
      <c r="I592" s="258">
        <f>List346[[#This Row],[Pengajuan Donasi]]</f>
        <v>0</v>
      </c>
      <c r="J592" s="213" t="str">
        <f>IF(List346[[#This Row],[Tanggal Trf]]&gt;0,"Done","-")</f>
        <v>-</v>
      </c>
      <c r="K592" s="445"/>
      <c r="L592" s="224"/>
      <c r="M592" s="100"/>
      <c r="N592" s="100">
        <f>MONTH(List346[[#This Row],[Tanggal Pengajuan]])</f>
        <v>1</v>
      </c>
      <c r="O592" s="183"/>
      <c r="P592" s="105"/>
      <c r="Q592" s="111"/>
      <c r="R592" s="367"/>
      <c r="T592" s="152">
        <f>+List346[[#This Row],[Pengajuan Donasi]]-List346[[#This Row],[Jumlah Transfer]]</f>
        <v>0</v>
      </c>
    </row>
    <row r="593" spans="2:20" ht="15.75" x14ac:dyDescent="0.2">
      <c r="B593" s="13"/>
      <c r="C593" s="67"/>
      <c r="D593" s="14"/>
      <c r="E593" s="103"/>
      <c r="F593" s="103"/>
      <c r="G593" s="15">
        <f>IFERROR(+VLOOKUP(D:D,'Data Base P.Asuhan &amp; Jompo'!B:I,7,0),0)</f>
        <v>0</v>
      </c>
      <c r="H593" s="258"/>
      <c r="I593" s="258">
        <f>List346[[#This Row],[Pengajuan Donasi]]</f>
        <v>0</v>
      </c>
      <c r="J593" s="213" t="str">
        <f>IF(List346[[#This Row],[Tanggal Trf]]&gt;0,"Done","-")</f>
        <v>-</v>
      </c>
      <c r="K593" s="445"/>
      <c r="L593" s="224"/>
      <c r="M593" s="100"/>
      <c r="N593" s="100">
        <f>MONTH(List346[[#This Row],[Tanggal Pengajuan]])</f>
        <v>1</v>
      </c>
      <c r="O593" s="183"/>
      <c r="P593" s="105"/>
      <c r="Q593" s="111"/>
      <c r="R593" s="367"/>
      <c r="T593" s="152">
        <f>+List346[[#This Row],[Pengajuan Donasi]]-List346[[#This Row],[Jumlah Transfer]]</f>
        <v>0</v>
      </c>
    </row>
    <row r="594" spans="2:20" ht="15.75" x14ac:dyDescent="0.2">
      <c r="B594" s="13"/>
      <c r="C594" s="67"/>
      <c r="D594" s="14"/>
      <c r="E594" s="103"/>
      <c r="F594" s="103"/>
      <c r="G594" s="15">
        <f>IFERROR(+VLOOKUP(D:D,'Data Base P.Asuhan &amp; Jompo'!B:I,7,0),0)</f>
        <v>0</v>
      </c>
      <c r="H594" s="258"/>
      <c r="I594" s="258">
        <f>List346[[#This Row],[Pengajuan Donasi]]</f>
        <v>0</v>
      </c>
      <c r="J594" s="213" t="str">
        <f>IF(List346[[#This Row],[Tanggal Trf]]&gt;0,"Done","-")</f>
        <v>-</v>
      </c>
      <c r="K594" s="445"/>
      <c r="L594" s="224"/>
      <c r="M594" s="100"/>
      <c r="N594" s="100">
        <f>MONTH(List346[[#This Row],[Tanggal Pengajuan]])</f>
        <v>1</v>
      </c>
      <c r="O594" s="183"/>
      <c r="P594" s="105"/>
      <c r="Q594" s="111"/>
      <c r="R594" s="367"/>
      <c r="T594" s="152">
        <f>+List346[[#This Row],[Pengajuan Donasi]]-List346[[#This Row],[Jumlah Transfer]]</f>
        <v>0</v>
      </c>
    </row>
    <row r="595" spans="2:20" ht="15.75" x14ac:dyDescent="0.2">
      <c r="B595" s="13"/>
      <c r="C595" s="67"/>
      <c r="D595" s="14"/>
      <c r="E595" s="103"/>
      <c r="F595" s="103"/>
      <c r="G595" s="15">
        <f>IFERROR(+VLOOKUP(D:D,'Data Base P.Asuhan &amp; Jompo'!B:I,7,0),0)</f>
        <v>0</v>
      </c>
      <c r="H595" s="258"/>
      <c r="I595" s="258">
        <f>List346[[#This Row],[Pengajuan Donasi]]</f>
        <v>0</v>
      </c>
      <c r="J595" s="213" t="str">
        <f>IF(List346[[#This Row],[Tanggal Trf]]&gt;0,"Done","-")</f>
        <v>-</v>
      </c>
      <c r="K595" s="445"/>
      <c r="L595" s="224"/>
      <c r="M595" s="100"/>
      <c r="N595" s="100">
        <f>MONTH(List346[[#This Row],[Tanggal Pengajuan]])</f>
        <v>1</v>
      </c>
      <c r="O595" s="183"/>
      <c r="P595" s="105"/>
      <c r="Q595" s="111"/>
      <c r="R595" s="367"/>
      <c r="T595" s="152">
        <f>+List346[[#This Row],[Pengajuan Donasi]]-List346[[#This Row],[Jumlah Transfer]]</f>
        <v>0</v>
      </c>
    </row>
    <row r="596" spans="2:20" ht="15.75" x14ac:dyDescent="0.2">
      <c r="B596" s="13"/>
      <c r="C596" s="67"/>
      <c r="D596" s="14"/>
      <c r="E596" s="103"/>
      <c r="F596" s="103"/>
      <c r="G596" s="15">
        <f>IFERROR(+VLOOKUP(D:D,'Data Base P.Asuhan &amp; Jompo'!B:I,7,0),0)</f>
        <v>0</v>
      </c>
      <c r="H596" s="258"/>
      <c r="I596" s="258">
        <f>List346[[#This Row],[Pengajuan Donasi]]</f>
        <v>0</v>
      </c>
      <c r="J596" s="213" t="str">
        <f>IF(List346[[#This Row],[Tanggal Trf]]&gt;0,"Done","-")</f>
        <v>-</v>
      </c>
      <c r="K596" s="445"/>
      <c r="L596" s="224"/>
      <c r="M596" s="100"/>
      <c r="N596" s="100">
        <f>MONTH(List346[[#This Row],[Tanggal Pengajuan]])</f>
        <v>1</v>
      </c>
      <c r="O596" s="183"/>
      <c r="P596" s="105"/>
      <c r="Q596" s="111"/>
      <c r="R596" s="367"/>
      <c r="T596" s="152">
        <f>+List346[[#This Row],[Pengajuan Donasi]]-List346[[#This Row],[Jumlah Transfer]]</f>
        <v>0</v>
      </c>
    </row>
    <row r="597" spans="2:20" ht="15.75" x14ac:dyDescent="0.2">
      <c r="B597" s="13"/>
      <c r="C597" s="67"/>
      <c r="D597" s="14"/>
      <c r="E597" s="103"/>
      <c r="F597" s="103"/>
      <c r="G597" s="15">
        <f>IFERROR(+VLOOKUP(D:D,'Data Base P.Asuhan &amp; Jompo'!B:I,7,0),0)</f>
        <v>0</v>
      </c>
      <c r="H597" s="258"/>
      <c r="I597" s="258">
        <f>List346[[#This Row],[Pengajuan Donasi]]</f>
        <v>0</v>
      </c>
      <c r="J597" s="213" t="str">
        <f>IF(List346[[#This Row],[Tanggal Trf]]&gt;0,"Done","-")</f>
        <v>-</v>
      </c>
      <c r="K597" s="445"/>
      <c r="L597" s="224"/>
      <c r="M597" s="100"/>
      <c r="N597" s="100">
        <f>MONTH(List346[[#This Row],[Tanggal Pengajuan]])</f>
        <v>1</v>
      </c>
      <c r="O597" s="183"/>
      <c r="P597" s="105"/>
      <c r="Q597" s="111"/>
      <c r="R597" s="367"/>
      <c r="T597" s="152">
        <f>+List346[[#This Row],[Pengajuan Donasi]]-List346[[#This Row],[Jumlah Transfer]]</f>
        <v>0</v>
      </c>
    </row>
    <row r="598" spans="2:20" ht="15.75" x14ac:dyDescent="0.2">
      <c r="B598" s="13"/>
      <c r="C598" s="67"/>
      <c r="D598" s="14"/>
      <c r="E598" s="14"/>
      <c r="F598" s="103"/>
      <c r="G598" s="15">
        <f>IFERROR(+VLOOKUP(D:D,'Data Base P.Asuhan &amp; Jompo'!B:I,7,0),0)</f>
        <v>0</v>
      </c>
      <c r="H598" s="258"/>
      <c r="I598" s="258">
        <f>List346[[#This Row],[Pengajuan Donasi]]</f>
        <v>0</v>
      </c>
      <c r="J598" s="213" t="str">
        <f>IF(List346[[#This Row],[Tanggal Trf]]&gt;0,"Done","-")</f>
        <v>-</v>
      </c>
      <c r="K598" s="445"/>
      <c r="L598" s="224"/>
      <c r="M598" s="100"/>
      <c r="N598" s="100">
        <f>MONTH(List346[[#This Row],[Tanggal Pengajuan]])</f>
        <v>1</v>
      </c>
      <c r="O598" s="183"/>
      <c r="P598" s="105"/>
      <c r="Q598" s="111"/>
      <c r="R598" s="367"/>
      <c r="T598" s="152">
        <f>+List346[[#This Row],[Pengajuan Donasi]]-List346[[#This Row],[Jumlah Transfer]]</f>
        <v>0</v>
      </c>
    </row>
    <row r="599" spans="2:20" ht="15.75" x14ac:dyDescent="0.2">
      <c r="B599" s="13"/>
      <c r="C599" s="67"/>
      <c r="D599" s="14"/>
      <c r="E599" s="14"/>
      <c r="F599" s="103"/>
      <c r="G599" s="15">
        <f>IFERROR(+VLOOKUP(D:D,'Data Base P.Asuhan &amp; Jompo'!B:I,7,0),0)</f>
        <v>0</v>
      </c>
      <c r="H599" s="258"/>
      <c r="I599" s="258">
        <f>List346[[#This Row],[Pengajuan Donasi]]</f>
        <v>0</v>
      </c>
      <c r="J599" s="213" t="str">
        <f>IF(List346[[#This Row],[Tanggal Trf]]&gt;0,"Done","-")</f>
        <v>-</v>
      </c>
      <c r="K599" s="14"/>
      <c r="L599" s="224"/>
      <c r="M599" s="105"/>
      <c r="N599" s="100">
        <f>MONTH(List346[[#This Row],[Tanggal Pengajuan]])</f>
        <v>1</v>
      </c>
      <c r="O599" s="183"/>
      <c r="P599" s="105"/>
      <c r="Q599" s="111"/>
      <c r="R599" s="367"/>
      <c r="T599" s="152">
        <f>+List346[[#This Row],[Pengajuan Donasi]]-List346[[#This Row],[Jumlah Transfer]]</f>
        <v>0</v>
      </c>
    </row>
    <row r="600" spans="2:20" ht="15.75" x14ac:dyDescent="0.2">
      <c r="B600" s="13"/>
      <c r="C600" s="67"/>
      <c r="D600" s="14"/>
      <c r="E600" s="14"/>
      <c r="F600" s="103"/>
      <c r="G600" s="15">
        <f>IFERROR(+VLOOKUP(D:D,'Data Base P.Asuhan &amp; Jompo'!B:I,7,0),0)</f>
        <v>0</v>
      </c>
      <c r="H600" s="258"/>
      <c r="I600" s="258">
        <f>List346[[#This Row],[Pengajuan Donasi]]</f>
        <v>0</v>
      </c>
      <c r="J600" s="213" t="str">
        <f>IF(List346[[#This Row],[Tanggal Trf]]&gt;0,"Done","-")</f>
        <v>-</v>
      </c>
      <c r="K600" s="445"/>
      <c r="L600" s="224"/>
      <c r="M600" s="100"/>
      <c r="N600" s="100">
        <f>MONTH(List346[[#This Row],[Tanggal Pengajuan]])</f>
        <v>1</v>
      </c>
      <c r="O600" s="183"/>
      <c r="P600" s="105"/>
      <c r="Q600" s="111"/>
      <c r="R600" s="367"/>
      <c r="T600" s="152">
        <f>+List346[[#This Row],[Pengajuan Donasi]]-List346[[#This Row],[Jumlah Transfer]]</f>
        <v>0</v>
      </c>
    </row>
    <row r="601" spans="2:20" ht="15.75" x14ac:dyDescent="0.2">
      <c r="B601" s="13"/>
      <c r="C601" s="67"/>
      <c r="D601" s="14"/>
      <c r="E601" s="14"/>
      <c r="F601" s="103"/>
      <c r="G601" s="15">
        <f>IFERROR(+VLOOKUP(D:D,'Data Base P.Asuhan &amp; Jompo'!B:I,7,0),0)</f>
        <v>0</v>
      </c>
      <c r="H601" s="258"/>
      <c r="I601" s="258">
        <f>List346[[#This Row],[Pengajuan Donasi]]</f>
        <v>0</v>
      </c>
      <c r="J601" s="213" t="str">
        <f>IF(List346[[#This Row],[Tanggal Trf]]&gt;0,"Done","-")</f>
        <v>-</v>
      </c>
      <c r="K601" s="445"/>
      <c r="L601" s="224"/>
      <c r="M601" s="100"/>
      <c r="N601" s="100">
        <f>MONTH(List346[[#This Row],[Tanggal Pengajuan]])</f>
        <v>1</v>
      </c>
      <c r="O601" s="183"/>
      <c r="P601" s="105"/>
      <c r="Q601" s="111"/>
      <c r="R601" s="367"/>
      <c r="T601" s="152">
        <f>+List346[[#This Row],[Pengajuan Donasi]]-List346[[#This Row],[Jumlah Transfer]]</f>
        <v>0</v>
      </c>
    </row>
    <row r="602" spans="2:20" ht="15.75" x14ac:dyDescent="0.2">
      <c r="B602" s="13"/>
      <c r="C602" s="67"/>
      <c r="D602" s="14"/>
      <c r="E602" s="103"/>
      <c r="F602" s="103"/>
      <c r="G602" s="15">
        <f>IFERROR(+VLOOKUP(D:D,'Data Base P.Asuhan &amp; Jompo'!B:I,7,0),0)</f>
        <v>0</v>
      </c>
      <c r="H602" s="258"/>
      <c r="I602" s="258">
        <f>List346[[#This Row],[Pengajuan Donasi]]</f>
        <v>0</v>
      </c>
      <c r="J602" s="213" t="str">
        <f>IF(List346[[#This Row],[Tanggal Trf]]&gt;0,"Done","-")</f>
        <v>-</v>
      </c>
      <c r="K602" s="1049"/>
      <c r="L602" s="224"/>
      <c r="M602" s="100"/>
      <c r="N602" s="100">
        <f>MONTH(List346[[#This Row],[Tanggal Pengajuan]])</f>
        <v>1</v>
      </c>
      <c r="O602" s="183"/>
      <c r="P602" s="105"/>
      <c r="Q602" s="111"/>
      <c r="R602" s="367"/>
      <c r="T602" s="152">
        <f>+List346[[#This Row],[Pengajuan Donasi]]-List346[[#This Row],[Jumlah Transfer]]</f>
        <v>0</v>
      </c>
    </row>
    <row r="603" spans="2:20" ht="15.75" x14ac:dyDescent="0.2">
      <c r="B603" s="13"/>
      <c r="C603" s="67"/>
      <c r="D603" s="14"/>
      <c r="E603" s="103"/>
      <c r="F603" s="103"/>
      <c r="G603" s="15">
        <f>IFERROR(+VLOOKUP(D:D,'Data Base P.Asuhan &amp; Jompo'!B:I,7,0),0)</f>
        <v>0</v>
      </c>
      <c r="H603" s="258"/>
      <c r="I603" s="258">
        <f>List346[[#This Row],[Pengajuan Donasi]]</f>
        <v>0</v>
      </c>
      <c r="J603" s="213" t="str">
        <f>IF(List346[[#This Row],[Tanggal Trf]]&gt;0,"Done","-")</f>
        <v>-</v>
      </c>
      <c r="K603" s="1049"/>
      <c r="L603" s="224"/>
      <c r="M603" s="100"/>
      <c r="N603" s="100">
        <f>MONTH(List346[[#This Row],[Tanggal Pengajuan]])</f>
        <v>1</v>
      </c>
      <c r="O603" s="183"/>
      <c r="P603" s="105"/>
      <c r="Q603" s="111"/>
      <c r="R603" s="367"/>
      <c r="T603" s="152">
        <f>+List346[[#This Row],[Pengajuan Donasi]]-List346[[#This Row],[Jumlah Transfer]]</f>
        <v>0</v>
      </c>
    </row>
    <row r="604" spans="2:20" ht="15.75" x14ac:dyDescent="0.2">
      <c r="B604" s="13"/>
      <c r="C604" s="67"/>
      <c r="D604" s="14"/>
      <c r="E604" s="103"/>
      <c r="F604" s="103"/>
      <c r="G604" s="15">
        <f>IFERROR(+VLOOKUP(D:D,'Data Base P.Asuhan &amp; Jompo'!B:I,7,0),0)</f>
        <v>0</v>
      </c>
      <c r="H604" s="258"/>
      <c r="I604" s="258">
        <f>List346[[#This Row],[Pengajuan Donasi]]</f>
        <v>0</v>
      </c>
      <c r="J604" s="213" t="str">
        <f>IF(List346[[#This Row],[Tanggal Trf]]&gt;0,"Done","-")</f>
        <v>-</v>
      </c>
      <c r="K604" s="1049"/>
      <c r="L604" s="224"/>
      <c r="M604" s="100"/>
      <c r="N604" s="100">
        <f>MONTH(List346[[#This Row],[Tanggal Pengajuan]])</f>
        <v>1</v>
      </c>
      <c r="O604" s="183"/>
      <c r="P604" s="105"/>
      <c r="Q604" s="111"/>
      <c r="R604" s="367"/>
      <c r="T604" s="152">
        <f>+List346[[#This Row],[Pengajuan Donasi]]-List346[[#This Row],[Jumlah Transfer]]</f>
        <v>0</v>
      </c>
    </row>
    <row r="605" spans="2:20" ht="15.75" x14ac:dyDescent="0.2">
      <c r="B605" s="13"/>
      <c r="C605" s="67"/>
      <c r="D605" s="14"/>
      <c r="E605" s="103"/>
      <c r="F605" s="103"/>
      <c r="G605" s="15">
        <f>IFERROR(+VLOOKUP(D:D,'Data Base P.Asuhan &amp; Jompo'!B:I,7,0),0)</f>
        <v>0</v>
      </c>
      <c r="H605" s="258"/>
      <c r="I605" s="258">
        <f>List346[[#This Row],[Pengajuan Donasi]]</f>
        <v>0</v>
      </c>
      <c r="J605" s="213" t="str">
        <f>IF(List346[[#This Row],[Tanggal Trf]]&gt;0,"Done","-")</f>
        <v>-</v>
      </c>
      <c r="K605" s="1049"/>
      <c r="L605" s="224"/>
      <c r="M605" s="100"/>
      <c r="N605" s="100">
        <f>MONTH(List346[[#This Row],[Tanggal Pengajuan]])</f>
        <v>1</v>
      </c>
      <c r="O605" s="183"/>
      <c r="P605" s="105"/>
      <c r="Q605" s="111"/>
      <c r="R605" s="367"/>
      <c r="T605" s="152">
        <f>+List346[[#This Row],[Pengajuan Donasi]]-List346[[#This Row],[Jumlah Transfer]]</f>
        <v>0</v>
      </c>
    </row>
    <row r="606" spans="2:20" ht="15.75" x14ac:dyDescent="0.2">
      <c r="B606" s="13"/>
      <c r="C606" s="67"/>
      <c r="D606" s="14"/>
      <c r="E606" s="14"/>
      <c r="F606" s="103"/>
      <c r="G606" s="15">
        <f>IFERROR(+VLOOKUP(D:D,'Data Base P.Asuhan &amp; Jompo'!B:I,7,0),0)</f>
        <v>0</v>
      </c>
      <c r="H606" s="258"/>
      <c r="I606" s="258">
        <f>List346[[#This Row],[Pengajuan Donasi]]</f>
        <v>0</v>
      </c>
      <c r="J606" s="213" t="str">
        <f>IF(List346[[#This Row],[Tanggal Trf]]&gt;0,"Done","-")</f>
        <v>-</v>
      </c>
      <c r="K606" s="445"/>
      <c r="L606" s="224"/>
      <c r="M606" s="100"/>
      <c r="N606" s="100">
        <f>MONTH(List346[[#This Row],[Tanggal Pengajuan]])</f>
        <v>1</v>
      </c>
      <c r="O606" s="183"/>
      <c r="P606" s="105"/>
      <c r="Q606" s="111"/>
      <c r="R606" s="367"/>
      <c r="T606" s="152">
        <f>+List346[[#This Row],[Pengajuan Donasi]]-List346[[#This Row],[Jumlah Transfer]]</f>
        <v>0</v>
      </c>
    </row>
    <row r="607" spans="2:20" ht="15.75" x14ac:dyDescent="0.2">
      <c r="B607" s="13"/>
      <c r="C607" s="67"/>
      <c r="D607" s="14"/>
      <c r="E607" s="14"/>
      <c r="F607" s="103"/>
      <c r="G607" s="15">
        <f>IFERROR(+VLOOKUP(D:D,'Data Base P.Asuhan &amp; Jompo'!B:I,7,0),0)</f>
        <v>0</v>
      </c>
      <c r="H607" s="258"/>
      <c r="I607" s="258">
        <f>List346[[#This Row],[Pengajuan Donasi]]</f>
        <v>0</v>
      </c>
      <c r="J607" s="213" t="str">
        <f>IF(List346[[#This Row],[Tanggal Trf]]&gt;0,"Done","-")</f>
        <v>-</v>
      </c>
      <c r="K607" s="445"/>
      <c r="L607" s="224"/>
      <c r="M607" s="403"/>
      <c r="N607" s="100">
        <f>MONTH(List346[[#This Row],[Tanggal Pengajuan]])</f>
        <v>1</v>
      </c>
      <c r="O607" s="183"/>
      <c r="P607" s="105"/>
      <c r="Q607" s="111"/>
      <c r="R607" s="367"/>
      <c r="T607" s="152">
        <f>+List346[[#This Row],[Pengajuan Donasi]]-List346[[#This Row],[Jumlah Transfer]]</f>
        <v>0</v>
      </c>
    </row>
    <row r="608" spans="2:20" ht="15.75" x14ac:dyDescent="0.2">
      <c r="B608" s="13"/>
      <c r="C608" s="67"/>
      <c r="D608" s="14"/>
      <c r="E608" s="14"/>
      <c r="F608" s="103"/>
      <c r="G608" s="15">
        <f>IFERROR(+VLOOKUP(D:D,'Data Base P.Asuhan &amp; Jompo'!B:I,7,0),0)</f>
        <v>0</v>
      </c>
      <c r="H608" s="258"/>
      <c r="I608" s="258">
        <f>List346[[#This Row],[Pengajuan Donasi]]</f>
        <v>0</v>
      </c>
      <c r="J608" s="213" t="str">
        <f>IF(List346[[#This Row],[Tanggal Trf]]&gt;0,"Done","-")</f>
        <v>-</v>
      </c>
      <c r="K608" s="445"/>
      <c r="L608" s="224"/>
      <c r="M608" s="105"/>
      <c r="N608" s="100">
        <f>MONTH(List346[[#This Row],[Tanggal Pengajuan]])</f>
        <v>1</v>
      </c>
      <c r="O608" s="183"/>
      <c r="P608" s="105"/>
      <c r="Q608" s="111"/>
      <c r="R608" s="367"/>
      <c r="T608" s="152">
        <f>+List346[[#This Row],[Pengajuan Donasi]]-List346[[#This Row],[Jumlah Transfer]]</f>
        <v>0</v>
      </c>
    </row>
    <row r="609" spans="2:20" ht="15.75" x14ac:dyDescent="0.2">
      <c r="B609" s="13"/>
      <c r="C609" s="67"/>
      <c r="D609" s="14"/>
      <c r="E609" s="14"/>
      <c r="F609" s="103"/>
      <c r="G609" s="15">
        <f>IFERROR(+VLOOKUP(D:D,'Data Base P.Asuhan &amp; Jompo'!B:I,7,0),0)</f>
        <v>0</v>
      </c>
      <c r="H609" s="258"/>
      <c r="I609" s="258">
        <f>List346[[#This Row],[Pengajuan Donasi]]</f>
        <v>0</v>
      </c>
      <c r="J609" s="213" t="str">
        <f>IF(List346[[#This Row],[Tanggal Trf]]&gt;0,"Done","-")</f>
        <v>-</v>
      </c>
      <c r="K609" s="445"/>
      <c r="L609" s="224"/>
      <c r="M609" s="100"/>
      <c r="N609" s="100">
        <f>MONTH(List346[[#This Row],[Tanggal Pengajuan]])</f>
        <v>1</v>
      </c>
      <c r="O609" s="183"/>
      <c r="P609" s="105"/>
      <c r="Q609" s="111"/>
      <c r="R609" s="367"/>
      <c r="T609" s="152">
        <f>+List346[[#This Row],[Pengajuan Donasi]]-List346[[#This Row],[Jumlah Transfer]]</f>
        <v>0</v>
      </c>
    </row>
    <row r="610" spans="2:20" ht="15.75" x14ac:dyDescent="0.2">
      <c r="B610" s="13"/>
      <c r="C610" s="67"/>
      <c r="D610" s="14"/>
      <c r="E610" s="103"/>
      <c r="F610" s="103"/>
      <c r="G610" s="15">
        <f>IFERROR(+VLOOKUP(D:D,'Data Base P.Asuhan &amp; Jompo'!B:I,7,0),0)</f>
        <v>0</v>
      </c>
      <c r="H610" s="258"/>
      <c r="I610" s="258">
        <f>List346[[#This Row],[Pengajuan Donasi]]</f>
        <v>0</v>
      </c>
      <c r="J610" s="213" t="str">
        <f>IF(List346[[#This Row],[Tanggal Trf]]&gt;0,"Done","-")</f>
        <v>-</v>
      </c>
      <c r="K610" s="445"/>
      <c r="L610" s="224"/>
      <c r="M610" s="100"/>
      <c r="N610" s="100">
        <f>MONTH(List346[[#This Row],[Tanggal Pengajuan]])</f>
        <v>1</v>
      </c>
      <c r="O610" s="183"/>
      <c r="P610" s="105"/>
      <c r="Q610" s="111"/>
      <c r="R610" s="367"/>
      <c r="T610" s="152">
        <f>+List346[[#This Row],[Pengajuan Donasi]]-List346[[#This Row],[Jumlah Transfer]]</f>
        <v>0</v>
      </c>
    </row>
    <row r="611" spans="2:20" ht="15.75" x14ac:dyDescent="0.2">
      <c r="B611" s="13"/>
      <c r="C611" s="67"/>
      <c r="D611" s="14"/>
      <c r="E611" s="103"/>
      <c r="F611" s="103"/>
      <c r="G611" s="15">
        <f>IFERROR(+VLOOKUP(D:D,'Data Base P.Asuhan &amp; Jompo'!B:I,7,0),0)</f>
        <v>0</v>
      </c>
      <c r="H611" s="258"/>
      <c r="I611" s="258">
        <f>List346[[#This Row],[Pengajuan Donasi]]</f>
        <v>0</v>
      </c>
      <c r="J611" s="213" t="str">
        <f>IF(List346[[#This Row],[Tanggal Trf]]&gt;0,"Done","-")</f>
        <v>-</v>
      </c>
      <c r="K611" s="445"/>
      <c r="L611" s="224"/>
      <c r="M611" s="100"/>
      <c r="N611" s="100">
        <f>MONTH(List346[[#This Row],[Tanggal Pengajuan]])</f>
        <v>1</v>
      </c>
      <c r="O611" s="183"/>
      <c r="P611" s="105"/>
      <c r="Q611" s="111"/>
      <c r="R611" s="367"/>
      <c r="T611" s="152">
        <f>+List346[[#This Row],[Pengajuan Donasi]]-List346[[#This Row],[Jumlah Transfer]]</f>
        <v>0</v>
      </c>
    </row>
    <row r="612" spans="2:20" ht="15.75" x14ac:dyDescent="0.2">
      <c r="B612" s="13"/>
      <c r="C612" s="67"/>
      <c r="D612" s="14"/>
      <c r="E612" s="103"/>
      <c r="F612" s="103"/>
      <c r="G612" s="15">
        <f>IFERROR(+VLOOKUP(D:D,'Data Base P.Asuhan &amp; Jompo'!B:I,7,0),0)</f>
        <v>0</v>
      </c>
      <c r="H612" s="258"/>
      <c r="I612" s="258">
        <f>List346[[#This Row],[Pengajuan Donasi]]</f>
        <v>0</v>
      </c>
      <c r="J612" s="213" t="str">
        <f>IF(List346[[#This Row],[Tanggal Trf]]&gt;0,"Done","-")</f>
        <v>-</v>
      </c>
      <c r="K612" s="445"/>
      <c r="L612" s="224"/>
      <c r="M612" s="100"/>
      <c r="N612" s="100">
        <f>MONTH(List346[[#This Row],[Tanggal Pengajuan]])</f>
        <v>1</v>
      </c>
      <c r="O612" s="183"/>
      <c r="P612" s="105"/>
      <c r="Q612" s="111"/>
      <c r="R612" s="367"/>
      <c r="T612" s="152">
        <f>+List346[[#This Row],[Pengajuan Donasi]]-List346[[#This Row],[Jumlah Transfer]]</f>
        <v>0</v>
      </c>
    </row>
    <row r="613" spans="2:20" ht="15.75" x14ac:dyDescent="0.2">
      <c r="B613" s="13"/>
      <c r="C613" s="67"/>
      <c r="D613" s="14"/>
      <c r="E613" s="103"/>
      <c r="F613" s="103"/>
      <c r="G613" s="15">
        <f>IFERROR(+VLOOKUP(D:D,'Data Base P.Asuhan &amp; Jompo'!B:I,7,0),0)</f>
        <v>0</v>
      </c>
      <c r="H613" s="258"/>
      <c r="I613" s="258">
        <f>List346[[#This Row],[Pengajuan Donasi]]</f>
        <v>0</v>
      </c>
      <c r="J613" s="213" t="str">
        <f>IF(List346[[#This Row],[Tanggal Trf]]&gt;0,"Done","-")</f>
        <v>-</v>
      </c>
      <c r="K613" s="445"/>
      <c r="L613" s="224"/>
      <c r="M613" s="100"/>
      <c r="N613" s="100">
        <f>MONTH(List346[[#This Row],[Tanggal Pengajuan]])</f>
        <v>1</v>
      </c>
      <c r="O613" s="183"/>
      <c r="P613" s="105"/>
      <c r="Q613" s="111"/>
      <c r="R613" s="367"/>
      <c r="T613" s="152">
        <f>+List346[[#This Row],[Pengajuan Donasi]]-List346[[#This Row],[Jumlah Transfer]]</f>
        <v>0</v>
      </c>
    </row>
    <row r="614" spans="2:20" ht="15.75" x14ac:dyDescent="0.2">
      <c r="B614" s="13"/>
      <c r="C614" s="67"/>
      <c r="D614" s="14"/>
      <c r="E614" s="103"/>
      <c r="F614" s="103"/>
      <c r="G614" s="15">
        <f>IFERROR(+VLOOKUP(D:D,'Data Base P.Asuhan &amp; Jompo'!B:I,7,0),0)</f>
        <v>0</v>
      </c>
      <c r="H614" s="258"/>
      <c r="I614" s="258">
        <f>List346[[#This Row],[Pengajuan Donasi]]</f>
        <v>0</v>
      </c>
      <c r="J614" s="213" t="str">
        <f>IF(List346[[#This Row],[Tanggal Trf]]&gt;0,"Done","-")</f>
        <v>-</v>
      </c>
      <c r="K614" s="445"/>
      <c r="L614" s="224"/>
      <c r="M614" s="100"/>
      <c r="N614" s="100">
        <f>MONTH(List346[[#This Row],[Tanggal Pengajuan]])</f>
        <v>1</v>
      </c>
      <c r="O614" s="183"/>
      <c r="P614" s="105"/>
      <c r="Q614" s="111"/>
      <c r="R614" s="367"/>
      <c r="T614" s="152">
        <f>+List346[[#This Row],[Pengajuan Donasi]]-List346[[#This Row],[Jumlah Transfer]]</f>
        <v>0</v>
      </c>
    </row>
    <row r="615" spans="2:20" ht="15.75" x14ac:dyDescent="0.2">
      <c r="B615" s="13"/>
      <c r="C615" s="67"/>
      <c r="D615" s="14"/>
      <c r="E615" s="103"/>
      <c r="F615" s="103"/>
      <c r="G615" s="15">
        <f>IFERROR(+VLOOKUP(D:D,'Data Base P.Asuhan &amp; Jompo'!B:I,7,0),0)</f>
        <v>0</v>
      </c>
      <c r="H615" s="258"/>
      <c r="I615" s="258">
        <f>List346[[#This Row],[Pengajuan Donasi]]</f>
        <v>0</v>
      </c>
      <c r="J615" s="213" t="str">
        <f>IF(List346[[#This Row],[Tanggal Trf]]&gt;0,"Done","-")</f>
        <v>-</v>
      </c>
      <c r="K615" s="445"/>
      <c r="L615" s="224"/>
      <c r="M615" s="100"/>
      <c r="N615" s="100">
        <f>MONTH(List346[[#This Row],[Tanggal Pengajuan]])</f>
        <v>1</v>
      </c>
      <c r="O615" s="183"/>
      <c r="P615" s="105"/>
      <c r="Q615" s="111"/>
      <c r="R615" s="367"/>
      <c r="T615" s="152">
        <f>+List346[[#This Row],[Pengajuan Donasi]]-List346[[#This Row],[Jumlah Transfer]]</f>
        <v>0</v>
      </c>
    </row>
    <row r="616" spans="2:20" ht="15.75" x14ac:dyDescent="0.2">
      <c r="B616" s="13"/>
      <c r="C616" s="67"/>
      <c r="D616" s="14"/>
      <c r="E616" s="103"/>
      <c r="F616" s="103"/>
      <c r="G616" s="15">
        <f>IFERROR(+VLOOKUP(D:D,'Data Base P.Asuhan &amp; Jompo'!B:I,7,0),0)</f>
        <v>0</v>
      </c>
      <c r="H616" s="258"/>
      <c r="I616" s="258">
        <f>List346[[#This Row],[Pengajuan Donasi]]</f>
        <v>0</v>
      </c>
      <c r="J616" s="213" t="str">
        <f>IF(List346[[#This Row],[Tanggal Trf]]&gt;0,"Done","-")</f>
        <v>-</v>
      </c>
      <c r="K616" s="445"/>
      <c r="L616" s="224"/>
      <c r="M616" s="100"/>
      <c r="N616" s="100">
        <f>MONTH(List346[[#This Row],[Tanggal Pengajuan]])</f>
        <v>1</v>
      </c>
      <c r="O616" s="183"/>
      <c r="P616" s="105"/>
      <c r="Q616" s="111"/>
      <c r="R616" s="367"/>
      <c r="T616" s="152">
        <f>+List346[[#This Row],[Pengajuan Donasi]]-List346[[#This Row],[Jumlah Transfer]]</f>
        <v>0</v>
      </c>
    </row>
    <row r="617" spans="2:20" ht="15.75" x14ac:dyDescent="0.2">
      <c r="B617" s="13"/>
      <c r="C617" s="67"/>
      <c r="D617" s="14"/>
      <c r="E617" s="103"/>
      <c r="F617" s="103"/>
      <c r="G617" s="15">
        <f>IFERROR(+VLOOKUP(D:D,'Data Base P.Asuhan &amp; Jompo'!B:I,7,0),0)</f>
        <v>0</v>
      </c>
      <c r="H617" s="258"/>
      <c r="I617" s="258">
        <f>List346[[#This Row],[Pengajuan Donasi]]</f>
        <v>0</v>
      </c>
      <c r="J617" s="213" t="str">
        <f>IF(List346[[#This Row],[Tanggal Trf]]&gt;0,"Done","-")</f>
        <v>-</v>
      </c>
      <c r="K617" s="445"/>
      <c r="L617" s="224"/>
      <c r="M617" s="100"/>
      <c r="N617" s="100">
        <f>MONTH(List346[[#This Row],[Tanggal Pengajuan]])</f>
        <v>1</v>
      </c>
      <c r="O617" s="183"/>
      <c r="P617" s="105"/>
      <c r="Q617" s="111"/>
      <c r="R617" s="367"/>
      <c r="T617" s="152">
        <f>+List346[[#This Row],[Pengajuan Donasi]]-List346[[#This Row],[Jumlah Transfer]]</f>
        <v>0</v>
      </c>
    </row>
    <row r="618" spans="2:20" ht="15.75" x14ac:dyDescent="0.2">
      <c r="B618" s="13"/>
      <c r="C618" s="67"/>
      <c r="D618" s="14"/>
      <c r="E618" s="103"/>
      <c r="F618" s="103"/>
      <c r="G618" s="15">
        <f>IFERROR(+VLOOKUP(D:D,'Data Base P.Asuhan &amp; Jompo'!B:I,7,0),0)</f>
        <v>0</v>
      </c>
      <c r="H618" s="258"/>
      <c r="I618" s="258">
        <f>List346[[#This Row],[Pengajuan Donasi]]</f>
        <v>0</v>
      </c>
      <c r="J618" s="213" t="str">
        <f>IF(List346[[#This Row],[Tanggal Trf]]&gt;0,"Done","-")</f>
        <v>-</v>
      </c>
      <c r="K618" s="445"/>
      <c r="L618" s="224"/>
      <c r="M618" s="100"/>
      <c r="N618" s="100">
        <f>MONTH(List346[[#This Row],[Tanggal Pengajuan]])</f>
        <v>1</v>
      </c>
      <c r="O618" s="183"/>
      <c r="P618" s="105"/>
      <c r="Q618" s="111"/>
      <c r="R618" s="367"/>
      <c r="T618" s="152">
        <f>+List346[[#This Row],[Pengajuan Donasi]]-List346[[#This Row],[Jumlah Transfer]]</f>
        <v>0</v>
      </c>
    </row>
    <row r="619" spans="2:20" ht="15.75" x14ac:dyDescent="0.2">
      <c r="B619" s="13"/>
      <c r="C619" s="67"/>
      <c r="D619" s="14"/>
      <c r="E619" s="103"/>
      <c r="F619" s="103"/>
      <c r="G619" s="15">
        <f>IFERROR(+VLOOKUP(D:D,'Data Base P.Asuhan &amp; Jompo'!B:I,7,0),0)</f>
        <v>0</v>
      </c>
      <c r="H619" s="258"/>
      <c r="I619" s="258">
        <f>List346[[#This Row],[Pengajuan Donasi]]</f>
        <v>0</v>
      </c>
      <c r="J619" s="213" t="str">
        <f>IF(List346[[#This Row],[Tanggal Trf]]&gt;0,"Done","-")</f>
        <v>-</v>
      </c>
      <c r="K619" s="445"/>
      <c r="L619" s="224"/>
      <c r="M619" s="100"/>
      <c r="N619" s="100">
        <f>MONTH(List346[[#This Row],[Tanggal Pengajuan]])</f>
        <v>1</v>
      </c>
      <c r="O619" s="183"/>
      <c r="P619" s="105"/>
      <c r="Q619" s="111"/>
      <c r="R619" s="367"/>
      <c r="T619" s="152">
        <f>+List346[[#This Row],[Pengajuan Donasi]]-List346[[#This Row],[Jumlah Transfer]]</f>
        <v>0</v>
      </c>
    </row>
    <row r="620" spans="2:20" ht="15.75" x14ac:dyDescent="0.2">
      <c r="B620" s="13"/>
      <c r="C620" s="67"/>
      <c r="D620" s="14"/>
      <c r="E620" s="103"/>
      <c r="F620" s="103"/>
      <c r="G620" s="15">
        <f>IFERROR(+VLOOKUP(D:D,'Data Base P.Asuhan &amp; Jompo'!B:I,7,0),0)</f>
        <v>0</v>
      </c>
      <c r="H620" s="258"/>
      <c r="I620" s="258">
        <f>List346[[#This Row],[Pengajuan Donasi]]</f>
        <v>0</v>
      </c>
      <c r="J620" s="213" t="str">
        <f>IF(List346[[#This Row],[Tanggal Trf]]&gt;0,"Done","-")</f>
        <v>-</v>
      </c>
      <c r="K620" s="445"/>
      <c r="L620" s="224"/>
      <c r="M620" s="100"/>
      <c r="N620" s="100">
        <f>MONTH(List346[[#This Row],[Tanggal Pengajuan]])</f>
        <v>1</v>
      </c>
      <c r="O620" s="183"/>
      <c r="P620" s="105"/>
      <c r="Q620" s="111"/>
      <c r="R620" s="367"/>
      <c r="T620" s="152">
        <f>+List346[[#This Row],[Pengajuan Donasi]]-List346[[#This Row],[Jumlah Transfer]]</f>
        <v>0</v>
      </c>
    </row>
    <row r="621" spans="2:20" ht="15.75" x14ac:dyDescent="0.2">
      <c r="B621" s="13"/>
      <c r="C621" s="67"/>
      <c r="D621" s="14"/>
      <c r="E621" s="103"/>
      <c r="F621" s="103"/>
      <c r="G621" s="15">
        <f>IFERROR(+VLOOKUP(D:D,'Data Base P.Asuhan &amp; Jompo'!B:I,7,0),0)</f>
        <v>0</v>
      </c>
      <c r="H621" s="258"/>
      <c r="I621" s="258">
        <f>List346[[#This Row],[Pengajuan Donasi]]</f>
        <v>0</v>
      </c>
      <c r="J621" s="213" t="str">
        <f>IF(List346[[#This Row],[Tanggal Trf]]&gt;0,"Done","-")</f>
        <v>-</v>
      </c>
      <c r="K621" s="445"/>
      <c r="L621" s="224"/>
      <c r="M621" s="100"/>
      <c r="N621" s="100">
        <f>MONTH(List346[[#This Row],[Tanggal Pengajuan]])</f>
        <v>1</v>
      </c>
      <c r="O621" s="183"/>
      <c r="P621" s="105"/>
      <c r="Q621" s="111"/>
      <c r="R621" s="367"/>
      <c r="T621" s="152">
        <f>+List346[[#This Row],[Pengajuan Donasi]]-List346[[#This Row],[Jumlah Transfer]]</f>
        <v>0</v>
      </c>
    </row>
    <row r="622" spans="2:20" ht="15.75" x14ac:dyDescent="0.2">
      <c r="B622" s="13"/>
      <c r="C622" s="67"/>
      <c r="D622" s="14"/>
      <c r="E622" s="103"/>
      <c r="F622" s="103"/>
      <c r="G622" s="15">
        <f>IFERROR(+VLOOKUP(D:D,'Data Base P.Asuhan &amp; Jompo'!B:I,7,0),0)</f>
        <v>0</v>
      </c>
      <c r="H622" s="258"/>
      <c r="I622" s="258">
        <f>List346[[#This Row],[Pengajuan Donasi]]</f>
        <v>0</v>
      </c>
      <c r="J622" s="213" t="str">
        <f>IF(List346[[#This Row],[Tanggal Trf]]&gt;0,"Done","-")</f>
        <v>-</v>
      </c>
      <c r="K622" s="445"/>
      <c r="L622" s="224"/>
      <c r="M622" s="100"/>
      <c r="N622" s="100">
        <f>MONTH(List346[[#This Row],[Tanggal Pengajuan]])</f>
        <v>1</v>
      </c>
      <c r="O622" s="183"/>
      <c r="P622" s="105"/>
      <c r="Q622" s="111"/>
      <c r="R622" s="367"/>
      <c r="T622" s="152">
        <f>+List346[[#This Row],[Pengajuan Donasi]]-List346[[#This Row],[Jumlah Transfer]]</f>
        <v>0</v>
      </c>
    </row>
    <row r="623" spans="2:20" ht="15.75" x14ac:dyDescent="0.2">
      <c r="B623" s="13"/>
      <c r="C623" s="67"/>
      <c r="D623" s="14"/>
      <c r="E623" s="103"/>
      <c r="F623" s="103"/>
      <c r="G623" s="15">
        <f>IFERROR(+VLOOKUP(D:D,'Data Base P.Asuhan &amp; Jompo'!B:I,7,0),0)</f>
        <v>0</v>
      </c>
      <c r="H623" s="258"/>
      <c r="I623" s="258">
        <f>List346[[#This Row],[Pengajuan Donasi]]</f>
        <v>0</v>
      </c>
      <c r="J623" s="213" t="str">
        <f>IF(List346[[#This Row],[Tanggal Trf]]&gt;0,"Done","-")</f>
        <v>-</v>
      </c>
      <c r="K623" s="445"/>
      <c r="L623" s="224"/>
      <c r="M623" s="100"/>
      <c r="N623" s="100">
        <f>MONTH(List346[[#This Row],[Tanggal Pengajuan]])</f>
        <v>1</v>
      </c>
      <c r="O623" s="183"/>
      <c r="P623" s="105"/>
      <c r="Q623" s="111"/>
      <c r="R623" s="367"/>
      <c r="T623" s="152">
        <f>+List346[[#This Row],[Pengajuan Donasi]]-List346[[#This Row],[Jumlah Transfer]]</f>
        <v>0</v>
      </c>
    </row>
    <row r="624" spans="2:20" ht="15.75" x14ac:dyDescent="0.2">
      <c r="B624" s="13"/>
      <c r="C624" s="67"/>
      <c r="D624" s="14"/>
      <c r="E624" s="103"/>
      <c r="F624" s="103"/>
      <c r="G624" s="15">
        <f>IFERROR(+VLOOKUP(D:D,'Data Base P.Asuhan &amp; Jompo'!B:I,7,0),0)</f>
        <v>0</v>
      </c>
      <c r="H624" s="258"/>
      <c r="I624" s="258">
        <f>List346[[#This Row],[Pengajuan Donasi]]</f>
        <v>0</v>
      </c>
      <c r="J624" s="213" t="str">
        <f>IF(List346[[#This Row],[Tanggal Trf]]&gt;0,"Done","-")</f>
        <v>-</v>
      </c>
      <c r="K624" s="445"/>
      <c r="L624" s="224"/>
      <c r="M624" s="100"/>
      <c r="N624" s="100">
        <f>MONTH(List346[[#This Row],[Tanggal Pengajuan]])</f>
        <v>1</v>
      </c>
      <c r="O624" s="183"/>
      <c r="P624" s="105"/>
      <c r="Q624" s="111"/>
      <c r="R624" s="367"/>
      <c r="T624" s="152">
        <f>+List346[[#This Row],[Pengajuan Donasi]]-List346[[#This Row],[Jumlah Transfer]]</f>
        <v>0</v>
      </c>
    </row>
    <row r="625" spans="2:20" ht="15.75" x14ac:dyDescent="0.2">
      <c r="B625" s="13"/>
      <c r="C625" s="67"/>
      <c r="D625" s="14"/>
      <c r="E625" s="103"/>
      <c r="F625" s="103"/>
      <c r="G625" s="15">
        <f>IFERROR(+VLOOKUP(D:D,'Data Base P.Asuhan &amp; Jompo'!B:I,7,0),0)</f>
        <v>0</v>
      </c>
      <c r="H625" s="258"/>
      <c r="I625" s="258">
        <f>List346[[#This Row],[Pengajuan Donasi]]</f>
        <v>0</v>
      </c>
      <c r="J625" s="213" t="str">
        <f>IF(List346[[#This Row],[Tanggal Trf]]&gt;0,"Done","-")</f>
        <v>-</v>
      </c>
      <c r="K625" s="445"/>
      <c r="L625" s="224"/>
      <c r="M625" s="105"/>
      <c r="N625" s="100">
        <f>MONTH(List346[[#This Row],[Tanggal Pengajuan]])</f>
        <v>1</v>
      </c>
      <c r="O625" s="183"/>
      <c r="P625" s="105"/>
      <c r="Q625" s="111"/>
      <c r="R625" s="367"/>
      <c r="T625" s="152">
        <f>+List346[[#This Row],[Pengajuan Donasi]]-List346[[#This Row],[Jumlah Transfer]]</f>
        <v>0</v>
      </c>
    </row>
    <row r="626" spans="2:20" ht="15.75" x14ac:dyDescent="0.2">
      <c r="B626" s="13"/>
      <c r="C626" s="67"/>
      <c r="D626" s="14"/>
      <c r="E626" s="103"/>
      <c r="F626" s="103"/>
      <c r="G626" s="15">
        <f>IFERROR(+VLOOKUP(D:D,'Data Base P.Asuhan &amp; Jompo'!B:I,7,0),0)</f>
        <v>0</v>
      </c>
      <c r="H626" s="258"/>
      <c r="I626" s="258">
        <f>List346[[#This Row],[Pengajuan Donasi]]</f>
        <v>0</v>
      </c>
      <c r="J626" s="213" t="str">
        <f>IF(List346[[#This Row],[Tanggal Trf]]&gt;0,"Done","-")</f>
        <v>-</v>
      </c>
      <c r="K626" s="445"/>
      <c r="L626" s="224"/>
      <c r="M626" s="100"/>
      <c r="N626" s="100">
        <f>MONTH(List346[[#This Row],[Tanggal Pengajuan]])</f>
        <v>1</v>
      </c>
      <c r="O626" s="183"/>
      <c r="P626" s="105"/>
      <c r="Q626" s="111"/>
      <c r="R626" s="367"/>
      <c r="T626" s="152">
        <f>+List346[[#This Row],[Pengajuan Donasi]]-List346[[#This Row],[Jumlah Transfer]]</f>
        <v>0</v>
      </c>
    </row>
    <row r="627" spans="2:20" ht="15.75" x14ac:dyDescent="0.2">
      <c r="B627" s="13"/>
      <c r="C627" s="67"/>
      <c r="D627" s="14"/>
      <c r="E627" s="103"/>
      <c r="F627" s="103"/>
      <c r="G627" s="15">
        <f>IFERROR(+VLOOKUP(D:D,'Data Base P.Asuhan &amp; Jompo'!B:I,7,0),0)</f>
        <v>0</v>
      </c>
      <c r="H627" s="258"/>
      <c r="I627" s="258">
        <f>List346[[#This Row],[Pengajuan Donasi]]</f>
        <v>0</v>
      </c>
      <c r="J627" s="213" t="str">
        <f>IF(List346[[#This Row],[Tanggal Trf]]&gt;0,"Done","-")</f>
        <v>-</v>
      </c>
      <c r="K627" s="445"/>
      <c r="L627" s="224"/>
      <c r="M627" s="100"/>
      <c r="N627" s="100">
        <f>MONTH(List346[[#This Row],[Tanggal Pengajuan]])</f>
        <v>1</v>
      </c>
      <c r="O627" s="183"/>
      <c r="P627" s="105"/>
      <c r="Q627" s="111"/>
      <c r="R627" s="367"/>
      <c r="T627" s="152">
        <f>+List346[[#This Row],[Pengajuan Donasi]]-List346[[#This Row],[Jumlah Transfer]]</f>
        <v>0</v>
      </c>
    </row>
    <row r="628" spans="2:20" ht="15.75" x14ac:dyDescent="0.2">
      <c r="B628" s="13"/>
      <c r="C628" s="67"/>
      <c r="D628" s="14"/>
      <c r="E628" s="103"/>
      <c r="F628" s="103"/>
      <c r="G628" s="15">
        <f>IFERROR(+VLOOKUP(D:D,'Data Base P.Asuhan &amp; Jompo'!B:I,7,0),0)</f>
        <v>0</v>
      </c>
      <c r="H628" s="258"/>
      <c r="I628" s="258">
        <f>List346[[#This Row],[Pengajuan Donasi]]</f>
        <v>0</v>
      </c>
      <c r="J628" s="213" t="str">
        <f>IF(List346[[#This Row],[Tanggal Trf]]&gt;0,"Done","-")</f>
        <v>-</v>
      </c>
      <c r="K628" s="445"/>
      <c r="L628" s="224"/>
      <c r="M628" s="100"/>
      <c r="N628" s="100">
        <f>MONTH(List346[[#This Row],[Tanggal Pengajuan]])</f>
        <v>1</v>
      </c>
      <c r="O628" s="183"/>
      <c r="P628" s="105"/>
      <c r="Q628" s="111"/>
      <c r="R628" s="367"/>
      <c r="T628" s="152">
        <f>+List346[[#This Row],[Pengajuan Donasi]]-List346[[#This Row],[Jumlah Transfer]]</f>
        <v>0</v>
      </c>
    </row>
    <row r="629" spans="2:20" ht="15.75" x14ac:dyDescent="0.2">
      <c r="B629" s="13"/>
      <c r="C629" s="67"/>
      <c r="D629" s="14"/>
      <c r="E629" s="103"/>
      <c r="F629" s="103"/>
      <c r="G629" s="15">
        <f>IFERROR(+VLOOKUP(D:D,'Data Base P.Asuhan &amp; Jompo'!B:I,7,0),0)</f>
        <v>0</v>
      </c>
      <c r="H629" s="258"/>
      <c r="I629" s="258">
        <f>List346[[#This Row],[Pengajuan Donasi]]</f>
        <v>0</v>
      </c>
      <c r="J629" s="213" t="str">
        <f>IF(List346[[#This Row],[Tanggal Trf]]&gt;0,"Done","-")</f>
        <v>-</v>
      </c>
      <c r="K629" s="445"/>
      <c r="L629" s="224"/>
      <c r="M629" s="100"/>
      <c r="N629" s="100">
        <f>MONTH(List346[[#This Row],[Tanggal Pengajuan]])</f>
        <v>1</v>
      </c>
      <c r="O629" s="183"/>
      <c r="P629" s="105"/>
      <c r="Q629" s="111"/>
      <c r="R629" s="367"/>
      <c r="T629" s="152">
        <f>+List346[[#This Row],[Pengajuan Donasi]]-List346[[#This Row],[Jumlah Transfer]]</f>
        <v>0</v>
      </c>
    </row>
    <row r="630" spans="2:20" ht="15.75" x14ac:dyDescent="0.2">
      <c r="B630" s="13"/>
      <c r="C630" s="67"/>
      <c r="D630" s="14"/>
      <c r="E630" s="14"/>
      <c r="F630" s="103"/>
      <c r="G630" s="15">
        <f>IFERROR(+VLOOKUP(D:D,'Data Base P.Asuhan &amp; Jompo'!B:I,7,0),0)</f>
        <v>0</v>
      </c>
      <c r="H630" s="258"/>
      <c r="I630" s="258">
        <f>List346[[#This Row],[Pengajuan Donasi]]</f>
        <v>0</v>
      </c>
      <c r="J630" s="213" t="str">
        <f>IF(List346[[#This Row],[Tanggal Trf]]&gt;0,"Done","-")</f>
        <v>-</v>
      </c>
      <c r="K630" s="445"/>
      <c r="L630" s="224"/>
      <c r="M630" s="100"/>
      <c r="N630" s="100">
        <f>MONTH(List346[[#This Row],[Tanggal Pengajuan]])</f>
        <v>1</v>
      </c>
      <c r="O630" s="183"/>
      <c r="P630" s="105"/>
      <c r="Q630" s="111"/>
      <c r="R630" s="367"/>
      <c r="T630" s="152">
        <f>+List346[[#This Row],[Pengajuan Donasi]]-List346[[#This Row],[Jumlah Transfer]]</f>
        <v>0</v>
      </c>
    </row>
    <row r="631" spans="2:20" ht="15.75" x14ac:dyDescent="0.2">
      <c r="B631" s="13"/>
      <c r="C631" s="67"/>
      <c r="D631" s="14"/>
      <c r="E631" s="14"/>
      <c r="F631" s="103"/>
      <c r="G631" s="15">
        <f>IFERROR(+VLOOKUP(D:D,'Data Base P.Asuhan &amp; Jompo'!B:I,7,0),0)</f>
        <v>0</v>
      </c>
      <c r="H631" s="258"/>
      <c r="I631" s="258">
        <f>List346[[#This Row],[Pengajuan Donasi]]</f>
        <v>0</v>
      </c>
      <c r="J631" s="213" t="str">
        <f>IF(List346[[#This Row],[Tanggal Trf]]&gt;0,"Done","-")</f>
        <v>-</v>
      </c>
      <c r="K631" s="445"/>
      <c r="L631" s="224"/>
      <c r="M631" s="100"/>
      <c r="N631" s="100">
        <f>MONTH(List346[[#This Row],[Tanggal Pengajuan]])</f>
        <v>1</v>
      </c>
      <c r="O631" s="183"/>
      <c r="P631" s="105"/>
      <c r="Q631" s="111"/>
      <c r="R631" s="367"/>
      <c r="T631" s="152">
        <f>+List346[[#This Row],[Pengajuan Donasi]]-List346[[#This Row],[Jumlah Transfer]]</f>
        <v>0</v>
      </c>
    </row>
    <row r="632" spans="2:20" ht="15.75" x14ac:dyDescent="0.2">
      <c r="B632" s="13"/>
      <c r="C632" s="67"/>
      <c r="D632" s="14"/>
      <c r="E632" s="14"/>
      <c r="F632" s="103"/>
      <c r="G632" s="15">
        <f>IFERROR(+VLOOKUP(D:D,'Data Base P.Asuhan &amp; Jompo'!B:I,7,0),0)</f>
        <v>0</v>
      </c>
      <c r="H632" s="258"/>
      <c r="I632" s="258">
        <f>List346[[#This Row],[Pengajuan Donasi]]</f>
        <v>0</v>
      </c>
      <c r="J632" s="213" t="str">
        <f>IF(List346[[#This Row],[Tanggal Trf]]&gt;0,"Done","-")</f>
        <v>-</v>
      </c>
      <c r="K632" s="445"/>
      <c r="L632" s="224"/>
      <c r="M632" s="100"/>
      <c r="N632" s="100">
        <f>MONTH(List346[[#This Row],[Tanggal Pengajuan]])</f>
        <v>1</v>
      </c>
      <c r="O632" s="183"/>
      <c r="P632" s="105"/>
      <c r="Q632" s="111"/>
      <c r="R632" s="367"/>
      <c r="T632" s="152">
        <f>+List346[[#This Row],[Pengajuan Donasi]]-List346[[#This Row],[Jumlah Transfer]]</f>
        <v>0</v>
      </c>
    </row>
    <row r="633" spans="2:20" ht="15.75" x14ac:dyDescent="0.2">
      <c r="B633" s="13"/>
      <c r="C633" s="67"/>
      <c r="D633" s="14"/>
      <c r="E633" s="14"/>
      <c r="F633" s="103"/>
      <c r="G633" s="15">
        <f>IFERROR(+VLOOKUP(D:D,'Data Base P.Asuhan &amp; Jompo'!B:I,7,0),0)</f>
        <v>0</v>
      </c>
      <c r="H633" s="258"/>
      <c r="I633" s="258">
        <f>List346[[#This Row],[Pengajuan Donasi]]</f>
        <v>0</v>
      </c>
      <c r="J633" s="213" t="str">
        <f>IF(List346[[#This Row],[Tanggal Trf]]&gt;0,"Done","-")</f>
        <v>-</v>
      </c>
      <c r="K633" s="445"/>
      <c r="L633" s="224"/>
      <c r="M633" s="100"/>
      <c r="N633" s="100">
        <f>MONTH(List346[[#This Row],[Tanggal Pengajuan]])</f>
        <v>1</v>
      </c>
      <c r="O633" s="183"/>
      <c r="P633" s="105"/>
      <c r="Q633" s="111"/>
      <c r="R633" s="367"/>
      <c r="T633" s="152">
        <f>+List346[[#This Row],[Pengajuan Donasi]]-List346[[#This Row],[Jumlah Transfer]]</f>
        <v>0</v>
      </c>
    </row>
    <row r="634" spans="2:20" ht="15.75" x14ac:dyDescent="0.2">
      <c r="B634" s="13"/>
      <c r="C634" s="67"/>
      <c r="D634" s="14"/>
      <c r="E634" s="14"/>
      <c r="F634" s="103"/>
      <c r="G634" s="15">
        <f>IFERROR(+VLOOKUP(D:D,'Data Base P.Asuhan &amp; Jompo'!B:I,7,0),0)</f>
        <v>0</v>
      </c>
      <c r="H634" s="258"/>
      <c r="I634" s="258">
        <f>List346[[#This Row],[Pengajuan Donasi]]</f>
        <v>0</v>
      </c>
      <c r="J634" s="213" t="str">
        <f>IF(List346[[#This Row],[Tanggal Trf]]&gt;0,"Done","-")</f>
        <v>-</v>
      </c>
      <c r="K634" s="445"/>
      <c r="L634" s="224"/>
      <c r="M634" s="100"/>
      <c r="N634" s="100">
        <f>MONTH(List346[[#This Row],[Tanggal Pengajuan]])</f>
        <v>1</v>
      </c>
      <c r="O634" s="183"/>
      <c r="P634" s="105"/>
      <c r="Q634" s="111"/>
      <c r="R634" s="367"/>
      <c r="T634" s="152">
        <f>+List346[[#This Row],[Pengajuan Donasi]]-List346[[#This Row],[Jumlah Transfer]]</f>
        <v>0</v>
      </c>
    </row>
    <row r="635" spans="2:20" ht="15.75" x14ac:dyDescent="0.2">
      <c r="B635" s="13"/>
      <c r="C635" s="67"/>
      <c r="D635" s="14"/>
      <c r="E635" s="14"/>
      <c r="F635" s="103"/>
      <c r="G635" s="15">
        <f>IFERROR(+VLOOKUP(D:D,'Data Base P.Asuhan &amp; Jompo'!B:I,7,0),0)</f>
        <v>0</v>
      </c>
      <c r="H635" s="258"/>
      <c r="I635" s="258">
        <f>List346[[#This Row],[Pengajuan Donasi]]</f>
        <v>0</v>
      </c>
      <c r="J635" s="213" t="str">
        <f>IF(List346[[#This Row],[Tanggal Trf]]&gt;0,"Done","-")</f>
        <v>-</v>
      </c>
      <c r="K635" s="445"/>
      <c r="L635" s="224"/>
      <c r="M635" s="100"/>
      <c r="N635" s="100">
        <f>MONTH(List346[[#This Row],[Tanggal Pengajuan]])</f>
        <v>1</v>
      </c>
      <c r="O635" s="183"/>
      <c r="P635" s="105"/>
      <c r="Q635" s="111"/>
      <c r="R635" s="367"/>
      <c r="T635" s="152">
        <f>+List346[[#This Row],[Pengajuan Donasi]]-List346[[#This Row],[Jumlah Transfer]]</f>
        <v>0</v>
      </c>
    </row>
    <row r="636" spans="2:20" ht="15.75" x14ac:dyDescent="0.2">
      <c r="B636" s="13"/>
      <c r="C636" s="67"/>
      <c r="D636" s="14"/>
      <c r="E636" s="14"/>
      <c r="F636" s="103"/>
      <c r="G636" s="15">
        <f>IFERROR(+VLOOKUP(D:D,'Data Base P.Asuhan &amp; Jompo'!B:I,7,0),0)</f>
        <v>0</v>
      </c>
      <c r="H636" s="258"/>
      <c r="I636" s="258">
        <f>List346[[#This Row],[Pengajuan Donasi]]</f>
        <v>0</v>
      </c>
      <c r="J636" s="213" t="str">
        <f>IF(List346[[#This Row],[Tanggal Trf]]&gt;0,"Done","-")</f>
        <v>-</v>
      </c>
      <c r="K636" s="445"/>
      <c r="L636" s="224"/>
      <c r="M636" s="100"/>
      <c r="N636" s="100">
        <f>MONTH(List346[[#This Row],[Tanggal Pengajuan]])</f>
        <v>1</v>
      </c>
      <c r="O636" s="183"/>
      <c r="P636" s="105"/>
      <c r="Q636" s="111"/>
      <c r="R636" s="367"/>
      <c r="T636" s="152">
        <f>+List346[[#This Row],[Pengajuan Donasi]]-List346[[#This Row],[Jumlah Transfer]]</f>
        <v>0</v>
      </c>
    </row>
    <row r="637" spans="2:20" ht="15.75" x14ac:dyDescent="0.2">
      <c r="B637" s="13"/>
      <c r="C637" s="67"/>
      <c r="D637" s="14"/>
      <c r="E637" s="14"/>
      <c r="F637" s="103"/>
      <c r="G637" s="15">
        <f>IFERROR(+VLOOKUP(D:D,'Data Base P.Asuhan &amp; Jompo'!B:I,7,0),0)</f>
        <v>0</v>
      </c>
      <c r="H637" s="258"/>
      <c r="I637" s="258">
        <f>List346[[#This Row],[Pengajuan Donasi]]</f>
        <v>0</v>
      </c>
      <c r="J637" s="213" t="str">
        <f>IF(List346[[#This Row],[Tanggal Trf]]&gt;0,"Done","-")</f>
        <v>-</v>
      </c>
      <c r="K637" s="445"/>
      <c r="L637" s="224"/>
      <c r="M637" s="100"/>
      <c r="N637" s="100">
        <f>MONTH(List346[[#This Row],[Tanggal Pengajuan]])</f>
        <v>1</v>
      </c>
      <c r="O637" s="183"/>
      <c r="P637" s="105"/>
      <c r="Q637" s="111"/>
      <c r="R637" s="367"/>
      <c r="T637" s="152">
        <f>+List346[[#This Row],[Pengajuan Donasi]]-List346[[#This Row],[Jumlah Transfer]]</f>
        <v>0</v>
      </c>
    </row>
    <row r="638" spans="2:20" ht="15.75" x14ac:dyDescent="0.2">
      <c r="B638" s="13"/>
      <c r="C638" s="67"/>
      <c r="D638" s="14"/>
      <c r="E638" s="14"/>
      <c r="F638" s="103"/>
      <c r="G638" s="15">
        <f>IFERROR(+VLOOKUP(D:D,'Data Base P.Asuhan &amp; Jompo'!B:I,7,0),0)</f>
        <v>0</v>
      </c>
      <c r="H638" s="258"/>
      <c r="I638" s="258">
        <f>List346[[#This Row],[Pengajuan Donasi]]</f>
        <v>0</v>
      </c>
      <c r="J638" s="213" t="str">
        <f>IF(List346[[#This Row],[Tanggal Trf]]&gt;0,"Done","-")</f>
        <v>-</v>
      </c>
      <c r="K638" s="445"/>
      <c r="L638" s="224"/>
      <c r="M638" s="100"/>
      <c r="N638" s="100">
        <f>MONTH(List346[[#This Row],[Tanggal Pengajuan]])</f>
        <v>1</v>
      </c>
      <c r="O638" s="183"/>
      <c r="P638" s="105"/>
      <c r="Q638" s="111"/>
      <c r="R638" s="367"/>
      <c r="T638" s="152">
        <f>+List346[[#This Row],[Pengajuan Donasi]]-List346[[#This Row],[Jumlah Transfer]]</f>
        <v>0</v>
      </c>
    </row>
    <row r="639" spans="2:20" ht="15.75" x14ac:dyDescent="0.2">
      <c r="B639" s="13"/>
      <c r="C639" s="67"/>
      <c r="D639" s="14"/>
      <c r="E639" s="14"/>
      <c r="F639" s="103"/>
      <c r="G639" s="15">
        <f>IFERROR(+VLOOKUP(D:D,'Data Base P.Asuhan &amp; Jompo'!B:I,7,0),0)</f>
        <v>0</v>
      </c>
      <c r="H639" s="258"/>
      <c r="I639" s="258">
        <f>List346[[#This Row],[Pengajuan Donasi]]</f>
        <v>0</v>
      </c>
      <c r="J639" s="213" t="str">
        <f>IF(List346[[#This Row],[Tanggal Trf]]&gt;0,"Done","-")</f>
        <v>-</v>
      </c>
      <c r="K639" s="445"/>
      <c r="L639" s="224"/>
      <c r="M639" s="100"/>
      <c r="N639" s="100">
        <f>MONTH(List346[[#This Row],[Tanggal Pengajuan]])</f>
        <v>1</v>
      </c>
      <c r="O639" s="183"/>
      <c r="P639" s="105"/>
      <c r="Q639" s="111"/>
      <c r="R639" s="367"/>
      <c r="T639" s="152">
        <f>+List346[[#This Row],[Pengajuan Donasi]]-List346[[#This Row],[Jumlah Transfer]]</f>
        <v>0</v>
      </c>
    </row>
    <row r="640" spans="2:20" ht="15.75" x14ac:dyDescent="0.2">
      <c r="B640" s="13"/>
      <c r="C640" s="67"/>
      <c r="D640" s="14"/>
      <c r="E640" s="14"/>
      <c r="F640" s="103"/>
      <c r="G640" s="15">
        <f>IFERROR(+VLOOKUP(D:D,'Data Base P.Asuhan &amp; Jompo'!B:I,7,0),0)</f>
        <v>0</v>
      </c>
      <c r="H640" s="258"/>
      <c r="I640" s="258">
        <f>List346[[#This Row],[Pengajuan Donasi]]</f>
        <v>0</v>
      </c>
      <c r="J640" s="213" t="str">
        <f>IF(List346[[#This Row],[Tanggal Trf]]&gt;0,"Done","-")</f>
        <v>-</v>
      </c>
      <c r="K640" s="445"/>
      <c r="L640" s="224"/>
      <c r="M640" s="100"/>
      <c r="N640" s="100">
        <f>MONTH(List346[[#This Row],[Tanggal Pengajuan]])</f>
        <v>1</v>
      </c>
      <c r="O640" s="183"/>
      <c r="P640" s="105"/>
      <c r="Q640" s="111"/>
      <c r="R640" s="367"/>
      <c r="T640" s="152">
        <f>+List346[[#This Row],[Pengajuan Donasi]]-List346[[#This Row],[Jumlah Transfer]]</f>
        <v>0</v>
      </c>
    </row>
    <row r="641" spans="2:20" ht="15.75" x14ac:dyDescent="0.2">
      <c r="B641" s="13"/>
      <c r="C641" s="67"/>
      <c r="D641" s="14"/>
      <c r="E641" s="14"/>
      <c r="F641" s="103"/>
      <c r="G641" s="15">
        <f>IFERROR(+VLOOKUP(D:D,'Data Base P.Asuhan &amp; Jompo'!B:I,7,0),0)</f>
        <v>0</v>
      </c>
      <c r="H641" s="258"/>
      <c r="I641" s="258">
        <f>List346[[#This Row],[Pengajuan Donasi]]</f>
        <v>0</v>
      </c>
      <c r="J641" s="213" t="str">
        <f>IF(List346[[#This Row],[Tanggal Trf]]&gt;0,"Done","-")</f>
        <v>-</v>
      </c>
      <c r="K641" s="445"/>
      <c r="L641" s="224"/>
      <c r="M641" s="100"/>
      <c r="N641" s="100">
        <f>MONTH(List346[[#This Row],[Tanggal Pengajuan]])</f>
        <v>1</v>
      </c>
      <c r="O641" s="183"/>
      <c r="P641" s="105"/>
      <c r="Q641" s="111"/>
      <c r="R641" s="367"/>
      <c r="T641" s="152">
        <f>+List346[[#This Row],[Pengajuan Donasi]]-List346[[#This Row],[Jumlah Transfer]]</f>
        <v>0</v>
      </c>
    </row>
    <row r="642" spans="2:20" ht="15.75" x14ac:dyDescent="0.2">
      <c r="B642" s="13"/>
      <c r="C642" s="67"/>
      <c r="D642" s="14"/>
      <c r="E642" s="14"/>
      <c r="F642" s="103"/>
      <c r="G642" s="15">
        <f>IFERROR(+VLOOKUP(D:D,'Data Base P.Asuhan &amp; Jompo'!B:I,7,0),0)</f>
        <v>0</v>
      </c>
      <c r="H642" s="258"/>
      <c r="I642" s="258">
        <f>List346[[#This Row],[Pengajuan Donasi]]</f>
        <v>0</v>
      </c>
      <c r="J642" s="213" t="str">
        <f>IF(List346[[#This Row],[Tanggal Trf]]&gt;0,"Done","-")</f>
        <v>-</v>
      </c>
      <c r="K642" s="445"/>
      <c r="L642" s="224"/>
      <c r="M642" s="100"/>
      <c r="N642" s="100">
        <f>MONTH(List346[[#This Row],[Tanggal Pengajuan]])</f>
        <v>1</v>
      </c>
      <c r="O642" s="183"/>
      <c r="P642" s="105"/>
      <c r="Q642" s="111"/>
      <c r="R642" s="367"/>
      <c r="T642" s="152">
        <f>+List346[[#This Row],[Pengajuan Donasi]]-List346[[#This Row],[Jumlah Transfer]]</f>
        <v>0</v>
      </c>
    </row>
    <row r="643" spans="2:20" ht="15.75" x14ac:dyDescent="0.2">
      <c r="B643" s="13"/>
      <c r="C643" s="67"/>
      <c r="D643" s="14"/>
      <c r="E643" s="14"/>
      <c r="F643" s="103"/>
      <c r="G643" s="15">
        <f>IFERROR(+VLOOKUP(D:D,'Data Base P.Asuhan &amp; Jompo'!B:I,7,0),0)</f>
        <v>0</v>
      </c>
      <c r="H643" s="258"/>
      <c r="I643" s="258">
        <f>List346[[#This Row],[Pengajuan Donasi]]</f>
        <v>0</v>
      </c>
      <c r="J643" s="213" t="str">
        <f>IF(List346[[#This Row],[Tanggal Trf]]&gt;0,"Done","-")</f>
        <v>-</v>
      </c>
      <c r="K643" s="445"/>
      <c r="L643" s="224"/>
      <c r="M643" s="100"/>
      <c r="N643" s="100">
        <f>MONTH(List346[[#This Row],[Tanggal Pengajuan]])</f>
        <v>1</v>
      </c>
      <c r="O643" s="183"/>
      <c r="P643" s="105"/>
      <c r="Q643" s="111"/>
      <c r="R643" s="367"/>
      <c r="T643" s="152">
        <f>+List346[[#This Row],[Pengajuan Donasi]]-List346[[#This Row],[Jumlah Transfer]]</f>
        <v>0</v>
      </c>
    </row>
    <row r="644" spans="2:20" ht="15.75" x14ac:dyDescent="0.2">
      <c r="B644" s="13"/>
      <c r="C644" s="67"/>
      <c r="D644" s="14"/>
      <c r="E644" s="14"/>
      <c r="F644" s="103"/>
      <c r="G644" s="15">
        <f>IFERROR(+VLOOKUP(D:D,'Data Base P.Asuhan &amp; Jompo'!B:I,7,0),0)</f>
        <v>0</v>
      </c>
      <c r="H644" s="258"/>
      <c r="I644" s="258">
        <f>List346[[#This Row],[Pengajuan Donasi]]</f>
        <v>0</v>
      </c>
      <c r="J644" s="213" t="str">
        <f>IF(List346[[#This Row],[Tanggal Trf]]&gt;0,"Done","-")</f>
        <v>-</v>
      </c>
      <c r="K644" s="445"/>
      <c r="L644" s="224"/>
      <c r="M644" s="100"/>
      <c r="N644" s="100">
        <f>MONTH(List346[[#This Row],[Tanggal Pengajuan]])</f>
        <v>1</v>
      </c>
      <c r="O644" s="183"/>
      <c r="P644" s="105"/>
      <c r="Q644" s="111"/>
      <c r="R644" s="367"/>
      <c r="T644" s="152">
        <f>+List346[[#This Row],[Pengajuan Donasi]]-List346[[#This Row],[Jumlah Transfer]]</f>
        <v>0</v>
      </c>
    </row>
    <row r="645" spans="2:20" ht="15.75" x14ac:dyDescent="0.2">
      <c r="B645" s="13"/>
      <c r="C645" s="67"/>
      <c r="D645" s="14"/>
      <c r="E645" s="14"/>
      <c r="F645" s="103"/>
      <c r="G645" s="15">
        <f>IFERROR(+VLOOKUP(D:D,'Data Base P.Asuhan &amp; Jompo'!B:I,7,0),0)</f>
        <v>0</v>
      </c>
      <c r="H645" s="258"/>
      <c r="I645" s="258">
        <f>List346[[#This Row],[Pengajuan Donasi]]</f>
        <v>0</v>
      </c>
      <c r="J645" s="213" t="str">
        <f>IF(List346[[#This Row],[Tanggal Trf]]&gt;0,"Done","-")</f>
        <v>-</v>
      </c>
      <c r="K645" s="445"/>
      <c r="L645" s="224"/>
      <c r="M645" s="404"/>
      <c r="N645" s="100">
        <f>MONTH(List346[[#This Row],[Tanggal Pengajuan]])</f>
        <v>1</v>
      </c>
      <c r="O645" s="183"/>
      <c r="P645" s="100"/>
      <c r="Q645" s="111"/>
      <c r="R645" s="367"/>
      <c r="T645" s="152">
        <f>+List346[[#This Row],[Pengajuan Donasi]]-List346[[#This Row],[Jumlah Transfer]]</f>
        <v>0</v>
      </c>
    </row>
    <row r="646" spans="2:20" ht="15.75" x14ac:dyDescent="0.2">
      <c r="B646" s="13"/>
      <c r="C646" s="67"/>
      <c r="D646" s="14"/>
      <c r="E646" s="14"/>
      <c r="F646" s="103"/>
      <c r="G646" s="15">
        <f>IFERROR(+VLOOKUP(D:D,'Data Base P.Asuhan &amp; Jompo'!B:I,7,0),0)</f>
        <v>0</v>
      </c>
      <c r="H646" s="258"/>
      <c r="I646" s="258">
        <f>List346[[#This Row],[Pengajuan Donasi]]</f>
        <v>0</v>
      </c>
      <c r="J646" s="213" t="str">
        <f>IF(List346[[#This Row],[Tanggal Trf]]&gt;0,"Done","-")</f>
        <v>-</v>
      </c>
      <c r="K646" s="445"/>
      <c r="L646" s="224"/>
      <c r="M646" s="100"/>
      <c r="N646" s="100">
        <f>MONTH(List346[[#This Row],[Tanggal Pengajuan]])</f>
        <v>1</v>
      </c>
      <c r="O646" s="183"/>
      <c r="P646" s="105"/>
      <c r="Q646" s="111"/>
      <c r="R646" s="367"/>
      <c r="T646" s="152">
        <f>+List346[[#This Row],[Pengajuan Donasi]]-List346[[#This Row],[Jumlah Transfer]]</f>
        <v>0</v>
      </c>
    </row>
    <row r="647" spans="2:20" ht="15.75" x14ac:dyDescent="0.2">
      <c r="B647" s="13"/>
      <c r="C647" s="67"/>
      <c r="D647" s="14"/>
      <c r="E647" s="14"/>
      <c r="F647" s="103"/>
      <c r="G647" s="15">
        <f>IFERROR(+VLOOKUP(D:D,'Data Base P.Asuhan &amp; Jompo'!B:I,7,0),0)</f>
        <v>0</v>
      </c>
      <c r="H647" s="258"/>
      <c r="I647" s="258">
        <f>List346[[#This Row],[Pengajuan Donasi]]</f>
        <v>0</v>
      </c>
      <c r="J647" s="213" t="str">
        <f>IF(List346[[#This Row],[Tanggal Trf]]&gt;0,"Done","-")</f>
        <v>-</v>
      </c>
      <c r="K647" s="445"/>
      <c r="L647" s="224"/>
      <c r="M647" s="100"/>
      <c r="N647" s="100">
        <f>MONTH(List346[[#This Row],[Tanggal Pengajuan]])</f>
        <v>1</v>
      </c>
      <c r="O647" s="183"/>
      <c r="P647" s="105"/>
      <c r="Q647" s="111"/>
      <c r="R647" s="367"/>
      <c r="T647" s="152">
        <f>+List346[[#This Row],[Pengajuan Donasi]]-List346[[#This Row],[Jumlah Transfer]]</f>
        <v>0</v>
      </c>
    </row>
    <row r="648" spans="2:20" ht="15.75" x14ac:dyDescent="0.2">
      <c r="B648" s="13"/>
      <c r="C648" s="67"/>
      <c r="D648" s="14"/>
      <c r="E648" s="14"/>
      <c r="F648" s="103"/>
      <c r="G648" s="15">
        <f>IFERROR(+VLOOKUP(D:D,'Data Base P.Asuhan &amp; Jompo'!B:I,7,0),0)</f>
        <v>0</v>
      </c>
      <c r="H648" s="258"/>
      <c r="I648" s="258">
        <f>List346[[#This Row],[Pengajuan Donasi]]</f>
        <v>0</v>
      </c>
      <c r="J648" s="213" t="str">
        <f>IF(List346[[#This Row],[Tanggal Trf]]&gt;0,"Done","-")</f>
        <v>-</v>
      </c>
      <c r="K648" s="445"/>
      <c r="L648" s="224"/>
      <c r="M648" s="100"/>
      <c r="N648" s="100">
        <f>MONTH(List346[[#This Row],[Tanggal Pengajuan]])</f>
        <v>1</v>
      </c>
      <c r="O648" s="183"/>
      <c r="P648" s="105"/>
      <c r="Q648" s="111"/>
      <c r="R648" s="367"/>
      <c r="T648" s="152">
        <f>+List346[[#This Row],[Pengajuan Donasi]]-List346[[#This Row],[Jumlah Transfer]]</f>
        <v>0</v>
      </c>
    </row>
    <row r="649" spans="2:20" ht="15.75" x14ac:dyDescent="0.2">
      <c r="B649" s="13"/>
      <c r="C649" s="67"/>
      <c r="D649" s="14"/>
      <c r="E649" s="14"/>
      <c r="F649" s="103"/>
      <c r="G649" s="15">
        <f>IFERROR(+VLOOKUP(D:D,'Data Base P.Asuhan &amp; Jompo'!B:I,7,0),0)</f>
        <v>0</v>
      </c>
      <c r="H649" s="258"/>
      <c r="I649" s="258">
        <f>List346[[#This Row],[Pengajuan Donasi]]</f>
        <v>0</v>
      </c>
      <c r="J649" s="213" t="str">
        <f>IF(List346[[#This Row],[Tanggal Trf]]&gt;0,"Done","-")</f>
        <v>-</v>
      </c>
      <c r="K649" s="445"/>
      <c r="L649" s="224"/>
      <c r="M649" s="100"/>
      <c r="N649" s="100">
        <f>MONTH(List346[[#This Row],[Tanggal Pengajuan]])</f>
        <v>1</v>
      </c>
      <c r="O649" s="183"/>
      <c r="P649" s="100"/>
      <c r="Q649" s="111"/>
      <c r="R649" s="367"/>
      <c r="T649" s="152">
        <f>+List346[[#This Row],[Pengajuan Donasi]]-List346[[#This Row],[Jumlah Transfer]]</f>
        <v>0</v>
      </c>
    </row>
    <row r="650" spans="2:20" ht="15.75" x14ac:dyDescent="0.2">
      <c r="B650" s="13"/>
      <c r="C650" s="67"/>
      <c r="D650" s="14"/>
      <c r="E650" s="14"/>
      <c r="F650" s="103"/>
      <c r="G650" s="15">
        <f>IFERROR(+VLOOKUP(D:D,'Data Base P.Asuhan &amp; Jompo'!B:I,7,0),0)</f>
        <v>0</v>
      </c>
      <c r="H650" s="258"/>
      <c r="I650" s="258">
        <f>List346[[#This Row],[Pengajuan Donasi]]</f>
        <v>0</v>
      </c>
      <c r="J650" s="213" t="str">
        <f>IF(List346[[#This Row],[Tanggal Trf]]&gt;0,"Done","-")</f>
        <v>-</v>
      </c>
      <c r="K650" s="445"/>
      <c r="L650" s="224"/>
      <c r="M650" s="100"/>
      <c r="N650" s="100">
        <f>MONTH(List346[[#This Row],[Tanggal Pengajuan]])</f>
        <v>1</v>
      </c>
      <c r="O650" s="183"/>
      <c r="P650" s="100"/>
      <c r="Q650" s="111"/>
      <c r="R650" s="367"/>
      <c r="T650" s="152">
        <f>+List346[[#This Row],[Pengajuan Donasi]]-List346[[#This Row],[Jumlah Transfer]]</f>
        <v>0</v>
      </c>
    </row>
    <row r="651" spans="2:20" ht="15.75" x14ac:dyDescent="0.2">
      <c r="B651" s="13"/>
      <c r="C651" s="67"/>
      <c r="D651" s="14"/>
      <c r="E651" s="14"/>
      <c r="F651" s="103"/>
      <c r="G651" s="15">
        <f>IFERROR(+VLOOKUP(D:D,'Data Base P.Asuhan &amp; Jompo'!B:I,7,0),0)</f>
        <v>0</v>
      </c>
      <c r="H651" s="258"/>
      <c r="I651" s="258">
        <f>List346[[#This Row],[Pengajuan Donasi]]</f>
        <v>0</v>
      </c>
      <c r="J651" s="213" t="str">
        <f>IF(List346[[#This Row],[Tanggal Trf]]&gt;0,"Done","-")</f>
        <v>-</v>
      </c>
      <c r="K651" s="445"/>
      <c r="L651" s="224"/>
      <c r="M651" s="100"/>
      <c r="N651" s="100">
        <f>MONTH(List346[[#This Row],[Tanggal Pengajuan]])</f>
        <v>1</v>
      </c>
      <c r="O651" s="183"/>
      <c r="P651" s="100"/>
      <c r="Q651" s="111"/>
      <c r="R651" s="367"/>
      <c r="T651" s="152">
        <f>+List346[[#This Row],[Pengajuan Donasi]]-List346[[#This Row],[Jumlah Transfer]]</f>
        <v>0</v>
      </c>
    </row>
    <row r="652" spans="2:20" ht="15.75" x14ac:dyDescent="0.2">
      <c r="B652" s="13"/>
      <c r="C652" s="67"/>
      <c r="D652" s="14"/>
      <c r="E652" s="14"/>
      <c r="F652" s="103"/>
      <c r="G652" s="15">
        <f>IFERROR(+VLOOKUP(D:D,'Data Base P.Asuhan &amp; Jompo'!B:I,7,0),0)</f>
        <v>0</v>
      </c>
      <c r="H652" s="258"/>
      <c r="I652" s="258">
        <f>List346[[#This Row],[Pengajuan Donasi]]</f>
        <v>0</v>
      </c>
      <c r="J652" s="213" t="str">
        <f>IF(List346[[#This Row],[Tanggal Trf]]&gt;0,"Done","-")</f>
        <v>-</v>
      </c>
      <c r="K652" s="445"/>
      <c r="L652" s="224"/>
      <c r="M652" s="100"/>
      <c r="N652" s="100">
        <f>MONTH(List346[[#This Row],[Tanggal Pengajuan]])</f>
        <v>1</v>
      </c>
      <c r="O652" s="183"/>
      <c r="P652" s="100"/>
      <c r="Q652" s="111"/>
      <c r="R652" s="367"/>
      <c r="T652" s="152">
        <f>+List346[[#This Row],[Pengajuan Donasi]]-List346[[#This Row],[Jumlah Transfer]]</f>
        <v>0</v>
      </c>
    </row>
    <row r="653" spans="2:20" ht="15.75" x14ac:dyDescent="0.2">
      <c r="B653" s="13"/>
      <c r="C653" s="67"/>
      <c r="D653" s="14"/>
      <c r="E653" s="14"/>
      <c r="F653" s="103"/>
      <c r="G653" s="15">
        <f>IFERROR(+VLOOKUP(D:D,'Data Base P.Asuhan &amp; Jompo'!B:I,7,0),0)</f>
        <v>0</v>
      </c>
      <c r="H653" s="258"/>
      <c r="I653" s="258">
        <f>List346[[#This Row],[Pengajuan Donasi]]</f>
        <v>0</v>
      </c>
      <c r="J653" s="213" t="str">
        <f>IF(List346[[#This Row],[Tanggal Trf]]&gt;0,"Done","-")</f>
        <v>-</v>
      </c>
      <c r="K653" s="445"/>
      <c r="L653" s="224"/>
      <c r="M653" s="100"/>
      <c r="N653" s="100">
        <f>MONTH(List346[[#This Row],[Tanggal Pengajuan]])</f>
        <v>1</v>
      </c>
      <c r="O653" s="183"/>
      <c r="P653" s="100"/>
      <c r="Q653" s="111"/>
      <c r="R653" s="367"/>
      <c r="T653" s="152">
        <f>+List346[[#This Row],[Pengajuan Donasi]]-List346[[#This Row],[Jumlah Transfer]]</f>
        <v>0</v>
      </c>
    </row>
    <row r="654" spans="2:20" ht="15.75" x14ac:dyDescent="0.2">
      <c r="B654" s="13"/>
      <c r="C654" s="67"/>
      <c r="D654" s="14"/>
      <c r="E654" s="14"/>
      <c r="F654" s="103"/>
      <c r="G654" s="15">
        <f>IFERROR(+VLOOKUP(D:D,'Data Base P.Asuhan &amp; Jompo'!B:I,7,0),0)</f>
        <v>0</v>
      </c>
      <c r="H654" s="258"/>
      <c r="I654" s="258">
        <f>List346[[#This Row],[Pengajuan Donasi]]</f>
        <v>0</v>
      </c>
      <c r="J654" s="213" t="str">
        <f>IF(List346[[#This Row],[Tanggal Trf]]&gt;0,"Done","-")</f>
        <v>-</v>
      </c>
      <c r="K654" s="445"/>
      <c r="L654" s="224"/>
      <c r="M654" s="100"/>
      <c r="N654" s="100">
        <f>MONTH(List346[[#This Row],[Tanggal Pengajuan]])</f>
        <v>1</v>
      </c>
      <c r="O654" s="183"/>
      <c r="P654" s="105"/>
      <c r="Q654" s="111"/>
      <c r="R654" s="367"/>
      <c r="T654" s="152">
        <f>+List346[[#This Row],[Pengajuan Donasi]]-List346[[#This Row],[Jumlah Transfer]]</f>
        <v>0</v>
      </c>
    </row>
    <row r="655" spans="2:20" ht="15.75" x14ac:dyDescent="0.2">
      <c r="B655" s="13"/>
      <c r="C655" s="67"/>
      <c r="D655" s="14"/>
      <c r="E655" s="14"/>
      <c r="F655" s="103"/>
      <c r="G655" s="15">
        <f>IFERROR(+VLOOKUP(D:D,'Data Base P.Asuhan &amp; Jompo'!B:I,7,0),0)</f>
        <v>0</v>
      </c>
      <c r="H655" s="258"/>
      <c r="I655" s="258">
        <f>List346[[#This Row],[Pengajuan Donasi]]</f>
        <v>0</v>
      </c>
      <c r="J655" s="213" t="str">
        <f>IF(List346[[#This Row],[Tanggal Trf]]&gt;0,"Done","-")</f>
        <v>-</v>
      </c>
      <c r="K655" s="445"/>
      <c r="L655" s="224"/>
      <c r="M655" s="100"/>
      <c r="N655" s="100">
        <f>MONTH(List346[[#This Row],[Tanggal Pengajuan]])</f>
        <v>1</v>
      </c>
      <c r="O655" s="183"/>
      <c r="P655" s="105"/>
      <c r="Q655" s="111"/>
      <c r="R655" s="367"/>
      <c r="T655" s="152">
        <f>+List346[[#This Row],[Pengajuan Donasi]]-List346[[#This Row],[Jumlah Transfer]]</f>
        <v>0</v>
      </c>
    </row>
    <row r="656" spans="2:20" ht="15.75" x14ac:dyDescent="0.2">
      <c r="B656" s="13"/>
      <c r="C656" s="67"/>
      <c r="D656" s="14"/>
      <c r="E656" s="14"/>
      <c r="F656" s="103"/>
      <c r="G656" s="15">
        <f>IFERROR(+VLOOKUP(D:D,'Data Base P.Asuhan &amp; Jompo'!B:I,7,0),0)</f>
        <v>0</v>
      </c>
      <c r="H656" s="258"/>
      <c r="I656" s="258">
        <f>List346[[#This Row],[Pengajuan Donasi]]</f>
        <v>0</v>
      </c>
      <c r="J656" s="213" t="str">
        <f>IF(List346[[#This Row],[Tanggal Trf]]&gt;0,"Done","-")</f>
        <v>-</v>
      </c>
      <c r="K656" s="445"/>
      <c r="L656" s="224"/>
      <c r="M656" s="100"/>
      <c r="N656" s="100">
        <f>MONTH(List346[[#This Row],[Tanggal Pengajuan]])</f>
        <v>1</v>
      </c>
      <c r="O656" s="183"/>
      <c r="P656" s="105"/>
      <c r="Q656" s="111"/>
      <c r="R656" s="367"/>
      <c r="T656" s="152">
        <f>+List346[[#This Row],[Pengajuan Donasi]]-List346[[#This Row],[Jumlah Transfer]]</f>
        <v>0</v>
      </c>
    </row>
    <row r="657" spans="2:20" ht="15.75" x14ac:dyDescent="0.2">
      <c r="B657" s="13"/>
      <c r="C657" s="67"/>
      <c r="D657" s="14"/>
      <c r="E657" s="14"/>
      <c r="F657" s="103"/>
      <c r="G657" s="15">
        <f>IFERROR(+VLOOKUP(D:D,'Data Base P.Asuhan &amp; Jompo'!B:I,7,0),0)</f>
        <v>0</v>
      </c>
      <c r="H657" s="258"/>
      <c r="I657" s="258">
        <f>List346[[#This Row],[Pengajuan Donasi]]</f>
        <v>0</v>
      </c>
      <c r="J657" s="213" t="str">
        <f>IF(List346[[#This Row],[Tanggal Trf]]&gt;0,"Done","-")</f>
        <v>-</v>
      </c>
      <c r="K657" s="445"/>
      <c r="L657" s="224"/>
      <c r="M657" s="100"/>
      <c r="N657" s="100">
        <f>MONTH(List346[[#This Row],[Tanggal Pengajuan]])</f>
        <v>1</v>
      </c>
      <c r="O657" s="183"/>
      <c r="P657" s="105"/>
      <c r="Q657" s="111"/>
      <c r="R657" s="367"/>
      <c r="T657" s="152">
        <f>+List346[[#This Row],[Pengajuan Donasi]]-List346[[#This Row],[Jumlah Transfer]]</f>
        <v>0</v>
      </c>
    </row>
    <row r="658" spans="2:20" ht="15.75" x14ac:dyDescent="0.2">
      <c r="B658" s="13"/>
      <c r="C658" s="67"/>
      <c r="D658" s="14"/>
      <c r="E658" s="14"/>
      <c r="F658" s="103"/>
      <c r="G658" s="15">
        <f>IFERROR(+VLOOKUP(D:D,'Data Base P.Asuhan &amp; Jompo'!B:I,7,0),0)</f>
        <v>0</v>
      </c>
      <c r="H658" s="258"/>
      <c r="I658" s="258">
        <f>List346[[#This Row],[Pengajuan Donasi]]</f>
        <v>0</v>
      </c>
      <c r="J658" s="213" t="str">
        <f>IF(List346[[#This Row],[Tanggal Trf]]&gt;0,"Done","-")</f>
        <v>-</v>
      </c>
      <c r="K658" s="445"/>
      <c r="L658" s="224"/>
      <c r="M658" s="100"/>
      <c r="N658" s="100">
        <f>MONTH(List346[[#This Row],[Tanggal Pengajuan]])</f>
        <v>1</v>
      </c>
      <c r="O658" s="183"/>
      <c r="P658" s="105"/>
      <c r="Q658" s="111"/>
      <c r="R658" s="367"/>
      <c r="T658" s="152">
        <f>+List346[[#This Row],[Pengajuan Donasi]]-List346[[#This Row],[Jumlah Transfer]]</f>
        <v>0</v>
      </c>
    </row>
    <row r="659" spans="2:20" ht="15.75" x14ac:dyDescent="0.2">
      <c r="B659" s="13"/>
      <c r="C659" s="67"/>
      <c r="D659" s="14"/>
      <c r="E659" s="14"/>
      <c r="F659" s="103"/>
      <c r="G659" s="15">
        <f>IFERROR(+VLOOKUP(D:D,'Data Base P.Asuhan &amp; Jompo'!B:I,7,0),0)</f>
        <v>0</v>
      </c>
      <c r="H659" s="258"/>
      <c r="I659" s="258">
        <f>List346[[#This Row],[Pengajuan Donasi]]</f>
        <v>0</v>
      </c>
      <c r="J659" s="213" t="str">
        <f>IF(List346[[#This Row],[Tanggal Trf]]&gt;0,"Done","-")</f>
        <v>-</v>
      </c>
      <c r="K659" s="445"/>
      <c r="L659" s="224"/>
      <c r="M659" s="100"/>
      <c r="N659" s="100">
        <f>MONTH(List346[[#This Row],[Tanggal Pengajuan]])</f>
        <v>1</v>
      </c>
      <c r="O659" s="183"/>
      <c r="P659" s="105"/>
      <c r="Q659" s="111"/>
      <c r="R659" s="367"/>
      <c r="T659" s="152">
        <f>+List346[[#This Row],[Pengajuan Donasi]]-List346[[#This Row],[Jumlah Transfer]]</f>
        <v>0</v>
      </c>
    </row>
    <row r="660" spans="2:20" ht="15.75" x14ac:dyDescent="0.2">
      <c r="B660" s="13"/>
      <c r="C660" s="67"/>
      <c r="D660" s="14"/>
      <c r="E660" s="14"/>
      <c r="F660" s="103"/>
      <c r="G660" s="15">
        <f>IFERROR(+VLOOKUP(D:D,'Data Base P.Asuhan &amp; Jompo'!B:I,7,0),0)</f>
        <v>0</v>
      </c>
      <c r="H660" s="258"/>
      <c r="I660" s="258">
        <f>List346[[#This Row],[Pengajuan Donasi]]</f>
        <v>0</v>
      </c>
      <c r="J660" s="213" t="str">
        <f>IF(List346[[#This Row],[Tanggal Trf]]&gt;0,"Done","-")</f>
        <v>-</v>
      </c>
      <c r="K660" s="445"/>
      <c r="L660" s="224"/>
      <c r="M660" s="100"/>
      <c r="N660" s="100">
        <f>MONTH(List346[[#This Row],[Tanggal Pengajuan]])</f>
        <v>1</v>
      </c>
      <c r="O660" s="183"/>
      <c r="P660" s="105"/>
      <c r="Q660" s="111"/>
      <c r="R660" s="367"/>
      <c r="T660" s="152">
        <f>+List346[[#This Row],[Pengajuan Donasi]]-List346[[#This Row],[Jumlah Transfer]]</f>
        <v>0</v>
      </c>
    </row>
    <row r="661" spans="2:20" ht="15.75" x14ac:dyDescent="0.2">
      <c r="B661" s="13"/>
      <c r="C661" s="67"/>
      <c r="D661" s="14"/>
      <c r="E661" s="14"/>
      <c r="F661" s="103"/>
      <c r="G661" s="15">
        <f>IFERROR(+VLOOKUP(D:D,'Data Base P.Asuhan &amp; Jompo'!B:I,7,0),0)</f>
        <v>0</v>
      </c>
      <c r="H661" s="258"/>
      <c r="I661" s="258">
        <f>List346[[#This Row],[Pengajuan Donasi]]</f>
        <v>0</v>
      </c>
      <c r="J661" s="213" t="str">
        <f>IF(List346[[#This Row],[Tanggal Trf]]&gt;0,"Done","-")</f>
        <v>-</v>
      </c>
      <c r="K661" s="445"/>
      <c r="L661" s="224"/>
      <c r="M661" s="100"/>
      <c r="N661" s="100">
        <f>MONTH(List346[[#This Row],[Tanggal Pengajuan]])</f>
        <v>1</v>
      </c>
      <c r="O661" s="183"/>
      <c r="P661" s="105"/>
      <c r="Q661" s="111"/>
      <c r="R661" s="367"/>
      <c r="T661" s="152">
        <f>+List346[[#This Row],[Pengajuan Donasi]]-List346[[#This Row],[Jumlah Transfer]]</f>
        <v>0</v>
      </c>
    </row>
    <row r="662" spans="2:20" ht="15.75" x14ac:dyDescent="0.2">
      <c r="B662" s="13"/>
      <c r="C662" s="67"/>
      <c r="D662" s="14"/>
      <c r="E662" s="14"/>
      <c r="F662" s="103"/>
      <c r="G662" s="15">
        <f>IFERROR(+VLOOKUP(D:D,'Data Base P.Asuhan &amp; Jompo'!B:I,7,0),0)</f>
        <v>0</v>
      </c>
      <c r="H662" s="258"/>
      <c r="I662" s="258">
        <f>List346[[#This Row],[Pengajuan Donasi]]</f>
        <v>0</v>
      </c>
      <c r="J662" s="213" t="str">
        <f>IF(List346[[#This Row],[Tanggal Trf]]&gt;0,"Done","-")</f>
        <v>-</v>
      </c>
      <c r="K662" s="445"/>
      <c r="L662" s="224"/>
      <c r="M662" s="100"/>
      <c r="N662" s="100">
        <f>MONTH(List346[[#This Row],[Tanggal Pengajuan]])</f>
        <v>1</v>
      </c>
      <c r="O662" s="183"/>
      <c r="P662" s="105"/>
      <c r="Q662" s="111"/>
      <c r="R662" s="367"/>
      <c r="T662" s="152">
        <f>+List346[[#This Row],[Pengajuan Donasi]]-List346[[#This Row],[Jumlah Transfer]]</f>
        <v>0</v>
      </c>
    </row>
    <row r="663" spans="2:20" ht="15.75" x14ac:dyDescent="0.2">
      <c r="B663" s="13"/>
      <c r="C663" s="67"/>
      <c r="D663" s="14"/>
      <c r="E663" s="14"/>
      <c r="F663" s="103"/>
      <c r="G663" s="15">
        <f>IFERROR(+VLOOKUP(D:D,'Data Base P.Asuhan &amp; Jompo'!B:I,7,0),0)</f>
        <v>0</v>
      </c>
      <c r="H663" s="258"/>
      <c r="I663" s="258">
        <f>List346[[#This Row],[Pengajuan Donasi]]</f>
        <v>0</v>
      </c>
      <c r="J663" s="213" t="str">
        <f>IF(List346[[#This Row],[Tanggal Trf]]&gt;0,"Done","-")</f>
        <v>-</v>
      </c>
      <c r="K663" s="445"/>
      <c r="L663" s="224"/>
      <c r="M663" s="100"/>
      <c r="N663" s="100">
        <f>MONTH(List346[[#This Row],[Tanggal Pengajuan]])</f>
        <v>1</v>
      </c>
      <c r="O663" s="183"/>
      <c r="P663" s="105"/>
      <c r="Q663" s="111"/>
      <c r="R663" s="367"/>
      <c r="T663" s="152">
        <f>+List346[[#This Row],[Pengajuan Donasi]]-List346[[#This Row],[Jumlah Transfer]]</f>
        <v>0</v>
      </c>
    </row>
    <row r="664" spans="2:20" ht="15.75" x14ac:dyDescent="0.2">
      <c r="B664" s="13"/>
      <c r="C664" s="67"/>
      <c r="D664" s="14"/>
      <c r="E664" s="14"/>
      <c r="F664" s="103"/>
      <c r="G664" s="15">
        <f>IFERROR(+VLOOKUP(D:D,'Data Base P.Asuhan &amp; Jompo'!B:I,7,0),0)</f>
        <v>0</v>
      </c>
      <c r="H664" s="258"/>
      <c r="I664" s="258">
        <f>List346[[#This Row],[Pengajuan Donasi]]</f>
        <v>0</v>
      </c>
      <c r="J664" s="213" t="str">
        <f>IF(List346[[#This Row],[Tanggal Trf]]&gt;0,"Done","-")</f>
        <v>-</v>
      </c>
      <c r="K664" s="445"/>
      <c r="L664" s="224"/>
      <c r="M664" s="100"/>
      <c r="N664" s="100">
        <f>MONTH(List346[[#This Row],[Tanggal Pengajuan]])</f>
        <v>1</v>
      </c>
      <c r="O664" s="183"/>
      <c r="P664" s="105"/>
      <c r="Q664" s="111"/>
      <c r="R664" s="367"/>
      <c r="T664" s="152">
        <f>+List346[[#This Row],[Pengajuan Donasi]]-List346[[#This Row],[Jumlah Transfer]]</f>
        <v>0</v>
      </c>
    </row>
    <row r="665" spans="2:20" ht="15.75" x14ac:dyDescent="0.2">
      <c r="B665" s="13"/>
      <c r="C665" s="67"/>
      <c r="D665" s="14"/>
      <c r="E665" s="14"/>
      <c r="F665" s="103"/>
      <c r="G665" s="15">
        <f>IFERROR(+VLOOKUP(D:D,'Data Base P.Asuhan &amp; Jompo'!B:I,7,0),0)</f>
        <v>0</v>
      </c>
      <c r="H665" s="258"/>
      <c r="I665" s="258">
        <f>List346[[#This Row],[Pengajuan Donasi]]</f>
        <v>0</v>
      </c>
      <c r="J665" s="213" t="str">
        <f>IF(List346[[#This Row],[Tanggal Trf]]&gt;0,"Done","-")</f>
        <v>-</v>
      </c>
      <c r="K665" s="445"/>
      <c r="L665" s="224"/>
      <c r="M665" s="100"/>
      <c r="N665" s="100">
        <f>MONTH(List346[[#This Row],[Tanggal Pengajuan]])</f>
        <v>1</v>
      </c>
      <c r="O665" s="183"/>
      <c r="P665" s="105"/>
      <c r="Q665" s="111"/>
      <c r="R665" s="367"/>
      <c r="T665" s="152">
        <f>+List346[[#This Row],[Pengajuan Donasi]]-List346[[#This Row],[Jumlah Transfer]]</f>
        <v>0</v>
      </c>
    </row>
    <row r="666" spans="2:20" ht="15.75" x14ac:dyDescent="0.2">
      <c r="B666" s="13"/>
      <c r="C666" s="67"/>
      <c r="D666" s="14"/>
      <c r="E666" s="14"/>
      <c r="F666" s="103"/>
      <c r="G666" s="15">
        <f>IFERROR(+VLOOKUP(D:D,'Data Base P.Asuhan &amp; Jompo'!B:I,7,0),0)</f>
        <v>0</v>
      </c>
      <c r="H666" s="258"/>
      <c r="I666" s="258">
        <f>List346[[#This Row],[Pengajuan Donasi]]</f>
        <v>0</v>
      </c>
      <c r="J666" s="213" t="str">
        <f>IF(List346[[#This Row],[Tanggal Trf]]&gt;0,"Done","-")</f>
        <v>-</v>
      </c>
      <c r="K666" s="445"/>
      <c r="L666" s="224"/>
      <c r="M666" s="100"/>
      <c r="N666" s="100">
        <f>MONTH(List346[[#This Row],[Tanggal Pengajuan]])</f>
        <v>1</v>
      </c>
      <c r="O666" s="183"/>
      <c r="P666" s="105"/>
      <c r="Q666" s="111"/>
      <c r="R666" s="367"/>
      <c r="T666" s="152">
        <f>+List346[[#This Row],[Pengajuan Donasi]]-List346[[#This Row],[Jumlah Transfer]]</f>
        <v>0</v>
      </c>
    </row>
    <row r="667" spans="2:20" ht="15.75" x14ac:dyDescent="0.2">
      <c r="B667" s="13"/>
      <c r="C667" s="67"/>
      <c r="D667" s="14"/>
      <c r="E667" s="14"/>
      <c r="F667" s="103"/>
      <c r="G667" s="15">
        <f>IFERROR(+VLOOKUP(D:D,'Data Base P.Asuhan &amp; Jompo'!B:I,7,0),0)</f>
        <v>0</v>
      </c>
      <c r="H667" s="258"/>
      <c r="I667" s="258">
        <f>List346[[#This Row],[Pengajuan Donasi]]</f>
        <v>0</v>
      </c>
      <c r="J667" s="213" t="str">
        <f>IF(List346[[#This Row],[Tanggal Trf]]&gt;0,"Done","-")</f>
        <v>-</v>
      </c>
      <c r="K667" s="445"/>
      <c r="L667" s="224"/>
      <c r="M667" s="100"/>
      <c r="N667" s="100">
        <f>MONTH(List346[[#This Row],[Tanggal Pengajuan]])</f>
        <v>1</v>
      </c>
      <c r="O667" s="183"/>
      <c r="P667" s="105"/>
      <c r="Q667" s="111"/>
      <c r="R667" s="367"/>
      <c r="T667" s="152">
        <f>+List346[[#This Row],[Pengajuan Donasi]]-List346[[#This Row],[Jumlah Transfer]]</f>
        <v>0</v>
      </c>
    </row>
    <row r="668" spans="2:20" ht="15.75" x14ac:dyDescent="0.2">
      <c r="B668" s="13"/>
      <c r="C668" s="67"/>
      <c r="D668" s="14"/>
      <c r="E668" s="14"/>
      <c r="F668" s="103"/>
      <c r="G668" s="15">
        <f>IFERROR(+VLOOKUP(D:D,'Data Base P.Asuhan &amp; Jompo'!B:I,7,0),0)</f>
        <v>0</v>
      </c>
      <c r="H668" s="258"/>
      <c r="I668" s="258">
        <f>List346[[#This Row],[Pengajuan Donasi]]</f>
        <v>0</v>
      </c>
      <c r="J668" s="213" t="str">
        <f>IF(List346[[#This Row],[Tanggal Trf]]&gt;0,"Done","-")</f>
        <v>-</v>
      </c>
      <c r="K668" s="445"/>
      <c r="L668" s="224"/>
      <c r="M668" s="100"/>
      <c r="N668" s="100">
        <f>MONTH(List346[[#This Row],[Tanggal Pengajuan]])</f>
        <v>1</v>
      </c>
      <c r="O668" s="183"/>
      <c r="P668" s="105"/>
      <c r="Q668" s="111"/>
      <c r="R668" s="367"/>
      <c r="T668" s="152">
        <f>+List346[[#This Row],[Pengajuan Donasi]]-List346[[#This Row],[Jumlah Transfer]]</f>
        <v>0</v>
      </c>
    </row>
    <row r="669" spans="2:20" ht="15.75" x14ac:dyDescent="0.2">
      <c r="B669" s="13"/>
      <c r="C669" s="67"/>
      <c r="D669" s="14"/>
      <c r="E669" s="14"/>
      <c r="F669" s="103"/>
      <c r="G669" s="15">
        <f>IFERROR(+VLOOKUP(D:D,'Data Base P.Asuhan &amp; Jompo'!B:I,7,0),0)</f>
        <v>0</v>
      </c>
      <c r="H669" s="258"/>
      <c r="I669" s="258">
        <f>List346[[#This Row],[Pengajuan Donasi]]</f>
        <v>0</v>
      </c>
      <c r="J669" s="213" t="str">
        <f>IF(List346[[#This Row],[Tanggal Trf]]&gt;0,"Done","-")</f>
        <v>-</v>
      </c>
      <c r="K669" s="445"/>
      <c r="L669" s="224"/>
      <c r="M669" s="100"/>
      <c r="N669" s="100">
        <f>MONTH(List346[[#This Row],[Tanggal Pengajuan]])</f>
        <v>1</v>
      </c>
      <c r="O669" s="183"/>
      <c r="P669" s="105"/>
      <c r="Q669" s="111"/>
      <c r="R669" s="367"/>
      <c r="T669" s="152">
        <f>+List346[[#This Row],[Pengajuan Donasi]]-List346[[#This Row],[Jumlah Transfer]]</f>
        <v>0</v>
      </c>
    </row>
    <row r="670" spans="2:20" ht="15.75" x14ac:dyDescent="0.2">
      <c r="B670" s="13"/>
      <c r="C670" s="67"/>
      <c r="D670" s="14"/>
      <c r="E670" s="14"/>
      <c r="F670" s="103"/>
      <c r="G670" s="15">
        <f>IFERROR(+VLOOKUP(D:D,'Data Base P.Asuhan &amp; Jompo'!B:I,7,0),0)</f>
        <v>0</v>
      </c>
      <c r="H670" s="258"/>
      <c r="I670" s="258">
        <f>List346[[#This Row],[Pengajuan Donasi]]</f>
        <v>0</v>
      </c>
      <c r="J670" s="213" t="str">
        <f>IF(List346[[#This Row],[Tanggal Trf]]&gt;0,"Done","-")</f>
        <v>-</v>
      </c>
      <c r="K670" s="445"/>
      <c r="L670" s="224"/>
      <c r="M670" s="100"/>
      <c r="N670" s="100">
        <f>MONTH(List346[[#This Row],[Tanggal Pengajuan]])</f>
        <v>1</v>
      </c>
      <c r="O670" s="183"/>
      <c r="P670" s="105"/>
      <c r="Q670" s="111"/>
      <c r="R670" s="367"/>
      <c r="T670" s="152">
        <f>+List346[[#This Row],[Pengajuan Donasi]]-List346[[#This Row],[Jumlah Transfer]]</f>
        <v>0</v>
      </c>
    </row>
    <row r="671" spans="2:20" ht="15.75" x14ac:dyDescent="0.2">
      <c r="B671" s="13"/>
      <c r="C671" s="67"/>
      <c r="D671" s="14"/>
      <c r="E671" s="14"/>
      <c r="F671" s="103"/>
      <c r="G671" s="15">
        <f>IFERROR(+VLOOKUP(D:D,'Data Base P.Asuhan &amp; Jompo'!B:I,7,0),0)</f>
        <v>0</v>
      </c>
      <c r="H671" s="258"/>
      <c r="I671" s="258">
        <f>List346[[#This Row],[Pengajuan Donasi]]</f>
        <v>0</v>
      </c>
      <c r="J671" s="213" t="str">
        <f>IF(List346[[#This Row],[Tanggal Trf]]&gt;0,"Done","-")</f>
        <v>-</v>
      </c>
      <c r="K671" s="445"/>
      <c r="L671" s="224"/>
      <c r="M671" s="100"/>
      <c r="N671" s="100">
        <f>MONTH(List346[[#This Row],[Tanggal Pengajuan]])</f>
        <v>1</v>
      </c>
      <c r="O671" s="183"/>
      <c r="P671" s="105"/>
      <c r="Q671" s="111"/>
      <c r="R671" s="367"/>
      <c r="T671" s="152">
        <f>+List346[[#This Row],[Pengajuan Donasi]]-List346[[#This Row],[Jumlah Transfer]]</f>
        <v>0</v>
      </c>
    </row>
    <row r="672" spans="2:20" ht="15.75" x14ac:dyDescent="0.2">
      <c r="B672" s="13"/>
      <c r="C672" s="67"/>
      <c r="D672" s="14"/>
      <c r="E672" s="14"/>
      <c r="F672" s="103"/>
      <c r="G672" s="15">
        <f>IFERROR(+VLOOKUP(D:D,'Data Base P.Asuhan &amp; Jompo'!B:I,7,0),0)</f>
        <v>0</v>
      </c>
      <c r="H672" s="258"/>
      <c r="I672" s="258">
        <f>List346[[#This Row],[Pengajuan Donasi]]</f>
        <v>0</v>
      </c>
      <c r="J672" s="213" t="str">
        <f>IF(List346[[#This Row],[Tanggal Trf]]&gt;0,"Done","-")</f>
        <v>-</v>
      </c>
      <c r="K672" s="445"/>
      <c r="L672" s="224"/>
      <c r="M672" s="100"/>
      <c r="N672" s="100">
        <f>MONTH(List346[[#This Row],[Tanggal Pengajuan]])</f>
        <v>1</v>
      </c>
      <c r="O672" s="183"/>
      <c r="P672" s="105"/>
      <c r="Q672" s="111"/>
      <c r="R672" s="367"/>
      <c r="T672" s="152">
        <f>+List346[[#This Row],[Pengajuan Donasi]]-List346[[#This Row],[Jumlah Transfer]]</f>
        <v>0</v>
      </c>
    </row>
    <row r="673" spans="2:20" ht="15.75" x14ac:dyDescent="0.2">
      <c r="B673" s="13"/>
      <c r="C673" s="67"/>
      <c r="D673" s="14"/>
      <c r="E673" s="14"/>
      <c r="F673" s="103"/>
      <c r="G673" s="15">
        <f>IFERROR(+VLOOKUP(D:D,'Data Base P.Asuhan &amp; Jompo'!B:I,7,0),0)</f>
        <v>0</v>
      </c>
      <c r="H673" s="258"/>
      <c r="I673" s="258">
        <f>List346[[#This Row],[Pengajuan Donasi]]</f>
        <v>0</v>
      </c>
      <c r="J673" s="213" t="str">
        <f>IF(List346[[#This Row],[Tanggal Trf]]&gt;0,"Done","-")</f>
        <v>-</v>
      </c>
      <c r="K673" s="445"/>
      <c r="L673" s="224"/>
      <c r="M673" s="100"/>
      <c r="N673" s="100">
        <f>MONTH(List346[[#This Row],[Tanggal Pengajuan]])</f>
        <v>1</v>
      </c>
      <c r="O673" s="183"/>
      <c r="P673" s="105"/>
      <c r="Q673" s="111"/>
      <c r="R673" s="367"/>
      <c r="T673" s="152">
        <f>+List346[[#This Row],[Pengajuan Donasi]]-List346[[#This Row],[Jumlah Transfer]]</f>
        <v>0</v>
      </c>
    </row>
    <row r="674" spans="2:20" ht="15.75" x14ac:dyDescent="0.2">
      <c r="B674" s="13"/>
      <c r="C674" s="67"/>
      <c r="D674" s="14"/>
      <c r="E674" s="14"/>
      <c r="F674" s="103"/>
      <c r="G674" s="15">
        <f>IFERROR(+VLOOKUP(D:D,'Data Base P.Asuhan &amp; Jompo'!B:I,7,0),0)</f>
        <v>0</v>
      </c>
      <c r="H674" s="258"/>
      <c r="I674" s="258">
        <f>List346[[#This Row],[Pengajuan Donasi]]</f>
        <v>0</v>
      </c>
      <c r="J674" s="213" t="str">
        <f>IF(List346[[#This Row],[Tanggal Trf]]&gt;0,"Done","-")</f>
        <v>-</v>
      </c>
      <c r="K674" s="445"/>
      <c r="L674" s="224"/>
      <c r="M674" s="100"/>
      <c r="N674" s="100">
        <f>MONTH(List346[[#This Row],[Tanggal Pengajuan]])</f>
        <v>1</v>
      </c>
      <c r="O674" s="183"/>
      <c r="P674" s="105"/>
      <c r="Q674" s="111"/>
      <c r="R674" s="367"/>
      <c r="T674" s="152">
        <f>+List346[[#This Row],[Pengajuan Donasi]]-List346[[#This Row],[Jumlah Transfer]]</f>
        <v>0</v>
      </c>
    </row>
    <row r="675" spans="2:20" ht="15.75" x14ac:dyDescent="0.2">
      <c r="B675" s="13"/>
      <c r="C675" s="67"/>
      <c r="D675" s="14"/>
      <c r="E675" s="14"/>
      <c r="F675" s="103"/>
      <c r="G675" s="15">
        <f>IFERROR(+VLOOKUP(D:D,'Data Base P.Asuhan &amp; Jompo'!B:I,7,0),0)</f>
        <v>0</v>
      </c>
      <c r="H675" s="258"/>
      <c r="I675" s="258">
        <f>List346[[#This Row],[Pengajuan Donasi]]</f>
        <v>0</v>
      </c>
      <c r="J675" s="213" t="str">
        <f>IF(List346[[#This Row],[Tanggal Trf]]&gt;0,"Done","-")</f>
        <v>-</v>
      </c>
      <c r="K675" s="445"/>
      <c r="L675" s="224"/>
      <c r="M675" s="100"/>
      <c r="N675" s="100">
        <f>MONTH(List346[[#This Row],[Tanggal Pengajuan]])</f>
        <v>1</v>
      </c>
      <c r="O675" s="183"/>
      <c r="P675" s="105"/>
      <c r="Q675" s="111"/>
      <c r="R675" s="367"/>
      <c r="T675" s="152">
        <f>+List346[[#This Row],[Pengajuan Donasi]]-List346[[#This Row],[Jumlah Transfer]]</f>
        <v>0</v>
      </c>
    </row>
    <row r="676" spans="2:20" ht="15.75" x14ac:dyDescent="0.2">
      <c r="B676" s="13"/>
      <c r="C676" s="67"/>
      <c r="D676" s="14"/>
      <c r="E676" s="14"/>
      <c r="F676" s="103"/>
      <c r="G676" s="15">
        <f>IFERROR(+VLOOKUP(D:D,'Data Base P.Asuhan &amp; Jompo'!B:I,7,0),0)</f>
        <v>0</v>
      </c>
      <c r="H676" s="258"/>
      <c r="I676" s="258">
        <f>List346[[#This Row],[Pengajuan Donasi]]</f>
        <v>0</v>
      </c>
      <c r="J676" s="213" t="str">
        <f>IF(List346[[#This Row],[Tanggal Trf]]&gt;0,"Done","-")</f>
        <v>-</v>
      </c>
      <c r="K676" s="445"/>
      <c r="L676" s="224"/>
      <c r="M676" s="100"/>
      <c r="N676" s="100">
        <f>MONTH(List346[[#This Row],[Tanggal Pengajuan]])</f>
        <v>1</v>
      </c>
      <c r="O676" s="183"/>
      <c r="P676" s="105"/>
      <c r="Q676" s="111"/>
      <c r="R676" s="367"/>
      <c r="T676" s="152">
        <f>+List346[[#This Row],[Pengajuan Donasi]]-List346[[#This Row],[Jumlah Transfer]]</f>
        <v>0</v>
      </c>
    </row>
    <row r="677" spans="2:20" ht="15.75" x14ac:dyDescent="0.2">
      <c r="B677" s="13"/>
      <c r="C677" s="67"/>
      <c r="D677" s="14"/>
      <c r="E677" s="14"/>
      <c r="F677" s="103"/>
      <c r="G677" s="15">
        <f>IFERROR(+VLOOKUP(D:D,'Data Base P.Asuhan &amp; Jompo'!B:I,7,0),0)</f>
        <v>0</v>
      </c>
      <c r="H677" s="258"/>
      <c r="I677" s="258">
        <f>List346[[#This Row],[Pengajuan Donasi]]</f>
        <v>0</v>
      </c>
      <c r="J677" s="213" t="str">
        <f>IF(List346[[#This Row],[Tanggal Trf]]&gt;0,"Done","-")</f>
        <v>-</v>
      </c>
      <c r="K677" s="445"/>
      <c r="L677" s="224"/>
      <c r="M677" s="100"/>
      <c r="N677" s="100">
        <f>MONTH(List346[[#This Row],[Tanggal Pengajuan]])</f>
        <v>1</v>
      </c>
      <c r="O677" s="183"/>
      <c r="P677" s="105"/>
      <c r="Q677" s="111"/>
      <c r="R677" s="367"/>
      <c r="T677" s="152">
        <f>+List346[[#This Row],[Pengajuan Donasi]]-List346[[#This Row],[Jumlah Transfer]]</f>
        <v>0</v>
      </c>
    </row>
    <row r="678" spans="2:20" ht="15.75" x14ac:dyDescent="0.2">
      <c r="B678" s="13"/>
      <c r="C678" s="67"/>
      <c r="D678" s="14"/>
      <c r="E678" s="14"/>
      <c r="F678" s="103"/>
      <c r="G678" s="15">
        <f>IFERROR(+VLOOKUP(D:D,'Data Base P.Asuhan &amp; Jompo'!B:I,7,0),0)</f>
        <v>0</v>
      </c>
      <c r="H678" s="258"/>
      <c r="I678" s="258">
        <f>List346[[#This Row],[Pengajuan Donasi]]</f>
        <v>0</v>
      </c>
      <c r="J678" s="213" t="str">
        <f>IF(List346[[#This Row],[Tanggal Trf]]&gt;0,"Done","-")</f>
        <v>-</v>
      </c>
      <c r="K678" s="445"/>
      <c r="L678" s="224"/>
      <c r="M678" s="100"/>
      <c r="N678" s="100">
        <f>MONTH(List346[[#This Row],[Tanggal Pengajuan]])</f>
        <v>1</v>
      </c>
      <c r="O678" s="183"/>
      <c r="P678" s="105"/>
      <c r="Q678" s="111"/>
      <c r="R678" s="367"/>
      <c r="T678" s="152">
        <f>+List346[[#This Row],[Pengajuan Donasi]]-List346[[#This Row],[Jumlah Transfer]]</f>
        <v>0</v>
      </c>
    </row>
    <row r="679" spans="2:20" ht="15.75" x14ac:dyDescent="0.2">
      <c r="B679" s="13"/>
      <c r="C679" s="67"/>
      <c r="D679" s="14"/>
      <c r="E679" s="14"/>
      <c r="F679" s="103"/>
      <c r="G679" s="15">
        <f>IFERROR(+VLOOKUP(D:D,'Data Base P.Asuhan &amp; Jompo'!B:I,7,0),0)</f>
        <v>0</v>
      </c>
      <c r="H679" s="258"/>
      <c r="I679" s="258">
        <f>List346[[#This Row],[Pengajuan Donasi]]</f>
        <v>0</v>
      </c>
      <c r="J679" s="213" t="str">
        <f>IF(List346[[#This Row],[Tanggal Trf]]&gt;0,"Done","-")</f>
        <v>-</v>
      </c>
      <c r="K679" s="445"/>
      <c r="L679" s="224"/>
      <c r="M679" s="100"/>
      <c r="N679" s="100">
        <f>MONTH(List346[[#This Row],[Tanggal Pengajuan]])</f>
        <v>1</v>
      </c>
      <c r="O679" s="183"/>
      <c r="P679" s="105"/>
      <c r="Q679" s="111"/>
      <c r="R679" s="367"/>
      <c r="T679" s="152">
        <f>+List346[[#This Row],[Pengajuan Donasi]]-List346[[#This Row],[Jumlah Transfer]]</f>
        <v>0</v>
      </c>
    </row>
    <row r="680" spans="2:20" ht="15.75" x14ac:dyDescent="0.2">
      <c r="B680" s="13"/>
      <c r="C680" s="67"/>
      <c r="D680" s="14"/>
      <c r="E680" s="14"/>
      <c r="F680" s="103"/>
      <c r="G680" s="15">
        <f>IFERROR(+VLOOKUP(D:D,'Data Base P.Asuhan &amp; Jompo'!B:I,7,0),0)</f>
        <v>0</v>
      </c>
      <c r="H680" s="258"/>
      <c r="I680" s="258">
        <f>List346[[#This Row],[Pengajuan Donasi]]</f>
        <v>0</v>
      </c>
      <c r="J680" s="213" t="str">
        <f>IF(List346[[#This Row],[Tanggal Trf]]&gt;0,"Done","-")</f>
        <v>-</v>
      </c>
      <c r="K680" s="445"/>
      <c r="L680" s="224"/>
      <c r="M680" s="100"/>
      <c r="N680" s="100">
        <f>MONTH(List346[[#This Row],[Tanggal Pengajuan]])</f>
        <v>1</v>
      </c>
      <c r="O680" s="183"/>
      <c r="P680" s="105"/>
      <c r="Q680" s="111"/>
      <c r="R680" s="367"/>
      <c r="T680" s="152">
        <f>+List346[[#This Row],[Pengajuan Donasi]]-List346[[#This Row],[Jumlah Transfer]]</f>
        <v>0</v>
      </c>
    </row>
    <row r="681" spans="2:20" ht="15.75" x14ac:dyDescent="0.2">
      <c r="B681" s="13"/>
      <c r="C681" s="67"/>
      <c r="D681" s="14"/>
      <c r="E681" s="14"/>
      <c r="F681" s="103"/>
      <c r="G681" s="15">
        <f>IFERROR(+VLOOKUP(D:D,'Data Base P.Asuhan &amp; Jompo'!B:I,7,0),0)</f>
        <v>0</v>
      </c>
      <c r="H681" s="258"/>
      <c r="I681" s="258">
        <f>List346[[#This Row],[Pengajuan Donasi]]</f>
        <v>0</v>
      </c>
      <c r="J681" s="213" t="str">
        <f>IF(List346[[#This Row],[Tanggal Trf]]&gt;0,"Done","-")</f>
        <v>-</v>
      </c>
      <c r="K681" s="445"/>
      <c r="L681" s="224"/>
      <c r="M681" s="100"/>
      <c r="N681" s="100">
        <f>MONTH(List346[[#This Row],[Tanggal Pengajuan]])</f>
        <v>1</v>
      </c>
      <c r="O681" s="183"/>
      <c r="P681" s="105"/>
      <c r="Q681" s="111"/>
      <c r="R681" s="367"/>
      <c r="T681" s="152">
        <f>+List346[[#This Row],[Pengajuan Donasi]]-List346[[#This Row],[Jumlah Transfer]]</f>
        <v>0</v>
      </c>
    </row>
    <row r="682" spans="2:20" ht="15.75" x14ac:dyDescent="0.2">
      <c r="B682" s="13"/>
      <c r="C682" s="67"/>
      <c r="D682" s="14"/>
      <c r="E682" s="14"/>
      <c r="F682" s="103"/>
      <c r="G682" s="15">
        <f>IFERROR(+VLOOKUP(D:D,'Data Base P.Asuhan &amp; Jompo'!B:I,7,0),0)</f>
        <v>0</v>
      </c>
      <c r="H682" s="258"/>
      <c r="I682" s="258">
        <f>List346[[#This Row],[Pengajuan Donasi]]</f>
        <v>0</v>
      </c>
      <c r="J682" s="213" t="str">
        <f>IF(List346[[#This Row],[Tanggal Trf]]&gt;0,"Done","-")</f>
        <v>-</v>
      </c>
      <c r="K682" s="445"/>
      <c r="L682" s="224"/>
      <c r="M682" s="100"/>
      <c r="N682" s="100">
        <f>MONTH(List346[[#This Row],[Tanggal Pengajuan]])</f>
        <v>1</v>
      </c>
      <c r="O682" s="183"/>
      <c r="P682" s="100"/>
      <c r="Q682" s="111"/>
      <c r="R682" s="367"/>
      <c r="T682" s="152">
        <f>+List346[[#This Row],[Pengajuan Donasi]]-List346[[#This Row],[Jumlah Transfer]]</f>
        <v>0</v>
      </c>
    </row>
    <row r="683" spans="2:20" ht="15.75" x14ac:dyDescent="0.2">
      <c r="B683" s="13"/>
      <c r="C683" s="67"/>
      <c r="D683" s="14"/>
      <c r="E683" s="14"/>
      <c r="F683" s="103"/>
      <c r="G683" s="15">
        <f>IFERROR(+VLOOKUP(D:D,'Data Base P.Asuhan &amp; Jompo'!B:I,7,0),0)</f>
        <v>0</v>
      </c>
      <c r="H683" s="258"/>
      <c r="I683" s="258">
        <f>List346[[#This Row],[Pengajuan Donasi]]</f>
        <v>0</v>
      </c>
      <c r="J683" s="213" t="str">
        <f>IF(List346[[#This Row],[Tanggal Trf]]&gt;0,"Done","-")</f>
        <v>-</v>
      </c>
      <c r="K683" s="445"/>
      <c r="L683" s="224"/>
      <c r="M683" s="100"/>
      <c r="N683" s="100">
        <f>MONTH(List346[[#This Row],[Tanggal Pengajuan]])</f>
        <v>1</v>
      </c>
      <c r="O683" s="183"/>
      <c r="P683" s="100"/>
      <c r="Q683" s="111"/>
      <c r="R683" s="367"/>
      <c r="T683" s="152">
        <f>+List346[[#This Row],[Pengajuan Donasi]]-List346[[#This Row],[Jumlah Transfer]]</f>
        <v>0</v>
      </c>
    </row>
    <row r="684" spans="2:20" ht="15.75" x14ac:dyDescent="0.2">
      <c r="B684" s="13"/>
      <c r="C684" s="67"/>
      <c r="D684" s="14"/>
      <c r="E684" s="14"/>
      <c r="F684" s="103"/>
      <c r="G684" s="15">
        <f>IFERROR(+VLOOKUP(D:D,'Data Base P.Asuhan &amp; Jompo'!B:I,7,0),0)</f>
        <v>0</v>
      </c>
      <c r="H684" s="258"/>
      <c r="I684" s="258">
        <f>List346[[#This Row],[Pengajuan Donasi]]</f>
        <v>0</v>
      </c>
      <c r="J684" s="213" t="str">
        <f>IF(List346[[#This Row],[Tanggal Trf]]&gt;0,"Done","-")</f>
        <v>-</v>
      </c>
      <c r="K684" s="445"/>
      <c r="L684" s="224"/>
      <c r="M684" s="100"/>
      <c r="N684" s="100">
        <f>MONTH(List346[[#This Row],[Tanggal Pengajuan]])</f>
        <v>1</v>
      </c>
      <c r="O684" s="183"/>
      <c r="P684" s="100"/>
      <c r="Q684" s="111"/>
      <c r="R684" s="367"/>
      <c r="T684" s="152">
        <f>+List346[[#This Row],[Pengajuan Donasi]]-List346[[#This Row],[Jumlah Transfer]]</f>
        <v>0</v>
      </c>
    </row>
    <row r="685" spans="2:20" ht="15.75" x14ac:dyDescent="0.2">
      <c r="B685" s="13"/>
      <c r="C685" s="67"/>
      <c r="D685" s="14"/>
      <c r="E685" s="14"/>
      <c r="F685" s="103"/>
      <c r="G685" s="15">
        <f>IFERROR(+VLOOKUP(D:D,'Data Base P.Asuhan &amp; Jompo'!B:I,7,0),0)</f>
        <v>0</v>
      </c>
      <c r="H685" s="258"/>
      <c r="I685" s="258">
        <f>List346[[#This Row],[Pengajuan Donasi]]</f>
        <v>0</v>
      </c>
      <c r="J685" s="213" t="str">
        <f>IF(List346[[#This Row],[Tanggal Trf]]&gt;0,"Done","-")</f>
        <v>-</v>
      </c>
      <c r="K685" s="445"/>
      <c r="L685" s="224"/>
      <c r="M685" s="100"/>
      <c r="N685" s="100">
        <f>MONTH(List346[[#This Row],[Tanggal Pengajuan]])</f>
        <v>1</v>
      </c>
      <c r="O685" s="183"/>
      <c r="P685" s="100"/>
      <c r="Q685" s="111"/>
      <c r="R685" s="367"/>
      <c r="T685" s="152">
        <f>+List346[[#This Row],[Pengajuan Donasi]]-List346[[#This Row],[Jumlah Transfer]]</f>
        <v>0</v>
      </c>
    </row>
    <row r="686" spans="2:20" ht="15.75" x14ac:dyDescent="0.2">
      <c r="B686" s="13"/>
      <c r="C686" s="67"/>
      <c r="D686" s="14"/>
      <c r="E686" s="14"/>
      <c r="F686" s="14"/>
      <c r="G686" s="15">
        <f>IFERROR(+VLOOKUP(D:D,'Data Base P.Asuhan &amp; Jompo'!B:I,7,0),0)</f>
        <v>0</v>
      </c>
      <c r="H686" s="258"/>
      <c r="I686" s="258">
        <f>List346[[#This Row],[Pengajuan Donasi]]</f>
        <v>0</v>
      </c>
      <c r="J686" s="213" t="str">
        <f>IF(List346[[#This Row],[Tanggal Trf]]&gt;0,"Done","-")</f>
        <v>-</v>
      </c>
      <c r="K686" s="14"/>
      <c r="L686" s="484"/>
      <c r="M686" s="100"/>
      <c r="N686" s="100">
        <f>MONTH(List346[[#This Row],[Tanggal Pengajuan]])</f>
        <v>1</v>
      </c>
      <c r="O686" s="183"/>
      <c r="P686" s="100"/>
      <c r="Q686" s="111"/>
      <c r="R686" s="367"/>
      <c r="T686" s="152">
        <f>+List346[[#This Row],[Pengajuan Donasi]]-List346[[#This Row],[Jumlah Transfer]]</f>
        <v>0</v>
      </c>
    </row>
    <row r="687" spans="2:20" ht="15.75" x14ac:dyDescent="0.2">
      <c r="B687" s="13"/>
      <c r="C687" s="67"/>
      <c r="D687" s="14"/>
      <c r="E687" s="14"/>
      <c r="F687" s="14"/>
      <c r="G687" s="15">
        <f>IFERROR(+VLOOKUP(D:D,'Data Base P.Asuhan &amp; Jompo'!B:I,7,0),0)</f>
        <v>0</v>
      </c>
      <c r="H687" s="258"/>
      <c r="I687" s="258">
        <f>List346[[#This Row],[Pengajuan Donasi]]</f>
        <v>0</v>
      </c>
      <c r="J687" s="213" t="str">
        <f>IF(List346[[#This Row],[Tanggal Trf]]&gt;0,"Done","-")</f>
        <v>-</v>
      </c>
      <c r="K687" s="14"/>
      <c r="L687" s="224"/>
      <c r="M687" s="100"/>
      <c r="N687" s="100">
        <f>MONTH(List346[[#This Row],[Tanggal Pengajuan]])</f>
        <v>1</v>
      </c>
      <c r="O687" s="183"/>
      <c r="P687" s="100"/>
      <c r="Q687" s="111"/>
      <c r="R687" s="367"/>
      <c r="T687" s="152">
        <f>+List346[[#This Row],[Pengajuan Donasi]]-List346[[#This Row],[Jumlah Transfer]]</f>
        <v>0</v>
      </c>
    </row>
    <row r="688" spans="2:20" ht="15.75" x14ac:dyDescent="0.2">
      <c r="B688" s="13"/>
      <c r="C688" s="67"/>
      <c r="D688" s="14"/>
      <c r="E688" s="14"/>
      <c r="F688" s="14"/>
      <c r="G688" s="15">
        <f>IFERROR(+VLOOKUP(D:D,'Data Base P.Asuhan &amp; Jompo'!B:I,7,0),0)</f>
        <v>0</v>
      </c>
      <c r="H688" s="258"/>
      <c r="I688" s="258">
        <f>List346[[#This Row],[Pengajuan Donasi]]</f>
        <v>0</v>
      </c>
      <c r="J688" s="213" t="str">
        <f>IF(List346[[#This Row],[Tanggal Trf]]&gt;0,"Done","-")</f>
        <v>-</v>
      </c>
      <c r="K688" s="14"/>
      <c r="L688" s="224"/>
      <c r="M688" s="100"/>
      <c r="N688" s="100">
        <f>MONTH(List346[[#This Row],[Tanggal Pengajuan]])</f>
        <v>1</v>
      </c>
      <c r="O688" s="183"/>
      <c r="P688" s="100"/>
      <c r="Q688" s="111"/>
      <c r="R688" s="367"/>
      <c r="T688" s="152">
        <f>+List346[[#This Row],[Pengajuan Donasi]]-List346[[#This Row],[Jumlah Transfer]]</f>
        <v>0</v>
      </c>
    </row>
    <row r="689" spans="2:20" ht="15.75" x14ac:dyDescent="0.2">
      <c r="B689" s="13"/>
      <c r="C689" s="67"/>
      <c r="D689" s="14"/>
      <c r="E689" s="14"/>
      <c r="F689" s="103"/>
      <c r="G689" s="15">
        <f>IFERROR(+VLOOKUP(D:D,'Data Base P.Asuhan &amp; Jompo'!B:I,7,0),0)</f>
        <v>0</v>
      </c>
      <c r="H689" s="258"/>
      <c r="I689" s="258">
        <f>List346[[#This Row],[Pengajuan Donasi]]</f>
        <v>0</v>
      </c>
      <c r="J689" s="213" t="str">
        <f>IF(List346[[#This Row],[Tanggal Trf]]&gt;0,"Done","-")</f>
        <v>-</v>
      </c>
      <c r="K689" s="14"/>
      <c r="L689" s="224"/>
      <c r="M689" s="403"/>
      <c r="N689" s="100">
        <f>MONTH(List346[[#This Row],[Tanggal Pengajuan]])</f>
        <v>1</v>
      </c>
      <c r="O689" s="183"/>
      <c r="P689" s="100"/>
      <c r="Q689" s="111"/>
      <c r="R689" s="367"/>
      <c r="T689" s="152">
        <f>+List346[[#This Row],[Pengajuan Donasi]]-List346[[#This Row],[Jumlah Transfer]]</f>
        <v>0</v>
      </c>
    </row>
    <row r="690" spans="2:20" ht="15.75" x14ac:dyDescent="0.2">
      <c r="B690" s="13"/>
      <c r="C690" s="67"/>
      <c r="D690" s="14"/>
      <c r="E690" s="14"/>
      <c r="F690" s="103"/>
      <c r="G690" s="15">
        <f>IFERROR(+VLOOKUP(D:D,'Data Base P.Asuhan &amp; Jompo'!B:I,7,0),0)</f>
        <v>0</v>
      </c>
      <c r="H690" s="258"/>
      <c r="I690" s="258">
        <f>List346[[#This Row],[Pengajuan Donasi]]</f>
        <v>0</v>
      </c>
      <c r="J690" s="213" t="str">
        <f>IF(List346[[#This Row],[Tanggal Trf]]&gt;0,"Done","-")</f>
        <v>-</v>
      </c>
      <c r="K690" s="14"/>
      <c r="L690" s="224"/>
      <c r="M690" s="105"/>
      <c r="N690" s="100">
        <f>MONTH(List346[[#This Row],[Tanggal Pengajuan]])</f>
        <v>1</v>
      </c>
      <c r="O690" s="183"/>
      <c r="P690" s="100"/>
      <c r="Q690" s="111"/>
      <c r="R690" s="367"/>
      <c r="T690" s="152">
        <f>+List346[[#This Row],[Pengajuan Donasi]]-List346[[#This Row],[Jumlah Transfer]]</f>
        <v>0</v>
      </c>
    </row>
    <row r="691" spans="2:20" ht="15.75" x14ac:dyDescent="0.2">
      <c r="B691" s="13"/>
      <c r="C691" s="67"/>
      <c r="D691" s="14"/>
      <c r="E691" s="14"/>
      <c r="F691" s="103"/>
      <c r="G691" s="15">
        <f>IFERROR(+VLOOKUP(D:D,'Data Base P.Asuhan &amp; Jompo'!B:I,7,0),0)</f>
        <v>0</v>
      </c>
      <c r="H691" s="258"/>
      <c r="I691" s="258">
        <f>List346[[#This Row],[Pengajuan Donasi]]</f>
        <v>0</v>
      </c>
      <c r="J691" s="213" t="str">
        <f>IF(List346[[#This Row],[Tanggal Trf]]&gt;0,"Done","-")</f>
        <v>-</v>
      </c>
      <c r="K691" s="14"/>
      <c r="L691" s="224"/>
      <c r="M691" s="100"/>
      <c r="N691" s="100">
        <f>MONTH(List346[[#This Row],[Tanggal Pengajuan]])</f>
        <v>1</v>
      </c>
      <c r="O691" s="183"/>
      <c r="P691" s="100"/>
      <c r="Q691" s="111"/>
      <c r="R691" s="367"/>
      <c r="T691" s="152">
        <f>+List346[[#This Row],[Pengajuan Donasi]]-List346[[#This Row],[Jumlah Transfer]]</f>
        <v>0</v>
      </c>
    </row>
    <row r="692" spans="2:20" ht="15.75" x14ac:dyDescent="0.2">
      <c r="B692" s="13"/>
      <c r="C692" s="67"/>
      <c r="D692" s="14"/>
      <c r="E692" s="103"/>
      <c r="F692" s="103"/>
      <c r="G692" s="15">
        <f>IFERROR(+VLOOKUP(D:D,'Data Base P.Asuhan &amp; Jompo'!B:I,7,0),0)</f>
        <v>0</v>
      </c>
      <c r="H692" s="258"/>
      <c r="I692" s="258">
        <f>List346[[#This Row],[Pengajuan Donasi]]</f>
        <v>0</v>
      </c>
      <c r="J692" s="213" t="str">
        <f>IF(List346[[#This Row],[Tanggal Trf]]&gt;0,"Done","-")</f>
        <v>-</v>
      </c>
      <c r="K692" s="14"/>
      <c r="L692" s="224"/>
      <c r="M692" s="100"/>
      <c r="N692" s="100">
        <f>MONTH(List346[[#This Row],[Tanggal Pengajuan]])</f>
        <v>1</v>
      </c>
      <c r="O692" s="183"/>
      <c r="P692" s="100"/>
      <c r="Q692" s="111"/>
      <c r="R692" s="367"/>
      <c r="T692" s="152">
        <f>+List346[[#This Row],[Pengajuan Donasi]]-List346[[#This Row],[Jumlah Transfer]]</f>
        <v>0</v>
      </c>
    </row>
    <row r="693" spans="2:20" ht="15.75" x14ac:dyDescent="0.2">
      <c r="B693" s="13"/>
      <c r="C693" s="67"/>
      <c r="D693" s="14"/>
      <c r="E693" s="103"/>
      <c r="F693" s="103"/>
      <c r="G693" s="15">
        <f>IFERROR(+VLOOKUP(D:D,'Data Base P.Asuhan &amp; Jompo'!B:I,7,0),0)</f>
        <v>0</v>
      </c>
      <c r="H693" s="258"/>
      <c r="I693" s="258">
        <f>List346[[#This Row],[Pengajuan Donasi]]</f>
        <v>0</v>
      </c>
      <c r="J693" s="213" t="str">
        <f>IF(List346[[#This Row],[Tanggal Trf]]&gt;0,"Done","-")</f>
        <v>-</v>
      </c>
      <c r="K693" s="14"/>
      <c r="L693" s="224"/>
      <c r="M693" s="100"/>
      <c r="N693" s="100">
        <f>MONTH(List346[[#This Row],[Tanggal Pengajuan]])</f>
        <v>1</v>
      </c>
      <c r="O693" s="183"/>
      <c r="P693" s="100"/>
      <c r="Q693" s="111"/>
      <c r="R693" s="367"/>
      <c r="T693" s="152">
        <f>+List346[[#This Row],[Pengajuan Donasi]]-List346[[#This Row],[Jumlah Transfer]]</f>
        <v>0</v>
      </c>
    </row>
    <row r="694" spans="2:20" ht="15.75" x14ac:dyDescent="0.2">
      <c r="B694" s="13"/>
      <c r="C694" s="67"/>
      <c r="D694" s="14"/>
      <c r="E694" s="103"/>
      <c r="F694" s="103"/>
      <c r="G694" s="15">
        <f>IFERROR(+VLOOKUP(D:D,'Data Base P.Asuhan &amp; Jompo'!B:I,7,0),0)</f>
        <v>0</v>
      </c>
      <c r="H694" s="258"/>
      <c r="I694" s="258">
        <f>List346[[#This Row],[Pengajuan Donasi]]</f>
        <v>0</v>
      </c>
      <c r="J694" s="213" t="str">
        <f>IF(List346[[#This Row],[Tanggal Trf]]&gt;0,"Done","-")</f>
        <v>-</v>
      </c>
      <c r="K694" s="14"/>
      <c r="L694" s="224"/>
      <c r="M694" s="100"/>
      <c r="N694" s="100">
        <f>MONTH(List346[[#This Row],[Tanggal Pengajuan]])</f>
        <v>1</v>
      </c>
      <c r="O694" s="183"/>
      <c r="P694" s="100"/>
      <c r="Q694" s="111"/>
      <c r="R694" s="367"/>
      <c r="T694" s="152">
        <f>+List346[[#This Row],[Pengajuan Donasi]]-List346[[#This Row],[Jumlah Transfer]]</f>
        <v>0</v>
      </c>
    </row>
    <row r="695" spans="2:20" ht="15.75" x14ac:dyDescent="0.2">
      <c r="B695" s="13"/>
      <c r="C695" s="67"/>
      <c r="D695" s="14"/>
      <c r="E695" s="103"/>
      <c r="F695" s="103"/>
      <c r="G695" s="15">
        <f>IFERROR(+VLOOKUP(D:D,'Data Base P.Asuhan &amp; Jompo'!B:I,7,0),0)</f>
        <v>0</v>
      </c>
      <c r="H695" s="258"/>
      <c r="I695" s="258">
        <f>List346[[#This Row],[Pengajuan Donasi]]</f>
        <v>0</v>
      </c>
      <c r="J695" s="213" t="str">
        <f>IF(List346[[#This Row],[Tanggal Trf]]&gt;0,"Done","-")</f>
        <v>-</v>
      </c>
      <c r="K695" s="14"/>
      <c r="L695" s="224"/>
      <c r="M695" s="100"/>
      <c r="N695" s="100">
        <f>MONTH(List346[[#This Row],[Tanggal Pengajuan]])</f>
        <v>1</v>
      </c>
      <c r="O695" s="183"/>
      <c r="P695" s="100"/>
      <c r="Q695" s="111"/>
      <c r="R695" s="367"/>
      <c r="T695" s="152">
        <f>+List346[[#This Row],[Pengajuan Donasi]]-List346[[#This Row],[Jumlah Transfer]]</f>
        <v>0</v>
      </c>
    </row>
    <row r="696" spans="2:20" ht="15.75" x14ac:dyDescent="0.2">
      <c r="B696" s="13"/>
      <c r="C696" s="67"/>
      <c r="D696" s="14"/>
      <c r="E696" s="103"/>
      <c r="F696" s="103"/>
      <c r="G696" s="15">
        <f>IFERROR(+VLOOKUP(D:D,'Data Base P.Asuhan &amp; Jompo'!B:I,7,0),0)</f>
        <v>0</v>
      </c>
      <c r="H696" s="258"/>
      <c r="I696" s="258">
        <f>List346[[#This Row],[Pengajuan Donasi]]</f>
        <v>0</v>
      </c>
      <c r="J696" s="213" t="str">
        <f>IF(List346[[#This Row],[Tanggal Trf]]&gt;0,"Done","-")</f>
        <v>-</v>
      </c>
      <c r="K696" s="14"/>
      <c r="L696" s="224"/>
      <c r="M696" s="100"/>
      <c r="N696" s="100">
        <f>MONTH(List346[[#This Row],[Tanggal Pengajuan]])</f>
        <v>1</v>
      </c>
      <c r="O696" s="183"/>
      <c r="P696" s="100"/>
      <c r="Q696" s="111"/>
      <c r="R696" s="367"/>
      <c r="T696" s="152">
        <f>+List346[[#This Row],[Pengajuan Donasi]]-List346[[#This Row],[Jumlah Transfer]]</f>
        <v>0</v>
      </c>
    </row>
    <row r="697" spans="2:20" ht="15.75" x14ac:dyDescent="0.2">
      <c r="B697" s="13"/>
      <c r="C697" s="67"/>
      <c r="D697" s="14"/>
      <c r="E697" s="103"/>
      <c r="F697" s="103"/>
      <c r="G697" s="15">
        <f>IFERROR(+VLOOKUP(D:D,'Data Base P.Asuhan &amp; Jompo'!B:I,7,0),0)</f>
        <v>0</v>
      </c>
      <c r="H697" s="258"/>
      <c r="I697" s="258">
        <f>List346[[#This Row],[Pengajuan Donasi]]</f>
        <v>0</v>
      </c>
      <c r="J697" s="213" t="str">
        <f>IF(List346[[#This Row],[Tanggal Trf]]&gt;0,"Done","-")</f>
        <v>-</v>
      </c>
      <c r="K697" s="14"/>
      <c r="L697" s="224"/>
      <c r="M697" s="100"/>
      <c r="N697" s="100">
        <f>MONTH(List346[[#This Row],[Tanggal Pengajuan]])</f>
        <v>1</v>
      </c>
      <c r="O697" s="183"/>
      <c r="P697" s="100"/>
      <c r="Q697" s="111"/>
      <c r="R697" s="367"/>
      <c r="T697" s="152">
        <f>+List346[[#This Row],[Pengajuan Donasi]]-List346[[#This Row],[Jumlah Transfer]]</f>
        <v>0</v>
      </c>
    </row>
    <row r="698" spans="2:20" ht="15.75" x14ac:dyDescent="0.2">
      <c r="B698" s="13"/>
      <c r="C698" s="67"/>
      <c r="D698" s="14"/>
      <c r="E698" s="103"/>
      <c r="F698" s="103"/>
      <c r="G698" s="15">
        <f>IFERROR(+VLOOKUP(D:D,'Data Base P.Asuhan &amp; Jompo'!B:I,7,0),0)</f>
        <v>0</v>
      </c>
      <c r="H698" s="258"/>
      <c r="I698" s="258">
        <f>List346[[#This Row],[Pengajuan Donasi]]</f>
        <v>0</v>
      </c>
      <c r="J698" s="213" t="str">
        <f>IF(List346[[#This Row],[Tanggal Trf]]&gt;0,"Done","-")</f>
        <v>-</v>
      </c>
      <c r="K698" s="14"/>
      <c r="L698" s="224"/>
      <c r="M698" s="100"/>
      <c r="N698" s="100">
        <f>MONTH(List346[[#This Row],[Tanggal Pengajuan]])</f>
        <v>1</v>
      </c>
      <c r="O698" s="183"/>
      <c r="P698" s="100"/>
      <c r="Q698" s="111"/>
      <c r="R698" s="367"/>
      <c r="T698" s="152">
        <f>+List346[[#This Row],[Pengajuan Donasi]]-List346[[#This Row],[Jumlah Transfer]]</f>
        <v>0</v>
      </c>
    </row>
    <row r="699" spans="2:20" ht="15.75" x14ac:dyDescent="0.2">
      <c r="B699" s="13"/>
      <c r="C699" s="67"/>
      <c r="D699" s="14"/>
      <c r="E699" s="103"/>
      <c r="F699" s="103"/>
      <c r="G699" s="15">
        <f>IFERROR(+VLOOKUP(D:D,'Data Base P.Asuhan &amp; Jompo'!B:I,7,0),0)</f>
        <v>0</v>
      </c>
      <c r="H699" s="258"/>
      <c r="I699" s="258">
        <f>List346[[#This Row],[Pengajuan Donasi]]</f>
        <v>0</v>
      </c>
      <c r="J699" s="213" t="str">
        <f>IF(List346[[#This Row],[Tanggal Trf]]&gt;0,"Done","-")</f>
        <v>-</v>
      </c>
      <c r="K699" s="14"/>
      <c r="L699" s="224"/>
      <c r="M699" s="100"/>
      <c r="N699" s="100">
        <f>MONTH(List346[[#This Row],[Tanggal Pengajuan]])</f>
        <v>1</v>
      </c>
      <c r="O699" s="183"/>
      <c r="P699" s="100"/>
      <c r="Q699" s="111"/>
      <c r="R699" s="367"/>
      <c r="T699" s="152">
        <f>+List346[[#This Row],[Pengajuan Donasi]]-List346[[#This Row],[Jumlah Transfer]]</f>
        <v>0</v>
      </c>
    </row>
    <row r="700" spans="2:20" ht="15.75" x14ac:dyDescent="0.2">
      <c r="B700" s="13"/>
      <c r="C700" s="67"/>
      <c r="D700" s="14"/>
      <c r="E700" s="103"/>
      <c r="F700" s="103"/>
      <c r="G700" s="15">
        <f>IFERROR(+VLOOKUP(D:D,'Data Base P.Asuhan &amp; Jompo'!B:I,7,0),0)</f>
        <v>0</v>
      </c>
      <c r="H700" s="258"/>
      <c r="I700" s="258">
        <f>List346[[#This Row],[Pengajuan Donasi]]</f>
        <v>0</v>
      </c>
      <c r="J700" s="213" t="str">
        <f>IF(List346[[#This Row],[Tanggal Trf]]&gt;0,"Done","-")</f>
        <v>-</v>
      </c>
      <c r="K700" s="14"/>
      <c r="L700" s="224"/>
      <c r="M700" s="100"/>
      <c r="N700" s="100">
        <f>MONTH(List346[[#This Row],[Tanggal Pengajuan]])</f>
        <v>1</v>
      </c>
      <c r="O700" s="183"/>
      <c r="P700" s="100"/>
      <c r="Q700" s="111"/>
      <c r="R700" s="367"/>
      <c r="T700" s="152">
        <f>+List346[[#This Row],[Pengajuan Donasi]]-List346[[#This Row],[Jumlah Transfer]]</f>
        <v>0</v>
      </c>
    </row>
    <row r="701" spans="2:20" ht="15.75" x14ac:dyDescent="0.2">
      <c r="B701" s="13"/>
      <c r="C701" s="67"/>
      <c r="D701" s="14"/>
      <c r="E701" s="103"/>
      <c r="F701" s="103"/>
      <c r="G701" s="15">
        <f>IFERROR(+VLOOKUP(D:D,'Data Base P.Asuhan &amp; Jompo'!B:I,7,0),0)</f>
        <v>0</v>
      </c>
      <c r="H701" s="258"/>
      <c r="I701" s="258">
        <f>List346[[#This Row],[Pengajuan Donasi]]</f>
        <v>0</v>
      </c>
      <c r="J701" s="213" t="str">
        <f>IF(List346[[#This Row],[Tanggal Trf]]&gt;0,"Done","-")</f>
        <v>-</v>
      </c>
      <c r="K701" s="14"/>
      <c r="L701" s="224"/>
      <c r="M701" s="100"/>
      <c r="N701" s="100">
        <f>MONTH(List346[[#This Row],[Tanggal Pengajuan]])</f>
        <v>1</v>
      </c>
      <c r="O701" s="183"/>
      <c r="P701" s="100"/>
      <c r="Q701" s="111"/>
      <c r="R701" s="367"/>
      <c r="T701" s="152">
        <f>+List346[[#This Row],[Pengajuan Donasi]]-List346[[#This Row],[Jumlah Transfer]]</f>
        <v>0</v>
      </c>
    </row>
    <row r="702" spans="2:20" ht="15.75" x14ac:dyDescent="0.2">
      <c r="B702" s="13"/>
      <c r="C702" s="67"/>
      <c r="D702" s="14"/>
      <c r="E702" s="103"/>
      <c r="F702" s="103"/>
      <c r="G702" s="15">
        <f>IFERROR(+VLOOKUP(D:D,'Data Base P.Asuhan &amp; Jompo'!B:I,7,0),0)</f>
        <v>0</v>
      </c>
      <c r="H702" s="258"/>
      <c r="I702" s="258">
        <f>List346[[#This Row],[Pengajuan Donasi]]</f>
        <v>0</v>
      </c>
      <c r="J702" s="213" t="str">
        <f>IF(List346[[#This Row],[Tanggal Trf]]&gt;0,"Done","-")</f>
        <v>-</v>
      </c>
      <c r="K702" s="14"/>
      <c r="L702" s="224"/>
      <c r="M702" s="100"/>
      <c r="N702" s="100">
        <f>MONTH(List346[[#This Row],[Tanggal Pengajuan]])</f>
        <v>1</v>
      </c>
      <c r="O702" s="183"/>
      <c r="P702" s="100"/>
      <c r="Q702" s="111"/>
      <c r="R702" s="367"/>
      <c r="T702" s="152">
        <f>+List346[[#This Row],[Pengajuan Donasi]]-List346[[#This Row],[Jumlah Transfer]]</f>
        <v>0</v>
      </c>
    </row>
    <row r="703" spans="2:20" ht="15.75" x14ac:dyDescent="0.2">
      <c r="B703" s="13"/>
      <c r="C703" s="67"/>
      <c r="D703" s="14"/>
      <c r="E703" s="103"/>
      <c r="F703" s="103"/>
      <c r="G703" s="15">
        <f>IFERROR(+VLOOKUP(D:D,'Data Base P.Asuhan &amp; Jompo'!B:I,7,0),0)</f>
        <v>0</v>
      </c>
      <c r="H703" s="258"/>
      <c r="I703" s="258">
        <f>List346[[#This Row],[Pengajuan Donasi]]</f>
        <v>0</v>
      </c>
      <c r="J703" s="213" t="str">
        <f>IF(List346[[#This Row],[Tanggal Trf]]&gt;0,"Done","-")</f>
        <v>-</v>
      </c>
      <c r="K703" s="14"/>
      <c r="L703" s="224"/>
      <c r="M703" s="100"/>
      <c r="N703" s="100">
        <f>MONTH(List346[[#This Row],[Tanggal Pengajuan]])</f>
        <v>1</v>
      </c>
      <c r="O703" s="183"/>
      <c r="P703" s="100"/>
      <c r="Q703" s="111"/>
      <c r="R703" s="367"/>
      <c r="T703" s="152">
        <f>+List346[[#This Row],[Pengajuan Donasi]]-List346[[#This Row],[Jumlah Transfer]]</f>
        <v>0</v>
      </c>
    </row>
    <row r="704" spans="2:20" ht="15.75" x14ac:dyDescent="0.2">
      <c r="B704" s="13"/>
      <c r="C704" s="67"/>
      <c r="D704" s="14"/>
      <c r="E704" s="103"/>
      <c r="F704" s="103"/>
      <c r="G704" s="15">
        <f>IFERROR(+VLOOKUP(D:D,'Data Base P.Asuhan &amp; Jompo'!B:I,7,0),0)</f>
        <v>0</v>
      </c>
      <c r="H704" s="258"/>
      <c r="I704" s="258">
        <f>List346[[#This Row],[Pengajuan Donasi]]</f>
        <v>0</v>
      </c>
      <c r="J704" s="213" t="str">
        <f>IF(List346[[#This Row],[Tanggal Trf]]&gt;0,"Done","-")</f>
        <v>-</v>
      </c>
      <c r="K704" s="14"/>
      <c r="L704" s="224"/>
      <c r="M704" s="100"/>
      <c r="N704" s="100">
        <f>MONTH(List346[[#This Row],[Tanggal Pengajuan]])</f>
        <v>1</v>
      </c>
      <c r="O704" s="183"/>
      <c r="P704" s="100"/>
      <c r="Q704" s="111"/>
      <c r="R704" s="367"/>
      <c r="T704" s="152">
        <f>+List346[[#This Row],[Pengajuan Donasi]]-List346[[#This Row],[Jumlah Transfer]]</f>
        <v>0</v>
      </c>
    </row>
    <row r="705" spans="2:20" ht="15.75" x14ac:dyDescent="0.2">
      <c r="B705" s="13"/>
      <c r="C705" s="67"/>
      <c r="D705" s="14"/>
      <c r="E705" s="103"/>
      <c r="F705" s="103"/>
      <c r="G705" s="15">
        <f>IFERROR(+VLOOKUP(D:D,'Data Base P.Asuhan &amp; Jompo'!B:I,7,0),0)</f>
        <v>0</v>
      </c>
      <c r="H705" s="258"/>
      <c r="I705" s="258">
        <f>List346[[#This Row],[Pengajuan Donasi]]</f>
        <v>0</v>
      </c>
      <c r="J705" s="213" t="str">
        <f>IF(List346[[#This Row],[Tanggal Trf]]&gt;0,"Done","-")</f>
        <v>-</v>
      </c>
      <c r="K705" s="14"/>
      <c r="L705" s="224"/>
      <c r="M705" s="100"/>
      <c r="N705" s="100">
        <f>MONTH(List346[[#This Row],[Tanggal Pengajuan]])</f>
        <v>1</v>
      </c>
      <c r="O705" s="183"/>
      <c r="P705" s="100"/>
      <c r="Q705" s="111"/>
      <c r="R705" s="367"/>
      <c r="T705" s="152">
        <f>+List346[[#This Row],[Pengajuan Donasi]]-List346[[#This Row],[Jumlah Transfer]]</f>
        <v>0</v>
      </c>
    </row>
    <row r="706" spans="2:20" ht="15.75" x14ac:dyDescent="0.2">
      <c r="B706" s="13"/>
      <c r="C706" s="67"/>
      <c r="D706" s="14"/>
      <c r="E706" s="103"/>
      <c r="F706" s="103"/>
      <c r="G706" s="15">
        <f>IFERROR(+VLOOKUP(D:D,'Data Base P.Asuhan &amp; Jompo'!B:I,7,0),0)</f>
        <v>0</v>
      </c>
      <c r="H706" s="258"/>
      <c r="I706" s="258">
        <f>List346[[#This Row],[Pengajuan Donasi]]</f>
        <v>0</v>
      </c>
      <c r="J706" s="213" t="str">
        <f>IF(List346[[#This Row],[Tanggal Trf]]&gt;0,"Done","-")</f>
        <v>-</v>
      </c>
      <c r="K706" s="445"/>
      <c r="L706" s="224"/>
      <c r="M706" s="100"/>
      <c r="N706" s="100">
        <f>MONTH(List346[[#This Row],[Tanggal Pengajuan]])</f>
        <v>1</v>
      </c>
      <c r="O706" s="183"/>
      <c r="P706" s="105"/>
      <c r="Q706" s="111"/>
      <c r="R706" s="367"/>
      <c r="T706" s="152">
        <f>+List346[[#This Row],[Pengajuan Donasi]]-List346[[#This Row],[Jumlah Transfer]]</f>
        <v>0</v>
      </c>
    </row>
    <row r="707" spans="2:20" ht="15.75" x14ac:dyDescent="0.2">
      <c r="B707" s="13"/>
      <c r="C707" s="67"/>
      <c r="D707" s="14"/>
      <c r="E707" s="14"/>
      <c r="F707" s="103"/>
      <c r="G707" s="15">
        <f>IFERROR(+VLOOKUP(D:D,'Data Base P.Asuhan &amp; Jompo'!B:I,7,0),0)</f>
        <v>0</v>
      </c>
      <c r="H707" s="258"/>
      <c r="I707" s="258">
        <f>List346[[#This Row],[Pengajuan Donasi]]</f>
        <v>0</v>
      </c>
      <c r="J707" s="213" t="str">
        <f>IF(List346[[#This Row],[Tanggal Trf]]&gt;0,"Done","-")</f>
        <v>-</v>
      </c>
      <c r="K707" s="445"/>
      <c r="L707" s="225"/>
      <c r="M707" s="100"/>
      <c r="N707" s="100">
        <f>MONTH(List346[[#This Row],[Tanggal Pengajuan]])</f>
        <v>1</v>
      </c>
      <c r="O707" s="183"/>
      <c r="P707" s="100"/>
      <c r="Q707" s="111"/>
      <c r="R707" s="367"/>
      <c r="T707" s="152">
        <f>+List346[[#This Row],[Pengajuan Donasi]]-List346[[#This Row],[Jumlah Transfer]]</f>
        <v>0</v>
      </c>
    </row>
    <row r="708" spans="2:20" ht="15.75" x14ac:dyDescent="0.2">
      <c r="B708" s="13"/>
      <c r="C708" s="66"/>
      <c r="D708" s="14"/>
      <c r="E708" s="14"/>
      <c r="F708" s="103"/>
      <c r="G708" s="15">
        <f>IFERROR(+VLOOKUP(D:D,'Data Base P.Asuhan &amp; Jompo'!B:I,7,0),0)</f>
        <v>0</v>
      </c>
      <c r="H708" s="258"/>
      <c r="I708" s="258">
        <f>List346[[#This Row],[Pengajuan Donasi]]</f>
        <v>0</v>
      </c>
      <c r="J708" s="213" t="str">
        <f>IF(List346[[#This Row],[Tanggal Trf]]&gt;0,"Done","-")</f>
        <v>-</v>
      </c>
      <c r="K708" s="445"/>
      <c r="L708" s="224"/>
      <c r="M708" s="100"/>
      <c r="N708" s="100">
        <f>MONTH(List346[[#This Row],[Tanggal Pengajuan]])</f>
        <v>1</v>
      </c>
      <c r="O708" s="183"/>
      <c r="P708" s="100"/>
      <c r="Q708" s="111"/>
      <c r="R708" s="367"/>
      <c r="T708" s="152">
        <f>+List346[[#This Row],[Pengajuan Donasi]]-List346[[#This Row],[Jumlah Transfer]]</f>
        <v>0</v>
      </c>
    </row>
    <row r="709" spans="2:20" ht="15.75" x14ac:dyDescent="0.2">
      <c r="B709" s="13"/>
      <c r="C709" s="66"/>
      <c r="D709" s="14"/>
      <c r="E709" s="14"/>
      <c r="F709" s="103"/>
      <c r="G709" s="15">
        <f>IFERROR(+VLOOKUP(D:D,'Data Base P.Asuhan &amp; Jompo'!B:I,7,0),0)</f>
        <v>0</v>
      </c>
      <c r="H709" s="258"/>
      <c r="I709" s="258">
        <f>List346[[#This Row],[Pengajuan Donasi]]</f>
        <v>0</v>
      </c>
      <c r="J709" s="213" t="str">
        <f>IF(List346[[#This Row],[Tanggal Trf]]&gt;0,"Done","-")</f>
        <v>-</v>
      </c>
      <c r="K709" s="445"/>
      <c r="L709" s="224"/>
      <c r="M709" s="100"/>
      <c r="N709" s="100">
        <f>MONTH(List346[[#This Row],[Tanggal Pengajuan]])</f>
        <v>1</v>
      </c>
      <c r="O709" s="183"/>
      <c r="P709" s="100"/>
      <c r="Q709" s="111"/>
      <c r="R709" s="367"/>
      <c r="T709" s="152">
        <f>+List346[[#This Row],[Pengajuan Donasi]]-List346[[#This Row],[Jumlah Transfer]]</f>
        <v>0</v>
      </c>
    </row>
    <row r="710" spans="2:20" ht="15.75" x14ac:dyDescent="0.2">
      <c r="B710" s="13"/>
      <c r="C710" s="66"/>
      <c r="D710" s="14"/>
      <c r="E710" s="14"/>
      <c r="F710" s="103"/>
      <c r="G710" s="15">
        <f>IFERROR(+VLOOKUP(D:D,'Data Base P.Asuhan &amp; Jompo'!B:I,7,0),0)</f>
        <v>0</v>
      </c>
      <c r="H710" s="258"/>
      <c r="I710" s="258">
        <f>List346[[#This Row],[Pengajuan Donasi]]</f>
        <v>0</v>
      </c>
      <c r="J710" s="213" t="str">
        <f>IF(List346[[#This Row],[Tanggal Trf]]&gt;0,"Done","-")</f>
        <v>-</v>
      </c>
      <c r="K710" s="445"/>
      <c r="L710" s="224"/>
      <c r="M710" s="100"/>
      <c r="N710" s="100">
        <f>MONTH(List346[[#This Row],[Tanggal Pengajuan]])</f>
        <v>1</v>
      </c>
      <c r="O710" s="183"/>
      <c r="P710" s="100"/>
      <c r="Q710" s="111"/>
      <c r="R710" s="367"/>
      <c r="T710" s="152">
        <f>+List346[[#This Row],[Pengajuan Donasi]]-List346[[#This Row],[Jumlah Transfer]]</f>
        <v>0</v>
      </c>
    </row>
    <row r="711" spans="2:20" ht="15.75" x14ac:dyDescent="0.2">
      <c r="B711" s="13"/>
      <c r="C711" s="66"/>
      <c r="D711" s="14"/>
      <c r="E711" s="14"/>
      <c r="F711" s="103"/>
      <c r="G711" s="15">
        <f>IFERROR(+VLOOKUP(D:D,'Data Base P.Asuhan &amp; Jompo'!B:I,7,0),0)</f>
        <v>0</v>
      </c>
      <c r="H711" s="258"/>
      <c r="I711" s="258">
        <f>List346[[#This Row],[Pengajuan Donasi]]</f>
        <v>0</v>
      </c>
      <c r="J711" s="213" t="str">
        <f>IF(List346[[#This Row],[Tanggal Trf]]&gt;0,"Done","-")</f>
        <v>-</v>
      </c>
      <c r="K711" s="445"/>
      <c r="L711" s="224"/>
      <c r="M711" s="100"/>
      <c r="N711" s="100">
        <f>MONTH(List346[[#This Row],[Tanggal Pengajuan]])</f>
        <v>1</v>
      </c>
      <c r="O711" s="183"/>
      <c r="P711" s="100"/>
      <c r="Q711" s="111"/>
      <c r="R711" s="367"/>
      <c r="T711" s="152">
        <f>+List346[[#This Row],[Pengajuan Donasi]]-List346[[#This Row],[Jumlah Transfer]]</f>
        <v>0</v>
      </c>
    </row>
    <row r="712" spans="2:20" ht="15.75" x14ac:dyDescent="0.2">
      <c r="B712" s="13"/>
      <c r="C712" s="66"/>
      <c r="D712" s="14"/>
      <c r="E712" s="14"/>
      <c r="F712" s="103"/>
      <c r="G712" s="15">
        <f>IFERROR(+VLOOKUP(D:D,'Data Base P.Asuhan &amp; Jompo'!B:I,7,0),0)</f>
        <v>0</v>
      </c>
      <c r="H712" s="258"/>
      <c r="I712" s="258">
        <f>List346[[#This Row],[Pengajuan Donasi]]</f>
        <v>0</v>
      </c>
      <c r="J712" s="213" t="str">
        <f>IF(List346[[#This Row],[Tanggal Trf]]&gt;0,"Done","-")</f>
        <v>-</v>
      </c>
      <c r="K712" s="445"/>
      <c r="L712" s="224"/>
      <c r="M712" s="100"/>
      <c r="N712" s="100">
        <f>MONTH(List346[[#This Row],[Tanggal Pengajuan]])</f>
        <v>1</v>
      </c>
      <c r="O712" s="183"/>
      <c r="P712" s="100"/>
      <c r="Q712" s="111"/>
      <c r="R712" s="367"/>
      <c r="T712" s="152">
        <f>+List346[[#This Row],[Pengajuan Donasi]]-List346[[#This Row],[Jumlah Transfer]]</f>
        <v>0</v>
      </c>
    </row>
    <row r="713" spans="2:20" ht="15.75" x14ac:dyDescent="0.2">
      <c r="B713" s="13"/>
      <c r="C713" s="66"/>
      <c r="D713" s="14"/>
      <c r="E713" s="14"/>
      <c r="F713" s="103"/>
      <c r="G713" s="15">
        <f>IFERROR(+VLOOKUP(D:D,'Data Base P.Asuhan &amp; Jompo'!B:I,7,0),0)</f>
        <v>0</v>
      </c>
      <c r="H713" s="258"/>
      <c r="I713" s="258">
        <f>List346[[#This Row],[Pengajuan Donasi]]</f>
        <v>0</v>
      </c>
      <c r="J713" s="213" t="str">
        <f>IF(List346[[#This Row],[Tanggal Trf]]&gt;0,"Done","-")</f>
        <v>-</v>
      </c>
      <c r="K713" s="445"/>
      <c r="L713" s="224"/>
      <c r="M713" s="100"/>
      <c r="N713" s="100">
        <f>MONTH(List346[[#This Row],[Tanggal Pengajuan]])</f>
        <v>1</v>
      </c>
      <c r="O713" s="183"/>
      <c r="P713" s="100"/>
      <c r="Q713" s="111"/>
      <c r="R713" s="367"/>
      <c r="T713" s="152">
        <f>+List346[[#This Row],[Pengajuan Donasi]]-List346[[#This Row],[Jumlah Transfer]]</f>
        <v>0</v>
      </c>
    </row>
    <row r="714" spans="2:20" ht="15.75" x14ac:dyDescent="0.2">
      <c r="B714" s="13"/>
      <c r="C714" s="66"/>
      <c r="D714" s="14"/>
      <c r="E714" s="14"/>
      <c r="F714" s="103"/>
      <c r="G714" s="15">
        <f>IFERROR(+VLOOKUP(D:D,'Data Base P.Asuhan &amp; Jompo'!B:I,7,0),0)</f>
        <v>0</v>
      </c>
      <c r="H714" s="258"/>
      <c r="I714" s="258">
        <f>List346[[#This Row],[Pengajuan Donasi]]</f>
        <v>0</v>
      </c>
      <c r="J714" s="213" t="str">
        <f>IF(List346[[#This Row],[Tanggal Trf]]&gt;0,"Done","-")</f>
        <v>-</v>
      </c>
      <c r="K714" s="445"/>
      <c r="L714" s="224"/>
      <c r="M714" s="100"/>
      <c r="N714" s="100">
        <f>MONTH(List346[[#This Row],[Tanggal Pengajuan]])</f>
        <v>1</v>
      </c>
      <c r="O714" s="183"/>
      <c r="P714" s="100"/>
      <c r="Q714" s="111"/>
      <c r="R714" s="367"/>
      <c r="T714" s="152">
        <f>+List346[[#This Row],[Pengajuan Donasi]]-List346[[#This Row],[Jumlah Transfer]]</f>
        <v>0</v>
      </c>
    </row>
    <row r="715" spans="2:20" ht="15.75" x14ac:dyDescent="0.2">
      <c r="B715" s="13"/>
      <c r="C715" s="66"/>
      <c r="D715" s="14"/>
      <c r="E715" s="14"/>
      <c r="F715" s="103"/>
      <c r="G715" s="15">
        <f>IFERROR(+VLOOKUP(D:D,'Data Base P.Asuhan &amp; Jompo'!B:I,7,0),0)</f>
        <v>0</v>
      </c>
      <c r="H715" s="258"/>
      <c r="I715" s="258">
        <f>List346[[#This Row],[Pengajuan Donasi]]</f>
        <v>0</v>
      </c>
      <c r="J715" s="213" t="str">
        <f>IF(List346[[#This Row],[Tanggal Trf]]&gt;0,"Done","-")</f>
        <v>-</v>
      </c>
      <c r="K715" s="445"/>
      <c r="L715" s="224"/>
      <c r="M715" s="100"/>
      <c r="N715" s="100">
        <f>MONTH(List346[[#This Row],[Tanggal Pengajuan]])</f>
        <v>1</v>
      </c>
      <c r="O715" s="183"/>
      <c r="P715" s="100"/>
      <c r="Q715" s="111"/>
      <c r="R715" s="367"/>
      <c r="T715" s="152">
        <f>+List346[[#This Row],[Pengajuan Donasi]]-List346[[#This Row],[Jumlah Transfer]]</f>
        <v>0</v>
      </c>
    </row>
    <row r="716" spans="2:20" ht="15.75" x14ac:dyDescent="0.2">
      <c r="B716" s="13"/>
      <c r="C716" s="66"/>
      <c r="D716" s="14"/>
      <c r="E716" s="14"/>
      <c r="F716" s="103"/>
      <c r="G716" s="15">
        <f>IFERROR(+VLOOKUP(D:D,'Data Base P.Asuhan &amp; Jompo'!B:I,7,0),0)</f>
        <v>0</v>
      </c>
      <c r="H716" s="258"/>
      <c r="I716" s="258">
        <f>List346[[#This Row],[Pengajuan Donasi]]</f>
        <v>0</v>
      </c>
      <c r="J716" s="213" t="str">
        <f>IF(List346[[#This Row],[Tanggal Trf]]&gt;0,"Done","-")</f>
        <v>-</v>
      </c>
      <c r="K716" s="445"/>
      <c r="L716" s="224"/>
      <c r="M716" s="100"/>
      <c r="N716" s="100">
        <f>MONTH(List346[[#This Row],[Tanggal Pengajuan]])</f>
        <v>1</v>
      </c>
      <c r="O716" s="183"/>
      <c r="P716" s="100"/>
      <c r="Q716" s="111"/>
      <c r="R716" s="367"/>
      <c r="T716" s="152">
        <f>+List346[[#This Row],[Pengajuan Donasi]]-List346[[#This Row],[Jumlah Transfer]]</f>
        <v>0</v>
      </c>
    </row>
    <row r="717" spans="2:20" ht="15.75" x14ac:dyDescent="0.2">
      <c r="B717" s="13"/>
      <c r="C717" s="66"/>
      <c r="D717" s="14"/>
      <c r="E717" s="14"/>
      <c r="F717" s="103"/>
      <c r="G717" s="15">
        <f>IFERROR(+VLOOKUP(D:D,'Data Base P.Asuhan &amp; Jompo'!B:I,7,0),0)</f>
        <v>0</v>
      </c>
      <c r="H717" s="258"/>
      <c r="I717" s="258">
        <f>List346[[#This Row],[Pengajuan Donasi]]</f>
        <v>0</v>
      </c>
      <c r="J717" s="213" t="str">
        <f>IF(List346[[#This Row],[Tanggal Trf]]&gt;0,"Done","-")</f>
        <v>-</v>
      </c>
      <c r="K717" s="445"/>
      <c r="L717" s="224"/>
      <c r="M717" s="100"/>
      <c r="N717" s="100">
        <f>MONTH(List346[[#This Row],[Tanggal Pengajuan]])</f>
        <v>1</v>
      </c>
      <c r="O717" s="183"/>
      <c r="P717" s="100"/>
      <c r="Q717" s="111"/>
      <c r="R717" s="367"/>
      <c r="T717" s="152">
        <f>+List346[[#This Row],[Pengajuan Donasi]]-List346[[#This Row],[Jumlah Transfer]]</f>
        <v>0</v>
      </c>
    </row>
    <row r="718" spans="2:20" ht="15.75" x14ac:dyDescent="0.2">
      <c r="B718" s="13"/>
      <c r="C718" s="66"/>
      <c r="D718" s="14"/>
      <c r="E718" s="14"/>
      <c r="F718" s="103"/>
      <c r="G718" s="15">
        <f>IFERROR(+VLOOKUP(D:D,'Data Base P.Asuhan &amp; Jompo'!B:I,7,0),0)</f>
        <v>0</v>
      </c>
      <c r="H718" s="258"/>
      <c r="I718" s="258">
        <f>List346[[#This Row],[Pengajuan Donasi]]</f>
        <v>0</v>
      </c>
      <c r="J718" s="213" t="str">
        <f>IF(List346[[#This Row],[Tanggal Trf]]&gt;0,"Done","-")</f>
        <v>-</v>
      </c>
      <c r="K718" s="445"/>
      <c r="L718" s="224"/>
      <c r="M718" s="100"/>
      <c r="N718" s="100">
        <f>MONTH(List346[[#This Row],[Tanggal Pengajuan]])</f>
        <v>1</v>
      </c>
      <c r="O718" s="183"/>
      <c r="P718" s="100"/>
      <c r="Q718" s="111"/>
      <c r="R718" s="367"/>
      <c r="T718" s="152">
        <f>+List346[[#This Row],[Pengajuan Donasi]]-List346[[#This Row],[Jumlah Transfer]]</f>
        <v>0</v>
      </c>
    </row>
    <row r="719" spans="2:20" ht="15.75" x14ac:dyDescent="0.2">
      <c r="B719" s="13"/>
      <c r="C719" s="66"/>
      <c r="D719" s="14"/>
      <c r="E719" s="14"/>
      <c r="F719" s="103"/>
      <c r="G719" s="15">
        <f>IFERROR(+VLOOKUP(D:D,'Data Base P.Asuhan &amp; Jompo'!B:I,7,0),0)</f>
        <v>0</v>
      </c>
      <c r="H719" s="258"/>
      <c r="I719" s="258">
        <f>List346[[#This Row],[Pengajuan Donasi]]</f>
        <v>0</v>
      </c>
      <c r="J719" s="213" t="str">
        <f>IF(List346[[#This Row],[Tanggal Trf]]&gt;0,"Done","-")</f>
        <v>-</v>
      </c>
      <c r="K719" s="445"/>
      <c r="L719" s="224"/>
      <c r="M719" s="100"/>
      <c r="N719" s="100">
        <f>MONTH(List346[[#This Row],[Tanggal Pengajuan]])</f>
        <v>1</v>
      </c>
      <c r="O719" s="183"/>
      <c r="P719" s="100"/>
      <c r="Q719" s="111"/>
      <c r="R719" s="367"/>
      <c r="T719" s="152">
        <f>+List346[[#This Row],[Pengajuan Donasi]]-List346[[#This Row],[Jumlah Transfer]]</f>
        <v>0</v>
      </c>
    </row>
    <row r="720" spans="2:20" ht="15.75" x14ac:dyDescent="0.2">
      <c r="B720" s="13"/>
      <c r="C720" s="66"/>
      <c r="D720" s="14"/>
      <c r="E720" s="14"/>
      <c r="F720" s="103"/>
      <c r="G720" s="15">
        <f>IFERROR(+VLOOKUP(D:D,'Data Base P.Asuhan &amp; Jompo'!B:I,7,0),0)</f>
        <v>0</v>
      </c>
      <c r="H720" s="258"/>
      <c r="I720" s="258">
        <f>List346[[#This Row],[Pengajuan Donasi]]</f>
        <v>0</v>
      </c>
      <c r="J720" s="213" t="str">
        <f>IF(List346[[#This Row],[Tanggal Trf]]&gt;0,"Done","-")</f>
        <v>-</v>
      </c>
      <c r="K720" s="445"/>
      <c r="L720" s="224"/>
      <c r="M720" s="100"/>
      <c r="N720" s="100">
        <f>MONTH(List346[[#This Row],[Tanggal Pengajuan]])</f>
        <v>1</v>
      </c>
      <c r="O720" s="183"/>
      <c r="P720" s="100"/>
      <c r="Q720" s="111"/>
      <c r="R720" s="367"/>
      <c r="T720" s="152">
        <f>+List346[[#This Row],[Pengajuan Donasi]]-List346[[#This Row],[Jumlah Transfer]]</f>
        <v>0</v>
      </c>
    </row>
    <row r="721" spans="2:20" ht="15.75" x14ac:dyDescent="0.2">
      <c r="B721" s="13"/>
      <c r="C721" s="66"/>
      <c r="D721" s="14"/>
      <c r="E721" s="14"/>
      <c r="F721" s="103"/>
      <c r="G721" s="15">
        <f>IFERROR(+VLOOKUP(D:D,'Data Base P.Asuhan &amp; Jompo'!B:I,7,0),0)</f>
        <v>0</v>
      </c>
      <c r="H721" s="258"/>
      <c r="I721" s="258">
        <f>List346[[#This Row],[Pengajuan Donasi]]</f>
        <v>0</v>
      </c>
      <c r="J721" s="213" t="str">
        <f>IF(List346[[#This Row],[Tanggal Trf]]&gt;0,"Done","-")</f>
        <v>-</v>
      </c>
      <c r="K721" s="445"/>
      <c r="L721" s="224"/>
      <c r="M721" s="100"/>
      <c r="N721" s="100">
        <f>MONTH(List346[[#This Row],[Tanggal Pengajuan]])</f>
        <v>1</v>
      </c>
      <c r="O721" s="183"/>
      <c r="P721" s="100"/>
      <c r="Q721" s="111"/>
      <c r="R721" s="367"/>
      <c r="T721" s="152">
        <f>+List346[[#This Row],[Pengajuan Donasi]]-List346[[#This Row],[Jumlah Transfer]]</f>
        <v>0</v>
      </c>
    </row>
    <row r="722" spans="2:20" ht="15.75" x14ac:dyDescent="0.2">
      <c r="B722" s="13"/>
      <c r="C722" s="66"/>
      <c r="D722" s="14"/>
      <c r="E722" s="14"/>
      <c r="F722" s="103"/>
      <c r="G722" s="15">
        <f>IFERROR(+VLOOKUP(D:D,'Data Base P.Asuhan &amp; Jompo'!B:I,7,0),0)</f>
        <v>0</v>
      </c>
      <c r="H722" s="258"/>
      <c r="I722" s="258">
        <f>List346[[#This Row],[Pengajuan Donasi]]</f>
        <v>0</v>
      </c>
      <c r="J722" s="213" t="str">
        <f>IF(List346[[#This Row],[Tanggal Trf]]&gt;0,"Done","-")</f>
        <v>-</v>
      </c>
      <c r="K722" s="445"/>
      <c r="L722" s="224"/>
      <c r="M722" s="100"/>
      <c r="N722" s="100">
        <f>MONTH(List346[[#This Row],[Tanggal Pengajuan]])</f>
        <v>1</v>
      </c>
      <c r="O722" s="183"/>
      <c r="P722" s="100"/>
      <c r="Q722" s="111"/>
      <c r="R722" s="367"/>
      <c r="T722" s="152">
        <f>+List346[[#This Row],[Pengajuan Donasi]]-List346[[#This Row],[Jumlah Transfer]]</f>
        <v>0</v>
      </c>
    </row>
    <row r="723" spans="2:20" ht="15.75" x14ac:dyDescent="0.2">
      <c r="B723" s="13"/>
      <c r="C723" s="66"/>
      <c r="D723" s="14"/>
      <c r="E723" s="14"/>
      <c r="F723" s="103"/>
      <c r="G723" s="15">
        <f>IFERROR(+VLOOKUP(D:D,'Data Base P.Asuhan &amp; Jompo'!B:I,7,0),0)</f>
        <v>0</v>
      </c>
      <c r="H723" s="258"/>
      <c r="I723" s="258">
        <f>List346[[#This Row],[Pengajuan Donasi]]</f>
        <v>0</v>
      </c>
      <c r="J723" s="213" t="str">
        <f>IF(List346[[#This Row],[Tanggal Trf]]&gt;0,"Done","-")</f>
        <v>-</v>
      </c>
      <c r="K723" s="445"/>
      <c r="L723" s="224"/>
      <c r="M723" s="100"/>
      <c r="N723" s="100">
        <f>MONTH(List346[[#This Row],[Tanggal Pengajuan]])</f>
        <v>1</v>
      </c>
      <c r="O723" s="183"/>
      <c r="P723" s="100"/>
      <c r="Q723" s="111"/>
      <c r="R723" s="367"/>
      <c r="T723" s="152">
        <f>+List346[[#This Row],[Pengajuan Donasi]]-List346[[#This Row],[Jumlah Transfer]]</f>
        <v>0</v>
      </c>
    </row>
    <row r="724" spans="2:20" ht="15.75" x14ac:dyDescent="0.2">
      <c r="B724" s="13"/>
      <c r="C724" s="66"/>
      <c r="D724" s="14"/>
      <c r="E724" s="14"/>
      <c r="F724" s="103"/>
      <c r="G724" s="15">
        <f>IFERROR(+VLOOKUP(D:D,'Data Base P.Asuhan &amp; Jompo'!B:I,7,0),0)</f>
        <v>0</v>
      </c>
      <c r="H724" s="258"/>
      <c r="I724" s="258">
        <f>List346[[#This Row],[Pengajuan Donasi]]</f>
        <v>0</v>
      </c>
      <c r="J724" s="213" t="str">
        <f>IF(List346[[#This Row],[Tanggal Trf]]&gt;0,"Done","-")</f>
        <v>-</v>
      </c>
      <c r="K724" s="445"/>
      <c r="L724" s="224"/>
      <c r="M724" s="100"/>
      <c r="N724" s="100">
        <f>MONTH(List346[[#This Row],[Tanggal Pengajuan]])</f>
        <v>1</v>
      </c>
      <c r="O724" s="183"/>
      <c r="P724" s="100"/>
      <c r="Q724" s="111"/>
      <c r="R724" s="367"/>
      <c r="T724" s="152">
        <f>+List346[[#This Row],[Pengajuan Donasi]]-List346[[#This Row],[Jumlah Transfer]]</f>
        <v>0</v>
      </c>
    </row>
    <row r="725" spans="2:20" ht="15.75" x14ac:dyDescent="0.2">
      <c r="B725" s="13"/>
      <c r="C725" s="66"/>
      <c r="D725" s="14"/>
      <c r="E725" s="14"/>
      <c r="F725" s="103"/>
      <c r="G725" s="15">
        <f>IFERROR(+VLOOKUP(D:D,'Data Base P.Asuhan &amp; Jompo'!B:I,7,0),0)</f>
        <v>0</v>
      </c>
      <c r="H725" s="258"/>
      <c r="I725" s="258">
        <f>List346[[#This Row],[Pengajuan Donasi]]</f>
        <v>0</v>
      </c>
      <c r="J725" s="213" t="str">
        <f>IF(List346[[#This Row],[Tanggal Trf]]&gt;0,"Done","-")</f>
        <v>-</v>
      </c>
      <c r="K725" s="445"/>
      <c r="L725" s="224"/>
      <c r="M725" s="100"/>
      <c r="N725" s="100">
        <f>MONTH(List346[[#This Row],[Tanggal Pengajuan]])</f>
        <v>1</v>
      </c>
      <c r="O725" s="183"/>
      <c r="P725" s="100"/>
      <c r="Q725" s="111"/>
      <c r="R725" s="367"/>
      <c r="T725" s="152">
        <f>+List346[[#This Row],[Pengajuan Donasi]]-List346[[#This Row],[Jumlah Transfer]]</f>
        <v>0</v>
      </c>
    </row>
    <row r="726" spans="2:20" ht="15.75" x14ac:dyDescent="0.2">
      <c r="B726" s="13"/>
      <c r="C726" s="66"/>
      <c r="D726" s="14"/>
      <c r="E726" s="14"/>
      <c r="F726" s="103"/>
      <c r="G726" s="15">
        <f>IFERROR(+VLOOKUP(D:D,'Data Base P.Asuhan &amp; Jompo'!B:I,7,0),0)</f>
        <v>0</v>
      </c>
      <c r="H726" s="258"/>
      <c r="I726" s="258">
        <f>List346[[#This Row],[Pengajuan Donasi]]</f>
        <v>0</v>
      </c>
      <c r="J726" s="213" t="str">
        <f>IF(List346[[#This Row],[Tanggal Trf]]&gt;0,"Done","-")</f>
        <v>-</v>
      </c>
      <c r="K726" s="445"/>
      <c r="L726" s="224"/>
      <c r="M726" s="100"/>
      <c r="N726" s="100">
        <f>MONTH(List346[[#This Row],[Tanggal Pengajuan]])</f>
        <v>1</v>
      </c>
      <c r="O726" s="183"/>
      <c r="P726" s="100"/>
      <c r="Q726" s="111"/>
      <c r="R726" s="367"/>
      <c r="T726" s="152">
        <f>+List346[[#This Row],[Pengajuan Donasi]]-List346[[#This Row],[Jumlah Transfer]]</f>
        <v>0</v>
      </c>
    </row>
    <row r="727" spans="2:20" ht="15.75" x14ac:dyDescent="0.2">
      <c r="B727" s="13"/>
      <c r="C727" s="66"/>
      <c r="D727" s="14"/>
      <c r="E727" s="14"/>
      <c r="F727" s="103"/>
      <c r="G727" s="15">
        <f>IFERROR(+VLOOKUP(D:D,'Data Base P.Asuhan &amp; Jompo'!B:I,7,0),0)</f>
        <v>0</v>
      </c>
      <c r="H727" s="258"/>
      <c r="I727" s="258">
        <f>List346[[#This Row],[Pengajuan Donasi]]</f>
        <v>0</v>
      </c>
      <c r="J727" s="213" t="str">
        <f>IF(List346[[#This Row],[Tanggal Trf]]&gt;0,"Done","-")</f>
        <v>-</v>
      </c>
      <c r="K727" s="445"/>
      <c r="L727" s="224"/>
      <c r="M727" s="100"/>
      <c r="N727" s="100">
        <f>MONTH(List346[[#This Row],[Tanggal Pengajuan]])</f>
        <v>1</v>
      </c>
      <c r="O727" s="183"/>
      <c r="P727" s="100"/>
      <c r="Q727" s="111"/>
      <c r="R727" s="367"/>
      <c r="T727" s="152">
        <f>+List346[[#This Row],[Pengajuan Donasi]]-List346[[#This Row],[Jumlah Transfer]]</f>
        <v>0</v>
      </c>
    </row>
    <row r="728" spans="2:20" ht="15.75" x14ac:dyDescent="0.2">
      <c r="B728" s="13"/>
      <c r="C728" s="66"/>
      <c r="D728" s="14"/>
      <c r="E728" s="14"/>
      <c r="F728" s="103"/>
      <c r="G728" s="15">
        <f>IFERROR(+VLOOKUP(D:D,'Data Base P.Asuhan &amp; Jompo'!B:I,7,0),0)</f>
        <v>0</v>
      </c>
      <c r="H728" s="258"/>
      <c r="I728" s="258">
        <f>List346[[#This Row],[Pengajuan Donasi]]</f>
        <v>0</v>
      </c>
      <c r="J728" s="213" t="str">
        <f>IF(List346[[#This Row],[Tanggal Trf]]&gt;0,"Done","-")</f>
        <v>-</v>
      </c>
      <c r="K728" s="445"/>
      <c r="L728" s="224"/>
      <c r="M728" s="100"/>
      <c r="N728" s="100">
        <f>MONTH(List346[[#This Row],[Tanggal Pengajuan]])</f>
        <v>1</v>
      </c>
      <c r="O728" s="183"/>
      <c r="P728" s="100"/>
      <c r="Q728" s="111"/>
      <c r="R728" s="367"/>
      <c r="T728" s="152">
        <f>+List346[[#This Row],[Pengajuan Donasi]]-List346[[#This Row],[Jumlah Transfer]]</f>
        <v>0</v>
      </c>
    </row>
    <row r="729" spans="2:20" ht="15.75" x14ac:dyDescent="0.2">
      <c r="B729" s="13"/>
      <c r="C729" s="66"/>
      <c r="D729" s="14"/>
      <c r="E729" s="14"/>
      <c r="F729" s="103"/>
      <c r="G729" s="15">
        <f>IFERROR(+VLOOKUP(D:D,'Data Base P.Asuhan &amp; Jompo'!B:I,7,0),0)</f>
        <v>0</v>
      </c>
      <c r="H729" s="258"/>
      <c r="I729" s="258">
        <f>List346[[#This Row],[Pengajuan Donasi]]</f>
        <v>0</v>
      </c>
      <c r="J729" s="213" t="str">
        <f>IF(List346[[#This Row],[Tanggal Trf]]&gt;0,"Done","-")</f>
        <v>-</v>
      </c>
      <c r="K729" s="445"/>
      <c r="L729" s="224"/>
      <c r="M729" s="100"/>
      <c r="N729" s="100">
        <f>MONTH(List346[[#This Row],[Tanggal Pengajuan]])</f>
        <v>1</v>
      </c>
      <c r="O729" s="183"/>
      <c r="P729" s="100"/>
      <c r="Q729" s="111"/>
      <c r="R729" s="367"/>
      <c r="T729" s="152">
        <f>+List346[[#This Row],[Pengajuan Donasi]]-List346[[#This Row],[Jumlah Transfer]]</f>
        <v>0</v>
      </c>
    </row>
    <row r="730" spans="2:20" ht="15.75" x14ac:dyDescent="0.2">
      <c r="B730" s="13"/>
      <c r="C730" s="66"/>
      <c r="D730" s="14"/>
      <c r="E730" s="14"/>
      <c r="F730" s="103"/>
      <c r="G730" s="15">
        <f>IFERROR(+VLOOKUP(D:D,'Data Base P.Asuhan &amp; Jompo'!B:I,7,0),0)</f>
        <v>0</v>
      </c>
      <c r="H730" s="258"/>
      <c r="I730" s="258">
        <f>List346[[#This Row],[Pengajuan Donasi]]</f>
        <v>0</v>
      </c>
      <c r="J730" s="213" t="str">
        <f>IF(List346[[#This Row],[Tanggal Trf]]&gt;0,"Done","-")</f>
        <v>-</v>
      </c>
      <c r="K730" s="445"/>
      <c r="L730" s="224"/>
      <c r="M730" s="100"/>
      <c r="N730" s="100">
        <f>MONTH(List346[[#This Row],[Tanggal Pengajuan]])</f>
        <v>1</v>
      </c>
      <c r="O730" s="183"/>
      <c r="P730" s="100"/>
      <c r="Q730" s="111"/>
      <c r="R730" s="367"/>
      <c r="T730" s="152">
        <f>+List346[[#This Row],[Pengajuan Donasi]]-List346[[#This Row],[Jumlah Transfer]]</f>
        <v>0</v>
      </c>
    </row>
    <row r="731" spans="2:20" ht="15.75" x14ac:dyDescent="0.2">
      <c r="B731" s="13"/>
      <c r="C731" s="66"/>
      <c r="D731" s="103"/>
      <c r="E731" s="103"/>
      <c r="F731" s="103"/>
      <c r="G731" s="15">
        <f>IFERROR(+VLOOKUP(D:D,'Data Base P.Asuhan &amp; Jompo'!B:I,7,0),0)</f>
        <v>0</v>
      </c>
      <c r="H731" s="258"/>
      <c r="I731" s="258">
        <f>List346[[#This Row],[Pengajuan Donasi]]</f>
        <v>0</v>
      </c>
      <c r="J731" s="213" t="str">
        <f>IF(List346[[#This Row],[Tanggal Trf]]&gt;0,"Done","-")</f>
        <v>-</v>
      </c>
      <c r="K731" s="445"/>
      <c r="L731" s="224"/>
      <c r="M731" s="105"/>
      <c r="N731" s="100">
        <f>MONTH(List346[[#This Row],[Tanggal Pengajuan]])</f>
        <v>1</v>
      </c>
      <c r="O731" s="183"/>
      <c r="P731" s="100"/>
      <c r="Q731" s="111"/>
      <c r="R731" s="367"/>
      <c r="T731" s="152">
        <f>+List346[[#This Row],[Pengajuan Donasi]]-List346[[#This Row],[Jumlah Transfer]]</f>
        <v>0</v>
      </c>
    </row>
    <row r="732" spans="2:20" ht="15.75" x14ac:dyDescent="0.2">
      <c r="B732" s="13"/>
      <c r="C732" s="66"/>
      <c r="D732" s="14"/>
      <c r="E732" s="14"/>
      <c r="F732" s="103"/>
      <c r="G732" s="15">
        <f>IFERROR(+VLOOKUP(D:D,'Data Base P.Asuhan &amp; Jompo'!B:I,7,0),0)</f>
        <v>0</v>
      </c>
      <c r="H732" s="258"/>
      <c r="I732" s="258">
        <f>List346[[#This Row],[Pengajuan Donasi]]</f>
        <v>0</v>
      </c>
      <c r="J732" s="213" t="str">
        <f>IF(List346[[#This Row],[Tanggal Trf]]&gt;0,"Done","-")</f>
        <v>-</v>
      </c>
      <c r="K732" s="14"/>
      <c r="L732" s="225"/>
      <c r="M732" s="100"/>
      <c r="N732" s="100">
        <f>MONTH(List346[[#This Row],[Tanggal Pengajuan]])</f>
        <v>1</v>
      </c>
      <c r="O732" s="183"/>
      <c r="P732" s="100"/>
      <c r="Q732" s="111"/>
      <c r="R732" s="367"/>
      <c r="T732" s="152">
        <f>+List346[[#This Row],[Pengajuan Donasi]]-List346[[#This Row],[Jumlah Transfer]]</f>
        <v>0</v>
      </c>
    </row>
    <row r="733" spans="2:20" ht="15.75" x14ac:dyDescent="0.2">
      <c r="B733" s="13"/>
      <c r="C733" s="66"/>
      <c r="D733" s="14"/>
      <c r="E733" s="14"/>
      <c r="F733" s="103"/>
      <c r="G733" s="15">
        <f>IFERROR(+VLOOKUP(D:D,'Data Base P.Asuhan &amp; Jompo'!B:I,7,0),0)</f>
        <v>0</v>
      </c>
      <c r="H733" s="258"/>
      <c r="I733" s="258">
        <f>List346[[#This Row],[Pengajuan Donasi]]</f>
        <v>0</v>
      </c>
      <c r="J733" s="213" t="str">
        <f>IF(List346[[#This Row],[Tanggal Trf]]&gt;0,"Done","-")</f>
        <v>-</v>
      </c>
      <c r="K733" s="14"/>
      <c r="L733" s="225"/>
      <c r="M733" s="100"/>
      <c r="N733" s="100">
        <f>MONTH(List346[[#This Row],[Tanggal Pengajuan]])</f>
        <v>1</v>
      </c>
      <c r="O733" s="183"/>
      <c r="P733" s="100"/>
      <c r="Q733" s="111"/>
      <c r="R733" s="367"/>
      <c r="T733" s="152">
        <f>+List346[[#This Row],[Pengajuan Donasi]]-List346[[#This Row],[Jumlah Transfer]]</f>
        <v>0</v>
      </c>
    </row>
    <row r="734" spans="2:20" ht="15.75" x14ac:dyDescent="0.2">
      <c r="B734" s="13"/>
      <c r="C734" s="66"/>
      <c r="D734" s="14"/>
      <c r="E734" s="14"/>
      <c r="F734" s="14"/>
      <c r="G734" s="15">
        <f>IFERROR(+VLOOKUP(D:D,'Data Base P.Asuhan &amp; Jompo'!B:I,7,0),0)</f>
        <v>0</v>
      </c>
      <c r="H734" s="258"/>
      <c r="I734" s="258">
        <f>List346[[#This Row],[Pengajuan Donasi]]</f>
        <v>0</v>
      </c>
      <c r="J734" s="213" t="str">
        <f>IF(List346[[#This Row],[Tanggal Trf]]&gt;0,"Done","-")</f>
        <v>-</v>
      </c>
      <c r="K734" s="14"/>
      <c r="L734" s="225"/>
      <c r="M734" s="100"/>
      <c r="N734" s="100">
        <f>MONTH(List346[[#This Row],[Tanggal Pengajuan]])</f>
        <v>1</v>
      </c>
      <c r="O734" s="183"/>
      <c r="P734" s="100"/>
      <c r="Q734" s="111"/>
      <c r="R734" s="367"/>
      <c r="T734" s="152">
        <f>+List346[[#This Row],[Pengajuan Donasi]]-List346[[#This Row],[Jumlah Transfer]]</f>
        <v>0</v>
      </c>
    </row>
    <row r="735" spans="2:20" ht="15.75" x14ac:dyDescent="0.2">
      <c r="B735" s="13"/>
      <c r="C735" s="66"/>
      <c r="D735" s="14"/>
      <c r="E735" s="14"/>
      <c r="F735" s="103"/>
      <c r="G735" s="15">
        <f>IFERROR(+VLOOKUP(D:D,'Data Base P.Asuhan &amp; Jompo'!B:I,7,0),0)</f>
        <v>0</v>
      </c>
      <c r="H735" s="258"/>
      <c r="I735" s="258">
        <f>List346[[#This Row],[Pengajuan Donasi]]</f>
        <v>0</v>
      </c>
      <c r="J735" s="213" t="str">
        <f>IF(List346[[#This Row],[Tanggal Trf]]&gt;0,"Done","-")</f>
        <v>-</v>
      </c>
      <c r="K735" s="14"/>
      <c r="L735" s="225"/>
      <c r="M735" s="100"/>
      <c r="N735" s="100">
        <f>MONTH(List346[[#This Row],[Tanggal Pengajuan]])</f>
        <v>1</v>
      </c>
      <c r="O735" s="183"/>
      <c r="P735" s="100"/>
      <c r="Q735" s="111"/>
      <c r="R735" s="367"/>
      <c r="T735" s="152">
        <f>+List346[[#This Row],[Pengajuan Donasi]]-List346[[#This Row],[Jumlah Transfer]]</f>
        <v>0</v>
      </c>
    </row>
    <row r="736" spans="2:20" ht="15.75" x14ac:dyDescent="0.2">
      <c r="B736" s="13"/>
      <c r="C736" s="66"/>
      <c r="D736" s="14"/>
      <c r="E736" s="14"/>
      <c r="F736" s="103"/>
      <c r="G736" s="15">
        <f>IFERROR(+VLOOKUP(D:D,'Data Base P.Asuhan &amp; Jompo'!B:I,7,0),0)</f>
        <v>0</v>
      </c>
      <c r="H736" s="258"/>
      <c r="I736" s="258">
        <f>List346[[#This Row],[Pengajuan Donasi]]</f>
        <v>0</v>
      </c>
      <c r="J736" s="213" t="str">
        <f>IF(List346[[#This Row],[Tanggal Trf]]&gt;0,"Done","-")</f>
        <v>-</v>
      </c>
      <c r="K736" s="14"/>
      <c r="L736" s="225"/>
      <c r="M736" s="100"/>
      <c r="N736" s="100">
        <f>MONTH(List346[[#This Row],[Tanggal Pengajuan]])</f>
        <v>1</v>
      </c>
      <c r="O736" s="183"/>
      <c r="P736" s="100"/>
      <c r="Q736" s="111"/>
      <c r="R736" s="367"/>
      <c r="T736" s="152">
        <f>+List346[[#This Row],[Pengajuan Donasi]]-List346[[#This Row],[Jumlah Transfer]]</f>
        <v>0</v>
      </c>
    </row>
    <row r="737" spans="2:20" ht="15.75" x14ac:dyDescent="0.2">
      <c r="B737" s="13"/>
      <c r="C737" s="66"/>
      <c r="D737" s="14"/>
      <c r="E737" s="14"/>
      <c r="F737" s="103"/>
      <c r="G737" s="15">
        <f>IFERROR(+VLOOKUP(D:D,'Data Base P.Asuhan &amp; Jompo'!B:I,7,0),0)</f>
        <v>0</v>
      </c>
      <c r="H737" s="258"/>
      <c r="I737" s="258">
        <f>List346[[#This Row],[Pengajuan Donasi]]</f>
        <v>0</v>
      </c>
      <c r="J737" s="213" t="str">
        <f>IF(List346[[#This Row],[Tanggal Trf]]&gt;0,"Done","-")</f>
        <v>-</v>
      </c>
      <c r="K737" s="14"/>
      <c r="L737" s="225"/>
      <c r="M737" s="100"/>
      <c r="N737" s="100">
        <f>MONTH(List346[[#This Row],[Tanggal Pengajuan]])</f>
        <v>1</v>
      </c>
      <c r="O737" s="183"/>
      <c r="P737" s="100"/>
      <c r="Q737" s="111"/>
      <c r="R737" s="367"/>
      <c r="T737" s="152">
        <f>+List346[[#This Row],[Pengajuan Donasi]]-List346[[#This Row],[Jumlah Transfer]]</f>
        <v>0</v>
      </c>
    </row>
    <row r="738" spans="2:20" ht="15.75" x14ac:dyDescent="0.2">
      <c r="B738" s="13"/>
      <c r="C738" s="66"/>
      <c r="D738" s="14"/>
      <c r="E738" s="14"/>
      <c r="F738" s="103"/>
      <c r="G738" s="15">
        <f>IFERROR(+VLOOKUP(D:D,'Data Base P.Asuhan &amp; Jompo'!B:I,7,0),0)</f>
        <v>0</v>
      </c>
      <c r="H738" s="258"/>
      <c r="I738" s="258">
        <f>List346[[#This Row],[Pengajuan Donasi]]</f>
        <v>0</v>
      </c>
      <c r="J738" s="213" t="str">
        <f>IF(List346[[#This Row],[Tanggal Trf]]&gt;0,"Done","-")</f>
        <v>-</v>
      </c>
      <c r="K738" s="14"/>
      <c r="L738" s="225"/>
      <c r="M738" s="100"/>
      <c r="N738" s="100">
        <f>MONTH(List346[[#This Row],[Tanggal Pengajuan]])</f>
        <v>1</v>
      </c>
      <c r="O738" s="183"/>
      <c r="P738" s="100"/>
      <c r="Q738" s="111"/>
      <c r="R738" s="367"/>
      <c r="T738" s="152">
        <f>+List346[[#This Row],[Pengajuan Donasi]]-List346[[#This Row],[Jumlah Transfer]]</f>
        <v>0</v>
      </c>
    </row>
    <row r="739" spans="2:20" ht="15.75" x14ac:dyDescent="0.2">
      <c r="B739" s="13"/>
      <c r="C739" s="66"/>
      <c r="D739" s="14"/>
      <c r="E739" s="14"/>
      <c r="F739" s="103"/>
      <c r="G739" s="15">
        <f>IFERROR(+VLOOKUP(D:D,'Data Base P.Asuhan &amp; Jompo'!B:I,7,0),0)</f>
        <v>0</v>
      </c>
      <c r="H739" s="258"/>
      <c r="I739" s="258">
        <f>List346[[#This Row],[Pengajuan Donasi]]</f>
        <v>0</v>
      </c>
      <c r="J739" s="213" t="str">
        <f>IF(List346[[#This Row],[Tanggal Trf]]&gt;0,"Done","-")</f>
        <v>-</v>
      </c>
      <c r="K739" s="14"/>
      <c r="L739" s="225"/>
      <c r="M739" s="100"/>
      <c r="N739" s="100">
        <f>MONTH(List346[[#This Row],[Tanggal Pengajuan]])</f>
        <v>1</v>
      </c>
      <c r="O739" s="183"/>
      <c r="P739" s="100"/>
      <c r="Q739" s="111"/>
      <c r="R739" s="367"/>
      <c r="T739" s="152">
        <f>+List346[[#This Row],[Pengajuan Donasi]]-List346[[#This Row],[Jumlah Transfer]]</f>
        <v>0</v>
      </c>
    </row>
    <row r="740" spans="2:20" ht="15.75" x14ac:dyDescent="0.2">
      <c r="B740" s="13"/>
      <c r="C740" s="66"/>
      <c r="D740" s="14"/>
      <c r="E740" s="14"/>
      <c r="F740" s="103"/>
      <c r="G740" s="15">
        <f>IFERROR(+VLOOKUP(D:D,'Data Base P.Asuhan &amp; Jompo'!B:I,7,0),0)</f>
        <v>0</v>
      </c>
      <c r="H740" s="258"/>
      <c r="I740" s="258">
        <f>List346[[#This Row],[Pengajuan Donasi]]</f>
        <v>0</v>
      </c>
      <c r="J740" s="213" t="str">
        <f>IF(List346[[#This Row],[Tanggal Trf]]&gt;0,"Done","-")</f>
        <v>-</v>
      </c>
      <c r="K740" s="14"/>
      <c r="L740" s="225"/>
      <c r="M740" s="100"/>
      <c r="N740" s="100">
        <f>MONTH(List346[[#This Row],[Tanggal Pengajuan]])</f>
        <v>1</v>
      </c>
      <c r="O740" s="183"/>
      <c r="P740" s="100"/>
      <c r="Q740" s="111"/>
      <c r="R740" s="367"/>
      <c r="T740" s="152">
        <f>+List346[[#This Row],[Pengajuan Donasi]]-List346[[#This Row],[Jumlah Transfer]]</f>
        <v>0</v>
      </c>
    </row>
    <row r="741" spans="2:20" ht="15.75" x14ac:dyDescent="0.2">
      <c r="B741" s="13"/>
      <c r="C741" s="66"/>
      <c r="D741" s="14"/>
      <c r="E741" s="14"/>
      <c r="F741" s="103"/>
      <c r="G741" s="15">
        <f>IFERROR(+VLOOKUP(D:D,'Data Base P.Asuhan &amp; Jompo'!B:I,7,0),0)</f>
        <v>0</v>
      </c>
      <c r="H741" s="258"/>
      <c r="I741" s="258">
        <f>List346[[#This Row],[Pengajuan Donasi]]</f>
        <v>0</v>
      </c>
      <c r="J741" s="213" t="str">
        <f>IF(List346[[#This Row],[Tanggal Trf]]&gt;0,"Done","-")</f>
        <v>-</v>
      </c>
      <c r="K741" s="14"/>
      <c r="L741" s="225"/>
      <c r="M741" s="100"/>
      <c r="N741" s="100">
        <f>MONTH(List346[[#This Row],[Tanggal Pengajuan]])</f>
        <v>1</v>
      </c>
      <c r="O741" s="183"/>
      <c r="P741" s="100"/>
      <c r="Q741" s="111"/>
      <c r="R741" s="367"/>
      <c r="T741" s="152">
        <f>+List346[[#This Row],[Pengajuan Donasi]]-List346[[#This Row],[Jumlah Transfer]]</f>
        <v>0</v>
      </c>
    </row>
    <row r="742" spans="2:20" ht="15.75" x14ac:dyDescent="0.2">
      <c r="B742" s="13"/>
      <c r="C742" s="66"/>
      <c r="D742" s="14"/>
      <c r="E742" s="14"/>
      <c r="F742" s="103"/>
      <c r="G742" s="15">
        <f>IFERROR(+VLOOKUP(D:D,'Data Base P.Asuhan &amp; Jompo'!B:I,7,0),0)</f>
        <v>0</v>
      </c>
      <c r="H742" s="258"/>
      <c r="I742" s="258">
        <f>List346[[#This Row],[Pengajuan Donasi]]</f>
        <v>0</v>
      </c>
      <c r="J742" s="213" t="str">
        <f>IF(List346[[#This Row],[Tanggal Trf]]&gt;0,"Done","-")</f>
        <v>-</v>
      </c>
      <c r="K742" s="14"/>
      <c r="L742" s="225"/>
      <c r="M742" s="100"/>
      <c r="N742" s="100">
        <f>MONTH(List346[[#This Row],[Tanggal Pengajuan]])</f>
        <v>1</v>
      </c>
      <c r="O742" s="183"/>
      <c r="P742" s="100"/>
      <c r="Q742" s="111"/>
      <c r="R742" s="367"/>
      <c r="T742" s="152">
        <f>+List346[[#This Row],[Pengajuan Donasi]]-List346[[#This Row],[Jumlah Transfer]]</f>
        <v>0</v>
      </c>
    </row>
    <row r="743" spans="2:20" ht="15.75" x14ac:dyDescent="0.2">
      <c r="B743" s="13"/>
      <c r="C743" s="66"/>
      <c r="D743" s="14"/>
      <c r="E743" s="14"/>
      <c r="F743" s="103"/>
      <c r="G743" s="15">
        <f>IFERROR(+VLOOKUP(D:D,'Data Base P.Asuhan &amp; Jompo'!B:I,7,0),0)</f>
        <v>0</v>
      </c>
      <c r="H743" s="258"/>
      <c r="I743" s="258">
        <f>List346[[#This Row],[Pengajuan Donasi]]</f>
        <v>0</v>
      </c>
      <c r="J743" s="213" t="str">
        <f>IF(List346[[#This Row],[Tanggal Trf]]&gt;0,"Done","-")</f>
        <v>-</v>
      </c>
      <c r="K743" s="14"/>
      <c r="L743" s="225"/>
      <c r="M743" s="100"/>
      <c r="N743" s="100">
        <f>MONTH(List346[[#This Row],[Tanggal Pengajuan]])</f>
        <v>1</v>
      </c>
      <c r="O743" s="183"/>
      <c r="P743" s="100"/>
      <c r="Q743" s="111"/>
      <c r="R743" s="367"/>
      <c r="T743" s="152">
        <f>+List346[[#This Row],[Pengajuan Donasi]]-List346[[#This Row],[Jumlah Transfer]]</f>
        <v>0</v>
      </c>
    </row>
    <row r="744" spans="2:20" ht="15.75" x14ac:dyDescent="0.2">
      <c r="B744" s="13"/>
      <c r="C744" s="66"/>
      <c r="D744" s="14"/>
      <c r="E744" s="14"/>
      <c r="F744" s="103"/>
      <c r="G744" s="15">
        <f>IFERROR(+VLOOKUP(D:D,'Data Base P.Asuhan &amp; Jompo'!B:I,7,0),0)</f>
        <v>0</v>
      </c>
      <c r="H744" s="258"/>
      <c r="I744" s="258">
        <f>List346[[#This Row],[Pengajuan Donasi]]</f>
        <v>0</v>
      </c>
      <c r="J744" s="213" t="str">
        <f>IF(List346[[#This Row],[Tanggal Trf]]&gt;0,"Done","-")</f>
        <v>-</v>
      </c>
      <c r="K744" s="14"/>
      <c r="L744" s="225"/>
      <c r="M744" s="100"/>
      <c r="N744" s="100">
        <f>MONTH(List346[[#This Row],[Tanggal Pengajuan]])</f>
        <v>1</v>
      </c>
      <c r="O744" s="183"/>
      <c r="P744" s="100"/>
      <c r="Q744" s="111"/>
      <c r="R744" s="367"/>
      <c r="T744" s="152">
        <f>+List346[[#This Row],[Pengajuan Donasi]]-List346[[#This Row],[Jumlah Transfer]]</f>
        <v>0</v>
      </c>
    </row>
    <row r="745" spans="2:20" ht="15.75" x14ac:dyDescent="0.2">
      <c r="B745" s="13"/>
      <c r="C745" s="66"/>
      <c r="D745" s="14"/>
      <c r="E745" s="14"/>
      <c r="F745" s="103"/>
      <c r="G745" s="15">
        <f>IFERROR(+VLOOKUP(D:D,'Data Base P.Asuhan &amp; Jompo'!B:I,7,0),0)</f>
        <v>0</v>
      </c>
      <c r="H745" s="258"/>
      <c r="I745" s="258">
        <f>List346[[#This Row],[Pengajuan Donasi]]</f>
        <v>0</v>
      </c>
      <c r="J745" s="213" t="str">
        <f>IF(List346[[#This Row],[Tanggal Trf]]&gt;0,"Done","-")</f>
        <v>-</v>
      </c>
      <c r="K745" s="14"/>
      <c r="L745" s="225"/>
      <c r="M745" s="100"/>
      <c r="N745" s="100">
        <f>MONTH(List346[[#This Row],[Tanggal Pengajuan]])</f>
        <v>1</v>
      </c>
      <c r="O745" s="183"/>
      <c r="P745" s="100"/>
      <c r="Q745" s="111"/>
      <c r="R745" s="367"/>
      <c r="T745" s="152">
        <f>+List346[[#This Row],[Pengajuan Donasi]]-List346[[#This Row],[Jumlah Transfer]]</f>
        <v>0</v>
      </c>
    </row>
    <row r="746" spans="2:20" ht="15.75" x14ac:dyDescent="0.2">
      <c r="B746" s="13"/>
      <c r="C746" s="66"/>
      <c r="D746" s="14"/>
      <c r="E746" s="14"/>
      <c r="F746" s="103"/>
      <c r="G746" s="15">
        <f>IFERROR(+VLOOKUP(D:D,'Data Base P.Asuhan &amp; Jompo'!B:I,7,0),0)</f>
        <v>0</v>
      </c>
      <c r="H746" s="258"/>
      <c r="I746" s="258">
        <f>List346[[#This Row],[Pengajuan Donasi]]</f>
        <v>0</v>
      </c>
      <c r="J746" s="213" t="str">
        <f>IF(List346[[#This Row],[Tanggal Trf]]&gt;0,"Done","-")</f>
        <v>-</v>
      </c>
      <c r="K746" s="14"/>
      <c r="L746" s="225"/>
      <c r="M746" s="100"/>
      <c r="N746" s="100">
        <f>MONTH(List346[[#This Row],[Tanggal Pengajuan]])</f>
        <v>1</v>
      </c>
      <c r="O746" s="183"/>
      <c r="P746" s="100"/>
      <c r="Q746" s="111"/>
      <c r="R746" s="367"/>
      <c r="T746" s="152">
        <f>+List346[[#This Row],[Pengajuan Donasi]]-List346[[#This Row],[Jumlah Transfer]]</f>
        <v>0</v>
      </c>
    </row>
    <row r="747" spans="2:20" ht="15.75" x14ac:dyDescent="0.2">
      <c r="B747" s="13"/>
      <c r="C747" s="66"/>
      <c r="D747" s="14"/>
      <c r="E747" s="14"/>
      <c r="F747" s="103"/>
      <c r="G747" s="15">
        <f>IFERROR(+VLOOKUP(D:D,'Data Base P.Asuhan &amp; Jompo'!B:I,7,0),0)</f>
        <v>0</v>
      </c>
      <c r="H747" s="258"/>
      <c r="I747" s="258">
        <f>List346[[#This Row],[Pengajuan Donasi]]</f>
        <v>0</v>
      </c>
      <c r="J747" s="213" t="str">
        <f>IF(List346[[#This Row],[Tanggal Trf]]&gt;0,"Done","-")</f>
        <v>-</v>
      </c>
      <c r="K747" s="14"/>
      <c r="L747" s="225"/>
      <c r="M747" s="100"/>
      <c r="N747" s="100">
        <f>MONTH(List346[[#This Row],[Tanggal Pengajuan]])</f>
        <v>1</v>
      </c>
      <c r="O747" s="183"/>
      <c r="P747" s="100"/>
      <c r="Q747" s="111"/>
      <c r="R747" s="367"/>
      <c r="T747" s="152">
        <f>+List346[[#This Row],[Pengajuan Donasi]]-List346[[#This Row],[Jumlah Transfer]]</f>
        <v>0</v>
      </c>
    </row>
    <row r="748" spans="2:20" ht="15.75" x14ac:dyDescent="0.2">
      <c r="B748" s="13"/>
      <c r="C748" s="66"/>
      <c r="D748" s="14"/>
      <c r="E748" s="14"/>
      <c r="F748" s="103"/>
      <c r="G748" s="15">
        <f>IFERROR(+VLOOKUP(D:D,'Data Base P.Asuhan &amp; Jompo'!B:I,7,0),0)</f>
        <v>0</v>
      </c>
      <c r="H748" s="258"/>
      <c r="I748" s="258">
        <f>List346[[#This Row],[Pengajuan Donasi]]</f>
        <v>0</v>
      </c>
      <c r="J748" s="213" t="str">
        <f>IF(List346[[#This Row],[Tanggal Trf]]&gt;0,"Done","-")</f>
        <v>-</v>
      </c>
      <c r="K748" s="14"/>
      <c r="L748" s="225"/>
      <c r="M748" s="100"/>
      <c r="N748" s="100">
        <f>MONTH(List346[[#This Row],[Tanggal Pengajuan]])</f>
        <v>1</v>
      </c>
      <c r="O748" s="183"/>
      <c r="P748" s="100"/>
      <c r="Q748" s="111"/>
      <c r="R748" s="367"/>
      <c r="T748" s="152">
        <f>+List346[[#This Row],[Pengajuan Donasi]]-List346[[#This Row],[Jumlah Transfer]]</f>
        <v>0</v>
      </c>
    </row>
    <row r="749" spans="2:20" ht="15.75" x14ac:dyDescent="0.2">
      <c r="B749" s="13"/>
      <c r="C749" s="66"/>
      <c r="D749" s="14"/>
      <c r="E749" s="14"/>
      <c r="F749" s="103"/>
      <c r="G749" s="15">
        <f>IFERROR(+VLOOKUP(D:D,'Data Base P.Asuhan &amp; Jompo'!B:I,7,0),0)</f>
        <v>0</v>
      </c>
      <c r="H749" s="258"/>
      <c r="I749" s="258">
        <f>List346[[#This Row],[Pengajuan Donasi]]</f>
        <v>0</v>
      </c>
      <c r="J749" s="213" t="str">
        <f>IF(List346[[#This Row],[Tanggal Trf]]&gt;0,"Done","-")</f>
        <v>-</v>
      </c>
      <c r="K749" s="14"/>
      <c r="L749" s="225"/>
      <c r="M749" s="100"/>
      <c r="N749" s="100">
        <f>MONTH(List346[[#This Row],[Tanggal Pengajuan]])</f>
        <v>1</v>
      </c>
      <c r="O749" s="183"/>
      <c r="P749" s="100"/>
      <c r="Q749" s="111"/>
      <c r="R749" s="367"/>
      <c r="T749" s="152">
        <f>+List346[[#This Row],[Pengajuan Donasi]]-List346[[#This Row],[Jumlah Transfer]]</f>
        <v>0</v>
      </c>
    </row>
    <row r="750" spans="2:20" ht="15.75" x14ac:dyDescent="0.2">
      <c r="B750" s="13"/>
      <c r="C750" s="66"/>
      <c r="D750" s="14"/>
      <c r="E750" s="14"/>
      <c r="F750" s="103"/>
      <c r="G750" s="15">
        <f>IFERROR(+VLOOKUP(D:D,'Data Base P.Asuhan &amp; Jompo'!B:I,7,0),0)</f>
        <v>0</v>
      </c>
      <c r="H750" s="258"/>
      <c r="I750" s="258">
        <f>List346[[#This Row],[Pengajuan Donasi]]</f>
        <v>0</v>
      </c>
      <c r="J750" s="213" t="str">
        <f>IF(List346[[#This Row],[Tanggal Trf]]&gt;0,"Done","-")</f>
        <v>-</v>
      </c>
      <c r="K750" s="14"/>
      <c r="L750" s="225"/>
      <c r="M750" s="100"/>
      <c r="N750" s="100">
        <f>MONTH(List346[[#This Row],[Tanggal Pengajuan]])</f>
        <v>1</v>
      </c>
      <c r="O750" s="183"/>
      <c r="P750" s="100"/>
      <c r="Q750" s="111"/>
      <c r="R750" s="367"/>
      <c r="T750" s="152">
        <f>+List346[[#This Row],[Pengajuan Donasi]]-List346[[#This Row],[Jumlah Transfer]]</f>
        <v>0</v>
      </c>
    </row>
    <row r="751" spans="2:20" ht="15.75" x14ac:dyDescent="0.2">
      <c r="B751" s="13"/>
      <c r="C751" s="66"/>
      <c r="D751" s="14"/>
      <c r="E751" s="14"/>
      <c r="F751" s="103"/>
      <c r="G751" s="15">
        <f>IFERROR(+VLOOKUP(D:D,'Data Base P.Asuhan &amp; Jompo'!B:I,7,0),0)</f>
        <v>0</v>
      </c>
      <c r="H751" s="258"/>
      <c r="I751" s="258">
        <f>List346[[#This Row],[Pengajuan Donasi]]</f>
        <v>0</v>
      </c>
      <c r="J751" s="213" t="str">
        <f>IF(List346[[#This Row],[Tanggal Trf]]&gt;0,"Done","-")</f>
        <v>-</v>
      </c>
      <c r="K751" s="14"/>
      <c r="L751" s="225"/>
      <c r="M751" s="100"/>
      <c r="N751" s="100">
        <f>MONTH(List346[[#This Row],[Tanggal Pengajuan]])</f>
        <v>1</v>
      </c>
      <c r="O751" s="183"/>
      <c r="P751" s="100"/>
      <c r="Q751" s="111"/>
      <c r="R751" s="367"/>
      <c r="T751" s="152">
        <f>+List346[[#This Row],[Pengajuan Donasi]]-List346[[#This Row],[Jumlah Transfer]]</f>
        <v>0</v>
      </c>
    </row>
    <row r="752" spans="2:20" ht="15.75" x14ac:dyDescent="0.2">
      <c r="B752" s="13"/>
      <c r="C752" s="66"/>
      <c r="D752" s="14"/>
      <c r="E752" s="14"/>
      <c r="F752" s="103"/>
      <c r="G752" s="15">
        <f>IFERROR(+VLOOKUP(D:D,'Data Base P.Asuhan &amp; Jompo'!B:I,7,0),0)</f>
        <v>0</v>
      </c>
      <c r="H752" s="258"/>
      <c r="I752" s="258">
        <f>List346[[#This Row],[Pengajuan Donasi]]</f>
        <v>0</v>
      </c>
      <c r="J752" s="213" t="str">
        <f>IF(List346[[#This Row],[Tanggal Trf]]&gt;0,"Done","-")</f>
        <v>-</v>
      </c>
      <c r="K752" s="14"/>
      <c r="L752" s="225"/>
      <c r="M752" s="100"/>
      <c r="N752" s="100">
        <f>MONTH(List346[[#This Row],[Tanggal Pengajuan]])</f>
        <v>1</v>
      </c>
      <c r="O752" s="183"/>
      <c r="P752" s="100"/>
      <c r="Q752" s="111"/>
      <c r="R752" s="367"/>
      <c r="T752" s="152">
        <f>+List346[[#This Row],[Pengajuan Donasi]]-List346[[#This Row],[Jumlah Transfer]]</f>
        <v>0</v>
      </c>
    </row>
    <row r="753" spans="2:20" ht="15.75" x14ac:dyDescent="0.2">
      <c r="B753" s="13"/>
      <c r="C753" s="66"/>
      <c r="D753" s="14"/>
      <c r="E753" s="14"/>
      <c r="F753" s="103"/>
      <c r="G753" s="15">
        <f>IFERROR(+VLOOKUP(D:D,'Data Base P.Asuhan &amp; Jompo'!B:I,7,0),0)</f>
        <v>0</v>
      </c>
      <c r="H753" s="258"/>
      <c r="I753" s="258">
        <f>List346[[#This Row],[Pengajuan Donasi]]</f>
        <v>0</v>
      </c>
      <c r="J753" s="213" t="str">
        <f>IF(List346[[#This Row],[Tanggal Trf]]&gt;0,"Done","-")</f>
        <v>-</v>
      </c>
      <c r="K753" s="14"/>
      <c r="L753" s="225"/>
      <c r="M753" s="100"/>
      <c r="N753" s="100">
        <f>MONTH(List346[[#This Row],[Tanggal Pengajuan]])</f>
        <v>1</v>
      </c>
      <c r="O753" s="183"/>
      <c r="P753" s="100"/>
      <c r="Q753" s="111"/>
      <c r="R753" s="367"/>
      <c r="T753" s="152">
        <f>+List346[[#This Row],[Pengajuan Donasi]]-List346[[#This Row],[Jumlah Transfer]]</f>
        <v>0</v>
      </c>
    </row>
    <row r="754" spans="2:20" ht="15.75" x14ac:dyDescent="0.2">
      <c r="B754" s="13"/>
      <c r="C754" s="66"/>
      <c r="D754" s="14"/>
      <c r="E754" s="14"/>
      <c r="F754" s="103"/>
      <c r="G754" s="15">
        <f>IFERROR(+VLOOKUP(D:D,'Data Base P.Asuhan &amp; Jompo'!B:I,7,0),0)</f>
        <v>0</v>
      </c>
      <c r="H754" s="258"/>
      <c r="I754" s="258">
        <f>List346[[#This Row],[Pengajuan Donasi]]</f>
        <v>0</v>
      </c>
      <c r="J754" s="213" t="str">
        <f>IF(List346[[#This Row],[Tanggal Trf]]&gt;0,"Done","-")</f>
        <v>-</v>
      </c>
      <c r="K754" s="14"/>
      <c r="L754" s="225"/>
      <c r="M754" s="100"/>
      <c r="N754" s="100">
        <f>MONTH(List346[[#This Row],[Tanggal Pengajuan]])</f>
        <v>1</v>
      </c>
      <c r="O754" s="183"/>
      <c r="P754" s="100"/>
      <c r="Q754" s="111"/>
      <c r="R754" s="367"/>
      <c r="T754" s="152">
        <f>+List346[[#This Row],[Pengajuan Donasi]]-List346[[#This Row],[Jumlah Transfer]]</f>
        <v>0</v>
      </c>
    </row>
    <row r="755" spans="2:20" ht="15.75" x14ac:dyDescent="0.2">
      <c r="B755" s="13"/>
      <c r="C755" s="66"/>
      <c r="D755" s="14"/>
      <c r="E755" s="14"/>
      <c r="F755" s="103"/>
      <c r="G755" s="15">
        <f>IFERROR(+VLOOKUP(D:D,'Data Base P.Asuhan &amp; Jompo'!B:I,7,0),0)</f>
        <v>0</v>
      </c>
      <c r="H755" s="258"/>
      <c r="I755" s="258">
        <f>List346[[#This Row],[Pengajuan Donasi]]</f>
        <v>0</v>
      </c>
      <c r="J755" s="213" t="str">
        <f>IF(List346[[#This Row],[Tanggal Trf]]&gt;0,"Done","-")</f>
        <v>-</v>
      </c>
      <c r="K755" s="14"/>
      <c r="L755" s="225"/>
      <c r="M755" s="100"/>
      <c r="N755" s="100">
        <f>MONTH(List346[[#This Row],[Tanggal Pengajuan]])</f>
        <v>1</v>
      </c>
      <c r="O755" s="183"/>
      <c r="P755" s="100"/>
      <c r="Q755" s="111"/>
      <c r="R755" s="367"/>
      <c r="T755" s="152">
        <f>+List346[[#This Row],[Pengajuan Donasi]]-List346[[#This Row],[Jumlah Transfer]]</f>
        <v>0</v>
      </c>
    </row>
    <row r="756" spans="2:20" ht="15.75" x14ac:dyDescent="0.2">
      <c r="B756" s="13"/>
      <c r="C756" s="66"/>
      <c r="D756" s="14"/>
      <c r="E756" s="14"/>
      <c r="F756" s="103"/>
      <c r="G756" s="15">
        <f>IFERROR(+VLOOKUP(D:D,'Data Base P.Asuhan &amp; Jompo'!B:I,7,0),0)</f>
        <v>0</v>
      </c>
      <c r="H756" s="258"/>
      <c r="I756" s="258">
        <f>List346[[#This Row],[Pengajuan Donasi]]</f>
        <v>0</v>
      </c>
      <c r="J756" s="213" t="str">
        <f>IF(List346[[#This Row],[Tanggal Trf]]&gt;0,"Done","-")</f>
        <v>-</v>
      </c>
      <c r="K756" s="14"/>
      <c r="L756" s="225"/>
      <c r="M756" s="100"/>
      <c r="N756" s="100">
        <f>MONTH(List346[[#This Row],[Tanggal Pengajuan]])</f>
        <v>1</v>
      </c>
      <c r="O756" s="183"/>
      <c r="P756" s="100"/>
      <c r="Q756" s="111"/>
      <c r="R756" s="367"/>
      <c r="T756" s="152">
        <f>+List346[[#This Row],[Pengajuan Donasi]]-List346[[#This Row],[Jumlah Transfer]]</f>
        <v>0</v>
      </c>
    </row>
    <row r="757" spans="2:20" ht="15.75" x14ac:dyDescent="0.2">
      <c r="B757" s="13"/>
      <c r="C757" s="66"/>
      <c r="D757" s="14"/>
      <c r="E757" s="14"/>
      <c r="F757" s="103"/>
      <c r="G757" s="15">
        <f>IFERROR(+VLOOKUP(D:D,'Data Base P.Asuhan &amp; Jompo'!B:I,7,0),0)</f>
        <v>0</v>
      </c>
      <c r="H757" s="258"/>
      <c r="I757" s="258">
        <f>List346[[#This Row],[Pengajuan Donasi]]</f>
        <v>0</v>
      </c>
      <c r="J757" s="213" t="str">
        <f>IF(List346[[#This Row],[Tanggal Trf]]&gt;0,"Done","-")</f>
        <v>-</v>
      </c>
      <c r="K757" s="14"/>
      <c r="L757" s="225"/>
      <c r="M757" s="100"/>
      <c r="N757" s="100">
        <f>MONTH(List346[[#This Row],[Tanggal Pengajuan]])</f>
        <v>1</v>
      </c>
      <c r="O757" s="183"/>
      <c r="P757" s="100"/>
      <c r="Q757" s="111"/>
      <c r="R757" s="367"/>
      <c r="T757" s="152">
        <f>+List346[[#This Row],[Pengajuan Donasi]]-List346[[#This Row],[Jumlah Transfer]]</f>
        <v>0</v>
      </c>
    </row>
    <row r="758" spans="2:20" ht="15.75" x14ac:dyDescent="0.2">
      <c r="B758" s="13"/>
      <c r="C758" s="66"/>
      <c r="D758" s="14"/>
      <c r="E758" s="14"/>
      <c r="F758" s="103"/>
      <c r="G758" s="15">
        <f>IFERROR(+VLOOKUP(D:D,'Data Base P.Asuhan &amp; Jompo'!B:I,7,0),0)</f>
        <v>0</v>
      </c>
      <c r="H758" s="258"/>
      <c r="I758" s="258">
        <f>List346[[#This Row],[Pengajuan Donasi]]</f>
        <v>0</v>
      </c>
      <c r="J758" s="213" t="str">
        <f>IF(List346[[#This Row],[Tanggal Trf]]&gt;0,"Done","-")</f>
        <v>-</v>
      </c>
      <c r="K758" s="14"/>
      <c r="L758" s="225"/>
      <c r="M758" s="100"/>
      <c r="N758" s="100">
        <f>MONTH(List346[[#This Row],[Tanggal Pengajuan]])</f>
        <v>1</v>
      </c>
      <c r="O758" s="183"/>
      <c r="P758" s="100"/>
      <c r="Q758" s="111"/>
      <c r="R758" s="367"/>
      <c r="T758" s="152">
        <f>+List346[[#This Row],[Pengajuan Donasi]]-List346[[#This Row],[Jumlah Transfer]]</f>
        <v>0</v>
      </c>
    </row>
    <row r="759" spans="2:20" ht="15.75" x14ac:dyDescent="0.2">
      <c r="B759" s="13"/>
      <c r="C759" s="66"/>
      <c r="D759" s="14"/>
      <c r="E759" s="14"/>
      <c r="F759" s="103"/>
      <c r="G759" s="15">
        <f>IFERROR(+VLOOKUP(D:D,'Data Base P.Asuhan &amp; Jompo'!B:I,7,0),0)</f>
        <v>0</v>
      </c>
      <c r="H759" s="258"/>
      <c r="I759" s="258">
        <f>List346[[#This Row],[Pengajuan Donasi]]</f>
        <v>0</v>
      </c>
      <c r="J759" s="213" t="str">
        <f>IF(List346[[#This Row],[Tanggal Trf]]&gt;0,"Done","-")</f>
        <v>-</v>
      </c>
      <c r="K759" s="14"/>
      <c r="L759" s="225"/>
      <c r="M759" s="100"/>
      <c r="N759" s="100">
        <f>MONTH(List346[[#This Row],[Tanggal Pengajuan]])</f>
        <v>1</v>
      </c>
      <c r="O759" s="183"/>
      <c r="P759" s="100"/>
      <c r="Q759" s="111"/>
      <c r="R759" s="367"/>
      <c r="T759" s="152">
        <f>+List346[[#This Row],[Pengajuan Donasi]]-List346[[#This Row],[Jumlah Transfer]]</f>
        <v>0</v>
      </c>
    </row>
    <row r="760" spans="2:20" ht="15.75" x14ac:dyDescent="0.2">
      <c r="B760" s="13"/>
      <c r="C760" s="66"/>
      <c r="D760" s="14"/>
      <c r="E760" s="14"/>
      <c r="F760" s="103"/>
      <c r="G760" s="15">
        <f>IFERROR(+VLOOKUP(D:D,'Data Base P.Asuhan &amp; Jompo'!B:I,7,0),0)</f>
        <v>0</v>
      </c>
      <c r="H760" s="258"/>
      <c r="I760" s="258">
        <f>List346[[#This Row],[Pengajuan Donasi]]</f>
        <v>0</v>
      </c>
      <c r="J760" s="213" t="str">
        <f>IF(List346[[#This Row],[Tanggal Trf]]&gt;0,"Done","-")</f>
        <v>-</v>
      </c>
      <c r="K760" s="14"/>
      <c r="L760" s="225"/>
      <c r="M760" s="100"/>
      <c r="N760" s="100">
        <f>MONTH(List346[[#This Row],[Tanggal Pengajuan]])</f>
        <v>1</v>
      </c>
      <c r="O760" s="183"/>
      <c r="P760" s="100"/>
      <c r="Q760" s="111"/>
      <c r="R760" s="367"/>
      <c r="T760" s="152">
        <f>+List346[[#This Row],[Pengajuan Donasi]]-List346[[#This Row],[Jumlah Transfer]]</f>
        <v>0</v>
      </c>
    </row>
    <row r="761" spans="2:20" ht="15.75" x14ac:dyDescent="0.2">
      <c r="B761" s="13"/>
      <c r="C761" s="66"/>
      <c r="D761" s="14"/>
      <c r="E761" s="14"/>
      <c r="F761" s="103"/>
      <c r="G761" s="15">
        <f>IFERROR(+VLOOKUP(D:D,'Data Base P.Asuhan &amp; Jompo'!B:I,7,0),0)</f>
        <v>0</v>
      </c>
      <c r="H761" s="258"/>
      <c r="I761" s="258">
        <f>List346[[#This Row],[Pengajuan Donasi]]</f>
        <v>0</v>
      </c>
      <c r="J761" s="213" t="str">
        <f>IF(List346[[#This Row],[Tanggal Trf]]&gt;0,"Done","-")</f>
        <v>-</v>
      </c>
      <c r="K761" s="445"/>
      <c r="L761" s="225"/>
      <c r="M761" s="100"/>
      <c r="N761" s="100">
        <f>MONTH(List346[[#This Row],[Tanggal Pengajuan]])</f>
        <v>1</v>
      </c>
      <c r="O761" s="183"/>
      <c r="P761" s="100"/>
      <c r="Q761" s="111"/>
      <c r="R761" s="367"/>
      <c r="T761" s="152">
        <f>+List346[[#This Row],[Pengajuan Donasi]]-List346[[#This Row],[Jumlah Transfer]]</f>
        <v>0</v>
      </c>
    </row>
    <row r="762" spans="2:20" ht="15.75" x14ac:dyDescent="0.2">
      <c r="B762" s="13"/>
      <c r="C762" s="66"/>
      <c r="D762" s="14"/>
      <c r="E762" s="14"/>
      <c r="F762" s="103"/>
      <c r="G762" s="15">
        <f>IFERROR(+VLOOKUP(D:D,'Data Base P.Asuhan &amp; Jompo'!B:I,7,0),0)</f>
        <v>0</v>
      </c>
      <c r="H762" s="258"/>
      <c r="I762" s="258">
        <f>List346[[#This Row],[Pengajuan Donasi]]</f>
        <v>0</v>
      </c>
      <c r="J762" s="213" t="str">
        <f>IF(List346[[#This Row],[Tanggal Trf]]&gt;0,"Done","-")</f>
        <v>-</v>
      </c>
      <c r="K762" s="445"/>
      <c r="L762" s="225"/>
      <c r="M762" s="100"/>
      <c r="N762" s="100">
        <f>MONTH(List346[[#This Row],[Tanggal Pengajuan]])</f>
        <v>1</v>
      </c>
      <c r="O762" s="183"/>
      <c r="P762" s="100"/>
      <c r="Q762" s="111"/>
      <c r="R762" s="367"/>
      <c r="T762" s="152">
        <f>+List346[[#This Row],[Pengajuan Donasi]]-List346[[#This Row],[Jumlah Transfer]]</f>
        <v>0</v>
      </c>
    </row>
    <row r="763" spans="2:20" ht="15.75" x14ac:dyDescent="0.2">
      <c r="B763" s="13"/>
      <c r="C763" s="66"/>
      <c r="D763" s="14"/>
      <c r="E763" s="14"/>
      <c r="F763" s="103"/>
      <c r="G763" s="15">
        <f>IFERROR(+VLOOKUP(D:D,'Data Base P.Asuhan &amp; Jompo'!B:I,7,0),0)</f>
        <v>0</v>
      </c>
      <c r="H763" s="258"/>
      <c r="I763" s="258">
        <f>List346[[#This Row],[Pengajuan Donasi]]</f>
        <v>0</v>
      </c>
      <c r="J763" s="213" t="str">
        <f>IF(List346[[#This Row],[Tanggal Trf]]&gt;0,"Done","-")</f>
        <v>-</v>
      </c>
      <c r="K763" s="445"/>
      <c r="L763" s="225"/>
      <c r="M763" s="100"/>
      <c r="N763" s="100">
        <f>MONTH(List346[[#This Row],[Tanggal Pengajuan]])</f>
        <v>1</v>
      </c>
      <c r="O763" s="183"/>
      <c r="P763" s="100"/>
      <c r="Q763" s="111"/>
      <c r="R763" s="367"/>
      <c r="T763" s="152">
        <f>+List346[[#This Row],[Pengajuan Donasi]]-List346[[#This Row],[Jumlah Transfer]]</f>
        <v>0</v>
      </c>
    </row>
    <row r="764" spans="2:20" ht="15.75" x14ac:dyDescent="0.2">
      <c r="B764" s="13"/>
      <c r="C764" s="66"/>
      <c r="D764" s="14"/>
      <c r="E764" s="14"/>
      <c r="F764" s="103"/>
      <c r="G764" s="15">
        <f>IFERROR(+VLOOKUP(D:D,'Data Base P.Asuhan &amp; Jompo'!B:I,7,0),0)</f>
        <v>0</v>
      </c>
      <c r="H764" s="258"/>
      <c r="I764" s="258">
        <f>List346[[#This Row],[Pengajuan Donasi]]</f>
        <v>0</v>
      </c>
      <c r="J764" s="213" t="str">
        <f>IF(List346[[#This Row],[Tanggal Trf]]&gt;0,"Done","-")</f>
        <v>-</v>
      </c>
      <c r="K764" s="445"/>
      <c r="L764" s="225"/>
      <c r="M764" s="100"/>
      <c r="N764" s="100">
        <f>MONTH(List346[[#This Row],[Tanggal Pengajuan]])</f>
        <v>1</v>
      </c>
      <c r="O764" s="183"/>
      <c r="P764" s="100"/>
      <c r="Q764" s="111"/>
      <c r="R764" s="367"/>
      <c r="T764" s="152">
        <f>+List346[[#This Row],[Pengajuan Donasi]]-List346[[#This Row],[Jumlah Transfer]]</f>
        <v>0</v>
      </c>
    </row>
    <row r="765" spans="2:20" ht="15.75" x14ac:dyDescent="0.2">
      <c r="B765" s="13"/>
      <c r="C765" s="66"/>
      <c r="D765" s="14"/>
      <c r="E765" s="14"/>
      <c r="F765" s="103"/>
      <c r="G765" s="15">
        <f>IFERROR(+VLOOKUP(D:D,'Data Base P.Asuhan &amp; Jompo'!B:I,7,0),0)</f>
        <v>0</v>
      </c>
      <c r="H765" s="258"/>
      <c r="I765" s="258">
        <f>List346[[#This Row],[Pengajuan Donasi]]</f>
        <v>0</v>
      </c>
      <c r="J765" s="213" t="str">
        <f>IF(List346[[#This Row],[Tanggal Trf]]&gt;0,"Done","-")</f>
        <v>-</v>
      </c>
      <c r="K765" s="445"/>
      <c r="L765" s="225"/>
      <c r="M765" s="100"/>
      <c r="N765" s="100">
        <f>MONTH(List346[[#This Row],[Tanggal Pengajuan]])</f>
        <v>1</v>
      </c>
      <c r="O765" s="183"/>
      <c r="P765" s="100"/>
      <c r="Q765" s="111"/>
      <c r="R765" s="367"/>
      <c r="T765" s="152">
        <f>+List346[[#This Row],[Pengajuan Donasi]]-List346[[#This Row],[Jumlah Transfer]]</f>
        <v>0</v>
      </c>
    </row>
    <row r="766" spans="2:20" ht="15.75" x14ac:dyDescent="0.2">
      <c r="B766" s="13"/>
      <c r="C766" s="66"/>
      <c r="D766" s="14"/>
      <c r="E766" s="14"/>
      <c r="F766" s="103"/>
      <c r="G766" s="15">
        <f>IFERROR(+VLOOKUP(D:D,'Data Base P.Asuhan &amp; Jompo'!B:I,7,0),0)</f>
        <v>0</v>
      </c>
      <c r="H766" s="258"/>
      <c r="I766" s="258">
        <f>List346[[#This Row],[Pengajuan Donasi]]</f>
        <v>0</v>
      </c>
      <c r="J766" s="213" t="str">
        <f>IF(List346[[#This Row],[Tanggal Trf]]&gt;0,"Done","-")</f>
        <v>-</v>
      </c>
      <c r="K766" s="445"/>
      <c r="L766" s="225"/>
      <c r="M766" s="100"/>
      <c r="N766" s="100">
        <f>MONTH(List346[[#This Row],[Tanggal Pengajuan]])</f>
        <v>1</v>
      </c>
      <c r="O766" s="183"/>
      <c r="P766" s="100"/>
      <c r="Q766" s="111"/>
      <c r="R766" s="367"/>
      <c r="T766" s="152">
        <f>+List346[[#This Row],[Pengajuan Donasi]]-List346[[#This Row],[Jumlah Transfer]]</f>
        <v>0</v>
      </c>
    </row>
    <row r="767" spans="2:20" ht="15.75" x14ac:dyDescent="0.2">
      <c r="B767" s="13"/>
      <c r="C767" s="66"/>
      <c r="D767" s="14"/>
      <c r="E767" s="14"/>
      <c r="F767" s="103"/>
      <c r="G767" s="15">
        <f>IFERROR(+VLOOKUP(D:D,'Data Base P.Asuhan &amp; Jompo'!B:I,7,0),0)</f>
        <v>0</v>
      </c>
      <c r="H767" s="258"/>
      <c r="I767" s="258">
        <f>List346[[#This Row],[Pengajuan Donasi]]</f>
        <v>0</v>
      </c>
      <c r="J767" s="213" t="str">
        <f>IF(List346[[#This Row],[Tanggal Trf]]&gt;0,"Done","-")</f>
        <v>-</v>
      </c>
      <c r="K767" s="445"/>
      <c r="L767" s="225"/>
      <c r="M767" s="100"/>
      <c r="N767" s="100">
        <f>MONTH(List346[[#This Row],[Tanggal Pengajuan]])</f>
        <v>1</v>
      </c>
      <c r="O767" s="183"/>
      <c r="P767" s="100"/>
      <c r="Q767" s="111"/>
      <c r="R767" s="367"/>
      <c r="T767" s="152">
        <f>+List346[[#This Row],[Pengajuan Donasi]]-List346[[#This Row],[Jumlah Transfer]]</f>
        <v>0</v>
      </c>
    </row>
    <row r="768" spans="2:20" ht="15.75" x14ac:dyDescent="0.2">
      <c r="B768" s="13"/>
      <c r="C768" s="66"/>
      <c r="D768" s="14"/>
      <c r="E768" s="14"/>
      <c r="F768" s="103"/>
      <c r="G768" s="15">
        <f>IFERROR(+VLOOKUP(D:D,'Data Base P.Asuhan &amp; Jompo'!B:I,7,0),0)</f>
        <v>0</v>
      </c>
      <c r="H768" s="258"/>
      <c r="I768" s="258">
        <f>List346[[#This Row],[Pengajuan Donasi]]</f>
        <v>0</v>
      </c>
      <c r="J768" s="213" t="str">
        <f>IF(List346[[#This Row],[Tanggal Trf]]&gt;0,"Done","-")</f>
        <v>-</v>
      </c>
      <c r="K768" s="445"/>
      <c r="L768" s="225"/>
      <c r="M768" s="100"/>
      <c r="N768" s="100">
        <f>MONTH(List346[[#This Row],[Tanggal Pengajuan]])</f>
        <v>1</v>
      </c>
      <c r="O768" s="183"/>
      <c r="P768" s="100"/>
      <c r="Q768" s="111"/>
      <c r="R768" s="367"/>
      <c r="T768" s="152">
        <f>+List346[[#This Row],[Pengajuan Donasi]]-List346[[#This Row],[Jumlah Transfer]]</f>
        <v>0</v>
      </c>
    </row>
    <row r="769" spans="2:20" ht="15.75" x14ac:dyDescent="0.2">
      <c r="B769" s="944"/>
      <c r="C769" s="945"/>
      <c r="D769" s="946"/>
      <c r="E769" s="946"/>
      <c r="F769" s="947"/>
      <c r="G769" s="15">
        <f>IFERROR(+VLOOKUP(D:D,'Data Base P.Asuhan &amp; Jompo'!B:I,7,0),0)</f>
        <v>0</v>
      </c>
      <c r="H769" s="949"/>
      <c r="I769" s="949">
        <f>List346[[#This Row],[Pengajuan Donasi]]</f>
        <v>0</v>
      </c>
      <c r="J769" s="950" t="str">
        <f>IF(List346[[#This Row],[Tanggal Trf]]&gt;0,"Done","-")</f>
        <v>-</v>
      </c>
      <c r="K769" s="946"/>
      <c r="L769" s="951"/>
      <c r="M769" s="952"/>
      <c r="N769" s="952">
        <f>MONTH(List346[[#This Row],[Tanggal Pengajuan]])</f>
        <v>1</v>
      </c>
      <c r="O769" s="953"/>
      <c r="P769" s="952"/>
      <c r="Q769" s="111"/>
      <c r="R769" s="367"/>
      <c r="T769" s="152">
        <f>+List346[[#This Row],[Pengajuan Donasi]]-List346[[#This Row],[Jumlah Transfer]]</f>
        <v>0</v>
      </c>
    </row>
    <row r="770" spans="2:20" ht="15.75" x14ac:dyDescent="0.2">
      <c r="B770" s="13"/>
      <c r="C770" s="66"/>
      <c r="D770" s="14"/>
      <c r="E770" s="14"/>
      <c r="F770" s="103"/>
      <c r="G770" s="15">
        <f>IFERROR(+VLOOKUP(D:D,'Data Base P.Asuhan &amp; Jompo'!B:I,7,0),0)</f>
        <v>0</v>
      </c>
      <c r="H770" s="258"/>
      <c r="I770" s="258">
        <f>List346[[#This Row],[Pengajuan Donasi]]</f>
        <v>0</v>
      </c>
      <c r="J770" s="213" t="str">
        <f>IF(List346[[#This Row],[Tanggal Trf]]&gt;0,"Done","-")</f>
        <v>-</v>
      </c>
      <c r="K770" s="445"/>
      <c r="L770" s="225"/>
      <c r="M770" s="100"/>
      <c r="N770" s="100">
        <f>MONTH(List346[[#This Row],[Tanggal Pengajuan]])</f>
        <v>1</v>
      </c>
      <c r="O770" s="183"/>
      <c r="P770" s="100"/>
      <c r="Q770" s="111"/>
      <c r="R770" s="367"/>
      <c r="T770" s="152">
        <f>+List346[[#This Row],[Pengajuan Donasi]]-List346[[#This Row],[Jumlah Transfer]]</f>
        <v>0</v>
      </c>
    </row>
    <row r="771" spans="2:20" ht="15.75" x14ac:dyDescent="0.2">
      <c r="B771" s="13"/>
      <c r="C771" s="66"/>
      <c r="D771" s="14"/>
      <c r="E771" s="14"/>
      <c r="F771" s="103"/>
      <c r="G771" s="15">
        <f>IFERROR(+VLOOKUP(D:D,'Data Base P.Asuhan &amp; Jompo'!B:I,7,0),0)</f>
        <v>0</v>
      </c>
      <c r="H771" s="258"/>
      <c r="I771" s="258">
        <f>List346[[#This Row],[Pengajuan Donasi]]</f>
        <v>0</v>
      </c>
      <c r="J771" s="213" t="str">
        <f>IF(List346[[#This Row],[Tanggal Trf]]&gt;0,"Done","-")</f>
        <v>-</v>
      </c>
      <c r="K771" s="445"/>
      <c r="L771" s="225"/>
      <c r="M771" s="100"/>
      <c r="N771" s="100">
        <f>MONTH(List346[[#This Row],[Tanggal Pengajuan]])</f>
        <v>1</v>
      </c>
      <c r="O771" s="183"/>
      <c r="P771" s="100"/>
      <c r="Q771" s="111"/>
      <c r="R771" s="367"/>
      <c r="T771" s="152">
        <f>+List346[[#This Row],[Pengajuan Donasi]]-List346[[#This Row],[Jumlah Transfer]]</f>
        <v>0</v>
      </c>
    </row>
    <row r="772" spans="2:20" ht="15.75" x14ac:dyDescent="0.2">
      <c r="B772" s="13"/>
      <c r="C772" s="66"/>
      <c r="D772" s="14"/>
      <c r="E772" s="14"/>
      <c r="F772" s="103"/>
      <c r="G772" s="15">
        <f>IFERROR(+VLOOKUP(D:D,'Data Base P.Asuhan &amp; Jompo'!B:I,7,0),0)</f>
        <v>0</v>
      </c>
      <c r="H772" s="258"/>
      <c r="I772" s="258">
        <f>List346[[#This Row],[Pengajuan Donasi]]</f>
        <v>0</v>
      </c>
      <c r="J772" s="213" t="str">
        <f>IF(List346[[#This Row],[Tanggal Trf]]&gt;0,"Done","-")</f>
        <v>-</v>
      </c>
      <c r="K772" s="445"/>
      <c r="L772" s="225"/>
      <c r="M772" s="100"/>
      <c r="N772" s="100">
        <f>MONTH(List346[[#This Row],[Tanggal Pengajuan]])</f>
        <v>1</v>
      </c>
      <c r="O772" s="183"/>
      <c r="P772" s="100"/>
      <c r="Q772" s="111"/>
      <c r="R772" s="367"/>
      <c r="T772" s="152">
        <f>+List346[[#This Row],[Pengajuan Donasi]]-List346[[#This Row],[Jumlah Transfer]]</f>
        <v>0</v>
      </c>
    </row>
    <row r="773" spans="2:20" ht="15.75" x14ac:dyDescent="0.2">
      <c r="B773" s="13"/>
      <c r="C773" s="66"/>
      <c r="D773" s="14"/>
      <c r="E773" s="14"/>
      <c r="F773" s="103"/>
      <c r="G773" s="15">
        <f>IFERROR(+VLOOKUP(D:D,'Data Base P.Asuhan &amp; Jompo'!B:I,7,0),0)</f>
        <v>0</v>
      </c>
      <c r="H773" s="258"/>
      <c r="I773" s="258">
        <f>List346[[#This Row],[Pengajuan Donasi]]</f>
        <v>0</v>
      </c>
      <c r="J773" s="213" t="str">
        <f>IF(List346[[#This Row],[Tanggal Trf]]&gt;0,"Done","-")</f>
        <v>-</v>
      </c>
      <c r="K773" s="445"/>
      <c r="L773" s="225"/>
      <c r="M773" s="100"/>
      <c r="N773" s="100">
        <f>MONTH(List346[[#This Row],[Tanggal Pengajuan]])</f>
        <v>1</v>
      </c>
      <c r="O773" s="183"/>
      <c r="P773" s="100"/>
      <c r="Q773" s="111"/>
      <c r="R773" s="367"/>
      <c r="T773" s="152">
        <f>+List346[[#This Row],[Pengajuan Donasi]]-List346[[#This Row],[Jumlah Transfer]]</f>
        <v>0</v>
      </c>
    </row>
    <row r="774" spans="2:20" ht="15.75" x14ac:dyDescent="0.2">
      <c r="B774" s="13"/>
      <c r="C774" s="66"/>
      <c r="D774" s="14"/>
      <c r="E774" s="14"/>
      <c r="F774" s="103"/>
      <c r="G774" s="15">
        <f>IFERROR(+VLOOKUP(D:D,'Data Base P.Asuhan &amp; Jompo'!B:I,7,0),0)</f>
        <v>0</v>
      </c>
      <c r="H774" s="258"/>
      <c r="I774" s="258">
        <f>List346[[#This Row],[Pengajuan Donasi]]</f>
        <v>0</v>
      </c>
      <c r="J774" s="213" t="str">
        <f>IF(List346[[#This Row],[Tanggal Trf]]&gt;0,"Done","-")</f>
        <v>-</v>
      </c>
      <c r="K774" s="445"/>
      <c r="L774" s="225"/>
      <c r="M774" s="100"/>
      <c r="N774" s="100">
        <f>MONTH(List346[[#This Row],[Tanggal Pengajuan]])</f>
        <v>1</v>
      </c>
      <c r="O774" s="183"/>
      <c r="P774" s="100"/>
      <c r="Q774" s="111"/>
      <c r="R774" s="367"/>
      <c r="T774" s="152">
        <f>+List346[[#This Row],[Pengajuan Donasi]]-List346[[#This Row],[Jumlah Transfer]]</f>
        <v>0</v>
      </c>
    </row>
    <row r="775" spans="2:20" ht="15.75" x14ac:dyDescent="0.2">
      <c r="B775" s="13"/>
      <c r="C775" s="66"/>
      <c r="D775" s="14"/>
      <c r="E775" s="14"/>
      <c r="F775" s="103"/>
      <c r="G775" s="15">
        <f>IFERROR(+VLOOKUP(D:D,'Data Base P.Asuhan &amp; Jompo'!B:I,7,0),0)</f>
        <v>0</v>
      </c>
      <c r="H775" s="258"/>
      <c r="I775" s="258">
        <f>List346[[#This Row],[Pengajuan Donasi]]</f>
        <v>0</v>
      </c>
      <c r="J775" s="213" t="str">
        <f>IF(List346[[#This Row],[Tanggal Trf]]&gt;0,"Done","-")</f>
        <v>-</v>
      </c>
      <c r="K775" s="445"/>
      <c r="L775" s="225"/>
      <c r="M775" s="100"/>
      <c r="N775" s="100">
        <f>MONTH(List346[[#This Row],[Tanggal Pengajuan]])</f>
        <v>1</v>
      </c>
      <c r="O775" s="183"/>
      <c r="P775" s="100"/>
      <c r="Q775" s="111"/>
      <c r="R775" s="367"/>
      <c r="T775" s="152">
        <f>+List346[[#This Row],[Pengajuan Donasi]]-List346[[#This Row],[Jumlah Transfer]]</f>
        <v>0</v>
      </c>
    </row>
    <row r="776" spans="2:20" ht="15.75" x14ac:dyDescent="0.2">
      <c r="B776" s="13"/>
      <c r="C776" s="66"/>
      <c r="D776" s="14"/>
      <c r="E776" s="14"/>
      <c r="F776" s="103"/>
      <c r="G776" s="15">
        <f>IFERROR(+VLOOKUP(D:D,'Data Base P.Asuhan &amp; Jompo'!B:I,7,0),0)</f>
        <v>0</v>
      </c>
      <c r="H776" s="258"/>
      <c r="I776" s="258">
        <f>List346[[#This Row],[Pengajuan Donasi]]</f>
        <v>0</v>
      </c>
      <c r="J776" s="213" t="str">
        <f>IF(List346[[#This Row],[Tanggal Trf]]&gt;0,"Done","-")</f>
        <v>-</v>
      </c>
      <c r="K776" s="445"/>
      <c r="L776" s="225"/>
      <c r="M776" s="100"/>
      <c r="N776" s="100">
        <v>9</v>
      </c>
      <c r="O776" s="183"/>
      <c r="P776" s="100"/>
      <c r="Q776" s="111"/>
      <c r="R776" s="367"/>
      <c r="T776" s="152">
        <f>+List346[[#This Row],[Pengajuan Donasi]]-List346[[#This Row],[Jumlah Transfer]]</f>
        <v>0</v>
      </c>
    </row>
    <row r="777" spans="2:20" ht="15.75" x14ac:dyDescent="0.2">
      <c r="B777" s="13"/>
      <c r="C777" s="66"/>
      <c r="D777" s="14"/>
      <c r="E777" s="14"/>
      <c r="F777" s="103"/>
      <c r="G777" s="15">
        <f>IFERROR(+VLOOKUP(D:D,'Data Base P.Asuhan &amp; Jompo'!B:I,7,0),0)</f>
        <v>0</v>
      </c>
      <c r="H777" s="258"/>
      <c r="I777" s="258">
        <f>List346[[#This Row],[Pengajuan Donasi]]</f>
        <v>0</v>
      </c>
      <c r="J777" s="213" t="str">
        <f>IF(List346[[#This Row],[Tanggal Trf]]&gt;0,"Done","-")</f>
        <v>-</v>
      </c>
      <c r="K777" s="445"/>
      <c r="L777" s="225"/>
      <c r="M777" s="100"/>
      <c r="N777" s="100">
        <v>9</v>
      </c>
      <c r="O777" s="183"/>
      <c r="P777" s="100"/>
      <c r="Q777" s="111"/>
      <c r="R777" s="367"/>
      <c r="T777" s="152">
        <f>+List346[[#This Row],[Pengajuan Donasi]]-List346[[#This Row],[Jumlah Transfer]]</f>
        <v>0</v>
      </c>
    </row>
    <row r="778" spans="2:20" ht="15.75" x14ac:dyDescent="0.2">
      <c r="B778" s="13"/>
      <c r="C778" s="66"/>
      <c r="D778" s="14"/>
      <c r="E778" s="14"/>
      <c r="F778" s="103"/>
      <c r="G778" s="15">
        <f>IFERROR(+VLOOKUP(D:D,'Data Base P.Asuhan &amp; Jompo'!B:I,7,0),0)</f>
        <v>0</v>
      </c>
      <c r="H778" s="258"/>
      <c r="I778" s="258">
        <f>List346[[#This Row],[Pengajuan Donasi]]</f>
        <v>0</v>
      </c>
      <c r="J778" s="213" t="str">
        <f>IF(List346[[#This Row],[Tanggal Trf]]&gt;0,"Done","-")</f>
        <v>-</v>
      </c>
      <c r="K778" s="445"/>
      <c r="L778" s="225"/>
      <c r="M778" s="100"/>
      <c r="N778" s="100">
        <v>9</v>
      </c>
      <c r="O778" s="183"/>
      <c r="P778" s="100"/>
      <c r="Q778" s="111"/>
      <c r="R778" s="367"/>
      <c r="T778" s="152">
        <f>+List346[[#This Row],[Pengajuan Donasi]]-List346[[#This Row],[Jumlah Transfer]]</f>
        <v>0</v>
      </c>
    </row>
    <row r="779" spans="2:20" ht="15.75" x14ac:dyDescent="0.2">
      <c r="B779" s="13"/>
      <c r="C779" s="66"/>
      <c r="D779" s="14"/>
      <c r="E779" s="14"/>
      <c r="F779" s="103"/>
      <c r="G779" s="15">
        <f>IFERROR(+VLOOKUP(D:D,'Data Base P.Asuhan &amp; Jompo'!B:I,7,0),0)</f>
        <v>0</v>
      </c>
      <c r="H779" s="258"/>
      <c r="I779" s="258">
        <f>List346[[#This Row],[Pengajuan Donasi]]</f>
        <v>0</v>
      </c>
      <c r="J779" s="213" t="str">
        <f>IF(List346[[#This Row],[Tanggal Trf]]&gt;0,"Done","-")</f>
        <v>-</v>
      </c>
      <c r="K779" s="445"/>
      <c r="L779" s="225"/>
      <c r="M779" s="100"/>
      <c r="N779" s="100">
        <v>9</v>
      </c>
      <c r="O779" s="183"/>
      <c r="P779" s="100"/>
      <c r="Q779" s="111"/>
      <c r="R779" s="367"/>
      <c r="T779" s="152">
        <f>+List346[[#This Row],[Pengajuan Donasi]]-List346[[#This Row],[Jumlah Transfer]]</f>
        <v>0</v>
      </c>
    </row>
    <row r="780" spans="2:20" ht="15.75" x14ac:dyDescent="0.2">
      <c r="B780" s="13"/>
      <c r="C780" s="66"/>
      <c r="D780" s="14"/>
      <c r="E780" s="14"/>
      <c r="F780" s="103"/>
      <c r="G780" s="15">
        <f>IFERROR(+VLOOKUP(D:D,'Data Base P.Asuhan &amp; Jompo'!B:I,7,0),0)</f>
        <v>0</v>
      </c>
      <c r="H780" s="258"/>
      <c r="I780" s="258">
        <f>List346[[#This Row],[Pengajuan Donasi]]</f>
        <v>0</v>
      </c>
      <c r="J780" s="213" t="str">
        <f>IF(List346[[#This Row],[Tanggal Trf]]&gt;0,"Done","-")</f>
        <v>-</v>
      </c>
      <c r="K780" s="445"/>
      <c r="L780" s="225"/>
      <c r="M780" s="100"/>
      <c r="N780" s="100">
        <v>9</v>
      </c>
      <c r="O780" s="183"/>
      <c r="P780" s="100"/>
      <c r="Q780" s="111"/>
      <c r="R780" s="367"/>
      <c r="T780" s="152">
        <f>+List346[[#This Row],[Pengajuan Donasi]]-List346[[#This Row],[Jumlah Transfer]]</f>
        <v>0</v>
      </c>
    </row>
    <row r="781" spans="2:20" ht="15.75" x14ac:dyDescent="0.2">
      <c r="B781" s="13"/>
      <c r="C781" s="66"/>
      <c r="D781" s="14"/>
      <c r="E781" s="14"/>
      <c r="F781" s="103"/>
      <c r="G781" s="15">
        <f>IFERROR(+VLOOKUP(D:D,'Data Base P.Asuhan &amp; Jompo'!B:I,7,0),0)</f>
        <v>0</v>
      </c>
      <c r="H781" s="258"/>
      <c r="I781" s="258">
        <f>List346[[#This Row],[Pengajuan Donasi]]</f>
        <v>0</v>
      </c>
      <c r="J781" s="213" t="str">
        <f>IF(List346[[#This Row],[Tanggal Trf]]&gt;0,"Done","-")</f>
        <v>-</v>
      </c>
      <c r="K781" s="14"/>
      <c r="L781" s="221"/>
      <c r="M781" s="100"/>
      <c r="N781" s="100">
        <v>9</v>
      </c>
      <c r="O781" s="183"/>
      <c r="P781" s="100"/>
      <c r="Q781" s="111"/>
      <c r="R781" s="367"/>
      <c r="T781" s="152">
        <f>+List346[[#This Row],[Pengajuan Donasi]]-List346[[#This Row],[Jumlah Transfer]]</f>
        <v>0</v>
      </c>
    </row>
    <row r="782" spans="2:20" ht="15.75" x14ac:dyDescent="0.2">
      <c r="B782" s="13"/>
      <c r="C782" s="66"/>
      <c r="D782" s="14"/>
      <c r="E782" s="14"/>
      <c r="F782" s="103"/>
      <c r="G782" s="15">
        <f>IFERROR(+VLOOKUP(D:D,'Data Base P.Asuhan &amp; Jompo'!B:I,7,0),0)</f>
        <v>0</v>
      </c>
      <c r="H782" s="258"/>
      <c r="I782" s="258">
        <f>List346[[#This Row],[Pengajuan Donasi]]</f>
        <v>0</v>
      </c>
      <c r="J782" s="213" t="str">
        <f>IF(List346[[#This Row],[Tanggal Trf]]&gt;0,"Done","-")</f>
        <v>-</v>
      </c>
      <c r="K782" s="14"/>
      <c r="L782" s="221"/>
      <c r="M782" s="100"/>
      <c r="N782" s="100">
        <f>MONTH(List346[[#This Row],[Tanggal Pengajuan]])</f>
        <v>1</v>
      </c>
      <c r="O782" s="183"/>
      <c r="P782" s="100"/>
      <c r="Q782" s="111"/>
      <c r="R782" s="367"/>
      <c r="T782" s="152">
        <f>+List346[[#This Row],[Pengajuan Donasi]]-List346[[#This Row],[Jumlah Transfer]]</f>
        <v>0</v>
      </c>
    </row>
    <row r="783" spans="2:20" ht="15.75" x14ac:dyDescent="0.2">
      <c r="B783" s="13"/>
      <c r="C783" s="66"/>
      <c r="D783" s="14"/>
      <c r="E783" s="14"/>
      <c r="F783" s="103"/>
      <c r="G783" s="15">
        <f>IFERROR(+VLOOKUP(D:D,'Data Base P.Asuhan &amp; Jompo'!B:I,7,0),0)</f>
        <v>0</v>
      </c>
      <c r="H783" s="258"/>
      <c r="I783" s="258">
        <f>List346[[#This Row],[Pengajuan Donasi]]</f>
        <v>0</v>
      </c>
      <c r="J783" s="213" t="str">
        <f>IF(List346[[#This Row],[Tanggal Trf]]&gt;0,"Done","-")</f>
        <v>-</v>
      </c>
      <c r="K783" s="14"/>
      <c r="L783" s="221"/>
      <c r="M783" s="100"/>
      <c r="N783" s="100">
        <f>MONTH(List346[[#This Row],[Tanggal Pengajuan]])</f>
        <v>1</v>
      </c>
      <c r="O783" s="183"/>
      <c r="P783" s="100"/>
      <c r="Q783" s="111"/>
      <c r="R783" s="367"/>
      <c r="T783" s="152">
        <f>+List346[[#This Row],[Pengajuan Donasi]]-List346[[#This Row],[Jumlah Transfer]]</f>
        <v>0</v>
      </c>
    </row>
    <row r="784" spans="2:20" ht="15.75" x14ac:dyDescent="0.2">
      <c r="B784" s="13"/>
      <c r="C784" s="66"/>
      <c r="D784" s="14"/>
      <c r="E784" s="14"/>
      <c r="F784" s="103"/>
      <c r="G784" s="15">
        <f>IFERROR(+VLOOKUP(D:D,'Data Base P.Asuhan &amp; Jompo'!B:I,7,0),0)</f>
        <v>0</v>
      </c>
      <c r="H784" s="258"/>
      <c r="I784" s="258">
        <f>List346[[#This Row],[Pengajuan Donasi]]</f>
        <v>0</v>
      </c>
      <c r="J784" s="213" t="str">
        <f>IF(List346[[#This Row],[Tanggal Trf]]&gt;0,"Done","-")</f>
        <v>-</v>
      </c>
      <c r="K784" s="14"/>
      <c r="L784" s="221"/>
      <c r="M784" s="100"/>
      <c r="N784" s="100">
        <f>MONTH(List346[[#This Row],[Tanggal Pengajuan]])</f>
        <v>1</v>
      </c>
      <c r="O784" s="183"/>
      <c r="P784" s="100"/>
      <c r="Q784" s="111"/>
      <c r="R784" s="367"/>
      <c r="T784" s="152">
        <f>+List346[[#This Row],[Pengajuan Donasi]]-List346[[#This Row],[Jumlah Transfer]]</f>
        <v>0</v>
      </c>
    </row>
    <row r="785" spans="2:20" ht="15.75" x14ac:dyDescent="0.2">
      <c r="B785" s="13"/>
      <c r="C785" s="66"/>
      <c r="D785" s="14"/>
      <c r="E785" s="14"/>
      <c r="F785" s="103"/>
      <c r="G785" s="15">
        <f>IFERROR(+VLOOKUP(D:D,'Data Base P.Asuhan &amp; Jompo'!B:I,7,0),0)</f>
        <v>0</v>
      </c>
      <c r="H785" s="258"/>
      <c r="I785" s="258">
        <f>List346[[#This Row],[Pengajuan Donasi]]</f>
        <v>0</v>
      </c>
      <c r="J785" s="213" t="str">
        <f>IF(List346[[#This Row],[Tanggal Trf]]&gt;0,"Done","-")</f>
        <v>-</v>
      </c>
      <c r="K785" s="14"/>
      <c r="L785" s="221"/>
      <c r="M785" s="100"/>
      <c r="N785" s="100">
        <f>MONTH(List346[[#This Row],[Tanggal Pengajuan]])</f>
        <v>1</v>
      </c>
      <c r="O785" s="183"/>
      <c r="P785" s="100"/>
      <c r="Q785" s="111"/>
      <c r="R785" s="367"/>
      <c r="T785" s="152">
        <f>+List346[[#This Row],[Pengajuan Donasi]]-List346[[#This Row],[Jumlah Transfer]]</f>
        <v>0</v>
      </c>
    </row>
    <row r="786" spans="2:20" ht="15.75" x14ac:dyDescent="0.2">
      <c r="B786" s="13"/>
      <c r="C786" s="66"/>
      <c r="D786" s="14"/>
      <c r="E786" s="14"/>
      <c r="F786" s="103"/>
      <c r="G786" s="15">
        <f>IFERROR(+VLOOKUP(D:D,'Data Base P.Asuhan &amp; Jompo'!B:I,7,0),0)</f>
        <v>0</v>
      </c>
      <c r="H786" s="258"/>
      <c r="I786" s="258">
        <f>List346[[#This Row],[Pengajuan Donasi]]</f>
        <v>0</v>
      </c>
      <c r="J786" s="213" t="str">
        <f>IF(List346[[#This Row],[Tanggal Trf]]&gt;0,"Done","-")</f>
        <v>-</v>
      </c>
      <c r="K786" s="14"/>
      <c r="L786" s="221"/>
      <c r="M786" s="100"/>
      <c r="N786" s="100">
        <f>MONTH(List346[[#This Row],[Tanggal Pengajuan]])</f>
        <v>1</v>
      </c>
      <c r="O786" s="183"/>
      <c r="P786" s="100"/>
      <c r="Q786" s="111"/>
      <c r="R786" s="367"/>
      <c r="T786" s="152">
        <f>+List346[[#This Row],[Pengajuan Donasi]]-List346[[#This Row],[Jumlah Transfer]]</f>
        <v>0</v>
      </c>
    </row>
    <row r="787" spans="2:20" ht="15.75" x14ac:dyDescent="0.2">
      <c r="B787" s="13"/>
      <c r="C787" s="66"/>
      <c r="D787" s="14"/>
      <c r="E787" s="14"/>
      <c r="F787" s="103"/>
      <c r="G787" s="15">
        <f>IFERROR(+VLOOKUP(D:D,'Data Base P.Asuhan &amp; Jompo'!B:I,7,0),0)</f>
        <v>0</v>
      </c>
      <c r="H787" s="258"/>
      <c r="I787" s="258">
        <f>List346[[#This Row],[Pengajuan Donasi]]</f>
        <v>0</v>
      </c>
      <c r="J787" s="213" t="str">
        <f>IF(List346[[#This Row],[Tanggal Trf]]&gt;0,"Done","-")</f>
        <v>-</v>
      </c>
      <c r="K787" s="14"/>
      <c r="L787" s="221"/>
      <c r="M787" s="100"/>
      <c r="N787" s="100">
        <f>MONTH(List346[[#This Row],[Tanggal Pengajuan]])</f>
        <v>1</v>
      </c>
      <c r="O787" s="183"/>
      <c r="P787" s="100"/>
      <c r="Q787" s="111"/>
      <c r="R787" s="367"/>
      <c r="T787" s="152">
        <f>+List346[[#This Row],[Pengajuan Donasi]]-List346[[#This Row],[Jumlah Transfer]]</f>
        <v>0</v>
      </c>
    </row>
    <row r="788" spans="2:20" ht="15.75" x14ac:dyDescent="0.2">
      <c r="B788" s="13"/>
      <c r="C788" s="66"/>
      <c r="D788" s="14"/>
      <c r="E788" s="14"/>
      <c r="F788" s="103"/>
      <c r="G788" s="15">
        <f>IFERROR(+VLOOKUP(D:D,'Data Base P.Asuhan &amp; Jompo'!B:I,7,0),0)</f>
        <v>0</v>
      </c>
      <c r="H788" s="258"/>
      <c r="I788" s="258">
        <f>List346[[#This Row],[Pengajuan Donasi]]</f>
        <v>0</v>
      </c>
      <c r="J788" s="213" t="str">
        <f>IF(List346[[#This Row],[Tanggal Trf]]&gt;0,"Done","-")</f>
        <v>-</v>
      </c>
      <c r="K788" s="14"/>
      <c r="L788" s="221"/>
      <c r="M788" s="100"/>
      <c r="N788" s="100">
        <f>MONTH(List346[[#This Row],[Tanggal Pengajuan]])</f>
        <v>1</v>
      </c>
      <c r="O788" s="183"/>
      <c r="P788" s="100"/>
      <c r="Q788" s="111"/>
      <c r="R788" s="367"/>
      <c r="T788" s="152">
        <f>+List346[[#This Row],[Pengajuan Donasi]]-List346[[#This Row],[Jumlah Transfer]]</f>
        <v>0</v>
      </c>
    </row>
    <row r="789" spans="2:20" ht="15.75" x14ac:dyDescent="0.2">
      <c r="B789" s="13"/>
      <c r="C789" s="66"/>
      <c r="D789" s="14"/>
      <c r="E789" s="14"/>
      <c r="F789" s="103"/>
      <c r="G789" s="15">
        <f>IFERROR(+VLOOKUP(D:D,'Data Base P.Asuhan &amp; Jompo'!B:I,7,0),0)</f>
        <v>0</v>
      </c>
      <c r="H789" s="258"/>
      <c r="I789" s="258">
        <f>List346[[#This Row],[Pengajuan Donasi]]</f>
        <v>0</v>
      </c>
      <c r="J789" s="213" t="str">
        <f>IF(List346[[#This Row],[Tanggal Trf]]&gt;0,"Done","-")</f>
        <v>-</v>
      </c>
      <c r="K789" s="14"/>
      <c r="L789" s="221"/>
      <c r="M789" s="100"/>
      <c r="N789" s="100">
        <f>MONTH(List346[[#This Row],[Tanggal Pengajuan]])</f>
        <v>1</v>
      </c>
      <c r="O789" s="183"/>
      <c r="P789" s="100"/>
      <c r="Q789" s="111"/>
      <c r="R789" s="367"/>
      <c r="T789" s="152">
        <f>+List346[[#This Row],[Pengajuan Donasi]]-List346[[#This Row],[Jumlah Transfer]]</f>
        <v>0</v>
      </c>
    </row>
    <row r="790" spans="2:20" ht="15.75" x14ac:dyDescent="0.2">
      <c r="B790" s="13"/>
      <c r="C790" s="66"/>
      <c r="D790" s="14"/>
      <c r="E790" s="14"/>
      <c r="F790" s="103"/>
      <c r="G790" s="15">
        <f>IFERROR(+VLOOKUP(D:D,'Data Base P.Asuhan &amp; Jompo'!B:I,7,0),0)</f>
        <v>0</v>
      </c>
      <c r="H790" s="258"/>
      <c r="I790" s="258">
        <f>List346[[#This Row],[Pengajuan Donasi]]</f>
        <v>0</v>
      </c>
      <c r="J790" s="213" t="str">
        <f>IF(List346[[#This Row],[Tanggal Trf]]&gt;0,"Done","-")</f>
        <v>-</v>
      </c>
      <c r="K790" s="14"/>
      <c r="L790" s="221"/>
      <c r="M790" s="100"/>
      <c r="N790" s="100">
        <f>MONTH(List346[[#This Row],[Tanggal Pengajuan]])</f>
        <v>1</v>
      </c>
      <c r="O790" s="183"/>
      <c r="P790" s="100"/>
      <c r="Q790" s="111"/>
      <c r="R790" s="367"/>
      <c r="T790" s="152">
        <f>+List346[[#This Row],[Pengajuan Donasi]]-List346[[#This Row],[Jumlah Transfer]]</f>
        <v>0</v>
      </c>
    </row>
    <row r="791" spans="2:20" ht="15.75" x14ac:dyDescent="0.2">
      <c r="B791" s="13"/>
      <c r="C791" s="66"/>
      <c r="D791" s="14"/>
      <c r="E791" s="14"/>
      <c r="F791" s="103"/>
      <c r="G791" s="15">
        <f>IFERROR(+VLOOKUP(D:D,'Data Base P.Asuhan &amp; Jompo'!B:I,7,0),0)</f>
        <v>0</v>
      </c>
      <c r="H791" s="258"/>
      <c r="I791" s="258">
        <f>List346[[#This Row],[Pengajuan Donasi]]</f>
        <v>0</v>
      </c>
      <c r="J791" s="213" t="str">
        <f>IF(List346[[#This Row],[Tanggal Trf]]&gt;0,"Done","-")</f>
        <v>-</v>
      </c>
      <c r="K791" s="14"/>
      <c r="L791" s="221"/>
      <c r="M791" s="100"/>
      <c r="N791" s="100">
        <f>MONTH(List346[[#This Row],[Tanggal Pengajuan]])</f>
        <v>1</v>
      </c>
      <c r="O791" s="183"/>
      <c r="P791" s="100"/>
      <c r="Q791" s="111"/>
      <c r="R791" s="367"/>
      <c r="T791" s="152">
        <f>+List346[[#This Row],[Pengajuan Donasi]]-List346[[#This Row],[Jumlah Transfer]]</f>
        <v>0</v>
      </c>
    </row>
    <row r="792" spans="2:20" ht="15.75" x14ac:dyDescent="0.2">
      <c r="B792" s="13"/>
      <c r="C792" s="66"/>
      <c r="D792" s="14"/>
      <c r="E792" s="14"/>
      <c r="F792" s="103"/>
      <c r="G792" s="15">
        <f>IFERROR(+VLOOKUP(D:D,'Data Base P.Asuhan &amp; Jompo'!B:I,7,0),0)</f>
        <v>0</v>
      </c>
      <c r="H792" s="258"/>
      <c r="I792" s="258">
        <f>List346[[#This Row],[Pengajuan Donasi]]</f>
        <v>0</v>
      </c>
      <c r="J792" s="213" t="str">
        <f>IF(List346[[#This Row],[Tanggal Trf]]&gt;0,"Done","-")</f>
        <v>-</v>
      </c>
      <c r="K792" s="14"/>
      <c r="L792" s="221"/>
      <c r="M792" s="100"/>
      <c r="N792" s="100">
        <f>MONTH(List346[[#This Row],[Tanggal Pengajuan]])</f>
        <v>1</v>
      </c>
      <c r="O792" s="183"/>
      <c r="P792" s="100"/>
      <c r="Q792" s="111"/>
      <c r="R792" s="367"/>
      <c r="T792" s="152">
        <f>+List346[[#This Row],[Pengajuan Donasi]]-List346[[#This Row],[Jumlah Transfer]]</f>
        <v>0</v>
      </c>
    </row>
    <row r="793" spans="2:20" ht="15.75" x14ac:dyDescent="0.2">
      <c r="B793" s="13"/>
      <c r="C793" s="66"/>
      <c r="D793" s="14"/>
      <c r="E793" s="14"/>
      <c r="F793" s="103"/>
      <c r="G793" s="15">
        <f>IFERROR(+VLOOKUP(D:D,'Data Base P.Asuhan &amp; Jompo'!B:I,7,0),0)</f>
        <v>0</v>
      </c>
      <c r="H793" s="258"/>
      <c r="I793" s="258">
        <f>List346[[#This Row],[Pengajuan Donasi]]</f>
        <v>0</v>
      </c>
      <c r="J793" s="213" t="str">
        <f>IF(List346[[#This Row],[Tanggal Trf]]&gt;0,"Done","-")</f>
        <v>-</v>
      </c>
      <c r="K793" s="14"/>
      <c r="L793" s="221"/>
      <c r="M793" s="100"/>
      <c r="N793" s="100">
        <f>MONTH(List346[[#This Row],[Tanggal Pengajuan]])</f>
        <v>1</v>
      </c>
      <c r="O793" s="183"/>
      <c r="P793" s="100"/>
      <c r="Q793" s="111"/>
      <c r="R793" s="367"/>
      <c r="T793" s="152">
        <f>+List346[[#This Row],[Pengajuan Donasi]]-List346[[#This Row],[Jumlah Transfer]]</f>
        <v>0</v>
      </c>
    </row>
    <row r="794" spans="2:20" ht="15.75" x14ac:dyDescent="0.2">
      <c r="B794" s="13"/>
      <c r="C794" s="66"/>
      <c r="D794" s="14"/>
      <c r="E794" s="14"/>
      <c r="F794" s="103"/>
      <c r="G794" s="15">
        <f>IFERROR(+VLOOKUP(D:D,'Data Base P.Asuhan &amp; Jompo'!B:I,7,0),0)</f>
        <v>0</v>
      </c>
      <c r="H794" s="258"/>
      <c r="I794" s="258">
        <f>List346[[#This Row],[Pengajuan Donasi]]</f>
        <v>0</v>
      </c>
      <c r="J794" s="213" t="str">
        <f>IF(List346[[#This Row],[Tanggal Trf]]&gt;0,"Done","-")</f>
        <v>-</v>
      </c>
      <c r="K794" s="14"/>
      <c r="L794" s="221"/>
      <c r="M794" s="100"/>
      <c r="N794" s="100">
        <f>MONTH(List346[[#This Row],[Tanggal Pengajuan]])</f>
        <v>1</v>
      </c>
      <c r="O794" s="183"/>
      <c r="P794" s="100"/>
      <c r="Q794" s="111"/>
      <c r="R794" s="367"/>
      <c r="T794" s="152">
        <f>+List346[[#This Row],[Pengajuan Donasi]]-List346[[#This Row],[Jumlah Transfer]]</f>
        <v>0</v>
      </c>
    </row>
    <row r="795" spans="2:20" ht="15.75" x14ac:dyDescent="0.2">
      <c r="B795" s="13"/>
      <c r="C795" s="66"/>
      <c r="D795" s="14"/>
      <c r="E795" s="14"/>
      <c r="F795" s="103"/>
      <c r="G795" s="15">
        <f>IFERROR(+VLOOKUP(D:D,'Data Base P.Asuhan &amp; Jompo'!B:I,7,0),0)</f>
        <v>0</v>
      </c>
      <c r="H795" s="258"/>
      <c r="I795" s="258">
        <f>List346[[#This Row],[Pengajuan Donasi]]</f>
        <v>0</v>
      </c>
      <c r="J795" s="213" t="str">
        <f>IF(List346[[#This Row],[Tanggal Trf]]&gt;0,"Done","-")</f>
        <v>-</v>
      </c>
      <c r="K795" s="14"/>
      <c r="L795" s="221"/>
      <c r="M795" s="100"/>
      <c r="N795" s="100">
        <f>MONTH(List346[[#This Row],[Tanggal Pengajuan]])</f>
        <v>1</v>
      </c>
      <c r="O795" s="183"/>
      <c r="P795" s="100"/>
      <c r="Q795" s="111"/>
      <c r="R795" s="367"/>
      <c r="T795" s="152">
        <f>+List346[[#This Row],[Pengajuan Donasi]]-List346[[#This Row],[Jumlah Transfer]]</f>
        <v>0</v>
      </c>
    </row>
    <row r="796" spans="2:20" ht="15.75" x14ac:dyDescent="0.2">
      <c r="B796" s="13"/>
      <c r="C796" s="66"/>
      <c r="D796" s="14"/>
      <c r="E796" s="14"/>
      <c r="F796" s="103"/>
      <c r="G796" s="15">
        <f>IFERROR(+VLOOKUP(D:D,'Data Base P.Asuhan &amp; Jompo'!B:I,7,0),0)</f>
        <v>0</v>
      </c>
      <c r="H796" s="258"/>
      <c r="I796" s="258">
        <f>List346[[#This Row],[Pengajuan Donasi]]</f>
        <v>0</v>
      </c>
      <c r="J796" s="213" t="str">
        <f>IF(List346[[#This Row],[Tanggal Trf]]&gt;0,"Done","-")</f>
        <v>-</v>
      </c>
      <c r="K796" s="14"/>
      <c r="L796" s="221"/>
      <c r="M796" s="100"/>
      <c r="N796" s="100">
        <f>MONTH(List346[[#This Row],[Tanggal Pengajuan]])</f>
        <v>1</v>
      </c>
      <c r="O796" s="183"/>
      <c r="P796" s="100"/>
      <c r="Q796" s="111"/>
      <c r="R796" s="367"/>
      <c r="T796" s="152">
        <f>+List346[[#This Row],[Pengajuan Donasi]]-List346[[#This Row],[Jumlah Transfer]]</f>
        <v>0</v>
      </c>
    </row>
    <row r="797" spans="2:20" ht="15.75" x14ac:dyDescent="0.2">
      <c r="B797" s="13"/>
      <c r="C797" s="66"/>
      <c r="D797" s="14"/>
      <c r="E797" s="14"/>
      <c r="F797" s="103"/>
      <c r="G797" s="15">
        <f>IFERROR(+VLOOKUP(D:D,'Data Base P.Asuhan &amp; Jompo'!B:I,7,0),0)</f>
        <v>0</v>
      </c>
      <c r="H797" s="258"/>
      <c r="I797" s="258">
        <f>List346[[#This Row],[Pengajuan Donasi]]</f>
        <v>0</v>
      </c>
      <c r="J797" s="213" t="str">
        <f>IF(List346[[#This Row],[Tanggal Trf]]&gt;0,"Done","-")</f>
        <v>-</v>
      </c>
      <c r="K797" s="14"/>
      <c r="L797" s="221"/>
      <c r="M797" s="100"/>
      <c r="N797" s="100">
        <f>MONTH(List346[[#This Row],[Tanggal Pengajuan]])</f>
        <v>1</v>
      </c>
      <c r="O797" s="183"/>
      <c r="P797" s="100"/>
      <c r="Q797" s="111"/>
      <c r="R797" s="367"/>
      <c r="T797" s="152">
        <f>+List346[[#This Row],[Pengajuan Donasi]]-List346[[#This Row],[Jumlah Transfer]]</f>
        <v>0</v>
      </c>
    </row>
    <row r="798" spans="2:20" ht="15.75" x14ac:dyDescent="0.2">
      <c r="B798" s="13"/>
      <c r="C798" s="66"/>
      <c r="D798" s="14"/>
      <c r="E798" s="14"/>
      <c r="F798" s="103"/>
      <c r="G798" s="15">
        <f>IFERROR(+VLOOKUP(D:D,'Data Base P.Asuhan &amp; Jompo'!B:I,7,0),0)</f>
        <v>0</v>
      </c>
      <c r="H798" s="258"/>
      <c r="I798" s="258">
        <f>List346[[#This Row],[Pengajuan Donasi]]</f>
        <v>0</v>
      </c>
      <c r="J798" s="213" t="str">
        <f>IF(List346[[#This Row],[Tanggal Trf]]&gt;0,"Done","-")</f>
        <v>-</v>
      </c>
      <c r="K798" s="14"/>
      <c r="L798" s="221"/>
      <c r="M798" s="100"/>
      <c r="N798" s="100">
        <f>MONTH(List346[[#This Row],[Tanggal Pengajuan]])</f>
        <v>1</v>
      </c>
      <c r="O798" s="183"/>
      <c r="P798" s="100"/>
      <c r="Q798" s="111"/>
      <c r="R798" s="367"/>
      <c r="T798" s="152">
        <f>+List346[[#This Row],[Pengajuan Donasi]]-List346[[#This Row],[Jumlah Transfer]]</f>
        <v>0</v>
      </c>
    </row>
    <row r="799" spans="2:20" ht="15.75" x14ac:dyDescent="0.2">
      <c r="B799" s="13"/>
      <c r="C799" s="66"/>
      <c r="D799" s="14"/>
      <c r="E799" s="14"/>
      <c r="F799" s="103"/>
      <c r="G799" s="15">
        <f>IFERROR(+VLOOKUP(D:D,'Data Base P.Asuhan &amp; Jompo'!B:I,7,0),0)</f>
        <v>0</v>
      </c>
      <c r="H799" s="258"/>
      <c r="I799" s="258">
        <f>List346[[#This Row],[Pengajuan Donasi]]</f>
        <v>0</v>
      </c>
      <c r="J799" s="213" t="str">
        <f>IF(List346[[#This Row],[Tanggal Trf]]&gt;0,"Done","-")</f>
        <v>-</v>
      </c>
      <c r="K799" s="14"/>
      <c r="L799" s="221"/>
      <c r="M799" s="100"/>
      <c r="N799" s="100">
        <f>MONTH(List346[[#This Row],[Tanggal Pengajuan]])</f>
        <v>1</v>
      </c>
      <c r="O799" s="183"/>
      <c r="P799" s="100"/>
      <c r="Q799" s="111"/>
      <c r="R799" s="367"/>
      <c r="T799" s="152">
        <f>+List346[[#This Row],[Pengajuan Donasi]]-List346[[#This Row],[Jumlah Transfer]]</f>
        <v>0</v>
      </c>
    </row>
    <row r="800" spans="2:20" ht="15.75" x14ac:dyDescent="0.2">
      <c r="B800" s="13"/>
      <c r="C800" s="66"/>
      <c r="D800" s="14"/>
      <c r="E800" s="14"/>
      <c r="F800" s="103"/>
      <c r="G800" s="15">
        <f>IFERROR(+VLOOKUP(D:D,'Data Base P.Asuhan &amp; Jompo'!B:I,7,0),0)</f>
        <v>0</v>
      </c>
      <c r="H800" s="258"/>
      <c r="I800" s="258">
        <f>List346[[#This Row],[Pengajuan Donasi]]</f>
        <v>0</v>
      </c>
      <c r="J800" s="213" t="str">
        <f>IF(List346[[#This Row],[Tanggal Trf]]&gt;0,"Done","-")</f>
        <v>-</v>
      </c>
      <c r="K800" s="14"/>
      <c r="L800" s="221"/>
      <c r="M800" s="100"/>
      <c r="N800" s="100">
        <f>MONTH(List346[[#This Row],[Tanggal Pengajuan]])</f>
        <v>1</v>
      </c>
      <c r="O800" s="183"/>
      <c r="P800" s="100"/>
      <c r="Q800" s="111"/>
      <c r="R800" s="367"/>
      <c r="T800" s="152">
        <f>+List346[[#This Row],[Pengajuan Donasi]]-List346[[#This Row],[Jumlah Transfer]]</f>
        <v>0</v>
      </c>
    </row>
    <row r="801" spans="2:20" ht="15.75" x14ac:dyDescent="0.2">
      <c r="B801" s="13"/>
      <c r="C801" s="66"/>
      <c r="D801" s="14"/>
      <c r="E801" s="14"/>
      <c r="F801" s="103"/>
      <c r="G801" s="15">
        <f>IFERROR(+VLOOKUP(D:D,'Data Base P.Asuhan &amp; Jompo'!B:I,7,0),0)</f>
        <v>0</v>
      </c>
      <c r="H801" s="258"/>
      <c r="I801" s="258">
        <f>List346[[#This Row],[Pengajuan Donasi]]</f>
        <v>0</v>
      </c>
      <c r="J801" s="213" t="str">
        <f>IF(List346[[#This Row],[Tanggal Trf]]&gt;0,"Done","-")</f>
        <v>-</v>
      </c>
      <c r="K801" s="14"/>
      <c r="L801" s="221"/>
      <c r="M801" s="100"/>
      <c r="N801" s="100">
        <f>MONTH(List346[[#This Row],[Tanggal Pengajuan]])</f>
        <v>1</v>
      </c>
      <c r="O801" s="183"/>
      <c r="P801" s="100"/>
      <c r="Q801" s="111"/>
      <c r="R801" s="367"/>
      <c r="T801" s="152">
        <f>+List346[[#This Row],[Pengajuan Donasi]]-List346[[#This Row],[Jumlah Transfer]]</f>
        <v>0</v>
      </c>
    </row>
    <row r="802" spans="2:20" ht="15.75" x14ac:dyDescent="0.2">
      <c r="B802" s="13"/>
      <c r="C802" s="66"/>
      <c r="D802" s="14"/>
      <c r="E802" s="14"/>
      <c r="F802" s="103"/>
      <c r="G802" s="15">
        <f>IFERROR(+VLOOKUP(D:D,'Data Base P.Asuhan &amp; Jompo'!B:I,7,0),0)</f>
        <v>0</v>
      </c>
      <c r="H802" s="258"/>
      <c r="I802" s="258">
        <f>List346[[#This Row],[Pengajuan Donasi]]</f>
        <v>0</v>
      </c>
      <c r="J802" s="213" t="str">
        <f>IF(List346[[#This Row],[Tanggal Trf]]&gt;0,"Done","-")</f>
        <v>-</v>
      </c>
      <c r="K802" s="14"/>
      <c r="L802" s="221"/>
      <c r="M802" s="100"/>
      <c r="N802" s="100">
        <f>MONTH(List346[[#This Row],[Tanggal Pengajuan]])</f>
        <v>1</v>
      </c>
      <c r="O802" s="183"/>
      <c r="P802" s="100"/>
      <c r="Q802" s="111"/>
      <c r="R802" s="367"/>
      <c r="T802" s="152">
        <f>+List346[[#This Row],[Pengajuan Donasi]]-List346[[#This Row],[Jumlah Transfer]]</f>
        <v>0</v>
      </c>
    </row>
    <row r="803" spans="2:20" ht="15.75" x14ac:dyDescent="0.2">
      <c r="B803" s="13"/>
      <c r="C803" s="66"/>
      <c r="D803" s="14"/>
      <c r="E803" s="14"/>
      <c r="F803" s="103"/>
      <c r="G803" s="15">
        <f>IFERROR(+VLOOKUP(D:D,'Data Base P.Asuhan &amp; Jompo'!B:I,7,0),0)</f>
        <v>0</v>
      </c>
      <c r="H803" s="258"/>
      <c r="I803" s="258">
        <f>List346[[#This Row],[Pengajuan Donasi]]</f>
        <v>0</v>
      </c>
      <c r="J803" s="213" t="str">
        <f>IF(List346[[#This Row],[Tanggal Trf]]&gt;0,"Done","-")</f>
        <v>-</v>
      </c>
      <c r="K803" s="14"/>
      <c r="L803" s="221"/>
      <c r="M803" s="100"/>
      <c r="N803" s="100">
        <f>MONTH(List346[[#This Row],[Tanggal Pengajuan]])</f>
        <v>1</v>
      </c>
      <c r="O803" s="183"/>
      <c r="P803" s="100"/>
      <c r="Q803" s="111"/>
      <c r="R803" s="367"/>
      <c r="T803" s="152">
        <f>+List346[[#This Row],[Pengajuan Donasi]]-List346[[#This Row],[Jumlah Transfer]]</f>
        <v>0</v>
      </c>
    </row>
    <row r="804" spans="2:20" ht="15.75" x14ac:dyDescent="0.2">
      <c r="B804" s="13"/>
      <c r="C804" s="66"/>
      <c r="D804" s="14"/>
      <c r="E804" s="14"/>
      <c r="F804" s="103"/>
      <c r="G804" s="15">
        <f>IFERROR(+VLOOKUP(D:D,'Data Base P.Asuhan &amp; Jompo'!B:I,7,0),0)</f>
        <v>0</v>
      </c>
      <c r="H804" s="258"/>
      <c r="I804" s="258">
        <f>List346[[#This Row],[Pengajuan Donasi]]</f>
        <v>0</v>
      </c>
      <c r="J804" s="213" t="str">
        <f>IF(List346[[#This Row],[Tanggal Trf]]&gt;0,"Done","-")</f>
        <v>-</v>
      </c>
      <c r="K804" s="14"/>
      <c r="L804" s="221"/>
      <c r="M804" s="100"/>
      <c r="N804" s="100">
        <f>MONTH(List346[[#This Row],[Tanggal Pengajuan]])</f>
        <v>1</v>
      </c>
      <c r="O804" s="183"/>
      <c r="P804" s="100"/>
      <c r="Q804" s="111"/>
      <c r="R804" s="367"/>
      <c r="T804" s="152">
        <f>+List346[[#This Row],[Pengajuan Donasi]]-List346[[#This Row],[Jumlah Transfer]]</f>
        <v>0</v>
      </c>
    </row>
    <row r="805" spans="2:20" ht="15.75" x14ac:dyDescent="0.2">
      <c r="B805" s="13"/>
      <c r="C805" s="66"/>
      <c r="D805" s="14"/>
      <c r="E805" s="14"/>
      <c r="F805" s="103"/>
      <c r="G805" s="15">
        <f>IFERROR(+VLOOKUP(D:D,'Data Base P.Asuhan &amp; Jompo'!B:I,7,0),0)</f>
        <v>0</v>
      </c>
      <c r="H805" s="258"/>
      <c r="I805" s="258">
        <f>List346[[#This Row],[Pengajuan Donasi]]</f>
        <v>0</v>
      </c>
      <c r="J805" s="213" t="str">
        <f>IF(List346[[#This Row],[Tanggal Trf]]&gt;0,"Done","-")</f>
        <v>-</v>
      </c>
      <c r="K805" s="14"/>
      <c r="L805" s="221"/>
      <c r="M805" s="100"/>
      <c r="N805" s="100">
        <f>MONTH(List346[[#This Row],[Tanggal Pengajuan]])</f>
        <v>1</v>
      </c>
      <c r="O805" s="183"/>
      <c r="P805" s="100"/>
      <c r="Q805" s="111"/>
      <c r="R805" s="367"/>
      <c r="T805" s="152">
        <f>+List346[[#This Row],[Pengajuan Donasi]]-List346[[#This Row],[Jumlah Transfer]]</f>
        <v>0</v>
      </c>
    </row>
    <row r="806" spans="2:20" ht="15.75" x14ac:dyDescent="0.2">
      <c r="B806" s="13"/>
      <c r="C806" s="66"/>
      <c r="D806" s="14"/>
      <c r="E806" s="14"/>
      <c r="F806" s="103"/>
      <c r="G806" s="15">
        <f>IFERROR(+VLOOKUP(D:D,'Data Base P.Asuhan &amp; Jompo'!B:I,7,0),0)</f>
        <v>0</v>
      </c>
      <c r="H806" s="258"/>
      <c r="I806" s="258">
        <f>List346[[#This Row],[Pengajuan Donasi]]</f>
        <v>0</v>
      </c>
      <c r="J806" s="213" t="str">
        <f>IF(List346[[#This Row],[Tanggal Trf]]&gt;0,"Done","-")</f>
        <v>-</v>
      </c>
      <c r="K806" s="14"/>
      <c r="L806" s="221"/>
      <c r="M806" s="100"/>
      <c r="N806" s="100">
        <f>MONTH(List346[[#This Row],[Tanggal Pengajuan]])</f>
        <v>1</v>
      </c>
      <c r="O806" s="183"/>
      <c r="P806" s="100"/>
      <c r="Q806" s="111"/>
      <c r="R806" s="367"/>
      <c r="T806" s="152">
        <f>+List346[[#This Row],[Pengajuan Donasi]]-List346[[#This Row],[Jumlah Transfer]]</f>
        <v>0</v>
      </c>
    </row>
    <row r="807" spans="2:20" ht="15.75" x14ac:dyDescent="0.2">
      <c r="B807" s="13"/>
      <c r="C807" s="66"/>
      <c r="D807" s="14"/>
      <c r="E807" s="14"/>
      <c r="F807" s="103"/>
      <c r="G807" s="15">
        <f>IFERROR(+VLOOKUP(D:D,'Data Base P.Asuhan &amp; Jompo'!B:I,7,0),0)</f>
        <v>0</v>
      </c>
      <c r="H807" s="258"/>
      <c r="I807" s="258">
        <f>List346[[#This Row],[Pengajuan Donasi]]</f>
        <v>0</v>
      </c>
      <c r="J807" s="213" t="str">
        <f>IF(List346[[#This Row],[Tanggal Trf]]&gt;0,"Done","-")</f>
        <v>-</v>
      </c>
      <c r="K807" s="14"/>
      <c r="L807" s="221"/>
      <c r="M807" s="100"/>
      <c r="N807" s="100">
        <f>MONTH(List346[[#This Row],[Tanggal Pengajuan]])</f>
        <v>1</v>
      </c>
      <c r="O807" s="183"/>
      <c r="P807" s="100"/>
      <c r="Q807" s="111"/>
      <c r="R807" s="367"/>
      <c r="T807" s="152">
        <f>+List346[[#This Row],[Pengajuan Donasi]]-List346[[#This Row],[Jumlah Transfer]]</f>
        <v>0</v>
      </c>
    </row>
    <row r="808" spans="2:20" ht="15.75" x14ac:dyDescent="0.2">
      <c r="B808" s="13"/>
      <c r="C808" s="66"/>
      <c r="D808" s="14"/>
      <c r="E808" s="14"/>
      <c r="F808" s="103"/>
      <c r="G808" s="15">
        <f>IFERROR(+VLOOKUP(D:D,'Data Base P.Asuhan &amp; Jompo'!B:I,7,0),0)</f>
        <v>0</v>
      </c>
      <c r="H808" s="258"/>
      <c r="I808" s="258">
        <f>List346[[#This Row],[Pengajuan Donasi]]</f>
        <v>0</v>
      </c>
      <c r="J808" s="213" t="str">
        <f>IF(List346[[#This Row],[Tanggal Trf]]&gt;0,"Done","-")</f>
        <v>-</v>
      </c>
      <c r="K808" s="14"/>
      <c r="L808" s="221"/>
      <c r="M808" s="100"/>
      <c r="N808" s="100">
        <v>9</v>
      </c>
      <c r="O808" s="183"/>
      <c r="P808" s="100"/>
      <c r="Q808" s="111"/>
      <c r="R808" s="367"/>
      <c r="T808" s="152">
        <f>+List346[[#This Row],[Pengajuan Donasi]]-List346[[#This Row],[Jumlah Transfer]]</f>
        <v>0</v>
      </c>
    </row>
    <row r="809" spans="2:20" ht="15.75" x14ac:dyDescent="0.2">
      <c r="B809" s="13"/>
      <c r="C809" s="66"/>
      <c r="D809" s="14"/>
      <c r="E809" s="14"/>
      <c r="F809" s="103"/>
      <c r="G809" s="15">
        <f>IFERROR(+VLOOKUP(D:D,'Data Base P.Asuhan &amp; Jompo'!B:I,7,0),0)</f>
        <v>0</v>
      </c>
      <c r="H809" s="258"/>
      <c r="I809" s="258">
        <f>List346[[#This Row],[Pengajuan Donasi]]</f>
        <v>0</v>
      </c>
      <c r="J809" s="213" t="str">
        <f>IF(List346[[#This Row],[Tanggal Trf]]&gt;0,"Done","-")</f>
        <v>-</v>
      </c>
      <c r="K809" s="14"/>
      <c r="L809" s="221"/>
      <c r="M809" s="100"/>
      <c r="N809" s="100">
        <v>9</v>
      </c>
      <c r="O809" s="183"/>
      <c r="P809" s="100"/>
      <c r="Q809" s="111"/>
      <c r="R809" s="367"/>
      <c r="T809" s="152">
        <f>+List346[[#This Row],[Pengajuan Donasi]]-List346[[#This Row],[Jumlah Transfer]]</f>
        <v>0</v>
      </c>
    </row>
    <row r="810" spans="2:20" ht="15.75" x14ac:dyDescent="0.2">
      <c r="B810" s="13"/>
      <c r="C810" s="66"/>
      <c r="D810" s="14"/>
      <c r="E810" s="14"/>
      <c r="F810" s="103"/>
      <c r="G810" s="15">
        <f>IFERROR(+VLOOKUP(D:D,'Data Base P.Asuhan &amp; Jompo'!B:I,7,0),0)</f>
        <v>0</v>
      </c>
      <c r="H810" s="258"/>
      <c r="I810" s="258">
        <f>List346[[#This Row],[Pengajuan Donasi]]</f>
        <v>0</v>
      </c>
      <c r="J810" s="213" t="str">
        <f>IF(List346[[#This Row],[Tanggal Trf]]&gt;0,"Done","-")</f>
        <v>-</v>
      </c>
      <c r="K810" s="445"/>
      <c r="L810" s="225"/>
      <c r="M810" s="100"/>
      <c r="N810" s="100">
        <v>9</v>
      </c>
      <c r="O810" s="183"/>
      <c r="P810" s="100"/>
      <c r="Q810" s="111"/>
      <c r="R810" s="367"/>
      <c r="T810" s="152">
        <f>+List346[[#This Row],[Pengajuan Donasi]]-List346[[#This Row],[Jumlah Transfer]]</f>
        <v>0</v>
      </c>
    </row>
    <row r="811" spans="2:20" ht="15.75" x14ac:dyDescent="0.2">
      <c r="B811" s="13"/>
      <c r="C811" s="66"/>
      <c r="D811" s="14"/>
      <c r="E811" s="14"/>
      <c r="F811" s="103"/>
      <c r="G811" s="15">
        <f>IFERROR(+VLOOKUP(D:D,'Data Base P.Asuhan &amp; Jompo'!B:I,7,0),0)</f>
        <v>0</v>
      </c>
      <c r="H811" s="258"/>
      <c r="I811" s="258">
        <f>List346[[#This Row],[Pengajuan Donasi]]</f>
        <v>0</v>
      </c>
      <c r="J811" s="213" t="str">
        <f>IF(List346[[#This Row],[Tanggal Trf]]&gt;0,"Done","-")</f>
        <v>-</v>
      </c>
      <c r="K811" s="445"/>
      <c r="L811" s="225"/>
      <c r="M811" s="100"/>
      <c r="N811" s="100">
        <v>9</v>
      </c>
      <c r="O811" s="183"/>
      <c r="P811" s="100"/>
      <c r="Q811" s="111"/>
      <c r="R811" s="367"/>
      <c r="T811" s="152">
        <f>+List346[[#This Row],[Pengajuan Donasi]]-List346[[#This Row],[Jumlah Transfer]]</f>
        <v>0</v>
      </c>
    </row>
    <row r="812" spans="2:20" ht="15.75" x14ac:dyDescent="0.2">
      <c r="B812" s="13"/>
      <c r="C812" s="66"/>
      <c r="D812" s="14"/>
      <c r="E812" s="14"/>
      <c r="F812" s="103"/>
      <c r="G812" s="15">
        <f>IFERROR(+VLOOKUP(D:D,'Data Base P.Asuhan &amp; Jompo'!B:I,7,0),0)</f>
        <v>0</v>
      </c>
      <c r="H812" s="258"/>
      <c r="I812" s="258">
        <f>List346[[#This Row],[Pengajuan Donasi]]</f>
        <v>0</v>
      </c>
      <c r="J812" s="213" t="str">
        <f>IF(List346[[#This Row],[Tanggal Trf]]&gt;0,"Done","-")</f>
        <v>-</v>
      </c>
      <c r="K812" s="445"/>
      <c r="L812" s="225"/>
      <c r="M812" s="100"/>
      <c r="N812" s="100">
        <v>9</v>
      </c>
      <c r="O812" s="183"/>
      <c r="P812" s="100"/>
      <c r="Q812" s="111"/>
      <c r="R812" s="367"/>
      <c r="T812" s="152">
        <f>+List346[[#This Row],[Pengajuan Donasi]]-List346[[#This Row],[Jumlah Transfer]]</f>
        <v>0</v>
      </c>
    </row>
    <row r="813" spans="2:20" ht="30" customHeight="1" x14ac:dyDescent="0.2">
      <c r="B813" s="13"/>
      <c r="C813" s="66"/>
      <c r="D813" s="14"/>
      <c r="E813" s="14"/>
      <c r="F813" s="103"/>
      <c r="G813" s="15">
        <f>IFERROR(+VLOOKUP(D:D,'Data Base P.Asuhan &amp; Jompo'!B:I,7,0),0)</f>
        <v>0</v>
      </c>
      <c r="H813" s="258"/>
      <c r="I813" s="258">
        <f>List346[[#This Row],[Pengajuan Donasi]]</f>
        <v>0</v>
      </c>
      <c r="J813" s="213" t="str">
        <f>IF(List346[[#This Row],[Tanggal Trf]]&gt;0,"Done","-")</f>
        <v>-</v>
      </c>
      <c r="K813" s="445"/>
      <c r="L813" s="225"/>
      <c r="M813" s="100"/>
      <c r="N813" s="100">
        <v>9</v>
      </c>
      <c r="O813" s="183"/>
      <c r="P813" s="100"/>
      <c r="Q813" s="111"/>
      <c r="R813" s="367"/>
      <c r="T813" s="152">
        <f>+List346[[#This Row],[Pengajuan Donasi]]-List346[[#This Row],[Jumlah Transfer]]</f>
        <v>0</v>
      </c>
    </row>
    <row r="814" spans="2:20" ht="30" customHeight="1" x14ac:dyDescent="0.2">
      <c r="B814" s="13"/>
      <c r="C814" s="66"/>
      <c r="D814" s="14"/>
      <c r="E814" s="14"/>
      <c r="F814" s="103"/>
      <c r="G814" s="15">
        <f>IFERROR(+VLOOKUP(D:D,'Data Base P.Asuhan &amp; Jompo'!B:I,7,0),0)</f>
        <v>0</v>
      </c>
      <c r="H814" s="258"/>
      <c r="I814" s="258">
        <f>List346[[#This Row],[Pengajuan Donasi]]</f>
        <v>0</v>
      </c>
      <c r="J814" s="213" t="str">
        <f>IF(List346[[#This Row],[Tanggal Trf]]&gt;0,"Done","-")</f>
        <v>-</v>
      </c>
      <c r="K814" s="445"/>
      <c r="L814" s="225"/>
      <c r="M814" s="100"/>
      <c r="N814" s="100">
        <v>9</v>
      </c>
      <c r="O814" s="183"/>
      <c r="P814" s="100"/>
      <c r="Q814" s="111"/>
      <c r="R814" s="367"/>
      <c r="T814" s="152">
        <f>+List346[[#This Row],[Pengajuan Donasi]]-List346[[#This Row],[Jumlah Transfer]]</f>
        <v>0</v>
      </c>
    </row>
    <row r="815" spans="2:20" ht="30" customHeight="1" x14ac:dyDescent="0.2">
      <c r="B815" s="13"/>
      <c r="C815" s="66"/>
      <c r="D815" s="14"/>
      <c r="E815" s="14"/>
      <c r="F815" s="103"/>
      <c r="G815" s="15">
        <f>IFERROR(+VLOOKUP(D:D,'Data Base P.Asuhan &amp; Jompo'!B:I,7,0),0)</f>
        <v>0</v>
      </c>
      <c r="H815" s="258"/>
      <c r="I815" s="258">
        <f>List346[[#This Row],[Pengajuan Donasi]]</f>
        <v>0</v>
      </c>
      <c r="J815" s="213" t="str">
        <f>IF(List346[[#This Row],[Tanggal Trf]]&gt;0,"Done","-")</f>
        <v>-</v>
      </c>
      <c r="K815" s="445"/>
      <c r="L815" s="225"/>
      <c r="M815" s="100"/>
      <c r="N815" s="100">
        <v>9</v>
      </c>
      <c r="O815" s="183"/>
      <c r="P815" s="100"/>
      <c r="Q815" s="111"/>
      <c r="R815" s="367"/>
      <c r="T815" s="152">
        <f>+List346[[#This Row],[Pengajuan Donasi]]-List346[[#This Row],[Jumlah Transfer]]</f>
        <v>0</v>
      </c>
    </row>
    <row r="816" spans="2:20" ht="30" customHeight="1" x14ac:dyDescent="0.2">
      <c r="B816" s="13"/>
      <c r="C816" s="66"/>
      <c r="D816" s="14"/>
      <c r="E816" s="14"/>
      <c r="F816" s="103"/>
      <c r="G816" s="15">
        <f>IFERROR(+VLOOKUP(D:D,'Data Base P.Asuhan &amp; Jompo'!B:I,7,0),0)</f>
        <v>0</v>
      </c>
      <c r="H816" s="258"/>
      <c r="I816" s="258">
        <f>List346[[#This Row],[Pengajuan Donasi]]</f>
        <v>0</v>
      </c>
      <c r="J816" s="213" t="str">
        <f>IF(List346[[#This Row],[Tanggal Trf]]&gt;0,"Done","-")</f>
        <v>-</v>
      </c>
      <c r="K816" s="445"/>
      <c r="L816" s="225"/>
      <c r="M816" s="100"/>
      <c r="N816" s="100">
        <v>9</v>
      </c>
      <c r="O816" s="183"/>
      <c r="P816" s="100"/>
      <c r="Q816" s="111"/>
      <c r="R816" s="367"/>
      <c r="T816" s="152">
        <f>+List346[[#This Row],[Pengajuan Donasi]]-List346[[#This Row],[Jumlah Transfer]]</f>
        <v>0</v>
      </c>
    </row>
    <row r="817" spans="2:20" ht="30" customHeight="1" x14ac:dyDescent="0.2">
      <c r="B817" s="13"/>
      <c r="C817" s="66"/>
      <c r="D817" s="14"/>
      <c r="E817" s="14"/>
      <c r="F817" s="103"/>
      <c r="G817" s="15">
        <f>IFERROR(+VLOOKUP(D:D,'Data Base P.Asuhan &amp; Jompo'!B:I,7,0),0)</f>
        <v>0</v>
      </c>
      <c r="H817" s="258"/>
      <c r="I817" s="258">
        <f>List346[[#This Row],[Pengajuan Donasi]]</f>
        <v>0</v>
      </c>
      <c r="J817" s="213" t="str">
        <f>IF(List346[[#This Row],[Tanggal Trf]]&gt;0,"Done","-")</f>
        <v>-</v>
      </c>
      <c r="K817" s="445"/>
      <c r="L817" s="225"/>
      <c r="M817" s="100"/>
      <c r="N817" s="100">
        <v>9</v>
      </c>
      <c r="O817" s="183"/>
      <c r="P817" s="100"/>
      <c r="Q817" s="111"/>
      <c r="R817" s="367"/>
      <c r="T817" s="152">
        <f>+List346[[#This Row],[Pengajuan Donasi]]-List346[[#This Row],[Jumlah Transfer]]</f>
        <v>0</v>
      </c>
    </row>
    <row r="818" spans="2:20" ht="30" customHeight="1" x14ac:dyDescent="0.2">
      <c r="B818" s="13"/>
      <c r="C818" s="66"/>
      <c r="D818" s="14"/>
      <c r="E818" s="14"/>
      <c r="F818" s="103"/>
      <c r="G818" s="15">
        <f>IFERROR(+VLOOKUP(D:D,'Data Base P.Asuhan &amp; Jompo'!B:I,7,0),0)</f>
        <v>0</v>
      </c>
      <c r="H818" s="258"/>
      <c r="I818" s="258">
        <f>List346[[#This Row],[Pengajuan Donasi]]</f>
        <v>0</v>
      </c>
      <c r="J818" s="213" t="str">
        <f>IF(List346[[#This Row],[Tanggal Trf]]&gt;0,"Done","-")</f>
        <v>-</v>
      </c>
      <c r="K818" s="445"/>
      <c r="L818" s="221"/>
      <c r="M818" s="100"/>
      <c r="N818" s="100">
        <v>9</v>
      </c>
      <c r="O818" s="183"/>
      <c r="P818" s="100"/>
      <c r="Q818" s="111"/>
      <c r="R818" s="367"/>
      <c r="T818" s="152">
        <f>+List346[[#This Row],[Pengajuan Donasi]]-List346[[#This Row],[Jumlah Transfer]]</f>
        <v>0</v>
      </c>
    </row>
    <row r="819" spans="2:20" ht="15.75" x14ac:dyDescent="0.2">
      <c r="B819" s="13"/>
      <c r="C819" s="66"/>
      <c r="D819" s="14"/>
      <c r="E819" s="14"/>
      <c r="F819" s="103"/>
      <c r="G819" s="15">
        <f>IFERROR(+VLOOKUP(D:D,'Data Base P.Asuhan &amp; Jompo'!B:I,7,0),0)</f>
        <v>0</v>
      </c>
      <c r="H819" s="258"/>
      <c r="I819" s="258">
        <f>List346[[#This Row],[Pengajuan Donasi]]</f>
        <v>0</v>
      </c>
      <c r="J819" s="213" t="str">
        <f>IF(List346[[#This Row],[Tanggal Trf]]&gt;0,"Done","-")</f>
        <v>-</v>
      </c>
      <c r="K819" s="445"/>
      <c r="L819" s="221"/>
      <c r="M819" s="100"/>
      <c r="N819" s="100">
        <v>9</v>
      </c>
      <c r="O819" s="183"/>
      <c r="P819" s="100"/>
      <c r="Q819" s="111"/>
      <c r="R819" s="367"/>
      <c r="T819" s="152">
        <f>+List346[[#This Row],[Pengajuan Donasi]]-List346[[#This Row],[Jumlah Transfer]]</f>
        <v>0</v>
      </c>
    </row>
    <row r="820" spans="2:20" ht="15.75" x14ac:dyDescent="0.2">
      <c r="B820" s="13"/>
      <c r="C820" s="66"/>
      <c r="D820" s="14"/>
      <c r="E820" s="14"/>
      <c r="F820" s="103"/>
      <c r="G820" s="15">
        <f>IFERROR(+VLOOKUP(D:D,'Data Base P.Asuhan &amp; Jompo'!B:I,7,0),0)</f>
        <v>0</v>
      </c>
      <c r="H820" s="258"/>
      <c r="I820" s="258">
        <f>List346[[#This Row],[Pengajuan Donasi]]</f>
        <v>0</v>
      </c>
      <c r="J820" s="213" t="str">
        <f>IF(List346[[#This Row],[Tanggal Trf]]&gt;0,"Done","-")</f>
        <v>-</v>
      </c>
      <c r="K820" s="445"/>
      <c r="L820" s="221"/>
      <c r="M820" s="100"/>
      <c r="N820" s="100">
        <v>9</v>
      </c>
      <c r="O820" s="183"/>
      <c r="P820" s="100"/>
      <c r="Q820" s="111"/>
      <c r="R820" s="367"/>
      <c r="T820" s="152">
        <f>+List346[[#This Row],[Pengajuan Donasi]]-List346[[#This Row],[Jumlah Transfer]]</f>
        <v>0</v>
      </c>
    </row>
    <row r="821" spans="2:20" ht="30" customHeight="1" x14ac:dyDescent="0.2">
      <c r="B821" s="13"/>
      <c r="C821" s="66"/>
      <c r="D821" s="14"/>
      <c r="E821" s="14"/>
      <c r="F821" s="103"/>
      <c r="G821" s="15">
        <f>IFERROR(+VLOOKUP(D:D,'Data Base P.Asuhan &amp; Jompo'!B:I,7,0),0)</f>
        <v>0</v>
      </c>
      <c r="H821" s="258"/>
      <c r="I821" s="258">
        <f>List346[[#This Row],[Pengajuan Donasi]]</f>
        <v>0</v>
      </c>
      <c r="J821" s="213" t="str">
        <f>IF(List346[[#This Row],[Tanggal Trf]]&gt;0,"Done","-")</f>
        <v>-</v>
      </c>
      <c r="K821" s="445"/>
      <c r="L821" s="221"/>
      <c r="M821" s="100"/>
      <c r="N821" s="100">
        <v>9</v>
      </c>
      <c r="O821" s="183"/>
      <c r="P821" s="100"/>
      <c r="Q821" s="111"/>
      <c r="R821" s="367"/>
      <c r="T821" s="152">
        <f>+List346[[#This Row],[Pengajuan Donasi]]-List346[[#This Row],[Jumlah Transfer]]</f>
        <v>0</v>
      </c>
    </row>
    <row r="822" spans="2:20" ht="15.75" x14ac:dyDescent="0.2">
      <c r="B822" s="13"/>
      <c r="C822" s="66"/>
      <c r="D822" s="14"/>
      <c r="E822" s="14"/>
      <c r="F822" s="103"/>
      <c r="G822" s="15">
        <f>IFERROR(+VLOOKUP(D:D,'Data Base P.Asuhan &amp; Jompo'!B:I,7,0),0)</f>
        <v>0</v>
      </c>
      <c r="H822" s="258"/>
      <c r="I822" s="258">
        <f>List346[[#This Row],[Pengajuan Donasi]]</f>
        <v>0</v>
      </c>
      <c r="J822" s="213" t="str">
        <f>IF(List346[[#This Row],[Tanggal Trf]]&gt;0,"Done","-")</f>
        <v>-</v>
      </c>
      <c r="K822" s="445"/>
      <c r="L822" s="221"/>
      <c r="M822" s="100"/>
      <c r="N822" s="100">
        <v>9</v>
      </c>
      <c r="O822" s="183"/>
      <c r="P822" s="100"/>
      <c r="Q822" s="111"/>
      <c r="R822" s="367"/>
      <c r="T822" s="152">
        <f>+List346[[#This Row],[Pengajuan Donasi]]-List346[[#This Row],[Jumlah Transfer]]</f>
        <v>0</v>
      </c>
    </row>
    <row r="823" spans="2:20" ht="15.75" x14ac:dyDescent="0.2">
      <c r="B823" s="13"/>
      <c r="C823" s="66"/>
      <c r="D823" s="14"/>
      <c r="E823" s="14"/>
      <c r="F823" s="103"/>
      <c r="G823" s="15">
        <f>IFERROR(+VLOOKUP(D:D,'Data Base P.Asuhan &amp; Jompo'!B:I,7,0),0)</f>
        <v>0</v>
      </c>
      <c r="H823" s="258"/>
      <c r="I823" s="258">
        <f>List346[[#This Row],[Pengajuan Donasi]]</f>
        <v>0</v>
      </c>
      <c r="J823" s="213" t="str">
        <f>IF(List346[[#This Row],[Tanggal Trf]]&gt;0,"Done","-")</f>
        <v>-</v>
      </c>
      <c r="K823" s="445"/>
      <c r="L823" s="221"/>
      <c r="M823" s="100"/>
      <c r="N823" s="100">
        <v>9</v>
      </c>
      <c r="O823" s="183"/>
      <c r="P823" s="100"/>
      <c r="Q823" s="111"/>
      <c r="R823" s="367"/>
      <c r="T823" s="152">
        <f>+List346[[#This Row],[Pengajuan Donasi]]-List346[[#This Row],[Jumlah Transfer]]</f>
        <v>0</v>
      </c>
    </row>
    <row r="824" spans="2:20" ht="15.75" x14ac:dyDescent="0.2">
      <c r="B824" s="13"/>
      <c r="C824" s="66"/>
      <c r="D824" s="14"/>
      <c r="E824" s="14"/>
      <c r="F824" s="103"/>
      <c r="G824" s="15">
        <f>IFERROR(+VLOOKUP(D:D,'Data Base P.Asuhan &amp; Jompo'!B:I,7,0),0)</f>
        <v>0</v>
      </c>
      <c r="H824" s="258"/>
      <c r="I824" s="258">
        <f>List346[[#This Row],[Pengajuan Donasi]]</f>
        <v>0</v>
      </c>
      <c r="J824" s="213" t="str">
        <f>IF(List346[[#This Row],[Tanggal Trf]]&gt;0,"Done","-")</f>
        <v>-</v>
      </c>
      <c r="K824" s="445"/>
      <c r="L824" s="221"/>
      <c r="M824" s="100"/>
      <c r="N824" s="100">
        <v>9</v>
      </c>
      <c r="O824" s="183"/>
      <c r="P824" s="100"/>
      <c r="Q824" s="111"/>
      <c r="R824" s="367"/>
      <c r="T824" s="152">
        <f>+List346[[#This Row],[Pengajuan Donasi]]-List346[[#This Row],[Jumlah Transfer]]</f>
        <v>0</v>
      </c>
    </row>
    <row r="825" spans="2:20" ht="30" customHeight="1" x14ac:dyDescent="0.2">
      <c r="B825" s="13"/>
      <c r="C825" s="66"/>
      <c r="D825" s="14"/>
      <c r="E825" s="14"/>
      <c r="F825" s="103"/>
      <c r="G825" s="15">
        <f>IFERROR(+VLOOKUP(D:D,'Data Base P.Asuhan &amp; Jompo'!B:I,7,0),0)</f>
        <v>0</v>
      </c>
      <c r="H825" s="258"/>
      <c r="I825" s="258">
        <f>List346[[#This Row],[Pengajuan Donasi]]</f>
        <v>0</v>
      </c>
      <c r="J825" s="213" t="str">
        <f>IF(List346[[#This Row],[Tanggal Trf]]&gt;0,"Done","-")</f>
        <v>-</v>
      </c>
      <c r="K825" s="14"/>
      <c r="L825" s="221"/>
      <c r="M825" s="100"/>
      <c r="N825" s="100">
        <v>9</v>
      </c>
      <c r="O825" s="183"/>
      <c r="P825" s="100"/>
      <c r="Q825" s="111"/>
      <c r="R825" s="367"/>
      <c r="T825" s="152">
        <f>+List346[[#This Row],[Pengajuan Donasi]]-List346[[#This Row],[Jumlah Transfer]]</f>
        <v>0</v>
      </c>
    </row>
    <row r="826" spans="2:20" ht="30" customHeight="1" x14ac:dyDescent="0.2">
      <c r="B826" s="13"/>
      <c r="C826" s="66"/>
      <c r="D826" s="14"/>
      <c r="E826" s="14"/>
      <c r="F826" s="103"/>
      <c r="G826" s="15">
        <f>IFERROR(+VLOOKUP(D:D,'Data Base P.Asuhan &amp; Jompo'!B:I,7,0),0)</f>
        <v>0</v>
      </c>
      <c r="H826" s="258"/>
      <c r="I826" s="258">
        <f>List346[[#This Row],[Pengajuan Donasi]]</f>
        <v>0</v>
      </c>
      <c r="J826" s="213" t="str">
        <f>IF(List346[[#This Row],[Tanggal Trf]]&gt;0,"Done","-")</f>
        <v>-</v>
      </c>
      <c r="K826" s="14"/>
      <c r="L826" s="221"/>
      <c r="M826" s="100"/>
      <c r="N826" s="100">
        <v>9</v>
      </c>
      <c r="O826" s="183"/>
      <c r="P826" s="100"/>
      <c r="Q826" s="111"/>
      <c r="R826" s="367"/>
      <c r="T826" s="152">
        <f>+List346[[#This Row],[Pengajuan Donasi]]-List346[[#This Row],[Jumlah Transfer]]</f>
        <v>0</v>
      </c>
    </row>
    <row r="827" spans="2:20" ht="30" customHeight="1" x14ac:dyDescent="0.2">
      <c r="B827" s="13"/>
      <c r="C827" s="66"/>
      <c r="D827" s="14"/>
      <c r="E827" s="14"/>
      <c r="F827" s="103"/>
      <c r="G827" s="15">
        <f>IFERROR(+VLOOKUP(D:D,'Data Base P.Asuhan &amp; Jompo'!B:I,7,0),0)</f>
        <v>0</v>
      </c>
      <c r="H827" s="258"/>
      <c r="I827" s="258">
        <f>List346[[#This Row],[Pengajuan Donasi]]</f>
        <v>0</v>
      </c>
      <c r="J827" s="213" t="str">
        <f>IF(List346[[#This Row],[Tanggal Trf]]&gt;0,"Done","-")</f>
        <v>-</v>
      </c>
      <c r="K827" s="14"/>
      <c r="L827" s="221"/>
      <c r="M827" s="100"/>
      <c r="N827" s="100">
        <v>9</v>
      </c>
      <c r="O827" s="183"/>
      <c r="P827" s="100"/>
      <c r="Q827" s="111"/>
      <c r="R827" s="367"/>
      <c r="T827" s="152">
        <f>+List346[[#This Row],[Pengajuan Donasi]]-List346[[#This Row],[Jumlah Transfer]]</f>
        <v>0</v>
      </c>
    </row>
    <row r="828" spans="2:20" ht="30" customHeight="1" x14ac:dyDescent="0.2">
      <c r="B828" s="13"/>
      <c r="C828" s="66"/>
      <c r="D828" s="14"/>
      <c r="E828" s="14"/>
      <c r="F828" s="103"/>
      <c r="G828" s="15">
        <f>IFERROR(+VLOOKUP(D:D,'Data Base P.Asuhan &amp; Jompo'!B:I,7,0),0)</f>
        <v>0</v>
      </c>
      <c r="H828" s="258"/>
      <c r="I828" s="258">
        <f>List346[[#This Row],[Pengajuan Donasi]]</f>
        <v>0</v>
      </c>
      <c r="J828" s="213" t="str">
        <f>IF(List346[[#This Row],[Tanggal Trf]]&gt;0,"Done","-")</f>
        <v>-</v>
      </c>
      <c r="K828" s="14"/>
      <c r="L828" s="221"/>
      <c r="M828" s="100"/>
      <c r="N828" s="100">
        <v>9</v>
      </c>
      <c r="O828" s="183"/>
      <c r="P828" s="100"/>
      <c r="Q828" s="111"/>
      <c r="R828" s="367"/>
      <c r="T828" s="152">
        <f>+List346[[#This Row],[Pengajuan Donasi]]-List346[[#This Row],[Jumlah Transfer]]</f>
        <v>0</v>
      </c>
    </row>
    <row r="829" spans="2:20" ht="30" customHeight="1" x14ac:dyDescent="0.2">
      <c r="B829" s="13"/>
      <c r="C829" s="66"/>
      <c r="D829" s="14"/>
      <c r="E829" s="14"/>
      <c r="F829" s="103"/>
      <c r="G829" s="15">
        <f>IFERROR(+VLOOKUP(D:D,'Data Base P.Asuhan &amp; Jompo'!B:I,7,0),0)</f>
        <v>0</v>
      </c>
      <c r="H829" s="258"/>
      <c r="I829" s="258">
        <f>List346[[#This Row],[Pengajuan Donasi]]</f>
        <v>0</v>
      </c>
      <c r="J829" s="213" t="str">
        <f>IF(List346[[#This Row],[Tanggal Trf]]&gt;0,"Done","-")</f>
        <v>-</v>
      </c>
      <c r="K829" s="14"/>
      <c r="L829" s="221"/>
      <c r="M829" s="100"/>
      <c r="N829" s="100">
        <v>9</v>
      </c>
      <c r="O829" s="183"/>
      <c r="P829" s="100"/>
      <c r="Q829" s="111"/>
      <c r="R829" s="367"/>
      <c r="T829" s="152">
        <f>+List346[[#This Row],[Pengajuan Donasi]]-List346[[#This Row],[Jumlah Transfer]]</f>
        <v>0</v>
      </c>
    </row>
    <row r="830" spans="2:20" ht="30" customHeight="1" x14ac:dyDescent="0.2">
      <c r="B830" s="13"/>
      <c r="C830" s="66"/>
      <c r="D830" s="14"/>
      <c r="E830" s="14"/>
      <c r="F830" s="103"/>
      <c r="G830" s="15">
        <f>IFERROR(+VLOOKUP(D:D,'Data Base P.Asuhan &amp; Jompo'!B:I,7,0),0)</f>
        <v>0</v>
      </c>
      <c r="H830" s="258"/>
      <c r="I830" s="258">
        <f>List346[[#This Row],[Pengajuan Donasi]]</f>
        <v>0</v>
      </c>
      <c r="J830" s="213" t="str">
        <f>IF(List346[[#This Row],[Tanggal Trf]]&gt;0,"Done","-")</f>
        <v>-</v>
      </c>
      <c r="K830" s="14"/>
      <c r="L830" s="221"/>
      <c r="M830" s="100"/>
      <c r="N830" s="100">
        <v>9</v>
      </c>
      <c r="O830" s="183"/>
      <c r="P830" s="100"/>
      <c r="Q830" s="111"/>
      <c r="R830" s="367"/>
      <c r="T830" s="152">
        <f>+List346[[#This Row],[Pengajuan Donasi]]-List346[[#This Row],[Jumlah Transfer]]</f>
        <v>0</v>
      </c>
    </row>
    <row r="831" spans="2:20" ht="15.75" x14ac:dyDescent="0.2">
      <c r="B831" s="13"/>
      <c r="C831" s="66"/>
      <c r="D831" s="14"/>
      <c r="E831" s="14"/>
      <c r="F831" s="103"/>
      <c r="G831" s="15">
        <f>IFERROR(+VLOOKUP(D:D,'Data Base P.Asuhan &amp; Jompo'!B:I,7,0),0)</f>
        <v>0</v>
      </c>
      <c r="H831" s="258"/>
      <c r="I831" s="258">
        <f>List346[[#This Row],[Pengajuan Donasi]]</f>
        <v>0</v>
      </c>
      <c r="J831" s="213" t="str">
        <f>IF(List346[[#This Row],[Tanggal Trf]]&gt;0,"Done","-")</f>
        <v>-</v>
      </c>
      <c r="K831" s="445"/>
      <c r="L831" s="221"/>
      <c r="M831" s="100"/>
      <c r="N831" s="100">
        <v>9</v>
      </c>
      <c r="O831" s="183"/>
      <c r="P831" s="100"/>
      <c r="Q831" s="111"/>
      <c r="R831" s="367"/>
      <c r="T831" s="152">
        <f>+List346[[#This Row],[Pengajuan Donasi]]-List346[[#This Row],[Jumlah Transfer]]</f>
        <v>0</v>
      </c>
    </row>
    <row r="832" spans="2:20" ht="15.75" x14ac:dyDescent="0.2">
      <c r="B832" s="13"/>
      <c r="C832" s="66"/>
      <c r="D832" s="14"/>
      <c r="E832" s="14"/>
      <c r="F832" s="103"/>
      <c r="G832" s="15">
        <f>IFERROR(+VLOOKUP(D:D,'Data Base P.Asuhan &amp; Jompo'!B:I,7,0),0)</f>
        <v>0</v>
      </c>
      <c r="H832" s="258"/>
      <c r="I832" s="258">
        <f>List346[[#This Row],[Pengajuan Donasi]]</f>
        <v>0</v>
      </c>
      <c r="J832" s="213" t="str">
        <f>IF(List346[[#This Row],[Tanggal Trf]]&gt;0,"Done","-")</f>
        <v>-</v>
      </c>
      <c r="K832" s="445"/>
      <c r="L832" s="221"/>
      <c r="M832" s="100"/>
      <c r="N832" s="100">
        <v>9</v>
      </c>
      <c r="O832" s="183"/>
      <c r="P832" s="100"/>
      <c r="Q832" s="111"/>
      <c r="R832" s="367"/>
      <c r="T832" s="152">
        <f>+List346[[#This Row],[Pengajuan Donasi]]-List346[[#This Row],[Jumlah Transfer]]</f>
        <v>0</v>
      </c>
    </row>
    <row r="833" spans="2:20" ht="15.75" x14ac:dyDescent="0.2">
      <c r="B833" s="13"/>
      <c r="C833" s="66"/>
      <c r="D833" s="14"/>
      <c r="E833" s="14"/>
      <c r="F833" s="103"/>
      <c r="G833" s="15">
        <f>IFERROR(+VLOOKUP(D:D,'Data Base P.Asuhan &amp; Jompo'!B:I,7,0),0)</f>
        <v>0</v>
      </c>
      <c r="H833" s="258"/>
      <c r="I833" s="258">
        <f>List346[[#This Row],[Pengajuan Donasi]]</f>
        <v>0</v>
      </c>
      <c r="J833" s="213" t="str">
        <f>IF(List346[[#This Row],[Tanggal Trf]]&gt;0,"Done","-")</f>
        <v>-</v>
      </c>
      <c r="K833" s="445"/>
      <c r="L833" s="221"/>
      <c r="M833" s="100"/>
      <c r="N833" s="100">
        <v>9</v>
      </c>
      <c r="O833" s="183"/>
      <c r="P833" s="100"/>
      <c r="Q833" s="111"/>
      <c r="R833" s="367"/>
      <c r="T833" s="152">
        <f>+List346[[#This Row],[Pengajuan Donasi]]-List346[[#This Row],[Jumlah Transfer]]</f>
        <v>0</v>
      </c>
    </row>
    <row r="834" spans="2:20" ht="15.75" x14ac:dyDescent="0.2">
      <c r="B834" s="13"/>
      <c r="C834" s="66"/>
      <c r="D834" s="14"/>
      <c r="E834" s="14"/>
      <c r="F834" s="103"/>
      <c r="G834" s="15">
        <f>IFERROR(+VLOOKUP(D:D,'Data Base P.Asuhan &amp; Jompo'!B:I,7,0),0)</f>
        <v>0</v>
      </c>
      <c r="H834" s="258"/>
      <c r="I834" s="258">
        <f>List346[[#This Row],[Pengajuan Donasi]]</f>
        <v>0</v>
      </c>
      <c r="J834" s="213" t="str">
        <f>IF(List346[[#This Row],[Tanggal Trf]]&gt;0,"Done","-")</f>
        <v>-</v>
      </c>
      <c r="K834" s="445"/>
      <c r="L834" s="221"/>
      <c r="M834" s="100"/>
      <c r="N834" s="100">
        <v>9</v>
      </c>
      <c r="O834" s="183"/>
      <c r="P834" s="100"/>
      <c r="Q834" s="111"/>
      <c r="R834" s="367"/>
      <c r="T834" s="152">
        <f>+List346[[#This Row],[Pengajuan Donasi]]-List346[[#This Row],[Jumlah Transfer]]</f>
        <v>0</v>
      </c>
    </row>
    <row r="835" spans="2:20" ht="15.75" x14ac:dyDescent="0.2">
      <c r="B835" s="13"/>
      <c r="C835" s="66"/>
      <c r="D835" s="14"/>
      <c r="E835" s="14"/>
      <c r="F835" s="103"/>
      <c r="G835" s="15">
        <f>IFERROR(+VLOOKUP(D:D,'Data Base P.Asuhan &amp; Jompo'!B:I,7,0),0)</f>
        <v>0</v>
      </c>
      <c r="H835" s="258"/>
      <c r="I835" s="258">
        <f>List346[[#This Row],[Pengajuan Donasi]]</f>
        <v>0</v>
      </c>
      <c r="J835" s="213" t="str">
        <f>IF(List346[[#This Row],[Tanggal Trf]]&gt;0,"Done","-")</f>
        <v>-</v>
      </c>
      <c r="K835" s="445"/>
      <c r="L835" s="221"/>
      <c r="M835" s="100"/>
      <c r="N835" s="100">
        <v>9</v>
      </c>
      <c r="O835" s="183"/>
      <c r="P835" s="100"/>
      <c r="Q835" s="111"/>
      <c r="R835" s="367"/>
      <c r="T835" s="152">
        <f>+List346[[#This Row],[Pengajuan Donasi]]-List346[[#This Row],[Jumlah Transfer]]</f>
        <v>0</v>
      </c>
    </row>
    <row r="836" spans="2:20" ht="15.75" x14ac:dyDescent="0.2">
      <c r="B836" s="13"/>
      <c r="C836" s="66"/>
      <c r="D836" s="14"/>
      <c r="E836" s="14"/>
      <c r="F836" s="103"/>
      <c r="G836" s="15">
        <f>IFERROR(+VLOOKUP(D:D,'Data Base P.Asuhan &amp; Jompo'!B:I,7,0),0)</f>
        <v>0</v>
      </c>
      <c r="H836" s="258"/>
      <c r="I836" s="258">
        <f>List346[[#This Row],[Pengajuan Donasi]]</f>
        <v>0</v>
      </c>
      <c r="J836" s="213" t="str">
        <f>IF(List346[[#This Row],[Tanggal Trf]]&gt;0,"Done","-")</f>
        <v>-</v>
      </c>
      <c r="K836" s="445"/>
      <c r="L836" s="221"/>
      <c r="M836" s="100"/>
      <c r="N836" s="100">
        <v>9</v>
      </c>
      <c r="O836" s="183"/>
      <c r="P836" s="100"/>
      <c r="Q836" s="111"/>
      <c r="R836" s="367"/>
      <c r="T836" s="152">
        <f>+List346[[#This Row],[Pengajuan Donasi]]-List346[[#This Row],[Jumlah Transfer]]</f>
        <v>0</v>
      </c>
    </row>
    <row r="837" spans="2:20" ht="15.75" x14ac:dyDescent="0.2">
      <c r="B837" s="13"/>
      <c r="C837" s="66"/>
      <c r="D837" s="14"/>
      <c r="E837" s="14"/>
      <c r="F837" s="103"/>
      <c r="G837" s="15">
        <f>IFERROR(+VLOOKUP(D:D,'Data Base P.Asuhan &amp; Jompo'!B:I,7,0),0)</f>
        <v>0</v>
      </c>
      <c r="H837" s="258"/>
      <c r="I837" s="258">
        <f>List346[[#This Row],[Pengajuan Donasi]]</f>
        <v>0</v>
      </c>
      <c r="J837" s="213" t="str">
        <f>IF(List346[[#This Row],[Tanggal Trf]]&gt;0,"Done","-")</f>
        <v>-</v>
      </c>
      <c r="K837" s="445"/>
      <c r="L837" s="221"/>
      <c r="M837" s="100"/>
      <c r="N837" s="100">
        <v>9</v>
      </c>
      <c r="O837" s="183"/>
      <c r="P837" s="100"/>
      <c r="Q837" s="111"/>
      <c r="R837" s="367"/>
      <c r="T837" s="152">
        <f>+List346[[#This Row],[Pengajuan Donasi]]-List346[[#This Row],[Jumlah Transfer]]</f>
        <v>0</v>
      </c>
    </row>
    <row r="838" spans="2:20" ht="15.75" x14ac:dyDescent="0.2">
      <c r="B838" s="13"/>
      <c r="C838" s="66"/>
      <c r="D838" s="14"/>
      <c r="E838" s="14"/>
      <c r="F838" s="103"/>
      <c r="G838" s="15">
        <f>IFERROR(+VLOOKUP(D:D,'Data Base P.Asuhan &amp; Jompo'!B:I,7,0),0)</f>
        <v>0</v>
      </c>
      <c r="H838" s="258"/>
      <c r="I838" s="258">
        <f>List346[[#This Row],[Pengajuan Donasi]]</f>
        <v>0</v>
      </c>
      <c r="J838" s="213" t="str">
        <f>IF(List346[[#This Row],[Tanggal Trf]]&gt;0,"Done","-")</f>
        <v>-</v>
      </c>
      <c r="K838" s="445"/>
      <c r="L838" s="221"/>
      <c r="M838" s="100"/>
      <c r="N838" s="100">
        <v>9</v>
      </c>
      <c r="O838" s="183"/>
      <c r="P838" s="100"/>
      <c r="Q838" s="111"/>
      <c r="R838" s="367"/>
      <c r="T838" s="152">
        <f>+List346[[#This Row],[Pengajuan Donasi]]-List346[[#This Row],[Jumlah Transfer]]</f>
        <v>0</v>
      </c>
    </row>
    <row r="839" spans="2:20" ht="30" customHeight="1" x14ac:dyDescent="0.2">
      <c r="B839" s="13"/>
      <c r="C839" s="66"/>
      <c r="D839" s="14"/>
      <c r="E839" s="14"/>
      <c r="F839" s="103"/>
      <c r="G839" s="15">
        <f>IFERROR(+VLOOKUP(D:D,'Data Base P.Asuhan &amp; Jompo'!B:I,7,0),0)</f>
        <v>0</v>
      </c>
      <c r="H839" s="258"/>
      <c r="I839" s="258">
        <f>List346[[#This Row],[Pengajuan Donasi]]</f>
        <v>0</v>
      </c>
      <c r="J839" s="213" t="str">
        <f>IF(List346[[#This Row],[Tanggal Trf]]&gt;0,"Done","-")</f>
        <v>-</v>
      </c>
      <c r="K839" s="445"/>
      <c r="L839" s="221"/>
      <c r="M839" s="100"/>
      <c r="N839" s="100">
        <v>9</v>
      </c>
      <c r="O839" s="183"/>
      <c r="P839" s="100"/>
      <c r="Q839" s="111"/>
      <c r="R839" s="367"/>
      <c r="T839" s="152">
        <f>+List346[[#This Row],[Pengajuan Donasi]]-List346[[#This Row],[Jumlah Transfer]]</f>
        <v>0</v>
      </c>
    </row>
    <row r="840" spans="2:20" ht="15.75" x14ac:dyDescent="0.2">
      <c r="B840" s="13"/>
      <c r="C840" s="66"/>
      <c r="D840" s="14"/>
      <c r="E840" s="14"/>
      <c r="F840" s="103"/>
      <c r="G840" s="15">
        <f>IFERROR(+VLOOKUP(D:D,'Data Base P.Asuhan &amp; Jompo'!B:I,7,0),0)</f>
        <v>0</v>
      </c>
      <c r="H840" s="258"/>
      <c r="I840" s="258">
        <f>List346[[#This Row],[Pengajuan Donasi]]</f>
        <v>0</v>
      </c>
      <c r="J840" s="213" t="str">
        <f>IF(List346[[#This Row],[Tanggal Trf]]&gt;0,"Done","-")</f>
        <v>-</v>
      </c>
      <c r="K840" s="445"/>
      <c r="L840" s="221"/>
      <c r="M840" s="100"/>
      <c r="N840" s="100">
        <v>9</v>
      </c>
      <c r="O840" s="183"/>
      <c r="P840" s="100"/>
      <c r="Q840" s="111"/>
      <c r="R840" s="367"/>
      <c r="T840" s="152">
        <f>+List346[[#This Row],[Pengajuan Donasi]]-List346[[#This Row],[Jumlah Transfer]]</f>
        <v>0</v>
      </c>
    </row>
    <row r="841" spans="2:20" ht="15.75" x14ac:dyDescent="0.2">
      <c r="B841" s="13"/>
      <c r="C841" s="66"/>
      <c r="D841" s="14"/>
      <c r="E841" s="14"/>
      <c r="F841" s="103"/>
      <c r="G841" s="15">
        <f>IFERROR(+VLOOKUP(D:D,'Data Base P.Asuhan &amp; Jompo'!B:I,7,0),0)</f>
        <v>0</v>
      </c>
      <c r="H841" s="258"/>
      <c r="I841" s="258">
        <f>List346[[#This Row],[Pengajuan Donasi]]</f>
        <v>0</v>
      </c>
      <c r="J841" s="213" t="str">
        <f>IF(List346[[#This Row],[Tanggal Trf]]&gt;0,"Done","-")</f>
        <v>-</v>
      </c>
      <c r="K841" s="445"/>
      <c r="L841" s="221"/>
      <c r="M841" s="100"/>
      <c r="N841" s="100">
        <v>9</v>
      </c>
      <c r="O841" s="183"/>
      <c r="P841" s="100"/>
      <c r="Q841" s="111"/>
      <c r="R841" s="367"/>
      <c r="T841" s="152">
        <f>+List346[[#This Row],[Pengajuan Donasi]]-List346[[#This Row],[Jumlah Transfer]]</f>
        <v>0</v>
      </c>
    </row>
    <row r="842" spans="2:20" ht="15.75" x14ac:dyDescent="0.2">
      <c r="B842" s="13"/>
      <c r="C842" s="66"/>
      <c r="D842" s="14"/>
      <c r="E842" s="14"/>
      <c r="F842" s="103"/>
      <c r="G842" s="15">
        <f>IFERROR(+VLOOKUP(D:D,'Data Base P.Asuhan &amp; Jompo'!B:I,7,0),0)</f>
        <v>0</v>
      </c>
      <c r="H842" s="258"/>
      <c r="I842" s="258">
        <f>List346[[#This Row],[Pengajuan Donasi]]</f>
        <v>0</v>
      </c>
      <c r="J842" s="213" t="str">
        <f>IF(List346[[#This Row],[Tanggal Trf]]&gt;0,"Done","-")</f>
        <v>-</v>
      </c>
      <c r="K842" s="445"/>
      <c r="L842" s="221"/>
      <c r="M842" s="100"/>
      <c r="N842" s="100">
        <v>9</v>
      </c>
      <c r="O842" s="183"/>
      <c r="P842" s="100"/>
      <c r="Q842" s="111"/>
      <c r="R842" s="367"/>
      <c r="T842" s="152">
        <f>+List346[[#This Row],[Pengajuan Donasi]]-List346[[#This Row],[Jumlah Transfer]]</f>
        <v>0</v>
      </c>
    </row>
    <row r="843" spans="2:20" ht="15.75" x14ac:dyDescent="0.2">
      <c r="B843" s="13"/>
      <c r="C843" s="66"/>
      <c r="D843" s="14"/>
      <c r="E843" s="14"/>
      <c r="F843" s="103"/>
      <c r="G843" s="15">
        <f>IFERROR(+VLOOKUP(D:D,'Data Base P.Asuhan &amp; Jompo'!B:I,7,0),0)</f>
        <v>0</v>
      </c>
      <c r="H843" s="258"/>
      <c r="I843" s="258">
        <f>List346[[#This Row],[Pengajuan Donasi]]</f>
        <v>0</v>
      </c>
      <c r="J843" s="213" t="str">
        <f>IF(List346[[#This Row],[Tanggal Trf]]&gt;0,"Done","-")</f>
        <v>-</v>
      </c>
      <c r="K843" s="445"/>
      <c r="L843" s="221"/>
      <c r="M843" s="100"/>
      <c r="N843" s="100">
        <v>9</v>
      </c>
      <c r="O843" s="183"/>
      <c r="P843" s="100"/>
      <c r="Q843" s="111"/>
      <c r="R843" s="367"/>
      <c r="T843" s="152">
        <f>+List346[[#This Row],[Pengajuan Donasi]]-List346[[#This Row],[Jumlah Transfer]]</f>
        <v>0</v>
      </c>
    </row>
    <row r="844" spans="2:20" ht="15.75" x14ac:dyDescent="0.2">
      <c r="B844" s="13"/>
      <c r="C844" s="66"/>
      <c r="D844" s="14"/>
      <c r="E844" s="14"/>
      <c r="F844" s="103"/>
      <c r="G844" s="15">
        <f>IFERROR(+VLOOKUP(D:D,'Data Base P.Asuhan &amp; Jompo'!B:I,7,0),0)</f>
        <v>0</v>
      </c>
      <c r="H844" s="258"/>
      <c r="I844" s="258">
        <f>List346[[#This Row],[Pengajuan Donasi]]</f>
        <v>0</v>
      </c>
      <c r="J844" s="213" t="str">
        <f>IF(List346[[#This Row],[Tanggal Trf]]&gt;0,"Done","-")</f>
        <v>-</v>
      </c>
      <c r="K844" s="445"/>
      <c r="L844" s="221"/>
      <c r="M844" s="100"/>
      <c r="N844" s="100">
        <v>9</v>
      </c>
      <c r="O844" s="183"/>
      <c r="P844" s="100"/>
      <c r="Q844" s="111"/>
      <c r="R844" s="367"/>
      <c r="T844" s="152">
        <f>+List346[[#This Row],[Pengajuan Donasi]]-List346[[#This Row],[Jumlah Transfer]]</f>
        <v>0</v>
      </c>
    </row>
    <row r="845" spans="2:20" ht="15.75" x14ac:dyDescent="0.2">
      <c r="B845" s="13"/>
      <c r="C845" s="66"/>
      <c r="D845" s="14"/>
      <c r="E845" s="14"/>
      <c r="F845" s="103"/>
      <c r="G845" s="15">
        <f>IFERROR(+VLOOKUP(D:D,'Data Base P.Asuhan &amp; Jompo'!B:I,7,0),0)</f>
        <v>0</v>
      </c>
      <c r="H845" s="258"/>
      <c r="I845" s="258">
        <f>List346[[#This Row],[Pengajuan Donasi]]</f>
        <v>0</v>
      </c>
      <c r="J845" s="213" t="str">
        <f>IF(List346[[#This Row],[Tanggal Trf]]&gt;0,"Done","-")</f>
        <v>-</v>
      </c>
      <c r="K845" s="445"/>
      <c r="L845" s="221"/>
      <c r="M845" s="100"/>
      <c r="N845" s="100">
        <v>9</v>
      </c>
      <c r="O845" s="183"/>
      <c r="P845" s="100"/>
      <c r="Q845" s="111"/>
      <c r="R845" s="367"/>
      <c r="T845" s="152">
        <f>+List346[[#This Row],[Pengajuan Donasi]]-List346[[#This Row],[Jumlah Transfer]]</f>
        <v>0</v>
      </c>
    </row>
    <row r="846" spans="2:20" ht="15.75" x14ac:dyDescent="0.2">
      <c r="B846" s="13"/>
      <c r="C846" s="66"/>
      <c r="D846" s="14"/>
      <c r="E846" s="14"/>
      <c r="F846" s="103"/>
      <c r="G846" s="15">
        <f>IFERROR(+VLOOKUP(D:D,'Data Base P.Asuhan &amp; Jompo'!B:I,7,0),0)</f>
        <v>0</v>
      </c>
      <c r="H846" s="258"/>
      <c r="I846" s="258">
        <f>List346[[#This Row],[Pengajuan Donasi]]</f>
        <v>0</v>
      </c>
      <c r="J846" s="213" t="str">
        <f>IF(List346[[#This Row],[Tanggal Trf]]&gt;0,"Done","-")</f>
        <v>-</v>
      </c>
      <c r="K846" s="445"/>
      <c r="L846" s="221"/>
      <c r="M846" s="100"/>
      <c r="N846" s="100">
        <v>9</v>
      </c>
      <c r="O846" s="183"/>
      <c r="P846" s="100"/>
      <c r="Q846" s="111"/>
      <c r="R846" s="367"/>
      <c r="T846" s="152">
        <f>+List346[[#This Row],[Pengajuan Donasi]]-List346[[#This Row],[Jumlah Transfer]]</f>
        <v>0</v>
      </c>
    </row>
    <row r="847" spans="2:20" ht="30" customHeight="1" x14ac:dyDescent="0.2">
      <c r="B847" s="13"/>
      <c r="C847" s="66"/>
      <c r="D847" s="14"/>
      <c r="E847" s="14"/>
      <c r="F847" s="103"/>
      <c r="G847" s="15">
        <f>IFERROR(+VLOOKUP(D:D,'Data Base P.Asuhan &amp; Jompo'!B:I,7,0),0)</f>
        <v>0</v>
      </c>
      <c r="H847" s="258"/>
      <c r="I847" s="258">
        <f>List346[[#This Row],[Pengajuan Donasi]]</f>
        <v>0</v>
      </c>
      <c r="J847" s="213" t="str">
        <f>IF(List346[[#This Row],[Tanggal Trf]]&gt;0,"Done","-")</f>
        <v>-</v>
      </c>
      <c r="K847" s="445"/>
      <c r="L847" s="221"/>
      <c r="M847" s="100"/>
      <c r="N847" s="100">
        <v>9</v>
      </c>
      <c r="O847" s="183"/>
      <c r="P847" s="100"/>
      <c r="Q847" s="111"/>
      <c r="R847" s="367"/>
      <c r="T847" s="152">
        <f>+List346[[#This Row],[Pengajuan Donasi]]-List346[[#This Row],[Jumlah Transfer]]</f>
        <v>0</v>
      </c>
    </row>
    <row r="848" spans="2:20" ht="30" customHeight="1" x14ac:dyDescent="0.2">
      <c r="B848" s="13"/>
      <c r="C848" s="66"/>
      <c r="D848" s="14"/>
      <c r="E848" s="14"/>
      <c r="F848" s="103"/>
      <c r="G848" s="15">
        <f>IFERROR(+VLOOKUP(D:D,'Data Base P.Asuhan &amp; Jompo'!B:I,7,0),0)</f>
        <v>0</v>
      </c>
      <c r="H848" s="258"/>
      <c r="I848" s="258">
        <f>List346[[#This Row],[Pengajuan Donasi]]</f>
        <v>0</v>
      </c>
      <c r="J848" s="213" t="str">
        <f>IF(List346[[#This Row],[Tanggal Trf]]&gt;0,"Done","-")</f>
        <v>-</v>
      </c>
      <c r="K848" s="14"/>
      <c r="L848" s="221"/>
      <c r="M848" s="100"/>
      <c r="N848" s="100">
        <v>9</v>
      </c>
      <c r="O848" s="183"/>
      <c r="P848" s="100"/>
      <c r="Q848" s="111"/>
      <c r="R848" s="367"/>
      <c r="T848" s="152">
        <f>+List346[[#This Row],[Pengajuan Donasi]]-List346[[#This Row],[Jumlah Transfer]]</f>
        <v>0</v>
      </c>
    </row>
    <row r="849" spans="2:20" ht="30" customHeight="1" x14ac:dyDescent="0.2">
      <c r="B849" s="13"/>
      <c r="C849" s="66"/>
      <c r="D849" s="14"/>
      <c r="E849" s="14"/>
      <c r="F849" s="103"/>
      <c r="G849" s="15">
        <f>IFERROR(+VLOOKUP(D:D,'Data Base P.Asuhan &amp; Jompo'!B:I,7,0),0)</f>
        <v>0</v>
      </c>
      <c r="H849" s="258"/>
      <c r="I849" s="258">
        <f>List346[[#This Row],[Pengajuan Donasi]]</f>
        <v>0</v>
      </c>
      <c r="J849" s="213" t="str">
        <f>IF(List346[[#This Row],[Tanggal Trf]]&gt;0,"Done","-")</f>
        <v>-</v>
      </c>
      <c r="K849" s="14"/>
      <c r="L849" s="221"/>
      <c r="M849" s="100"/>
      <c r="N849" s="100">
        <f>MONTH(List346[[#This Row],[Tanggal Pengajuan]])</f>
        <v>1</v>
      </c>
      <c r="O849" s="183"/>
      <c r="P849" s="100"/>
      <c r="Q849" s="111"/>
      <c r="R849" s="367"/>
      <c r="T849" s="152">
        <f>+List346[[#This Row],[Pengajuan Donasi]]-List346[[#This Row],[Jumlah Transfer]]</f>
        <v>0</v>
      </c>
    </row>
    <row r="850" spans="2:20" ht="46.5" customHeight="1" x14ac:dyDescent="0.2">
      <c r="B850" s="13"/>
      <c r="C850" s="66"/>
      <c r="D850" s="14"/>
      <c r="E850" s="14"/>
      <c r="F850" s="103"/>
      <c r="G850" s="15">
        <f>IFERROR(+VLOOKUP(D:D,'Data Base P.Asuhan &amp; Jompo'!B:I,7,0),0)</f>
        <v>0</v>
      </c>
      <c r="H850" s="258"/>
      <c r="I850" s="258">
        <f>List346[[#This Row],[Pengajuan Donasi]]</f>
        <v>0</v>
      </c>
      <c r="J850" s="213" t="str">
        <f>IF(List346[[#This Row],[Tanggal Trf]]&gt;0,"Done","-")</f>
        <v>-</v>
      </c>
      <c r="K850" s="14"/>
      <c r="L850" s="221"/>
      <c r="M850" s="100"/>
      <c r="N850" s="100">
        <f>MONTH(List346[[#This Row],[Tanggal Pengajuan]])</f>
        <v>1</v>
      </c>
      <c r="O850" s="183"/>
      <c r="P850" s="100"/>
      <c r="Q850" s="111"/>
      <c r="R850" s="367"/>
      <c r="T850" s="152">
        <f>+List346[[#This Row],[Pengajuan Donasi]]-List346[[#This Row],[Jumlah Transfer]]</f>
        <v>0</v>
      </c>
    </row>
    <row r="851" spans="2:20" ht="30" customHeight="1" x14ac:dyDescent="0.2">
      <c r="B851" s="13"/>
      <c r="C851" s="66"/>
      <c r="D851" s="14"/>
      <c r="E851" s="14"/>
      <c r="F851" s="103"/>
      <c r="G851" s="15">
        <f>IFERROR(+VLOOKUP(D:D,'Data Base P.Asuhan &amp; Jompo'!B:I,7,0),0)</f>
        <v>0</v>
      </c>
      <c r="H851" s="258"/>
      <c r="I851" s="258">
        <f>List346[[#This Row],[Pengajuan Donasi]]</f>
        <v>0</v>
      </c>
      <c r="J851" s="213" t="str">
        <f>IF(List346[[#This Row],[Tanggal Trf]]&gt;0,"Done","-")</f>
        <v>-</v>
      </c>
      <c r="K851" s="445"/>
      <c r="L851" s="221"/>
      <c r="M851" s="100"/>
      <c r="N851" s="100">
        <v>9</v>
      </c>
      <c r="O851" s="183"/>
      <c r="P851" s="100"/>
      <c r="Q851" s="111"/>
      <c r="R851" s="367"/>
      <c r="T851" s="152">
        <f>+List346[[#This Row],[Pengajuan Donasi]]-List346[[#This Row],[Jumlah Transfer]]</f>
        <v>0</v>
      </c>
    </row>
    <row r="852" spans="2:20" ht="30" customHeight="1" x14ac:dyDescent="0.2">
      <c r="B852" s="13"/>
      <c r="C852" s="66"/>
      <c r="D852" s="14"/>
      <c r="E852" s="14"/>
      <c r="F852" s="103"/>
      <c r="G852" s="15">
        <f>IFERROR(+VLOOKUP(D:D,'Data Base P.Asuhan &amp; Jompo'!B:I,7,0),0)</f>
        <v>0</v>
      </c>
      <c r="H852" s="258"/>
      <c r="I852" s="258">
        <f>List346[[#This Row],[Pengajuan Donasi]]</f>
        <v>0</v>
      </c>
      <c r="J852" s="213" t="str">
        <f>IF(List346[[#This Row],[Tanggal Trf]]&gt;0,"Done","-")</f>
        <v>-</v>
      </c>
      <c r="K852" s="14"/>
      <c r="L852" s="221"/>
      <c r="M852" s="14"/>
      <c r="N852" s="100">
        <v>9</v>
      </c>
      <c r="O852" s="183"/>
      <c r="P852" s="100"/>
      <c r="Q852" s="111"/>
      <c r="R852" s="367"/>
      <c r="T852" s="152">
        <f>+List346[[#This Row],[Pengajuan Donasi]]-List346[[#This Row],[Jumlah Transfer]]</f>
        <v>0</v>
      </c>
    </row>
    <row r="853" spans="2:20" ht="30" customHeight="1" x14ac:dyDescent="0.2">
      <c r="B853" s="13"/>
      <c r="C853" s="66"/>
      <c r="D853" s="14"/>
      <c r="E853" s="14"/>
      <c r="F853" s="103"/>
      <c r="G853" s="15">
        <f>IFERROR(+VLOOKUP(D:D,'Data Base P.Asuhan &amp; Jompo'!B:I,7,0),0)</f>
        <v>0</v>
      </c>
      <c r="H853" s="258"/>
      <c r="I853" s="258">
        <f>List346[[#This Row],[Pengajuan Donasi]]</f>
        <v>0</v>
      </c>
      <c r="J853" s="213" t="str">
        <f>IF(List346[[#This Row],[Tanggal Trf]]&gt;0,"Done","-")</f>
        <v>-</v>
      </c>
      <c r="K853" s="14"/>
      <c r="L853" s="221"/>
      <c r="M853" s="14"/>
      <c r="N853" s="100">
        <f>MONTH(List346[[#This Row],[Tanggal Pengajuan]])</f>
        <v>1</v>
      </c>
      <c r="O853" s="183"/>
      <c r="P853" s="100"/>
      <c r="Q853" s="111"/>
      <c r="R853" s="367"/>
      <c r="T853" s="152">
        <f>+List346[[#This Row],[Pengajuan Donasi]]-List346[[#This Row],[Jumlah Transfer]]</f>
        <v>0</v>
      </c>
    </row>
    <row r="854" spans="2:20" ht="30" customHeight="1" x14ac:dyDescent="0.2">
      <c r="B854" s="13"/>
      <c r="C854" s="66"/>
      <c r="D854" s="14"/>
      <c r="E854" s="14"/>
      <c r="F854" s="103"/>
      <c r="G854" s="15">
        <f>IFERROR(+VLOOKUP(D:D,'Data Base P.Asuhan &amp; Jompo'!B:I,7,0),0)</f>
        <v>0</v>
      </c>
      <c r="H854" s="258"/>
      <c r="I854" s="258">
        <f>List346[[#This Row],[Pengajuan Donasi]]</f>
        <v>0</v>
      </c>
      <c r="J854" s="213" t="str">
        <f>IF(List346[[#This Row],[Tanggal Trf]]&gt;0,"Done","-")</f>
        <v>-</v>
      </c>
      <c r="K854" s="445"/>
      <c r="L854" s="221"/>
      <c r="M854" s="100"/>
      <c r="N854" s="100">
        <v>9</v>
      </c>
      <c r="O854" s="183"/>
      <c r="P854" s="100"/>
      <c r="Q854" s="111"/>
      <c r="R854" s="367"/>
      <c r="T854" s="152">
        <f>+List346[[#This Row],[Pengajuan Donasi]]-List346[[#This Row],[Jumlah Transfer]]</f>
        <v>0</v>
      </c>
    </row>
    <row r="855" spans="2:20" ht="30" customHeight="1" x14ac:dyDescent="0.2">
      <c r="B855" s="13"/>
      <c r="C855" s="66"/>
      <c r="D855" s="14"/>
      <c r="E855" s="14"/>
      <c r="F855" s="103"/>
      <c r="G855" s="15">
        <f>IFERROR(+VLOOKUP(D:D,'Data Base P.Asuhan &amp; Jompo'!B:I,7,0),0)</f>
        <v>0</v>
      </c>
      <c r="H855" s="258"/>
      <c r="I855" s="258">
        <f>List346[[#This Row],[Pengajuan Donasi]]</f>
        <v>0</v>
      </c>
      <c r="J855" s="213" t="str">
        <f>IF(List346[[#This Row],[Tanggal Trf]]&gt;0,"Done","-")</f>
        <v>-</v>
      </c>
      <c r="K855" s="445"/>
      <c r="L855" s="221"/>
      <c r="M855" s="100"/>
      <c r="N855" s="100">
        <v>9</v>
      </c>
      <c r="O855" s="183"/>
      <c r="P855" s="100"/>
      <c r="Q855" s="111"/>
      <c r="R855" s="367"/>
      <c r="T855" s="152">
        <f>+List346[[#This Row],[Pengajuan Donasi]]-List346[[#This Row],[Jumlah Transfer]]</f>
        <v>0</v>
      </c>
    </row>
    <row r="856" spans="2:20" ht="30" customHeight="1" x14ac:dyDescent="0.2">
      <c r="B856" s="13"/>
      <c r="C856" s="66"/>
      <c r="D856" s="14"/>
      <c r="E856" s="14"/>
      <c r="F856" s="103"/>
      <c r="G856" s="15">
        <f>IFERROR(+VLOOKUP(D:D,'Data Base P.Asuhan &amp; Jompo'!B:I,7,0),0)</f>
        <v>0</v>
      </c>
      <c r="H856" s="258"/>
      <c r="I856" s="258">
        <f>List346[[#This Row],[Pengajuan Donasi]]</f>
        <v>0</v>
      </c>
      <c r="J856" s="213" t="str">
        <f>IF(List346[[#This Row],[Tanggal Trf]]&gt;0,"Done","-")</f>
        <v>-</v>
      </c>
      <c r="K856" s="445"/>
      <c r="L856" s="221"/>
      <c r="M856" s="100"/>
      <c r="N856" s="100">
        <v>9</v>
      </c>
      <c r="O856" s="183"/>
      <c r="P856" s="100"/>
      <c r="Q856" s="111"/>
      <c r="R856" s="367"/>
      <c r="T856" s="152">
        <f>+List346[[#This Row],[Pengajuan Donasi]]-List346[[#This Row],[Jumlah Transfer]]</f>
        <v>0</v>
      </c>
    </row>
    <row r="857" spans="2:20" ht="30" customHeight="1" x14ac:dyDescent="0.2">
      <c r="B857" s="13"/>
      <c r="C857" s="66"/>
      <c r="D857" s="14"/>
      <c r="E857" s="14"/>
      <c r="F857" s="103"/>
      <c r="G857" s="15">
        <f>IFERROR(+VLOOKUP(D:D,'Data Base P.Asuhan &amp; Jompo'!B:I,7,0),0)</f>
        <v>0</v>
      </c>
      <c r="H857" s="258"/>
      <c r="I857" s="258">
        <f>List346[[#This Row],[Pengajuan Donasi]]</f>
        <v>0</v>
      </c>
      <c r="J857" s="213" t="str">
        <f>IF(List346[[#This Row],[Tanggal Trf]]&gt;0,"Done","-")</f>
        <v>-</v>
      </c>
      <c r="K857" s="14"/>
      <c r="L857" s="221"/>
      <c r="M857" s="100"/>
      <c r="N857" s="100">
        <v>9</v>
      </c>
      <c r="O857" s="183"/>
      <c r="P857" s="100"/>
      <c r="Q857" s="111"/>
      <c r="R857" s="367"/>
      <c r="T857" s="152">
        <f>+List346[[#This Row],[Pengajuan Donasi]]-List346[[#This Row],[Jumlah Transfer]]</f>
        <v>0</v>
      </c>
    </row>
    <row r="858" spans="2:20" ht="30" customHeight="1" x14ac:dyDescent="0.2">
      <c r="B858" s="13"/>
      <c r="C858" s="66"/>
      <c r="D858" s="14"/>
      <c r="E858" s="14"/>
      <c r="F858" s="103"/>
      <c r="G858" s="15">
        <f>IFERROR(+VLOOKUP(D:D,'Data Base P.Asuhan &amp; Jompo'!B:I,7,0),0)</f>
        <v>0</v>
      </c>
      <c r="H858" s="258"/>
      <c r="I858" s="258">
        <f>List346[[#This Row],[Pengajuan Donasi]]</f>
        <v>0</v>
      </c>
      <c r="J858" s="213" t="str">
        <f>IF(List346[[#This Row],[Tanggal Trf]]&gt;0,"Done","-")</f>
        <v>-</v>
      </c>
      <c r="K858" s="14"/>
      <c r="L858" s="221"/>
      <c r="M858" s="100"/>
      <c r="N858" s="100">
        <f>MONTH(List346[[#This Row],[Tanggal Pengajuan]])</f>
        <v>1</v>
      </c>
      <c r="O858" s="183"/>
      <c r="P858" s="100"/>
      <c r="Q858" s="111"/>
      <c r="R858" s="367"/>
      <c r="T858" s="152">
        <f>+List346[[#This Row],[Pengajuan Donasi]]-List346[[#This Row],[Jumlah Transfer]]</f>
        <v>0</v>
      </c>
    </row>
    <row r="859" spans="2:20" ht="30" customHeight="1" x14ac:dyDescent="0.2">
      <c r="B859" s="13"/>
      <c r="C859" s="66"/>
      <c r="D859" s="14"/>
      <c r="E859" s="14"/>
      <c r="F859" s="103"/>
      <c r="G859" s="15">
        <f>IFERROR(+VLOOKUP(D:D,'Data Base P.Asuhan &amp; Jompo'!B:I,7,0),0)</f>
        <v>0</v>
      </c>
      <c r="H859" s="258"/>
      <c r="I859" s="258">
        <f>List346[[#This Row],[Pengajuan Donasi]]</f>
        <v>0</v>
      </c>
      <c r="J859" s="213" t="str">
        <f>IF(List346[[#This Row],[Tanggal Trf]]&gt;0,"Done","-")</f>
        <v>-</v>
      </c>
      <c r="K859" s="445"/>
      <c r="L859" s="221"/>
      <c r="M859" s="100"/>
      <c r="N859" s="100">
        <v>9</v>
      </c>
      <c r="O859" s="183"/>
      <c r="P859" s="100"/>
      <c r="Q859" s="111"/>
      <c r="R859" s="367"/>
      <c r="T859" s="152">
        <f>+List346[[#This Row],[Pengajuan Donasi]]-List346[[#This Row],[Jumlah Transfer]]</f>
        <v>0</v>
      </c>
    </row>
    <row r="860" spans="2:20" ht="30" customHeight="1" x14ac:dyDescent="0.2">
      <c r="B860" s="102"/>
      <c r="C860" s="67"/>
      <c r="D860" s="14"/>
      <c r="E860" s="103"/>
      <c r="F860" s="105"/>
      <c r="G860" s="15">
        <f>IFERROR(+VLOOKUP(D:D,'Data Base P.Asuhan &amp; Jompo'!B:I,7,0),0)</f>
        <v>0</v>
      </c>
      <c r="H860" s="271"/>
      <c r="I860" s="258">
        <f>List346[[#This Row],[Pengajuan Donasi]]</f>
        <v>0</v>
      </c>
      <c r="J860" s="213" t="str">
        <f>IF(List346[[#This Row],[Tanggal Trf]]&gt;0,"Done","-")</f>
        <v>-</v>
      </c>
      <c r="K860" s="440"/>
      <c r="L860" s="223"/>
      <c r="M860" s="105"/>
      <c r="N860" s="100">
        <v>1</v>
      </c>
      <c r="O860" s="183"/>
      <c r="P860" s="100"/>
      <c r="Q860" s="111"/>
      <c r="R860" s="367"/>
      <c r="T860" s="152">
        <f>+List346[[#This Row],[Pengajuan Donasi]]-List346[[#This Row],[Jumlah Transfer]]</f>
        <v>0</v>
      </c>
    </row>
    <row r="861" spans="2:20" ht="30" customHeight="1" x14ac:dyDescent="0.2">
      <c r="B861" s="102"/>
      <c r="C861" s="67"/>
      <c r="D861" s="14"/>
      <c r="E861" s="103"/>
      <c r="F861" s="105"/>
      <c r="G861" s="15">
        <f>IFERROR(+VLOOKUP(D:D,'Data Base P.Asuhan &amp; Jompo'!B:I,7,0),0)</f>
        <v>0</v>
      </c>
      <c r="H861" s="271"/>
      <c r="I861" s="258">
        <f>List346[[#This Row],[Pengajuan Donasi]]</f>
        <v>0</v>
      </c>
      <c r="J861" s="213" t="str">
        <f>IF(List346[[#This Row],[Tanggal Trf]]&gt;0,"Done","-")</f>
        <v>-</v>
      </c>
      <c r="K861" s="440"/>
      <c r="L861" s="223"/>
      <c r="M861" s="105"/>
      <c r="N861" s="100">
        <f>MONTH(List346[[#This Row],[Tanggal Pengajuan]])</f>
        <v>1</v>
      </c>
      <c r="O861" s="183"/>
      <c r="P861" s="100"/>
      <c r="Q861" s="111"/>
      <c r="R861" s="367"/>
      <c r="T861" s="152">
        <f>+List346[[#This Row],[Pengajuan Donasi]]-List346[[#This Row],[Jumlah Transfer]]</f>
        <v>0</v>
      </c>
    </row>
    <row r="862" spans="2:20" ht="30" customHeight="1" x14ac:dyDescent="0.2">
      <c r="B862" s="102"/>
      <c r="C862" s="67"/>
      <c r="D862" s="14"/>
      <c r="E862" s="103"/>
      <c r="F862" s="105"/>
      <c r="G862" s="15">
        <f>IFERROR(+VLOOKUP(D:D,'Data Base P.Asuhan &amp; Jompo'!B:I,7,0),0)</f>
        <v>0</v>
      </c>
      <c r="H862" s="271"/>
      <c r="I862" s="258">
        <f>List346[[#This Row],[Pengajuan Donasi]]</f>
        <v>0</v>
      </c>
      <c r="J862" s="213" t="str">
        <f>IF(List346[[#This Row],[Tanggal Trf]]&gt;0,"Done","-")</f>
        <v>-</v>
      </c>
      <c r="K862" s="440"/>
      <c r="L862" s="223"/>
      <c r="M862" s="105"/>
      <c r="N862" s="100">
        <f>MONTH(List346[[#This Row],[Tanggal Pengajuan]])</f>
        <v>1</v>
      </c>
      <c r="O862" s="183"/>
      <c r="P862" s="105"/>
      <c r="Q862" s="111"/>
      <c r="R862" s="367"/>
      <c r="T862" s="152">
        <f>+List346[[#This Row],[Pengajuan Donasi]]-List346[[#This Row],[Jumlah Transfer]]</f>
        <v>0</v>
      </c>
    </row>
    <row r="863" spans="2:20" ht="30" customHeight="1" x14ac:dyDescent="0.2">
      <c r="B863" s="102"/>
      <c r="C863" s="67"/>
      <c r="D863" s="14"/>
      <c r="E863" s="103"/>
      <c r="F863" s="105"/>
      <c r="G863" s="15">
        <f>IFERROR(+VLOOKUP(D:D,'Data Base P.Asuhan &amp; Jompo'!B:I,7,0),0)</f>
        <v>0</v>
      </c>
      <c r="H863" s="271"/>
      <c r="I863" s="258">
        <f>List346[[#This Row],[Pengajuan Donasi]]</f>
        <v>0</v>
      </c>
      <c r="J863" s="213" t="str">
        <f>IF(List346[[#This Row],[Tanggal Trf]]&gt;0,"Done","-")</f>
        <v>-</v>
      </c>
      <c r="K863" s="440"/>
      <c r="L863" s="223"/>
      <c r="M863" s="105"/>
      <c r="N863" s="100">
        <f>MONTH(List346[[#This Row],[Tanggal Pengajuan]])</f>
        <v>1</v>
      </c>
      <c r="O863" s="183"/>
      <c r="P863" s="105"/>
      <c r="Q863" s="111"/>
      <c r="R863" s="367"/>
      <c r="T863" s="152">
        <f>+List346[[#This Row],[Pengajuan Donasi]]-List346[[#This Row],[Jumlah Transfer]]</f>
        <v>0</v>
      </c>
    </row>
    <row r="864" spans="2:20" ht="30" customHeight="1" x14ac:dyDescent="0.2">
      <c r="B864" s="102"/>
      <c r="C864" s="67"/>
      <c r="D864" s="14"/>
      <c r="E864" s="103"/>
      <c r="F864" s="105"/>
      <c r="G864" s="15">
        <f>IFERROR(+VLOOKUP(D:D,'Data Base P.Asuhan &amp; Jompo'!B:I,7,0),0)</f>
        <v>0</v>
      </c>
      <c r="H864" s="271"/>
      <c r="I864" s="258">
        <f>List346[[#This Row],[Pengajuan Donasi]]</f>
        <v>0</v>
      </c>
      <c r="J864" s="213" t="str">
        <f>IF(List346[[#This Row],[Tanggal Trf]]&gt;0,"Done","-")</f>
        <v>-</v>
      </c>
      <c r="K864" s="440"/>
      <c r="L864" s="223"/>
      <c r="M864" s="105"/>
      <c r="N864" s="100">
        <f>MONTH(List346[[#This Row],[Tanggal Pengajuan]])</f>
        <v>1</v>
      </c>
      <c r="O864" s="183"/>
      <c r="P864" s="105"/>
      <c r="Q864" s="111"/>
      <c r="R864" s="367"/>
      <c r="T864" s="152">
        <f>+List346[[#This Row],[Pengajuan Donasi]]-List346[[#This Row],[Jumlah Transfer]]</f>
        <v>0</v>
      </c>
    </row>
    <row r="865" spans="2:20" ht="30" customHeight="1" x14ac:dyDescent="0.2">
      <c r="B865" s="102"/>
      <c r="C865" s="67"/>
      <c r="D865" s="14"/>
      <c r="E865" s="103"/>
      <c r="F865" s="105"/>
      <c r="G865" s="15">
        <f>IFERROR(+VLOOKUP(D:D,'Data Base P.Asuhan &amp; Jompo'!B:I,7,0),0)</f>
        <v>0</v>
      </c>
      <c r="H865" s="271"/>
      <c r="I865" s="258">
        <f>List346[[#This Row],[Pengajuan Donasi]]</f>
        <v>0</v>
      </c>
      <c r="J865" s="213" t="str">
        <f>IF(List346[[#This Row],[Tanggal Trf]]&gt;0,"Done","-")</f>
        <v>-</v>
      </c>
      <c r="K865" s="440"/>
      <c r="L865" s="223"/>
      <c r="M865" s="105"/>
      <c r="N865" s="100">
        <f>MONTH(List346[[#This Row],[Tanggal Pengajuan]])</f>
        <v>1</v>
      </c>
      <c r="O865" s="183"/>
      <c r="P865" s="105"/>
      <c r="Q865" s="111"/>
      <c r="R865" s="367"/>
      <c r="T865" s="152">
        <f>+List346[[#This Row],[Pengajuan Donasi]]-List346[[#This Row],[Jumlah Transfer]]</f>
        <v>0</v>
      </c>
    </row>
    <row r="866" spans="2:20" ht="30" customHeight="1" x14ac:dyDescent="0.2">
      <c r="B866" s="102"/>
      <c r="C866" s="67"/>
      <c r="D866" s="14"/>
      <c r="E866" s="103"/>
      <c r="F866" s="105"/>
      <c r="G866" s="15">
        <f>IFERROR(+VLOOKUP(D:D,'Data Base P.Asuhan &amp; Jompo'!B:I,7,0),0)</f>
        <v>0</v>
      </c>
      <c r="H866" s="271"/>
      <c r="I866" s="258">
        <f>List346[[#This Row],[Pengajuan Donasi]]</f>
        <v>0</v>
      </c>
      <c r="J866" s="213" t="str">
        <f>IF(List346[[#This Row],[Tanggal Trf]]&gt;0,"Done","-")</f>
        <v>-</v>
      </c>
      <c r="K866" s="14"/>
      <c r="L866" s="223"/>
      <c r="M866" s="105"/>
      <c r="N866" s="100">
        <f>MONTH(List346[[#This Row],[Tanggal Pengajuan]])</f>
        <v>1</v>
      </c>
      <c r="O866" s="183"/>
      <c r="P866" s="105"/>
      <c r="Q866" s="111"/>
      <c r="R866" s="367"/>
      <c r="T866" s="152">
        <f>+List346[[#This Row],[Pengajuan Donasi]]-List346[[#This Row],[Jumlah Transfer]]</f>
        <v>0</v>
      </c>
    </row>
    <row r="867" spans="2:20" ht="30" customHeight="1" x14ac:dyDescent="0.2">
      <c r="B867" s="102"/>
      <c r="C867" s="67"/>
      <c r="D867" s="14"/>
      <c r="E867" s="103"/>
      <c r="F867" s="105"/>
      <c r="G867" s="15">
        <f>IFERROR(+VLOOKUP(D:D,'Data Base P.Asuhan &amp; Jompo'!B:I,7,0),0)</f>
        <v>0</v>
      </c>
      <c r="H867" s="271"/>
      <c r="I867" s="258">
        <f>List346[[#This Row],[Pengajuan Donasi]]</f>
        <v>0</v>
      </c>
      <c r="J867" s="213" t="str">
        <f>IF(List346[[#This Row],[Tanggal Trf]]&gt;0,"Done","-")</f>
        <v>-</v>
      </c>
      <c r="K867" s="105"/>
      <c r="L867" s="223"/>
      <c r="M867" s="105"/>
      <c r="N867" s="100">
        <f>MONTH(List346[[#This Row],[Tanggal Pengajuan]])</f>
        <v>1</v>
      </c>
      <c r="O867" s="183"/>
      <c r="P867" s="105"/>
      <c r="Q867" s="111"/>
      <c r="R867" s="367"/>
      <c r="T867" s="152">
        <f>+List346[[#This Row],[Pengajuan Donasi]]-List346[[#This Row],[Jumlah Transfer]]</f>
        <v>0</v>
      </c>
    </row>
    <row r="868" spans="2:20" ht="30" customHeight="1" x14ac:dyDescent="0.2">
      <c r="B868" s="102"/>
      <c r="C868" s="67"/>
      <c r="D868" s="14"/>
      <c r="E868" s="103"/>
      <c r="F868" s="105"/>
      <c r="G868" s="15">
        <f>IFERROR(+VLOOKUP(D:D,'Data Base P.Asuhan &amp; Jompo'!B:I,7,0),0)</f>
        <v>0</v>
      </c>
      <c r="H868" s="271"/>
      <c r="I868" s="258">
        <f>List346[[#This Row],[Pengajuan Donasi]]</f>
        <v>0</v>
      </c>
      <c r="J868" s="213" t="str">
        <f>IF(List346[[#This Row],[Tanggal Trf]]&gt;0,"Done","-")</f>
        <v>-</v>
      </c>
      <c r="K868" s="440"/>
      <c r="L868" s="223"/>
      <c r="M868" s="105"/>
      <c r="N868" s="100">
        <f>MONTH(List346[[#This Row],[Tanggal Pengajuan]])</f>
        <v>1</v>
      </c>
      <c r="O868" s="183"/>
      <c r="P868" s="105"/>
      <c r="Q868" s="111"/>
      <c r="R868" s="367"/>
      <c r="T868" s="152">
        <f>+List346[[#This Row],[Pengajuan Donasi]]-List346[[#This Row],[Jumlah Transfer]]</f>
        <v>0</v>
      </c>
    </row>
    <row r="869" spans="2:20" ht="30" customHeight="1" x14ac:dyDescent="0.2">
      <c r="B869" s="102"/>
      <c r="C869" s="67"/>
      <c r="D869" s="14"/>
      <c r="E869" s="14"/>
      <c r="F869" s="103"/>
      <c r="G869" s="15">
        <f>IFERROR(+VLOOKUP(D:D,'Data Base P.Asuhan &amp; Jompo'!B:I,7,0),0)</f>
        <v>0</v>
      </c>
      <c r="H869" s="258"/>
      <c r="I869" s="258">
        <f>List346[[#This Row],[Pengajuan Donasi]]</f>
        <v>0</v>
      </c>
      <c r="J869" s="213" t="str">
        <f>IF(List346[[#This Row],[Tanggal Trf]]&gt;0,"Done","-")</f>
        <v>-</v>
      </c>
      <c r="K869" s="14"/>
      <c r="L869" s="223"/>
      <c r="M869" s="100"/>
      <c r="N869" s="100">
        <f>MONTH(List346[[#This Row],[Tanggal Pengajuan]])</f>
        <v>1</v>
      </c>
      <c r="O869" s="183"/>
      <c r="P869" s="105"/>
      <c r="Q869" s="111"/>
      <c r="R869" s="367"/>
      <c r="T869" s="152">
        <f>+List346[[#This Row],[Pengajuan Donasi]]-List346[[#This Row],[Jumlah Transfer]]</f>
        <v>0</v>
      </c>
    </row>
    <row r="870" spans="2:20" ht="30" customHeight="1" x14ac:dyDescent="0.2">
      <c r="B870" s="102"/>
      <c r="C870" s="67"/>
      <c r="D870" s="14"/>
      <c r="E870" s="103"/>
      <c r="F870" s="105"/>
      <c r="G870" s="15">
        <f>IFERROR(+VLOOKUP(D:D,'Data Base P.Asuhan &amp; Jompo'!B:I,7,0),0)</f>
        <v>0</v>
      </c>
      <c r="H870" s="271"/>
      <c r="I870" s="258">
        <f>List346[[#This Row],[Pengajuan Donasi]]</f>
        <v>0</v>
      </c>
      <c r="J870" s="213" t="str">
        <f>IF(List346[[#This Row],[Tanggal Trf]]&gt;0,"Done","-")</f>
        <v>-</v>
      </c>
      <c r="K870" s="14"/>
      <c r="L870" s="223"/>
      <c r="M870" s="100"/>
      <c r="N870" s="100">
        <f>MONTH(List346[[#This Row],[Tanggal Pengajuan]])</f>
        <v>1</v>
      </c>
      <c r="O870" s="183"/>
      <c r="P870" s="105"/>
      <c r="Q870" s="111"/>
      <c r="R870" s="367"/>
      <c r="T870" s="152">
        <f>+List346[[#This Row],[Pengajuan Donasi]]-List346[[#This Row],[Jumlah Transfer]]</f>
        <v>0</v>
      </c>
    </row>
    <row r="871" spans="2:20" ht="30" customHeight="1" x14ac:dyDescent="0.2">
      <c r="B871" s="102"/>
      <c r="C871" s="67"/>
      <c r="D871" s="14"/>
      <c r="E871" s="14"/>
      <c r="F871" s="103"/>
      <c r="G871" s="15">
        <f>IFERROR(+VLOOKUP(D:D,'Data Base P.Asuhan &amp; Jompo'!B:I,7,0),0)</f>
        <v>0</v>
      </c>
      <c r="H871" s="258"/>
      <c r="I871" s="258">
        <f>List346[[#This Row],[Pengajuan Donasi]]</f>
        <v>0</v>
      </c>
      <c r="J871" s="213" t="str">
        <f>IF(List346[[#This Row],[Tanggal Trf]]&gt;0,"Done","-")</f>
        <v>-</v>
      </c>
      <c r="K871" s="14"/>
      <c r="L871" s="223"/>
      <c r="M871" s="100"/>
      <c r="N871" s="100">
        <f>MONTH(List346[[#This Row],[Tanggal Pengajuan]])</f>
        <v>1</v>
      </c>
      <c r="O871" s="183"/>
      <c r="P871" s="105"/>
      <c r="Q871" s="111"/>
      <c r="R871" s="367"/>
      <c r="T871" s="152">
        <f>+List346[[#This Row],[Pengajuan Donasi]]-List346[[#This Row],[Jumlah Transfer]]</f>
        <v>0</v>
      </c>
    </row>
    <row r="872" spans="2:20" ht="30" customHeight="1" x14ac:dyDescent="0.2">
      <c r="B872" s="102"/>
      <c r="C872" s="67"/>
      <c r="D872" s="14"/>
      <c r="E872" s="14"/>
      <c r="F872" s="103"/>
      <c r="G872" s="15">
        <f>IFERROR(+VLOOKUP(D:D,'Data Base P.Asuhan &amp; Jompo'!B:I,7,0),0)</f>
        <v>0</v>
      </c>
      <c r="H872" s="258"/>
      <c r="I872" s="258">
        <f>List346[[#This Row],[Pengajuan Donasi]]</f>
        <v>0</v>
      </c>
      <c r="J872" s="213" t="str">
        <f>IF(List346[[#This Row],[Tanggal Trf]]&gt;0,"Done","-")</f>
        <v>-</v>
      </c>
      <c r="K872" s="14"/>
      <c r="L872" s="223"/>
      <c r="M872" s="100"/>
      <c r="N872" s="100">
        <f>MONTH(List346[[#This Row],[Tanggal Pengajuan]])</f>
        <v>1</v>
      </c>
      <c r="O872" s="183"/>
      <c r="P872" s="105"/>
      <c r="Q872" s="111"/>
      <c r="R872" s="367"/>
      <c r="T872" s="152">
        <f>+List346[[#This Row],[Pengajuan Donasi]]-List346[[#This Row],[Jumlah Transfer]]</f>
        <v>0</v>
      </c>
    </row>
    <row r="873" spans="2:20" ht="30" customHeight="1" x14ac:dyDescent="0.2">
      <c r="B873" s="102"/>
      <c r="C873" s="67"/>
      <c r="D873" s="14"/>
      <c r="E873" s="14"/>
      <c r="F873" s="103"/>
      <c r="G873" s="15">
        <f>IFERROR(+VLOOKUP(D:D,'Data Base P.Asuhan &amp; Jompo'!B:I,7,0),0)</f>
        <v>0</v>
      </c>
      <c r="H873" s="258"/>
      <c r="I873" s="258">
        <f>List346[[#This Row],[Pengajuan Donasi]]</f>
        <v>0</v>
      </c>
      <c r="J873" s="213" t="str">
        <f>IF(List346[[#This Row],[Tanggal Trf]]&gt;0,"Done","-")</f>
        <v>-</v>
      </c>
      <c r="K873" s="14"/>
      <c r="L873" s="223"/>
      <c r="M873" s="100"/>
      <c r="N873" s="100">
        <f>MONTH(List346[[#This Row],[Tanggal Pengajuan]])</f>
        <v>1</v>
      </c>
      <c r="O873" s="183"/>
      <c r="P873" s="105"/>
      <c r="Q873" s="111"/>
      <c r="R873" s="367"/>
      <c r="T873" s="152">
        <f>+List346[[#This Row],[Pengajuan Donasi]]-List346[[#This Row],[Jumlah Transfer]]</f>
        <v>0</v>
      </c>
    </row>
    <row r="874" spans="2:20" ht="30" customHeight="1" x14ac:dyDescent="0.2">
      <c r="B874" s="102"/>
      <c r="C874" s="67"/>
      <c r="D874" s="14"/>
      <c r="E874" s="14"/>
      <c r="F874" s="103"/>
      <c r="G874" s="15">
        <f>IFERROR(+VLOOKUP(D:D,'Data Base P.Asuhan &amp; Jompo'!B:I,7,0),0)</f>
        <v>0</v>
      </c>
      <c r="H874" s="258"/>
      <c r="I874" s="258">
        <f>List346[[#This Row],[Pengajuan Donasi]]</f>
        <v>0</v>
      </c>
      <c r="J874" s="213" t="str">
        <f>IF(List346[[#This Row],[Tanggal Trf]]&gt;0,"Done","-")</f>
        <v>-</v>
      </c>
      <c r="K874" s="14"/>
      <c r="L874" s="223"/>
      <c r="M874" s="100"/>
      <c r="N874" s="100">
        <f>MONTH(List346[[#This Row],[Tanggal Pengajuan]])</f>
        <v>1</v>
      </c>
      <c r="O874" s="183"/>
      <c r="P874" s="105"/>
      <c r="Q874" s="111"/>
      <c r="R874" s="367"/>
      <c r="T874" s="152">
        <f>+List346[[#This Row],[Pengajuan Donasi]]-List346[[#This Row],[Jumlah Transfer]]</f>
        <v>0</v>
      </c>
    </row>
    <row r="875" spans="2:20" ht="30" customHeight="1" x14ac:dyDescent="0.2">
      <c r="B875" s="102"/>
      <c r="C875" s="67"/>
      <c r="D875" s="14"/>
      <c r="E875" s="14"/>
      <c r="F875" s="103"/>
      <c r="G875" s="15">
        <f>IFERROR(+VLOOKUP(D:D,'Data Base P.Asuhan &amp; Jompo'!B:I,7,0),0)</f>
        <v>0</v>
      </c>
      <c r="H875" s="258"/>
      <c r="I875" s="258">
        <f>List346[[#This Row],[Pengajuan Donasi]]</f>
        <v>0</v>
      </c>
      <c r="J875" s="213" t="str">
        <f>IF(List346[[#This Row],[Tanggal Trf]]&gt;0,"Done","-")</f>
        <v>-</v>
      </c>
      <c r="K875" s="14"/>
      <c r="L875" s="223"/>
      <c r="M875" s="100"/>
      <c r="N875" s="100">
        <f>MONTH(List346[[#This Row],[Tanggal Pengajuan]])</f>
        <v>1</v>
      </c>
      <c r="O875" s="183"/>
      <c r="P875" s="105"/>
      <c r="Q875" s="111"/>
      <c r="R875" s="367"/>
      <c r="T875" s="152">
        <f>+List346[[#This Row],[Pengajuan Donasi]]-List346[[#This Row],[Jumlah Transfer]]</f>
        <v>0</v>
      </c>
    </row>
    <row r="876" spans="2:20" ht="30" customHeight="1" x14ac:dyDescent="0.2">
      <c r="B876" s="102"/>
      <c r="C876" s="67"/>
      <c r="D876" s="14"/>
      <c r="E876" s="14"/>
      <c r="F876" s="103"/>
      <c r="G876" s="15">
        <f>IFERROR(+VLOOKUP(D:D,'Data Base P.Asuhan &amp; Jompo'!B:I,7,0),0)</f>
        <v>0</v>
      </c>
      <c r="H876" s="258"/>
      <c r="I876" s="258">
        <f>List346[[#This Row],[Pengajuan Donasi]]</f>
        <v>0</v>
      </c>
      <c r="J876" s="213" t="str">
        <f>IF(List346[[#This Row],[Tanggal Trf]]&gt;0,"Done","-")</f>
        <v>-</v>
      </c>
      <c r="K876" s="14"/>
      <c r="L876" s="223"/>
      <c r="M876" s="100"/>
      <c r="N876" s="100">
        <f>MONTH(List346[[#This Row],[Tanggal Pengajuan]])</f>
        <v>1</v>
      </c>
      <c r="O876" s="183"/>
      <c r="P876" s="105"/>
      <c r="Q876" s="111"/>
      <c r="R876" s="367"/>
      <c r="T876" s="152">
        <f>+List346[[#This Row],[Pengajuan Donasi]]-List346[[#This Row],[Jumlah Transfer]]</f>
        <v>0</v>
      </c>
    </row>
    <row r="877" spans="2:20" ht="30" customHeight="1" x14ac:dyDescent="0.2">
      <c r="B877" s="102"/>
      <c r="C877" s="67"/>
      <c r="D877" s="14"/>
      <c r="E877" s="14"/>
      <c r="F877" s="103"/>
      <c r="G877" s="15">
        <f>IFERROR(+VLOOKUP(D:D,'Data Base P.Asuhan &amp; Jompo'!B:I,7,0),0)</f>
        <v>0</v>
      </c>
      <c r="H877" s="258"/>
      <c r="I877" s="258">
        <f>List346[[#This Row],[Pengajuan Donasi]]</f>
        <v>0</v>
      </c>
      <c r="J877" s="213" t="str">
        <f>IF(List346[[#This Row],[Tanggal Trf]]&gt;0,"Done","-")</f>
        <v>-</v>
      </c>
      <c r="K877" s="14"/>
      <c r="L877" s="223"/>
      <c r="M877" s="100"/>
      <c r="N877" s="100">
        <f>MONTH(List346[[#This Row],[Tanggal Pengajuan]])</f>
        <v>1</v>
      </c>
      <c r="O877" s="183"/>
      <c r="P877" s="105"/>
      <c r="Q877" s="111"/>
      <c r="R877" s="367"/>
      <c r="T877" s="152">
        <f>+List346[[#This Row],[Pengajuan Donasi]]-List346[[#This Row],[Jumlah Transfer]]</f>
        <v>0</v>
      </c>
    </row>
    <row r="878" spans="2:20" ht="30" customHeight="1" x14ac:dyDescent="0.2">
      <c r="B878" s="102"/>
      <c r="C878" s="67"/>
      <c r="D878" s="14"/>
      <c r="E878" s="14"/>
      <c r="F878" s="103"/>
      <c r="G878" s="15">
        <f>IFERROR(+VLOOKUP(D:D,'Data Base P.Asuhan &amp; Jompo'!B:I,7,0),0)</f>
        <v>0</v>
      </c>
      <c r="H878" s="258"/>
      <c r="I878" s="258">
        <f>List346[[#This Row],[Pengajuan Donasi]]</f>
        <v>0</v>
      </c>
      <c r="J878" s="213" t="str">
        <f>IF(List346[[#This Row],[Tanggal Trf]]&gt;0,"Done","-")</f>
        <v>-</v>
      </c>
      <c r="K878" s="14"/>
      <c r="L878" s="223"/>
      <c r="M878" s="100"/>
      <c r="N878" s="100">
        <f>MONTH(List346[[#This Row],[Tanggal Pengajuan]])</f>
        <v>1</v>
      </c>
      <c r="O878" s="183"/>
      <c r="P878" s="105"/>
      <c r="Q878" s="111"/>
      <c r="R878" s="367"/>
      <c r="T878" s="152">
        <f>+List346[[#This Row],[Pengajuan Donasi]]-List346[[#This Row],[Jumlah Transfer]]</f>
        <v>0</v>
      </c>
    </row>
    <row r="879" spans="2:20" ht="30" customHeight="1" x14ac:dyDescent="0.2">
      <c r="B879" s="102"/>
      <c r="C879" s="67"/>
      <c r="D879" s="14"/>
      <c r="E879" s="14"/>
      <c r="F879" s="103"/>
      <c r="G879" s="15">
        <f>IFERROR(+VLOOKUP(D:D,'Data Base P.Asuhan &amp; Jompo'!B:I,7,0),0)</f>
        <v>0</v>
      </c>
      <c r="H879" s="258"/>
      <c r="I879" s="258">
        <f>List346[[#This Row],[Pengajuan Donasi]]</f>
        <v>0</v>
      </c>
      <c r="J879" s="213" t="str">
        <f>IF(List346[[#This Row],[Tanggal Trf]]&gt;0,"Done","-")</f>
        <v>-</v>
      </c>
      <c r="K879" s="14"/>
      <c r="L879" s="223"/>
      <c r="M879" s="100"/>
      <c r="N879" s="100">
        <f>MONTH(List346[[#This Row],[Tanggal Pengajuan]])</f>
        <v>1</v>
      </c>
      <c r="O879" s="183"/>
      <c r="P879" s="105"/>
      <c r="Q879" s="111"/>
      <c r="R879" s="367"/>
      <c r="T879" s="152">
        <f>+List346[[#This Row],[Pengajuan Donasi]]-List346[[#This Row],[Jumlah Transfer]]</f>
        <v>0</v>
      </c>
    </row>
    <row r="880" spans="2:20" ht="30" customHeight="1" x14ac:dyDescent="0.2">
      <c r="B880" s="102"/>
      <c r="C880" s="67"/>
      <c r="D880" s="14"/>
      <c r="E880" s="14"/>
      <c r="F880" s="103"/>
      <c r="G880" s="15">
        <f>IFERROR(+VLOOKUP(D:D,'Data Base P.Asuhan &amp; Jompo'!B:I,7,0),0)</f>
        <v>0</v>
      </c>
      <c r="H880" s="258"/>
      <c r="I880" s="258">
        <f>List346[[#This Row],[Pengajuan Donasi]]</f>
        <v>0</v>
      </c>
      <c r="J880" s="213" t="str">
        <f>IF(List346[[#This Row],[Tanggal Trf]]&gt;0,"Done","-")</f>
        <v>-</v>
      </c>
      <c r="K880" s="14"/>
      <c r="L880" s="223"/>
      <c r="M880" s="100"/>
      <c r="N880" s="100">
        <f>MONTH(List346[[#This Row],[Tanggal Pengajuan]])</f>
        <v>1</v>
      </c>
      <c r="O880" s="183"/>
      <c r="P880" s="105"/>
      <c r="Q880" s="111"/>
      <c r="R880" s="367"/>
      <c r="T880" s="152">
        <f>+List346[[#This Row],[Pengajuan Donasi]]-List346[[#This Row],[Jumlah Transfer]]</f>
        <v>0</v>
      </c>
    </row>
    <row r="881" spans="2:20" ht="30" customHeight="1" x14ac:dyDescent="0.2">
      <c r="B881" s="102"/>
      <c r="C881" s="67"/>
      <c r="D881" s="14"/>
      <c r="E881" s="14"/>
      <c r="F881" s="103"/>
      <c r="G881" s="15">
        <f>IFERROR(+VLOOKUP(D:D,'Data Base P.Asuhan &amp; Jompo'!B:I,7,0),0)</f>
        <v>0</v>
      </c>
      <c r="H881" s="258"/>
      <c r="I881" s="258">
        <f>List346[[#This Row],[Pengajuan Donasi]]</f>
        <v>0</v>
      </c>
      <c r="J881" s="213" t="str">
        <f>IF(List346[[#This Row],[Tanggal Trf]]&gt;0,"Done","-")</f>
        <v>-</v>
      </c>
      <c r="K881" s="14"/>
      <c r="L881" s="223"/>
      <c r="M881" s="100"/>
      <c r="N881" s="100">
        <f>MONTH(List346[[#This Row],[Tanggal Pengajuan]])</f>
        <v>1</v>
      </c>
      <c r="O881" s="183"/>
      <c r="P881" s="105"/>
      <c r="Q881" s="111"/>
      <c r="R881" s="367"/>
      <c r="T881" s="152">
        <f>+List346[[#This Row],[Pengajuan Donasi]]-List346[[#This Row],[Jumlah Transfer]]</f>
        <v>0</v>
      </c>
    </row>
    <row r="882" spans="2:20" ht="30" customHeight="1" x14ac:dyDescent="0.2">
      <c r="B882" s="102"/>
      <c r="C882" s="67"/>
      <c r="D882" s="14"/>
      <c r="E882" s="14"/>
      <c r="F882" s="103"/>
      <c r="G882" s="15">
        <f>IFERROR(+VLOOKUP(D:D,'Data Base P.Asuhan &amp; Jompo'!B:I,7,0),0)</f>
        <v>0</v>
      </c>
      <c r="H882" s="258"/>
      <c r="I882" s="258">
        <f>List346[[#This Row],[Pengajuan Donasi]]</f>
        <v>0</v>
      </c>
      <c r="J882" s="213" t="str">
        <f>IF(List346[[#This Row],[Tanggal Trf]]&gt;0,"Done","-")</f>
        <v>-</v>
      </c>
      <c r="K882" s="14"/>
      <c r="L882" s="223"/>
      <c r="M882" s="100"/>
      <c r="N882" s="100">
        <f>MONTH(List346[[#This Row],[Tanggal Pengajuan]])</f>
        <v>1</v>
      </c>
      <c r="O882" s="183"/>
      <c r="P882" s="105"/>
      <c r="Q882" s="111"/>
      <c r="R882" s="367"/>
      <c r="T882" s="152">
        <f>+List346[[#This Row],[Pengajuan Donasi]]-List346[[#This Row],[Jumlah Transfer]]</f>
        <v>0</v>
      </c>
    </row>
    <row r="883" spans="2:20" ht="30" customHeight="1" x14ac:dyDescent="0.2">
      <c r="B883" s="102"/>
      <c r="C883" s="67"/>
      <c r="D883" s="14"/>
      <c r="E883" s="14"/>
      <c r="F883" s="103"/>
      <c r="G883" s="15">
        <f>IFERROR(+VLOOKUP(D:D,'Data Base P.Asuhan &amp; Jompo'!B:I,7,0),0)</f>
        <v>0</v>
      </c>
      <c r="H883" s="258"/>
      <c r="I883" s="258">
        <f>List346[[#This Row],[Pengajuan Donasi]]</f>
        <v>0</v>
      </c>
      <c r="J883" s="213" t="str">
        <f>IF(List346[[#This Row],[Tanggal Trf]]&gt;0,"Done","-")</f>
        <v>-</v>
      </c>
      <c r="K883" s="14"/>
      <c r="L883" s="223"/>
      <c r="M883" s="100"/>
      <c r="N883" s="100">
        <f>MONTH(List346[[#This Row],[Tanggal Pengajuan]])</f>
        <v>1</v>
      </c>
      <c r="O883" s="183"/>
      <c r="P883" s="105"/>
      <c r="Q883" s="111"/>
      <c r="R883" s="367"/>
      <c r="T883" s="152">
        <f>+List346[[#This Row],[Pengajuan Donasi]]-List346[[#This Row],[Jumlah Transfer]]</f>
        <v>0</v>
      </c>
    </row>
    <row r="884" spans="2:20" ht="30" customHeight="1" x14ac:dyDescent="0.2">
      <c r="B884" s="102"/>
      <c r="C884" s="67"/>
      <c r="D884" s="14"/>
      <c r="E884" s="14"/>
      <c r="F884" s="103"/>
      <c r="G884" s="15">
        <f>IFERROR(+VLOOKUP(D:D,'Data Base P.Asuhan &amp; Jompo'!B:I,7,0),0)</f>
        <v>0</v>
      </c>
      <c r="H884" s="258"/>
      <c r="I884" s="258">
        <f>List346[[#This Row],[Pengajuan Donasi]]</f>
        <v>0</v>
      </c>
      <c r="J884" s="213" t="str">
        <f>IF(List346[[#This Row],[Tanggal Trf]]&gt;0,"Done","-")</f>
        <v>-</v>
      </c>
      <c r="K884" s="14"/>
      <c r="L884" s="223"/>
      <c r="M884" s="100"/>
      <c r="N884" s="100">
        <f>MONTH(List346[[#This Row],[Tanggal Pengajuan]])</f>
        <v>1</v>
      </c>
      <c r="O884" s="183"/>
      <c r="P884" s="105"/>
      <c r="Q884" s="111"/>
      <c r="R884" s="367"/>
      <c r="T884" s="152">
        <f>+List346[[#This Row],[Pengajuan Donasi]]-List346[[#This Row],[Jumlah Transfer]]</f>
        <v>0</v>
      </c>
    </row>
    <row r="885" spans="2:20" ht="30" customHeight="1" x14ac:dyDescent="0.2">
      <c r="B885" s="102"/>
      <c r="C885" s="67"/>
      <c r="D885" s="14"/>
      <c r="E885" s="14"/>
      <c r="F885" s="103"/>
      <c r="G885" s="15">
        <f>IFERROR(+VLOOKUP(D:D,'Data Base P.Asuhan &amp; Jompo'!B:I,7,0),0)</f>
        <v>0</v>
      </c>
      <c r="H885" s="258"/>
      <c r="I885" s="258">
        <f>List346[[#This Row],[Pengajuan Donasi]]</f>
        <v>0</v>
      </c>
      <c r="J885" s="213" t="str">
        <f>IF(List346[[#This Row],[Tanggal Trf]]&gt;0,"Done","-")</f>
        <v>-</v>
      </c>
      <c r="K885" s="14"/>
      <c r="L885" s="223"/>
      <c r="M885" s="100"/>
      <c r="N885" s="100">
        <f>MONTH(List346[[#This Row],[Tanggal Pengajuan]])</f>
        <v>1</v>
      </c>
      <c r="O885" s="183"/>
      <c r="P885" s="105"/>
      <c r="Q885" s="111"/>
      <c r="R885" s="367"/>
      <c r="T885" s="152">
        <f>+List346[[#This Row],[Pengajuan Donasi]]-List346[[#This Row],[Jumlah Transfer]]</f>
        <v>0</v>
      </c>
    </row>
    <row r="886" spans="2:20" ht="30" customHeight="1" x14ac:dyDescent="0.2">
      <c r="B886" s="102"/>
      <c r="C886" s="67"/>
      <c r="D886" s="14"/>
      <c r="E886" s="14"/>
      <c r="F886" s="103"/>
      <c r="G886" s="15">
        <f>IFERROR(+VLOOKUP(D:D,'Data Base P.Asuhan &amp; Jompo'!B:I,7,0),0)</f>
        <v>0</v>
      </c>
      <c r="H886" s="258"/>
      <c r="I886" s="258">
        <f>List346[[#This Row],[Pengajuan Donasi]]</f>
        <v>0</v>
      </c>
      <c r="J886" s="213" t="str">
        <f>IF(List346[[#This Row],[Tanggal Trf]]&gt;0,"Done","-")</f>
        <v>-</v>
      </c>
      <c r="K886" s="14"/>
      <c r="L886" s="223"/>
      <c r="M886" s="100"/>
      <c r="N886" s="100">
        <f>MONTH(List346[[#This Row],[Tanggal Pengajuan]])</f>
        <v>1</v>
      </c>
      <c r="O886" s="183"/>
      <c r="P886" s="105"/>
      <c r="Q886" s="111"/>
      <c r="R886" s="367"/>
      <c r="T886" s="152">
        <f>+List346[[#This Row],[Pengajuan Donasi]]-List346[[#This Row],[Jumlah Transfer]]</f>
        <v>0</v>
      </c>
    </row>
    <row r="887" spans="2:20" ht="30" customHeight="1" x14ac:dyDescent="0.2">
      <c r="B887" s="102"/>
      <c r="C887" s="67"/>
      <c r="D887" s="14"/>
      <c r="E887" s="14"/>
      <c r="F887" s="103"/>
      <c r="G887" s="15">
        <f>IFERROR(+VLOOKUP(D:D,'Data Base P.Asuhan &amp; Jompo'!B:I,7,0),0)</f>
        <v>0</v>
      </c>
      <c r="H887" s="258"/>
      <c r="I887" s="258">
        <f>List346[[#This Row],[Pengajuan Donasi]]</f>
        <v>0</v>
      </c>
      <c r="J887" s="213" t="str">
        <f>IF(List346[[#This Row],[Tanggal Trf]]&gt;0,"Done","-")</f>
        <v>-</v>
      </c>
      <c r="K887" s="14"/>
      <c r="L887" s="223"/>
      <c r="M887" s="100"/>
      <c r="N887" s="100">
        <f>MONTH(List346[[#This Row],[Tanggal Pengajuan]])</f>
        <v>1</v>
      </c>
      <c r="O887" s="183"/>
      <c r="P887" s="105"/>
      <c r="Q887" s="111"/>
      <c r="R887" s="367"/>
      <c r="T887" s="152">
        <f>+List346[[#This Row],[Pengajuan Donasi]]-List346[[#This Row],[Jumlah Transfer]]</f>
        <v>0</v>
      </c>
    </row>
    <row r="888" spans="2:20" ht="30" customHeight="1" x14ac:dyDescent="0.2">
      <c r="B888" s="102"/>
      <c r="C888" s="67"/>
      <c r="D888" s="14"/>
      <c r="E888" s="14"/>
      <c r="F888" s="103"/>
      <c r="G888" s="15">
        <f>IFERROR(+VLOOKUP(D:D,'Data Base P.Asuhan &amp; Jompo'!B:I,7,0),0)</f>
        <v>0</v>
      </c>
      <c r="H888" s="258"/>
      <c r="I888" s="258">
        <f>List346[[#This Row],[Pengajuan Donasi]]</f>
        <v>0</v>
      </c>
      <c r="J888" s="213" t="str">
        <f>IF(List346[[#This Row],[Tanggal Trf]]&gt;0,"Done","-")</f>
        <v>-</v>
      </c>
      <c r="K888" s="445"/>
      <c r="L888" s="224"/>
      <c r="M888" s="100"/>
      <c r="N888" s="100">
        <f>MONTH(List346[[#This Row],[Tanggal Pengajuan]])</f>
        <v>1</v>
      </c>
      <c r="O888" s="183"/>
      <c r="P888" s="105"/>
      <c r="Q888" s="111"/>
      <c r="R888" s="367"/>
      <c r="T888" s="152">
        <f>+List346[[#This Row],[Pengajuan Donasi]]-List346[[#This Row],[Jumlah Transfer]]</f>
        <v>0</v>
      </c>
    </row>
    <row r="889" spans="2:20" ht="30" customHeight="1" x14ac:dyDescent="0.2">
      <c r="B889" s="102"/>
      <c r="C889" s="67"/>
      <c r="D889" s="14"/>
      <c r="E889" s="14"/>
      <c r="F889" s="103"/>
      <c r="G889" s="15">
        <f>IFERROR(+VLOOKUP(D:D,'Data Base P.Asuhan &amp; Jompo'!B:I,7,0),0)</f>
        <v>0</v>
      </c>
      <c r="H889" s="258"/>
      <c r="I889" s="258">
        <f>List346[[#This Row],[Pengajuan Donasi]]</f>
        <v>0</v>
      </c>
      <c r="J889" s="213" t="str">
        <f>IF(List346[[#This Row],[Tanggal Trf]]&gt;0,"Done","-")</f>
        <v>-</v>
      </c>
      <c r="K889" s="445"/>
      <c r="L889" s="224"/>
      <c r="M889" s="100"/>
      <c r="N889" s="100">
        <f>MONTH(List346[[#This Row],[Tanggal Pengajuan]])</f>
        <v>1</v>
      </c>
      <c r="O889" s="183"/>
      <c r="P889" s="105"/>
      <c r="Q889" s="111"/>
      <c r="R889" s="367"/>
      <c r="T889" s="152">
        <f>+List346[[#This Row],[Pengajuan Donasi]]-List346[[#This Row],[Jumlah Transfer]]</f>
        <v>0</v>
      </c>
    </row>
    <row r="890" spans="2:20" ht="30" customHeight="1" x14ac:dyDescent="0.2">
      <c r="B890" s="102"/>
      <c r="C890" s="67"/>
      <c r="D890" s="14"/>
      <c r="E890" s="14"/>
      <c r="F890" s="103"/>
      <c r="G890" s="15">
        <f>IFERROR(+VLOOKUP(D:D,'Data Base P.Asuhan &amp; Jompo'!B:I,7,0),0)</f>
        <v>0</v>
      </c>
      <c r="H890" s="258"/>
      <c r="I890" s="258">
        <f>List346[[#This Row],[Pengajuan Donasi]]</f>
        <v>0</v>
      </c>
      <c r="J890" s="213" t="str">
        <f>IF(List346[[#This Row],[Tanggal Trf]]&gt;0,"Done","-")</f>
        <v>-</v>
      </c>
      <c r="K890" s="445"/>
      <c r="L890" s="224"/>
      <c r="M890" s="100"/>
      <c r="N890" s="100">
        <f>MONTH(List346[[#This Row],[Tanggal Pengajuan]])</f>
        <v>1</v>
      </c>
      <c r="O890" s="183"/>
      <c r="P890" s="105"/>
      <c r="Q890" s="111"/>
      <c r="R890" s="367"/>
      <c r="T890" s="152">
        <f>+List346[[#This Row],[Pengajuan Donasi]]-List346[[#This Row],[Jumlah Transfer]]</f>
        <v>0</v>
      </c>
    </row>
    <row r="891" spans="2:20" ht="30" customHeight="1" x14ac:dyDescent="0.2">
      <c r="B891" s="102"/>
      <c r="C891" s="67"/>
      <c r="D891" s="14"/>
      <c r="E891" s="14"/>
      <c r="F891" s="103"/>
      <c r="G891" s="15">
        <f>IFERROR(+VLOOKUP(D:D,'Data Base P.Asuhan &amp; Jompo'!B:I,7,0),0)</f>
        <v>0</v>
      </c>
      <c r="H891" s="258"/>
      <c r="I891" s="258">
        <f>List346[[#This Row],[Pengajuan Donasi]]</f>
        <v>0</v>
      </c>
      <c r="J891" s="213" t="str">
        <f>IF(List346[[#This Row],[Tanggal Trf]]&gt;0,"Done","-")</f>
        <v>-</v>
      </c>
      <c r="K891" s="445"/>
      <c r="L891" s="224"/>
      <c r="M891" s="100"/>
      <c r="N891" s="100">
        <f>MONTH(List346[[#This Row],[Tanggal Pengajuan]])</f>
        <v>1</v>
      </c>
      <c r="O891" s="183"/>
      <c r="P891" s="105"/>
      <c r="Q891" s="111"/>
      <c r="R891" s="367"/>
      <c r="T891" s="152">
        <f>+List346[[#This Row],[Pengajuan Donasi]]-List346[[#This Row],[Jumlah Transfer]]</f>
        <v>0</v>
      </c>
    </row>
    <row r="892" spans="2:20" ht="30" customHeight="1" x14ac:dyDescent="0.2">
      <c r="B892" s="102"/>
      <c r="C892" s="67"/>
      <c r="D892" s="14"/>
      <c r="E892" s="14"/>
      <c r="F892" s="103"/>
      <c r="G892" s="15">
        <f>IFERROR(+VLOOKUP(D:D,'Data Base P.Asuhan &amp; Jompo'!B:I,7,0),0)</f>
        <v>0</v>
      </c>
      <c r="H892" s="258"/>
      <c r="I892" s="258">
        <f>List346[[#This Row],[Pengajuan Donasi]]</f>
        <v>0</v>
      </c>
      <c r="J892" s="213" t="str">
        <f>IF(List346[[#This Row],[Tanggal Trf]]&gt;0,"Done","-")</f>
        <v>-</v>
      </c>
      <c r="K892" s="445"/>
      <c r="L892" s="221"/>
      <c r="M892" s="100"/>
      <c r="N892" s="100">
        <f>MONTH(List346[[#This Row],[Tanggal Pengajuan]])</f>
        <v>1</v>
      </c>
      <c r="O892" s="183"/>
      <c r="P892" s="105"/>
      <c r="Q892" s="111"/>
      <c r="R892" s="367"/>
      <c r="T892" s="152">
        <f>+List346[[#This Row],[Pengajuan Donasi]]-List346[[#This Row],[Jumlah Transfer]]</f>
        <v>0</v>
      </c>
    </row>
    <row r="893" spans="2:20" ht="30" customHeight="1" x14ac:dyDescent="0.2">
      <c r="B893" s="102"/>
      <c r="C893" s="67"/>
      <c r="D893" s="14"/>
      <c r="E893" s="14"/>
      <c r="F893" s="103"/>
      <c r="G893" s="15">
        <f>IFERROR(+VLOOKUP(D:D,'Data Base P.Asuhan &amp; Jompo'!B:I,7,0),0)</f>
        <v>0</v>
      </c>
      <c r="H893" s="258"/>
      <c r="I893" s="258">
        <f>List346[[#This Row],[Pengajuan Donasi]]</f>
        <v>0</v>
      </c>
      <c r="J893" s="213" t="str">
        <f>IF(List346[[#This Row],[Tanggal Trf]]&gt;0,"Done","-")</f>
        <v>-</v>
      </c>
      <c r="K893" s="445"/>
      <c r="L893" s="221"/>
      <c r="M893" s="100"/>
      <c r="N893" s="100">
        <f>MONTH(List346[[#This Row],[Tanggal Pengajuan]])</f>
        <v>1</v>
      </c>
      <c r="O893" s="183"/>
      <c r="P893" s="105"/>
      <c r="Q893" s="111"/>
      <c r="R893" s="367"/>
      <c r="T893" s="152">
        <f>+List346[[#This Row],[Pengajuan Donasi]]-List346[[#This Row],[Jumlah Transfer]]</f>
        <v>0</v>
      </c>
    </row>
    <row r="894" spans="2:20" ht="30" customHeight="1" x14ac:dyDescent="0.2">
      <c r="B894" s="102"/>
      <c r="C894" s="67"/>
      <c r="D894" s="14"/>
      <c r="E894" s="14"/>
      <c r="F894" s="103"/>
      <c r="G894" s="15">
        <f>IFERROR(+VLOOKUP(D:D,'Data Base P.Asuhan &amp; Jompo'!B:I,7,0),0)</f>
        <v>0</v>
      </c>
      <c r="H894" s="258"/>
      <c r="I894" s="258">
        <f>List346[[#This Row],[Pengajuan Donasi]]</f>
        <v>0</v>
      </c>
      <c r="J894" s="213" t="str">
        <f>IF(List346[[#This Row],[Tanggal Trf]]&gt;0,"Done","-")</f>
        <v>-</v>
      </c>
      <c r="K894" s="445"/>
      <c r="L894" s="221"/>
      <c r="M894" s="100"/>
      <c r="N894" s="100">
        <f>MONTH(List346[[#This Row],[Tanggal Pengajuan]])</f>
        <v>1</v>
      </c>
      <c r="O894" s="183"/>
      <c r="P894" s="105"/>
      <c r="Q894" s="111"/>
      <c r="R894" s="367"/>
      <c r="T894" s="152">
        <f>+List346[[#This Row],[Pengajuan Donasi]]-List346[[#This Row],[Jumlah Transfer]]</f>
        <v>0</v>
      </c>
    </row>
    <row r="895" spans="2:20" ht="30" customHeight="1" x14ac:dyDescent="0.2">
      <c r="B895" s="102"/>
      <c r="C895" s="67"/>
      <c r="D895" s="14"/>
      <c r="E895" s="14"/>
      <c r="F895" s="103"/>
      <c r="G895" s="15">
        <f>IFERROR(+VLOOKUP(D:D,'Data Base P.Asuhan &amp; Jompo'!B:I,7,0),0)</f>
        <v>0</v>
      </c>
      <c r="H895" s="258"/>
      <c r="I895" s="258">
        <f>List346[[#This Row],[Pengajuan Donasi]]</f>
        <v>0</v>
      </c>
      <c r="J895" s="213" t="str">
        <f>IF(List346[[#This Row],[Tanggal Trf]]&gt;0,"Done","-")</f>
        <v>-</v>
      </c>
      <c r="K895" s="445"/>
      <c r="L895" s="221"/>
      <c r="M895" s="100"/>
      <c r="N895" s="100">
        <f>MONTH(List346[[#This Row],[Tanggal Pengajuan]])</f>
        <v>1</v>
      </c>
      <c r="O895" s="183"/>
      <c r="P895" s="105"/>
      <c r="Q895" s="111"/>
      <c r="R895" s="367"/>
      <c r="T895" s="152">
        <f>+List346[[#This Row],[Pengajuan Donasi]]-List346[[#This Row],[Jumlah Transfer]]</f>
        <v>0</v>
      </c>
    </row>
    <row r="896" spans="2:20" ht="30" customHeight="1" x14ac:dyDescent="0.2">
      <c r="B896" s="102"/>
      <c r="C896" s="67"/>
      <c r="D896" s="14"/>
      <c r="E896" s="14"/>
      <c r="F896" s="103"/>
      <c r="G896" s="15">
        <f>IFERROR(+VLOOKUP(D:D,'Data Base P.Asuhan &amp; Jompo'!B:I,7,0),0)</f>
        <v>0</v>
      </c>
      <c r="H896" s="258"/>
      <c r="I896" s="258">
        <f>List346[[#This Row],[Pengajuan Donasi]]</f>
        <v>0</v>
      </c>
      <c r="J896" s="213" t="str">
        <f>IF(List346[[#This Row],[Tanggal Trf]]&gt;0,"Done","-")</f>
        <v>-</v>
      </c>
      <c r="K896" s="445"/>
      <c r="L896" s="221"/>
      <c r="M896" s="100"/>
      <c r="N896" s="100">
        <f>MONTH(List346[[#This Row],[Tanggal Pengajuan]])</f>
        <v>1</v>
      </c>
      <c r="O896" s="183"/>
      <c r="P896" s="105"/>
      <c r="Q896" s="111"/>
      <c r="R896" s="367"/>
      <c r="T896" s="152">
        <f>+List346[[#This Row],[Pengajuan Donasi]]-List346[[#This Row],[Jumlah Transfer]]</f>
        <v>0</v>
      </c>
    </row>
    <row r="897" spans="2:20" ht="30" customHeight="1" x14ac:dyDescent="0.2">
      <c r="B897" s="102"/>
      <c r="C897" s="67"/>
      <c r="D897" s="14"/>
      <c r="E897" s="14"/>
      <c r="F897" s="103"/>
      <c r="G897" s="15">
        <f>IFERROR(+VLOOKUP(D:D,'Data Base P.Asuhan &amp; Jompo'!B:I,7,0),0)</f>
        <v>0</v>
      </c>
      <c r="H897" s="258"/>
      <c r="I897" s="258">
        <f>List346[[#This Row],[Pengajuan Donasi]]</f>
        <v>0</v>
      </c>
      <c r="J897" s="213" t="str">
        <f>IF(List346[[#This Row],[Tanggal Trf]]&gt;0,"Done","-")</f>
        <v>-</v>
      </c>
      <c r="K897" s="445"/>
      <c r="L897" s="221"/>
      <c r="M897" s="100"/>
      <c r="N897" s="100">
        <f>MONTH(List346[[#This Row],[Tanggal Pengajuan]])</f>
        <v>1</v>
      </c>
      <c r="O897" s="183"/>
      <c r="P897" s="105"/>
      <c r="Q897" s="111"/>
      <c r="R897" s="367"/>
      <c r="T897" s="152">
        <f>+List346[[#This Row],[Pengajuan Donasi]]-List346[[#This Row],[Jumlah Transfer]]</f>
        <v>0</v>
      </c>
    </row>
    <row r="898" spans="2:20" ht="30" customHeight="1" x14ac:dyDescent="0.2">
      <c r="B898" s="102"/>
      <c r="C898" s="67"/>
      <c r="D898" s="14"/>
      <c r="E898" s="14"/>
      <c r="F898" s="103"/>
      <c r="G898" s="15">
        <f>IFERROR(+VLOOKUP(D:D,'Data Base P.Asuhan &amp; Jompo'!B:I,7,0),0)</f>
        <v>0</v>
      </c>
      <c r="H898" s="258"/>
      <c r="I898" s="258">
        <f>List346[[#This Row],[Pengajuan Donasi]]</f>
        <v>0</v>
      </c>
      <c r="J898" s="213" t="str">
        <f>IF(List346[[#This Row],[Tanggal Trf]]&gt;0,"Done","-")</f>
        <v>-</v>
      </c>
      <c r="K898" s="445"/>
      <c r="L898" s="221"/>
      <c r="M898" s="100"/>
      <c r="N898" s="100">
        <f>MONTH(List346[[#This Row],[Tanggal Pengajuan]])</f>
        <v>1</v>
      </c>
      <c r="O898" s="183"/>
      <c r="P898" s="105"/>
      <c r="Q898" s="111"/>
      <c r="R898" s="367"/>
      <c r="T898" s="152">
        <f>+List346[[#This Row],[Pengajuan Donasi]]-List346[[#This Row],[Jumlah Transfer]]</f>
        <v>0</v>
      </c>
    </row>
    <row r="899" spans="2:20" ht="30" customHeight="1" x14ac:dyDescent="0.2">
      <c r="B899" s="102"/>
      <c r="C899" s="67"/>
      <c r="D899" s="14"/>
      <c r="E899" s="14"/>
      <c r="F899" s="103"/>
      <c r="G899" s="15">
        <f>IFERROR(+VLOOKUP(D:D,'Data Base P.Asuhan &amp; Jompo'!B:I,7,0),0)</f>
        <v>0</v>
      </c>
      <c r="H899" s="258"/>
      <c r="I899" s="258">
        <f>List346[[#This Row],[Pengajuan Donasi]]</f>
        <v>0</v>
      </c>
      <c r="J899" s="213" t="str">
        <f>IF(List346[[#This Row],[Tanggal Trf]]&gt;0,"Done","-")</f>
        <v>-</v>
      </c>
      <c r="K899" s="445"/>
      <c r="L899" s="221"/>
      <c r="M899" s="100"/>
      <c r="N899" s="100">
        <f>MONTH(List346[[#This Row],[Tanggal Pengajuan]])</f>
        <v>1</v>
      </c>
      <c r="O899" s="183"/>
      <c r="P899" s="105"/>
      <c r="Q899" s="111"/>
      <c r="R899" s="367"/>
      <c r="T899" s="152">
        <f>+List346[[#This Row],[Pengajuan Donasi]]-List346[[#This Row],[Jumlah Transfer]]</f>
        <v>0</v>
      </c>
    </row>
    <row r="900" spans="2:20" ht="30" customHeight="1" x14ac:dyDescent="0.2">
      <c r="B900" s="102"/>
      <c r="C900" s="67"/>
      <c r="D900" s="14"/>
      <c r="E900" s="14"/>
      <c r="F900" s="103"/>
      <c r="G900" s="15">
        <f>IFERROR(+VLOOKUP(D:D,'Data Base P.Asuhan &amp; Jompo'!B:I,7,0),0)</f>
        <v>0</v>
      </c>
      <c r="H900" s="258"/>
      <c r="I900" s="258">
        <f>List346[[#This Row],[Pengajuan Donasi]]</f>
        <v>0</v>
      </c>
      <c r="J900" s="213" t="str">
        <f>IF(List346[[#This Row],[Tanggal Trf]]&gt;0,"Done","-")</f>
        <v>-</v>
      </c>
      <c r="K900" s="445"/>
      <c r="L900" s="221"/>
      <c r="M900" s="100"/>
      <c r="N900" s="100">
        <f>MONTH(List346[[#This Row],[Tanggal Pengajuan]])</f>
        <v>1</v>
      </c>
      <c r="O900" s="183"/>
      <c r="P900" s="105"/>
      <c r="Q900" s="111"/>
      <c r="R900" s="367"/>
      <c r="T900" s="152">
        <f>+List346[[#This Row],[Pengajuan Donasi]]-List346[[#This Row],[Jumlah Transfer]]</f>
        <v>0</v>
      </c>
    </row>
    <row r="901" spans="2:20" ht="30" customHeight="1" x14ac:dyDescent="0.2">
      <c r="B901" s="102"/>
      <c r="C901" s="67"/>
      <c r="D901" s="14"/>
      <c r="E901" s="14"/>
      <c r="F901" s="103"/>
      <c r="G901" s="15">
        <f>IFERROR(+VLOOKUP(D:D,'Data Base P.Asuhan &amp; Jompo'!B:I,7,0),0)</f>
        <v>0</v>
      </c>
      <c r="H901" s="258"/>
      <c r="I901" s="258">
        <f>List346[[#This Row],[Pengajuan Donasi]]</f>
        <v>0</v>
      </c>
      <c r="J901" s="213" t="str">
        <f>IF(List346[[#This Row],[Tanggal Trf]]&gt;0,"Done","-")</f>
        <v>-</v>
      </c>
      <c r="K901" s="445"/>
      <c r="L901" s="221"/>
      <c r="M901" s="100"/>
      <c r="N901" s="100">
        <f>MONTH(List346[[#This Row],[Tanggal Pengajuan]])</f>
        <v>1</v>
      </c>
      <c r="O901" s="183"/>
      <c r="P901" s="105"/>
      <c r="Q901" s="111"/>
      <c r="R901" s="367"/>
      <c r="T901" s="152">
        <f>+List346[[#This Row],[Pengajuan Donasi]]-List346[[#This Row],[Jumlah Transfer]]</f>
        <v>0</v>
      </c>
    </row>
    <row r="902" spans="2:20" ht="30" customHeight="1" x14ac:dyDescent="0.2">
      <c r="B902" s="102"/>
      <c r="C902" s="67"/>
      <c r="D902" s="14"/>
      <c r="E902" s="14"/>
      <c r="F902" s="103"/>
      <c r="G902" s="15">
        <f>IFERROR(+VLOOKUP(D:D,'Data Base P.Asuhan &amp; Jompo'!B:I,7,0),0)</f>
        <v>0</v>
      </c>
      <c r="H902" s="258"/>
      <c r="I902" s="258">
        <f>List346[[#This Row],[Pengajuan Donasi]]</f>
        <v>0</v>
      </c>
      <c r="J902" s="213" t="str">
        <f>IF(List346[[#This Row],[Tanggal Trf]]&gt;0,"Done","-")</f>
        <v>-</v>
      </c>
      <c r="K902" s="445"/>
      <c r="L902" s="221"/>
      <c r="M902" s="100"/>
      <c r="N902" s="100">
        <f>MONTH(List346[[#This Row],[Tanggal Pengajuan]])</f>
        <v>1</v>
      </c>
      <c r="O902" s="183"/>
      <c r="P902" s="105"/>
      <c r="Q902" s="111"/>
      <c r="R902" s="367"/>
      <c r="T902" s="152">
        <f>+List346[[#This Row],[Pengajuan Donasi]]-List346[[#This Row],[Jumlah Transfer]]</f>
        <v>0</v>
      </c>
    </row>
    <row r="903" spans="2:20" ht="30" customHeight="1" x14ac:dyDescent="0.2">
      <c r="B903" s="102"/>
      <c r="C903" s="67"/>
      <c r="D903" s="14"/>
      <c r="E903" s="14"/>
      <c r="F903" s="103"/>
      <c r="G903" s="15">
        <f>IFERROR(+VLOOKUP(D:D,'Data Base P.Asuhan &amp; Jompo'!B:I,7,0),0)</f>
        <v>0</v>
      </c>
      <c r="H903" s="258"/>
      <c r="I903" s="258">
        <f>List346[[#This Row],[Pengajuan Donasi]]</f>
        <v>0</v>
      </c>
      <c r="J903" s="213" t="str">
        <f>IF(List346[[#This Row],[Tanggal Trf]]&gt;0,"Done","-")</f>
        <v>-</v>
      </c>
      <c r="K903" s="445"/>
      <c r="L903" s="221"/>
      <c r="M903" s="100"/>
      <c r="N903" s="100">
        <f>MONTH(List346[[#This Row],[Tanggal Pengajuan]])</f>
        <v>1</v>
      </c>
      <c r="O903" s="183"/>
      <c r="P903" s="105"/>
      <c r="Q903" s="111"/>
      <c r="R903" s="367"/>
      <c r="T903" s="152">
        <f>+List346[[#This Row],[Pengajuan Donasi]]-List346[[#This Row],[Jumlah Transfer]]</f>
        <v>0</v>
      </c>
    </row>
    <row r="904" spans="2:20" ht="30" customHeight="1" x14ac:dyDescent="0.2">
      <c r="B904" s="102"/>
      <c r="C904" s="67"/>
      <c r="D904" s="14"/>
      <c r="E904" s="14"/>
      <c r="F904" s="103"/>
      <c r="G904" s="15">
        <f>IFERROR(+VLOOKUP(D:D,'Data Base P.Asuhan &amp; Jompo'!B:I,7,0),0)</f>
        <v>0</v>
      </c>
      <c r="H904" s="258"/>
      <c r="I904" s="258">
        <f>List346[[#This Row],[Pengajuan Donasi]]</f>
        <v>0</v>
      </c>
      <c r="J904" s="213" t="str">
        <f>IF(List346[[#This Row],[Tanggal Trf]]&gt;0,"Done","-")</f>
        <v>-</v>
      </c>
      <c r="K904" s="445"/>
      <c r="L904" s="221"/>
      <c r="M904" s="100"/>
      <c r="N904" s="100">
        <f>MONTH(List346[[#This Row],[Tanggal Pengajuan]])</f>
        <v>1</v>
      </c>
      <c r="O904" s="183"/>
      <c r="P904" s="105"/>
      <c r="Q904" s="111"/>
      <c r="R904" s="367"/>
      <c r="T904" s="152">
        <f>+List346[[#This Row],[Pengajuan Donasi]]-List346[[#This Row],[Jumlah Transfer]]</f>
        <v>0</v>
      </c>
    </row>
    <row r="905" spans="2:20" ht="30" customHeight="1" x14ac:dyDescent="0.2">
      <c r="B905" s="102"/>
      <c r="C905" s="67"/>
      <c r="D905" s="14"/>
      <c r="E905" s="14"/>
      <c r="F905" s="103"/>
      <c r="G905" s="15">
        <f>IFERROR(+VLOOKUP(D:D,'Data Base P.Asuhan &amp; Jompo'!B:I,7,0),0)</f>
        <v>0</v>
      </c>
      <c r="H905" s="258"/>
      <c r="I905" s="258">
        <f>List346[[#This Row],[Pengajuan Donasi]]</f>
        <v>0</v>
      </c>
      <c r="J905" s="213" t="str">
        <f>IF(List346[[#This Row],[Tanggal Trf]]&gt;0,"Done","-")</f>
        <v>-</v>
      </c>
      <c r="K905" s="445"/>
      <c r="L905" s="221"/>
      <c r="M905" s="100"/>
      <c r="N905" s="100">
        <f>MONTH(List346[[#This Row],[Tanggal Pengajuan]])</f>
        <v>1</v>
      </c>
      <c r="O905" s="183"/>
      <c r="P905" s="105"/>
      <c r="Q905" s="111"/>
      <c r="R905" s="367"/>
      <c r="T905" s="152">
        <f>+List346[[#This Row],[Pengajuan Donasi]]-List346[[#This Row],[Jumlah Transfer]]</f>
        <v>0</v>
      </c>
    </row>
    <row r="906" spans="2:20" ht="30" customHeight="1" x14ac:dyDescent="0.2">
      <c r="B906" s="102"/>
      <c r="C906" s="67"/>
      <c r="D906" s="14"/>
      <c r="E906" s="14"/>
      <c r="F906" s="103"/>
      <c r="G906" s="15">
        <f>IFERROR(+VLOOKUP(D:D,'Data Base P.Asuhan &amp; Jompo'!B:I,7,0),0)</f>
        <v>0</v>
      </c>
      <c r="H906" s="258"/>
      <c r="I906" s="258">
        <f>List346[[#This Row],[Pengajuan Donasi]]</f>
        <v>0</v>
      </c>
      <c r="J906" s="213" t="str">
        <f>IF(List346[[#This Row],[Tanggal Trf]]&gt;0,"Done","-")</f>
        <v>-</v>
      </c>
      <c r="K906" s="445"/>
      <c r="L906" s="221"/>
      <c r="M906" s="100"/>
      <c r="N906" s="100">
        <f>MONTH(List346[[#This Row],[Tanggal Pengajuan]])</f>
        <v>1</v>
      </c>
      <c r="O906" s="183"/>
      <c r="P906" s="105"/>
      <c r="Q906" s="111"/>
      <c r="R906" s="367"/>
      <c r="T906" s="152">
        <f>+List346[[#This Row],[Pengajuan Donasi]]-List346[[#This Row],[Jumlah Transfer]]</f>
        <v>0</v>
      </c>
    </row>
    <row r="907" spans="2:20" ht="30" customHeight="1" x14ac:dyDescent="0.2">
      <c r="B907" s="102"/>
      <c r="C907" s="67"/>
      <c r="D907" s="14"/>
      <c r="E907" s="14"/>
      <c r="F907" s="103"/>
      <c r="G907" s="15">
        <f>IFERROR(+VLOOKUP(D:D,'Data Base P.Asuhan &amp; Jompo'!B:I,7,0),0)</f>
        <v>0</v>
      </c>
      <c r="H907" s="258"/>
      <c r="I907" s="258">
        <f>List346[[#This Row],[Pengajuan Donasi]]</f>
        <v>0</v>
      </c>
      <c r="J907" s="213" t="str">
        <f>IF(List346[[#This Row],[Tanggal Trf]]&gt;0,"Done","-")</f>
        <v>-</v>
      </c>
      <c r="K907" s="445"/>
      <c r="L907" s="221"/>
      <c r="M907" s="100"/>
      <c r="N907" s="100">
        <f>MONTH(List346[[#This Row],[Tanggal Pengajuan]])</f>
        <v>1</v>
      </c>
      <c r="O907" s="183"/>
      <c r="P907" s="105"/>
      <c r="Q907" s="111"/>
      <c r="R907" s="367"/>
      <c r="T907" s="152">
        <f>+List346[[#This Row],[Pengajuan Donasi]]-List346[[#This Row],[Jumlah Transfer]]</f>
        <v>0</v>
      </c>
    </row>
    <row r="908" spans="2:20" ht="30" customHeight="1" x14ac:dyDescent="0.2">
      <c r="B908" s="102"/>
      <c r="C908" s="67"/>
      <c r="D908" s="14"/>
      <c r="E908" s="14"/>
      <c r="F908" s="103"/>
      <c r="G908" s="15">
        <f>IFERROR(+VLOOKUP(D:D,'Data Base P.Asuhan &amp; Jompo'!B:I,7,0),0)</f>
        <v>0</v>
      </c>
      <c r="H908" s="258"/>
      <c r="I908" s="258">
        <f>List346[[#This Row],[Pengajuan Donasi]]</f>
        <v>0</v>
      </c>
      <c r="J908" s="213" t="str">
        <f>IF(List346[[#This Row],[Tanggal Trf]]&gt;0,"Done","-")</f>
        <v>-</v>
      </c>
      <c r="K908" s="445"/>
      <c r="L908" s="221"/>
      <c r="M908" s="100"/>
      <c r="N908" s="100">
        <f>MONTH(List346[[#This Row],[Tanggal Pengajuan]])</f>
        <v>1</v>
      </c>
      <c r="O908" s="183"/>
      <c r="P908" s="105"/>
      <c r="Q908" s="111"/>
      <c r="R908" s="367"/>
      <c r="T908" s="152">
        <f>+List346[[#This Row],[Pengajuan Donasi]]-List346[[#This Row],[Jumlah Transfer]]</f>
        <v>0</v>
      </c>
    </row>
    <row r="909" spans="2:20" ht="30" customHeight="1" x14ac:dyDescent="0.2">
      <c r="B909" s="102"/>
      <c r="C909" s="67"/>
      <c r="D909" s="14"/>
      <c r="E909" s="14"/>
      <c r="F909" s="103"/>
      <c r="G909" s="15">
        <f>IFERROR(+VLOOKUP(D:D,'Data Base P.Asuhan &amp; Jompo'!B:I,7,0),0)</f>
        <v>0</v>
      </c>
      <c r="H909" s="258"/>
      <c r="I909" s="258">
        <f>List346[[#This Row],[Pengajuan Donasi]]</f>
        <v>0</v>
      </c>
      <c r="J909" s="213" t="str">
        <f>IF(List346[[#This Row],[Tanggal Trf]]&gt;0,"Done","-")</f>
        <v>-</v>
      </c>
      <c r="K909" s="995"/>
      <c r="L909" s="221"/>
      <c r="M909" s="100"/>
      <c r="N909" s="100">
        <f>MONTH(List346[[#This Row],[Tanggal Pengajuan]])</f>
        <v>1</v>
      </c>
      <c r="O909" s="183"/>
      <c r="P909" s="105"/>
      <c r="Q909" s="111"/>
      <c r="R909" s="367"/>
      <c r="T909" s="152">
        <f>+List346[[#This Row],[Pengajuan Donasi]]-List346[[#This Row],[Jumlah Transfer]]</f>
        <v>0</v>
      </c>
    </row>
    <row r="910" spans="2:20" ht="30" customHeight="1" x14ac:dyDescent="0.2">
      <c r="B910" s="102"/>
      <c r="C910" s="67"/>
      <c r="D910" s="14"/>
      <c r="E910" s="14"/>
      <c r="F910" s="103"/>
      <c r="G910" s="15">
        <f>IFERROR(+VLOOKUP(D:D,'Data Base P.Asuhan &amp; Jompo'!B:I,7,0),0)</f>
        <v>0</v>
      </c>
      <c r="H910" s="258"/>
      <c r="I910" s="258">
        <f>List346[[#This Row],[Pengajuan Donasi]]</f>
        <v>0</v>
      </c>
      <c r="J910" s="213" t="str">
        <f>IF(List346[[#This Row],[Tanggal Trf]]&gt;0,"Done","-")</f>
        <v>-</v>
      </c>
      <c r="K910" s="995"/>
      <c r="L910" s="221"/>
      <c r="M910" s="100"/>
      <c r="N910" s="100">
        <f>MONTH(List346[[#This Row],[Tanggal Pengajuan]])</f>
        <v>1</v>
      </c>
      <c r="O910" s="183"/>
      <c r="P910" s="105"/>
      <c r="Q910" s="111"/>
      <c r="R910" s="367"/>
      <c r="T910" s="152">
        <f>+List346[[#This Row],[Pengajuan Donasi]]-List346[[#This Row],[Jumlah Transfer]]</f>
        <v>0</v>
      </c>
    </row>
    <row r="911" spans="2:20" ht="30" customHeight="1" x14ac:dyDescent="0.2">
      <c r="B911" s="102"/>
      <c r="C911" s="67"/>
      <c r="D911" s="14"/>
      <c r="E911" s="14"/>
      <c r="F911" s="103"/>
      <c r="G911" s="15">
        <f>IFERROR(+VLOOKUP(D:D,'Data Base P.Asuhan &amp; Jompo'!B:I,7,0),0)</f>
        <v>0</v>
      </c>
      <c r="H911" s="258"/>
      <c r="I911" s="258">
        <f>List346[[#This Row],[Pengajuan Donasi]]</f>
        <v>0</v>
      </c>
      <c r="J911" s="213" t="str">
        <f>IF(List346[[#This Row],[Tanggal Trf]]&gt;0,"Done","-")</f>
        <v>-</v>
      </c>
      <c r="K911" s="995"/>
      <c r="L911" s="221"/>
      <c r="M911" s="100"/>
      <c r="N911" s="100">
        <f>MONTH(List346[[#This Row],[Tanggal Pengajuan]])</f>
        <v>1</v>
      </c>
      <c r="O911" s="183"/>
      <c r="P911" s="105"/>
      <c r="Q911" s="111"/>
      <c r="R911" s="367"/>
      <c r="T911" s="152">
        <f>+List346[[#This Row],[Pengajuan Donasi]]-List346[[#This Row],[Jumlah Transfer]]</f>
        <v>0</v>
      </c>
    </row>
    <row r="912" spans="2:20" ht="30" customHeight="1" x14ac:dyDescent="0.2">
      <c r="B912" s="102"/>
      <c r="C912" s="67"/>
      <c r="D912" s="14"/>
      <c r="E912" s="14"/>
      <c r="F912" s="105"/>
      <c r="G912" s="15">
        <f>IFERROR(+VLOOKUP(D:D,'Data Base P.Asuhan &amp; Jompo'!B:I,7,0),0)</f>
        <v>0</v>
      </c>
      <c r="H912" s="271"/>
      <c r="I912" s="258">
        <f>List346[[#This Row],[Pengajuan Donasi]]</f>
        <v>0</v>
      </c>
      <c r="J912" s="213" t="str">
        <f>IF(List346[[#This Row],[Tanggal Trf]]&gt;0,"Done","-")</f>
        <v>-</v>
      </c>
      <c r="K912" s="14"/>
      <c r="L912" s="223"/>
      <c r="M912" s="14"/>
      <c r="N912" s="100">
        <f>MONTH(List346[[#This Row],[Tanggal Pengajuan]])</f>
        <v>1</v>
      </c>
      <c r="O912" s="183"/>
      <c r="P912" s="105"/>
      <c r="Q912" s="111"/>
      <c r="R912" s="367"/>
      <c r="T912" s="152">
        <f>+List346[[#This Row],[Pengajuan Donasi]]-List346[[#This Row],[Jumlah Transfer]]</f>
        <v>0</v>
      </c>
    </row>
    <row r="913" spans="2:20" ht="30" customHeight="1" x14ac:dyDescent="0.2">
      <c r="B913" s="102"/>
      <c r="C913" s="67"/>
      <c r="D913" s="14"/>
      <c r="E913" s="14"/>
      <c r="F913" s="105"/>
      <c r="G913" s="15">
        <f>IFERROR(+VLOOKUP(D:D,'Data Base P.Asuhan &amp; Jompo'!B:I,7,0),0)</f>
        <v>0</v>
      </c>
      <c r="H913" s="271"/>
      <c r="I913" s="258">
        <f>List346[[#This Row],[Pengajuan Donasi]]</f>
        <v>0</v>
      </c>
      <c r="J913" s="213" t="str">
        <f>IF(List346[[#This Row],[Tanggal Trf]]&gt;0,"Done","-")</f>
        <v>-</v>
      </c>
      <c r="K913" s="14"/>
      <c r="L913" s="223"/>
      <c r="M913" s="14"/>
      <c r="N913" s="100">
        <f>MONTH(List346[[#This Row],[Tanggal Pengajuan]])</f>
        <v>1</v>
      </c>
      <c r="O913" s="183"/>
      <c r="P913" s="105"/>
      <c r="Q913" s="111"/>
      <c r="R913" s="367"/>
      <c r="T913" s="152">
        <f>+List346[[#This Row],[Pengajuan Donasi]]-List346[[#This Row],[Jumlah Transfer]]</f>
        <v>0</v>
      </c>
    </row>
    <row r="914" spans="2:20" ht="30" customHeight="1" x14ac:dyDescent="0.2">
      <c r="B914" s="102"/>
      <c r="C914" s="67"/>
      <c r="D914" s="14"/>
      <c r="E914" s="14"/>
      <c r="F914" s="105"/>
      <c r="G914" s="15">
        <f>IFERROR(+VLOOKUP(D:D,'Data Base P.Asuhan &amp; Jompo'!B:I,7,0),0)</f>
        <v>0</v>
      </c>
      <c r="H914" s="271"/>
      <c r="I914" s="258">
        <f>List346[[#This Row],[Pengajuan Donasi]]</f>
        <v>0</v>
      </c>
      <c r="J914" s="213" t="str">
        <f>IF(List346[[#This Row],[Tanggal Trf]]&gt;0,"Done","-")</f>
        <v>-</v>
      </c>
      <c r="K914" s="14"/>
      <c r="L914" s="223"/>
      <c r="M914" s="14"/>
      <c r="N914" s="100">
        <f>MONTH(List346[[#This Row],[Tanggal Pengajuan]])</f>
        <v>1</v>
      </c>
      <c r="O914" s="183"/>
      <c r="P914" s="105"/>
      <c r="Q914" s="111"/>
      <c r="R914" s="367"/>
      <c r="T914" s="152">
        <f>+List346[[#This Row],[Pengajuan Donasi]]-List346[[#This Row],[Jumlah Transfer]]</f>
        <v>0</v>
      </c>
    </row>
    <row r="915" spans="2:20" ht="30" customHeight="1" x14ac:dyDescent="0.2">
      <c r="B915" s="102"/>
      <c r="C915" s="67"/>
      <c r="D915" s="14"/>
      <c r="E915" s="14"/>
      <c r="F915" s="105"/>
      <c r="G915" s="15">
        <f>IFERROR(+VLOOKUP(D:D,'Data Base P.Asuhan &amp; Jompo'!B:I,7,0),0)</f>
        <v>0</v>
      </c>
      <c r="H915" s="271"/>
      <c r="I915" s="258">
        <f>List346[[#This Row],[Pengajuan Donasi]]</f>
        <v>0</v>
      </c>
      <c r="J915" s="213" t="str">
        <f>IF(List346[[#This Row],[Tanggal Trf]]&gt;0,"Done","-")</f>
        <v>-</v>
      </c>
      <c r="K915" s="14"/>
      <c r="L915" s="223"/>
      <c r="M915" s="14"/>
      <c r="N915" s="100">
        <f>MONTH(List346[[#This Row],[Tanggal Pengajuan]])</f>
        <v>1</v>
      </c>
      <c r="O915" s="183"/>
      <c r="P915" s="105"/>
      <c r="Q915" s="111"/>
      <c r="R915" s="367"/>
      <c r="T915" s="152">
        <f>+List346[[#This Row],[Pengajuan Donasi]]-List346[[#This Row],[Jumlah Transfer]]</f>
        <v>0</v>
      </c>
    </row>
    <row r="916" spans="2:20" ht="30" customHeight="1" x14ac:dyDescent="0.2">
      <c r="B916" s="102"/>
      <c r="C916" s="67"/>
      <c r="D916" s="14"/>
      <c r="E916" s="14"/>
      <c r="F916" s="105"/>
      <c r="G916" s="15">
        <f>IFERROR(+VLOOKUP(D:D,'Data Base P.Asuhan &amp; Jompo'!B:I,7,0),0)</f>
        <v>0</v>
      </c>
      <c r="H916" s="271"/>
      <c r="I916" s="258">
        <f>List346[[#This Row],[Pengajuan Donasi]]</f>
        <v>0</v>
      </c>
      <c r="J916" s="213" t="str">
        <f>IF(List346[[#This Row],[Tanggal Trf]]&gt;0,"Done","-")</f>
        <v>-</v>
      </c>
      <c r="K916" s="14"/>
      <c r="L916" s="223"/>
      <c r="M916" s="14"/>
      <c r="N916" s="100">
        <f>MONTH(List346[[#This Row],[Tanggal Pengajuan]])</f>
        <v>1</v>
      </c>
      <c r="O916" s="183"/>
      <c r="P916" s="105"/>
      <c r="Q916" s="111"/>
      <c r="R916" s="367"/>
      <c r="T916" s="152">
        <f>+List346[[#This Row],[Pengajuan Donasi]]-List346[[#This Row],[Jumlah Transfer]]</f>
        <v>0</v>
      </c>
    </row>
    <row r="917" spans="2:20" ht="30" customHeight="1" x14ac:dyDescent="0.2">
      <c r="B917" s="102"/>
      <c r="C917" s="67"/>
      <c r="D917" s="14"/>
      <c r="E917" s="14"/>
      <c r="F917" s="105"/>
      <c r="G917" s="15">
        <f>IFERROR(+VLOOKUP(D:D,'Data Base P.Asuhan &amp; Jompo'!B:I,7,0),0)</f>
        <v>0</v>
      </c>
      <c r="H917" s="271"/>
      <c r="I917" s="258">
        <f>List346[[#This Row],[Pengajuan Donasi]]</f>
        <v>0</v>
      </c>
      <c r="J917" s="213" t="str">
        <f>IF(List346[[#This Row],[Tanggal Trf]]&gt;0,"Done","-")</f>
        <v>-</v>
      </c>
      <c r="K917" s="14"/>
      <c r="L917" s="223"/>
      <c r="M917" s="14"/>
      <c r="N917" s="100">
        <f>MONTH(List346[[#This Row],[Tanggal Pengajuan]])</f>
        <v>1</v>
      </c>
      <c r="O917" s="183"/>
      <c r="P917" s="105"/>
      <c r="Q917" s="111"/>
      <c r="R917" s="367"/>
      <c r="T917" s="152">
        <f>+List346[[#This Row],[Pengajuan Donasi]]-List346[[#This Row],[Jumlah Transfer]]</f>
        <v>0</v>
      </c>
    </row>
    <row r="918" spans="2:20" ht="30" customHeight="1" x14ac:dyDescent="0.2">
      <c r="B918" s="102"/>
      <c r="C918" s="67"/>
      <c r="D918" s="14"/>
      <c r="E918" s="14"/>
      <c r="F918" s="105"/>
      <c r="G918" s="15">
        <f>IFERROR(+VLOOKUP(D:D,'Data Base P.Asuhan &amp; Jompo'!B:I,7,0),0)</f>
        <v>0</v>
      </c>
      <c r="H918" s="271"/>
      <c r="I918" s="258">
        <f>List346[[#This Row],[Pengajuan Donasi]]</f>
        <v>0</v>
      </c>
      <c r="J918" s="213" t="str">
        <f>IF(List346[[#This Row],[Tanggal Trf]]&gt;0,"Done","-")</f>
        <v>-</v>
      </c>
      <c r="K918" s="14"/>
      <c r="L918" s="223"/>
      <c r="M918" s="14"/>
      <c r="N918" s="100">
        <f>MONTH(List346[[#This Row],[Tanggal Pengajuan]])</f>
        <v>1</v>
      </c>
      <c r="O918" s="183"/>
      <c r="P918" s="105"/>
      <c r="Q918" s="111"/>
      <c r="R918" s="367"/>
      <c r="T918" s="152">
        <f>+List346[[#This Row],[Pengajuan Donasi]]-List346[[#This Row],[Jumlah Transfer]]</f>
        <v>0</v>
      </c>
    </row>
    <row r="919" spans="2:20" ht="30" customHeight="1" x14ac:dyDescent="0.2">
      <c r="B919" s="102"/>
      <c r="C919" s="67"/>
      <c r="D919" s="14"/>
      <c r="E919" s="14"/>
      <c r="F919" s="105"/>
      <c r="G919" s="15">
        <f>IFERROR(+VLOOKUP(D:D,'Data Base P.Asuhan &amp; Jompo'!B:I,7,0),0)</f>
        <v>0</v>
      </c>
      <c r="H919" s="271"/>
      <c r="I919" s="258">
        <f>List346[[#This Row],[Pengajuan Donasi]]</f>
        <v>0</v>
      </c>
      <c r="J919" s="213" t="str">
        <f>IF(List346[[#This Row],[Tanggal Trf]]&gt;0,"Done","-")</f>
        <v>-</v>
      </c>
      <c r="K919" s="14"/>
      <c r="L919" s="223"/>
      <c r="M919" s="14"/>
      <c r="N919" s="100">
        <f>MONTH(List346[[#This Row],[Tanggal Pengajuan]])</f>
        <v>1</v>
      </c>
      <c r="O919" s="183"/>
      <c r="P919" s="105"/>
      <c r="Q919" s="111"/>
      <c r="R919" s="367"/>
      <c r="T919" s="152">
        <f>+List346[[#This Row],[Pengajuan Donasi]]-List346[[#This Row],[Jumlah Transfer]]</f>
        <v>0</v>
      </c>
    </row>
    <row r="920" spans="2:20" ht="30" customHeight="1" x14ac:dyDescent="0.2">
      <c r="B920" s="102"/>
      <c r="C920" s="67"/>
      <c r="D920" s="14"/>
      <c r="E920" s="14"/>
      <c r="F920" s="105"/>
      <c r="G920" s="15">
        <f>IFERROR(+VLOOKUP(D:D,'Data Base P.Asuhan &amp; Jompo'!B:I,7,0),0)</f>
        <v>0</v>
      </c>
      <c r="H920" s="271"/>
      <c r="I920" s="258">
        <f>List346[[#This Row],[Pengajuan Donasi]]</f>
        <v>0</v>
      </c>
      <c r="J920" s="213" t="str">
        <f>IF(List346[[#This Row],[Tanggal Trf]]&gt;0,"Done","-")</f>
        <v>-</v>
      </c>
      <c r="K920" s="14"/>
      <c r="L920" s="223"/>
      <c r="M920" s="14"/>
      <c r="N920" s="100">
        <f>MONTH(List346[[#This Row],[Tanggal Pengajuan]])</f>
        <v>1</v>
      </c>
      <c r="O920" s="183"/>
      <c r="P920" s="105"/>
      <c r="Q920" s="111"/>
      <c r="R920" s="367"/>
      <c r="T920" s="152">
        <f>+List346[[#This Row],[Pengajuan Donasi]]-List346[[#This Row],[Jumlah Transfer]]</f>
        <v>0</v>
      </c>
    </row>
    <row r="921" spans="2:20" ht="30" customHeight="1" x14ac:dyDescent="0.2">
      <c r="B921" s="102"/>
      <c r="C921" s="67"/>
      <c r="D921" s="14"/>
      <c r="E921" s="14"/>
      <c r="F921" s="105"/>
      <c r="G921" s="15">
        <f>IFERROR(+VLOOKUP(D:D,'Data Base P.Asuhan &amp; Jompo'!B:I,7,0),0)</f>
        <v>0</v>
      </c>
      <c r="H921" s="271"/>
      <c r="I921" s="258">
        <f>List346[[#This Row],[Pengajuan Donasi]]</f>
        <v>0</v>
      </c>
      <c r="J921" s="213" t="str">
        <f>IF(List346[[#This Row],[Tanggal Trf]]&gt;0,"Done","-")</f>
        <v>-</v>
      </c>
      <c r="K921" s="14"/>
      <c r="L921" s="223"/>
      <c r="M921" s="14"/>
      <c r="N921" s="100">
        <f>MONTH(List346[[#This Row],[Tanggal Pengajuan]])</f>
        <v>1</v>
      </c>
      <c r="O921" s="183"/>
      <c r="P921" s="105"/>
      <c r="Q921" s="111"/>
      <c r="R921" s="367"/>
      <c r="T921" s="152">
        <f>+List346[[#This Row],[Pengajuan Donasi]]-List346[[#This Row],[Jumlah Transfer]]</f>
        <v>0</v>
      </c>
    </row>
    <row r="922" spans="2:20" ht="30" customHeight="1" x14ac:dyDescent="0.2">
      <c r="B922" s="102"/>
      <c r="C922" s="67"/>
      <c r="D922" s="14"/>
      <c r="E922" s="14"/>
      <c r="F922" s="105"/>
      <c r="G922" s="15">
        <f>IFERROR(+VLOOKUP(D:D,'Data Base P.Asuhan &amp; Jompo'!B:I,7,0),0)</f>
        <v>0</v>
      </c>
      <c r="H922" s="271"/>
      <c r="I922" s="258">
        <f>List346[[#This Row],[Pengajuan Donasi]]</f>
        <v>0</v>
      </c>
      <c r="J922" s="213" t="str">
        <f>IF(List346[[#This Row],[Tanggal Trf]]&gt;0,"Done","-")</f>
        <v>-</v>
      </c>
      <c r="K922" s="14"/>
      <c r="L922" s="223"/>
      <c r="M922" s="14"/>
      <c r="N922" s="100">
        <f>MONTH(List346[[#This Row],[Tanggal Pengajuan]])</f>
        <v>1</v>
      </c>
      <c r="O922" s="183"/>
      <c r="P922" s="105"/>
      <c r="Q922" s="111"/>
      <c r="R922" s="367"/>
      <c r="T922" s="152">
        <f>+List346[[#This Row],[Pengajuan Donasi]]-List346[[#This Row],[Jumlah Transfer]]</f>
        <v>0</v>
      </c>
    </row>
    <row r="923" spans="2:20" ht="30" customHeight="1" x14ac:dyDescent="0.2">
      <c r="B923" s="102"/>
      <c r="C923" s="67"/>
      <c r="D923" s="14"/>
      <c r="E923" s="14"/>
      <c r="F923" s="105"/>
      <c r="G923" s="15">
        <f>IFERROR(+VLOOKUP(D:D,'Data Base P.Asuhan &amp; Jompo'!B:I,7,0),0)</f>
        <v>0</v>
      </c>
      <c r="H923" s="271"/>
      <c r="I923" s="258">
        <f>List346[[#This Row],[Pengajuan Donasi]]</f>
        <v>0</v>
      </c>
      <c r="J923" s="213" t="str">
        <f>IF(List346[[#This Row],[Tanggal Trf]]&gt;0,"Done","-")</f>
        <v>-</v>
      </c>
      <c r="K923" s="14"/>
      <c r="L923" s="223"/>
      <c r="M923" s="14"/>
      <c r="N923" s="100">
        <f>MONTH(List346[[#This Row],[Tanggal Pengajuan]])</f>
        <v>1</v>
      </c>
      <c r="O923" s="183"/>
      <c r="P923" s="105"/>
      <c r="Q923" s="111"/>
      <c r="R923" s="367"/>
      <c r="T923" s="152">
        <f>+List346[[#This Row],[Pengajuan Donasi]]-List346[[#This Row],[Jumlah Transfer]]</f>
        <v>0</v>
      </c>
    </row>
    <row r="924" spans="2:20" ht="30" customHeight="1" x14ac:dyDescent="0.2">
      <c r="B924" s="102"/>
      <c r="C924" s="67"/>
      <c r="D924" s="14"/>
      <c r="E924" s="14"/>
      <c r="F924" s="105"/>
      <c r="G924" s="15">
        <f>IFERROR(+VLOOKUP(D:D,'Data Base P.Asuhan &amp; Jompo'!B:I,7,0),0)</f>
        <v>0</v>
      </c>
      <c r="H924" s="271"/>
      <c r="I924" s="258">
        <f>List346[[#This Row],[Pengajuan Donasi]]</f>
        <v>0</v>
      </c>
      <c r="J924" s="213" t="str">
        <f>IF(List346[[#This Row],[Tanggal Trf]]&gt;0,"Done","-")</f>
        <v>-</v>
      </c>
      <c r="K924" s="14"/>
      <c r="L924" s="223"/>
      <c r="M924" s="14"/>
      <c r="N924" s="100">
        <f>MONTH(List346[[#This Row],[Tanggal Pengajuan]])</f>
        <v>1</v>
      </c>
      <c r="O924" s="183"/>
      <c r="P924" s="105"/>
      <c r="Q924" s="111"/>
      <c r="R924" s="367"/>
      <c r="T924" s="152">
        <f>+List346[[#This Row],[Pengajuan Donasi]]-List346[[#This Row],[Jumlah Transfer]]</f>
        <v>0</v>
      </c>
    </row>
    <row r="925" spans="2:20" ht="30" customHeight="1" x14ac:dyDescent="0.2">
      <c r="B925" s="102"/>
      <c r="C925" s="67"/>
      <c r="D925" s="14"/>
      <c r="E925" s="14"/>
      <c r="F925" s="105"/>
      <c r="G925" s="15">
        <f>IFERROR(+VLOOKUP(D:D,'Data Base P.Asuhan &amp; Jompo'!B:I,7,0),0)</f>
        <v>0</v>
      </c>
      <c r="H925" s="271"/>
      <c r="I925" s="258">
        <f>List346[[#This Row],[Pengajuan Donasi]]</f>
        <v>0</v>
      </c>
      <c r="J925" s="213" t="str">
        <f>IF(List346[[#This Row],[Tanggal Trf]]&gt;0,"Done","-")</f>
        <v>-</v>
      </c>
      <c r="K925" s="14"/>
      <c r="L925" s="223"/>
      <c r="M925" s="14"/>
      <c r="N925" s="100">
        <f>MONTH(List346[[#This Row],[Tanggal Pengajuan]])</f>
        <v>1</v>
      </c>
      <c r="O925" s="183"/>
      <c r="P925" s="105"/>
      <c r="Q925" s="111"/>
      <c r="R925" s="367"/>
      <c r="T925" s="152">
        <f>+List346[[#This Row],[Pengajuan Donasi]]-List346[[#This Row],[Jumlah Transfer]]</f>
        <v>0</v>
      </c>
    </row>
    <row r="926" spans="2:20" ht="30" customHeight="1" x14ac:dyDescent="0.2">
      <c r="B926" s="102"/>
      <c r="C926" s="67"/>
      <c r="D926" s="14"/>
      <c r="E926" s="14"/>
      <c r="F926" s="105"/>
      <c r="G926" s="15">
        <f>IFERROR(+VLOOKUP(D:D,'Data Base P.Asuhan &amp; Jompo'!B:I,7,0),0)</f>
        <v>0</v>
      </c>
      <c r="H926" s="271"/>
      <c r="I926" s="258">
        <f>List346[[#This Row],[Pengajuan Donasi]]</f>
        <v>0</v>
      </c>
      <c r="J926" s="213" t="str">
        <f>IF(List346[[#This Row],[Tanggal Trf]]&gt;0,"Done","-")</f>
        <v>-</v>
      </c>
      <c r="K926" s="14"/>
      <c r="L926" s="223"/>
      <c r="M926" s="14"/>
      <c r="N926" s="100">
        <f>MONTH(List346[[#This Row],[Tanggal Pengajuan]])</f>
        <v>1</v>
      </c>
      <c r="O926" s="183"/>
      <c r="P926" s="105"/>
      <c r="Q926" s="111"/>
      <c r="R926" s="367"/>
      <c r="T926" s="152">
        <f>+List346[[#This Row],[Pengajuan Donasi]]-List346[[#This Row],[Jumlah Transfer]]</f>
        <v>0</v>
      </c>
    </row>
    <row r="927" spans="2:20" ht="30" customHeight="1" x14ac:dyDescent="0.2">
      <c r="B927" s="102"/>
      <c r="C927" s="67"/>
      <c r="D927" s="14"/>
      <c r="E927" s="14"/>
      <c r="F927" s="105"/>
      <c r="G927" s="15">
        <f>IFERROR(+VLOOKUP(D:D,'Data Base P.Asuhan &amp; Jompo'!B:I,7,0),0)</f>
        <v>0</v>
      </c>
      <c r="H927" s="271"/>
      <c r="I927" s="258">
        <f>List346[[#This Row],[Pengajuan Donasi]]</f>
        <v>0</v>
      </c>
      <c r="J927" s="213" t="str">
        <f>IF(List346[[#This Row],[Tanggal Trf]]&gt;0,"Done","-")</f>
        <v>-</v>
      </c>
      <c r="K927" s="14"/>
      <c r="L927" s="223"/>
      <c r="M927" s="14"/>
      <c r="N927" s="100">
        <f>MONTH(List346[[#This Row],[Tanggal Pengajuan]])</f>
        <v>1</v>
      </c>
      <c r="O927" s="183"/>
      <c r="P927" s="105"/>
      <c r="Q927" s="111"/>
      <c r="R927" s="367"/>
      <c r="T927" s="152">
        <f>+List346[[#This Row],[Pengajuan Donasi]]-List346[[#This Row],[Jumlah Transfer]]</f>
        <v>0</v>
      </c>
    </row>
    <row r="928" spans="2:20" ht="30" customHeight="1" x14ac:dyDescent="0.2">
      <c r="B928" s="102"/>
      <c r="C928" s="67"/>
      <c r="D928" s="14"/>
      <c r="E928" s="14"/>
      <c r="F928" s="105"/>
      <c r="G928" s="15">
        <f>IFERROR(+VLOOKUP(D:D,'Data Base P.Asuhan &amp; Jompo'!B:I,7,0),0)</f>
        <v>0</v>
      </c>
      <c r="H928" s="271"/>
      <c r="I928" s="258">
        <f>List346[[#This Row],[Pengajuan Donasi]]</f>
        <v>0</v>
      </c>
      <c r="J928" s="213" t="str">
        <f>IF(List346[[#This Row],[Tanggal Trf]]&gt;0,"Done","-")</f>
        <v>-</v>
      </c>
      <c r="K928" s="14"/>
      <c r="L928" s="223"/>
      <c r="M928" s="14"/>
      <c r="N928" s="100">
        <f>MONTH(List346[[#This Row],[Tanggal Pengajuan]])</f>
        <v>1</v>
      </c>
      <c r="O928" s="183"/>
      <c r="P928" s="105"/>
      <c r="Q928" s="111"/>
      <c r="R928" s="367"/>
      <c r="T928" s="152">
        <f>+List346[[#This Row],[Pengajuan Donasi]]-List346[[#This Row],[Jumlah Transfer]]</f>
        <v>0</v>
      </c>
    </row>
    <row r="929" spans="2:20" ht="30" customHeight="1" x14ac:dyDescent="0.2">
      <c r="B929" s="102"/>
      <c r="C929" s="67"/>
      <c r="D929" s="14"/>
      <c r="E929" s="14"/>
      <c r="F929" s="105"/>
      <c r="G929" s="15">
        <f>IFERROR(+VLOOKUP(D:D,'Data Base P.Asuhan &amp; Jompo'!B:I,7,0),0)</f>
        <v>0</v>
      </c>
      <c r="H929" s="271"/>
      <c r="I929" s="258">
        <f>List346[[#This Row],[Pengajuan Donasi]]</f>
        <v>0</v>
      </c>
      <c r="J929" s="213" t="str">
        <f>IF(List346[[#This Row],[Tanggal Trf]]&gt;0,"Done","-")</f>
        <v>-</v>
      </c>
      <c r="K929" s="14"/>
      <c r="L929" s="223"/>
      <c r="M929" s="14"/>
      <c r="N929" s="100">
        <f>MONTH(List346[[#This Row],[Tanggal Pengajuan]])</f>
        <v>1</v>
      </c>
      <c r="O929" s="183"/>
      <c r="P929" s="105"/>
      <c r="Q929" s="111"/>
      <c r="R929" s="367"/>
      <c r="T929" s="152">
        <f>+List346[[#This Row],[Pengajuan Donasi]]-List346[[#This Row],[Jumlah Transfer]]</f>
        <v>0</v>
      </c>
    </row>
    <row r="930" spans="2:20" ht="30" customHeight="1" x14ac:dyDescent="0.2">
      <c r="B930" s="102"/>
      <c r="C930" s="67"/>
      <c r="D930" s="14"/>
      <c r="E930" s="14"/>
      <c r="F930" s="105"/>
      <c r="G930" s="15">
        <f>IFERROR(+VLOOKUP(D:D,'Data Base P.Asuhan &amp; Jompo'!B:I,7,0),0)</f>
        <v>0</v>
      </c>
      <c r="H930" s="271"/>
      <c r="I930" s="258">
        <f>List346[[#This Row],[Pengajuan Donasi]]</f>
        <v>0</v>
      </c>
      <c r="J930" s="213" t="str">
        <f>IF(List346[[#This Row],[Tanggal Trf]]&gt;0,"Done","-")</f>
        <v>-</v>
      </c>
      <c r="K930" s="14"/>
      <c r="L930" s="223"/>
      <c r="M930" s="14"/>
      <c r="N930" s="100">
        <f>MONTH(List346[[#This Row],[Tanggal Pengajuan]])</f>
        <v>1</v>
      </c>
      <c r="O930" s="183"/>
      <c r="P930" s="105"/>
      <c r="Q930" s="111"/>
      <c r="R930" s="367"/>
      <c r="T930" s="152">
        <f>+List346[[#This Row],[Pengajuan Donasi]]-List346[[#This Row],[Jumlah Transfer]]</f>
        <v>0</v>
      </c>
    </row>
    <row r="931" spans="2:20" ht="30" customHeight="1" x14ac:dyDescent="0.2">
      <c r="B931" s="102"/>
      <c r="C931" s="67"/>
      <c r="D931" s="14"/>
      <c r="E931" s="14"/>
      <c r="F931" s="105"/>
      <c r="G931" s="15">
        <f>IFERROR(+VLOOKUP(D:D,'Data Base P.Asuhan &amp; Jompo'!B:I,7,0),0)</f>
        <v>0</v>
      </c>
      <c r="H931" s="271"/>
      <c r="I931" s="258">
        <f>List346[[#This Row],[Pengajuan Donasi]]</f>
        <v>0</v>
      </c>
      <c r="J931" s="213" t="str">
        <f>IF(List346[[#This Row],[Tanggal Trf]]&gt;0,"Done","-")</f>
        <v>-</v>
      </c>
      <c r="K931" s="14"/>
      <c r="L931" s="223"/>
      <c r="M931" s="14"/>
      <c r="N931" s="100">
        <f>MONTH(List346[[#This Row],[Tanggal Pengajuan]])</f>
        <v>1</v>
      </c>
      <c r="O931" s="183"/>
      <c r="P931" s="105"/>
      <c r="Q931" s="111"/>
      <c r="R931" s="367"/>
      <c r="T931" s="152">
        <f>+List346[[#This Row],[Pengajuan Donasi]]-List346[[#This Row],[Jumlah Transfer]]</f>
        <v>0</v>
      </c>
    </row>
    <row r="932" spans="2:20" ht="30" customHeight="1" x14ac:dyDescent="0.2">
      <c r="B932" s="102"/>
      <c r="C932" s="67"/>
      <c r="D932" s="14"/>
      <c r="E932" s="14"/>
      <c r="F932" s="105"/>
      <c r="G932" s="15">
        <f>IFERROR(+VLOOKUP(D:D,'Data Base P.Asuhan &amp; Jompo'!B:I,7,0),0)</f>
        <v>0</v>
      </c>
      <c r="H932" s="271"/>
      <c r="I932" s="258">
        <f>List346[[#This Row],[Pengajuan Donasi]]</f>
        <v>0</v>
      </c>
      <c r="J932" s="213" t="str">
        <f>IF(List346[[#This Row],[Tanggal Trf]]&gt;0,"Done","-")</f>
        <v>-</v>
      </c>
      <c r="K932" s="14"/>
      <c r="L932" s="223"/>
      <c r="M932" s="14"/>
      <c r="N932" s="100">
        <f>MONTH(List346[[#This Row],[Tanggal Pengajuan]])</f>
        <v>1</v>
      </c>
      <c r="O932" s="183"/>
      <c r="P932" s="105"/>
      <c r="Q932" s="111"/>
      <c r="R932" s="367"/>
      <c r="T932" s="152">
        <f>+List346[[#This Row],[Pengajuan Donasi]]-List346[[#This Row],[Jumlah Transfer]]</f>
        <v>0</v>
      </c>
    </row>
    <row r="933" spans="2:20" ht="30" customHeight="1" x14ac:dyDescent="0.2">
      <c r="B933" s="102"/>
      <c r="C933" s="67"/>
      <c r="D933" s="14"/>
      <c r="E933" s="14"/>
      <c r="F933" s="105"/>
      <c r="G933" s="15">
        <f>IFERROR(+VLOOKUP(D:D,'Data Base P.Asuhan &amp; Jompo'!B:I,7,0),0)</f>
        <v>0</v>
      </c>
      <c r="H933" s="271"/>
      <c r="I933" s="258">
        <f>List346[[#This Row],[Pengajuan Donasi]]</f>
        <v>0</v>
      </c>
      <c r="J933" s="213" t="str">
        <f>IF(List346[[#This Row],[Tanggal Trf]]&gt;0,"Done","-")</f>
        <v>-</v>
      </c>
      <c r="K933" s="14"/>
      <c r="L933" s="223"/>
      <c r="M933" s="14"/>
      <c r="N933" s="100">
        <f>MONTH(List346[[#This Row],[Tanggal Pengajuan]])</f>
        <v>1</v>
      </c>
      <c r="O933" s="183"/>
      <c r="P933" s="105"/>
      <c r="Q933" s="111"/>
      <c r="R933" s="367"/>
      <c r="T933" s="152">
        <f>+List346[[#This Row],[Pengajuan Donasi]]-List346[[#This Row],[Jumlah Transfer]]</f>
        <v>0</v>
      </c>
    </row>
    <row r="934" spans="2:20" ht="30" customHeight="1" x14ac:dyDescent="0.2">
      <c r="B934" s="102"/>
      <c r="C934" s="67"/>
      <c r="D934" s="14"/>
      <c r="E934" s="14"/>
      <c r="F934" s="105"/>
      <c r="G934" s="15">
        <f>IFERROR(+VLOOKUP(D:D,'Data Base P.Asuhan &amp; Jompo'!B:I,7,0),0)</f>
        <v>0</v>
      </c>
      <c r="H934" s="271"/>
      <c r="I934" s="258">
        <f>List346[[#This Row],[Pengajuan Donasi]]</f>
        <v>0</v>
      </c>
      <c r="J934" s="213" t="str">
        <f>IF(List346[[#This Row],[Tanggal Trf]]&gt;0,"Done","-")</f>
        <v>-</v>
      </c>
      <c r="K934" s="14"/>
      <c r="L934" s="223"/>
      <c r="M934" s="14"/>
      <c r="N934" s="100">
        <f>MONTH(List346[[#This Row],[Tanggal Pengajuan]])</f>
        <v>1</v>
      </c>
      <c r="O934" s="183"/>
      <c r="P934" s="105"/>
      <c r="Q934" s="111"/>
      <c r="R934" s="367"/>
      <c r="T934" s="152">
        <f>+List346[[#This Row],[Pengajuan Donasi]]-List346[[#This Row],[Jumlah Transfer]]</f>
        <v>0</v>
      </c>
    </row>
    <row r="935" spans="2:20" ht="30" customHeight="1" x14ac:dyDescent="0.2">
      <c r="B935" s="102"/>
      <c r="C935" s="67"/>
      <c r="D935" s="14"/>
      <c r="E935" s="14"/>
      <c r="F935" s="105"/>
      <c r="G935" s="15">
        <f>IFERROR(+VLOOKUP(D:D,'Data Base P.Asuhan &amp; Jompo'!B:I,7,0),0)</f>
        <v>0</v>
      </c>
      <c r="H935" s="271"/>
      <c r="I935" s="258">
        <f>List346[[#This Row],[Pengajuan Donasi]]</f>
        <v>0</v>
      </c>
      <c r="J935" s="213" t="str">
        <f>IF(List346[[#This Row],[Tanggal Trf]]&gt;0,"Done","-")</f>
        <v>-</v>
      </c>
      <c r="K935" s="14"/>
      <c r="L935" s="223"/>
      <c r="M935" s="14"/>
      <c r="N935" s="100">
        <f>MONTH(List346[[#This Row],[Tanggal Pengajuan]])</f>
        <v>1</v>
      </c>
      <c r="O935" s="183"/>
      <c r="P935" s="105"/>
      <c r="Q935" s="111"/>
      <c r="R935" s="367"/>
      <c r="T935" s="152">
        <f>+List346[[#This Row],[Pengajuan Donasi]]-List346[[#This Row],[Jumlah Transfer]]</f>
        <v>0</v>
      </c>
    </row>
    <row r="936" spans="2:20" ht="30" customHeight="1" x14ac:dyDescent="0.2">
      <c r="B936" s="102"/>
      <c r="C936" s="67"/>
      <c r="D936" s="14"/>
      <c r="E936" s="14"/>
      <c r="F936" s="105"/>
      <c r="G936" s="15">
        <f>IFERROR(+VLOOKUP(D:D,'Data Base P.Asuhan &amp; Jompo'!B:I,7,0),0)</f>
        <v>0</v>
      </c>
      <c r="H936" s="271"/>
      <c r="I936" s="258">
        <f>List346[[#This Row],[Pengajuan Donasi]]</f>
        <v>0</v>
      </c>
      <c r="J936" s="213" t="str">
        <f>IF(List346[[#This Row],[Tanggal Trf]]&gt;0,"Done","-")</f>
        <v>-</v>
      </c>
      <c r="K936" s="14"/>
      <c r="L936" s="223"/>
      <c r="M936" s="14"/>
      <c r="N936" s="100">
        <f>MONTH(List346[[#This Row],[Tanggal Pengajuan]])</f>
        <v>1</v>
      </c>
      <c r="O936" s="183"/>
      <c r="P936" s="105"/>
      <c r="Q936" s="111"/>
      <c r="R936" s="367"/>
      <c r="T936" s="152">
        <f>+List346[[#This Row],[Pengajuan Donasi]]-List346[[#This Row],[Jumlah Transfer]]</f>
        <v>0</v>
      </c>
    </row>
    <row r="937" spans="2:20" ht="30" customHeight="1" x14ac:dyDescent="0.2">
      <c r="B937" s="102"/>
      <c r="C937" s="67"/>
      <c r="D937" s="14"/>
      <c r="E937" s="14"/>
      <c r="F937" s="105"/>
      <c r="G937" s="15">
        <f>IFERROR(+VLOOKUP(D:D,'Data Base P.Asuhan &amp; Jompo'!B:I,7,0),0)</f>
        <v>0</v>
      </c>
      <c r="H937" s="271"/>
      <c r="I937" s="258">
        <f>List346[[#This Row],[Pengajuan Donasi]]</f>
        <v>0</v>
      </c>
      <c r="J937" s="213" t="str">
        <f>IF(List346[[#This Row],[Tanggal Trf]]&gt;0,"Done","-")</f>
        <v>-</v>
      </c>
      <c r="K937" s="14"/>
      <c r="L937" s="223"/>
      <c r="M937" s="14"/>
      <c r="N937" s="100">
        <f>MONTH(List346[[#This Row],[Tanggal Pengajuan]])</f>
        <v>1</v>
      </c>
      <c r="O937" s="183"/>
      <c r="P937" s="105"/>
      <c r="Q937" s="111"/>
      <c r="R937" s="367"/>
      <c r="T937" s="152">
        <f>+List346[[#This Row],[Pengajuan Donasi]]-List346[[#This Row],[Jumlah Transfer]]</f>
        <v>0</v>
      </c>
    </row>
    <row r="938" spans="2:20" ht="30" customHeight="1" x14ac:dyDescent="0.2">
      <c r="B938" s="102"/>
      <c r="C938" s="67"/>
      <c r="D938" s="14"/>
      <c r="E938" s="14"/>
      <c r="F938" s="105"/>
      <c r="G938" s="15">
        <f>IFERROR(+VLOOKUP(D:D,'Data Base P.Asuhan &amp; Jompo'!B:I,7,0),0)</f>
        <v>0</v>
      </c>
      <c r="H938" s="271"/>
      <c r="I938" s="258">
        <f>List346[[#This Row],[Pengajuan Donasi]]</f>
        <v>0</v>
      </c>
      <c r="J938" s="213" t="str">
        <f>IF(List346[[#This Row],[Tanggal Trf]]&gt;0,"Done","-")</f>
        <v>-</v>
      </c>
      <c r="K938" s="14"/>
      <c r="L938" s="223"/>
      <c r="M938" s="14"/>
      <c r="N938" s="100">
        <f>MONTH(List346[[#This Row],[Tanggal Pengajuan]])</f>
        <v>1</v>
      </c>
      <c r="O938" s="183"/>
      <c r="P938" s="105"/>
      <c r="Q938" s="111"/>
      <c r="R938" s="367"/>
      <c r="T938" s="152">
        <f>+List346[[#This Row],[Pengajuan Donasi]]-List346[[#This Row],[Jumlah Transfer]]</f>
        <v>0</v>
      </c>
    </row>
    <row r="939" spans="2:20" ht="30" customHeight="1" x14ac:dyDescent="0.2">
      <c r="B939" s="102"/>
      <c r="C939" s="67"/>
      <c r="D939" s="14"/>
      <c r="E939" s="103"/>
      <c r="F939" s="105"/>
      <c r="G939" s="15">
        <f>IFERROR(+VLOOKUP(D:D,'Data Base P.Asuhan &amp; Jompo'!B:I,7,0),0)</f>
        <v>0</v>
      </c>
      <c r="H939" s="271"/>
      <c r="I939" s="258">
        <f>List346[[#This Row],[Pengajuan Donasi]]</f>
        <v>0</v>
      </c>
      <c r="J939" s="213" t="str">
        <f>IF(List346[[#This Row],[Tanggal Trf]]&gt;0,"Done","-")</f>
        <v>-</v>
      </c>
      <c r="K939" s="440"/>
      <c r="L939" s="223"/>
      <c r="M939" s="105"/>
      <c r="N939" s="100">
        <f>MONTH(List346[[#This Row],[Tanggal Pengajuan]])</f>
        <v>1</v>
      </c>
      <c r="O939" s="183"/>
      <c r="P939" s="105"/>
      <c r="Q939" s="111"/>
      <c r="R939" s="367"/>
      <c r="T939" s="152">
        <f>+List346[[#This Row],[Pengajuan Donasi]]-List346[[#This Row],[Jumlah Transfer]]</f>
        <v>0</v>
      </c>
    </row>
    <row r="940" spans="2:20" ht="30" customHeight="1" x14ac:dyDescent="0.2">
      <c r="B940" s="102"/>
      <c r="C940" s="67"/>
      <c r="D940" s="14"/>
      <c r="E940" s="103"/>
      <c r="F940" s="105"/>
      <c r="G940" s="15">
        <f>IFERROR(+VLOOKUP(D:D,'Data Base P.Asuhan &amp; Jompo'!B:I,7,0),0)</f>
        <v>0</v>
      </c>
      <c r="H940" s="271"/>
      <c r="I940" s="258">
        <f>List346[[#This Row],[Pengajuan Donasi]]</f>
        <v>0</v>
      </c>
      <c r="J940" s="213" t="str">
        <f>IF(List346[[#This Row],[Tanggal Trf]]&gt;0,"Done","-")</f>
        <v>-</v>
      </c>
      <c r="K940" s="440"/>
      <c r="L940" s="223"/>
      <c r="M940" s="105"/>
      <c r="N940" s="100">
        <f>MONTH(List346[[#This Row],[Tanggal Pengajuan]])</f>
        <v>1</v>
      </c>
      <c r="O940" s="183"/>
      <c r="P940" s="105"/>
      <c r="Q940" s="111"/>
      <c r="R940" s="367"/>
      <c r="T940" s="152">
        <f>+List346[[#This Row],[Pengajuan Donasi]]-List346[[#This Row],[Jumlah Transfer]]</f>
        <v>0</v>
      </c>
    </row>
    <row r="941" spans="2:20" ht="30" customHeight="1" x14ac:dyDescent="0.2">
      <c r="B941" s="102"/>
      <c r="C941" s="67"/>
      <c r="D941" s="14"/>
      <c r="E941" s="103"/>
      <c r="F941" s="105"/>
      <c r="G941" s="15">
        <f>IFERROR(+VLOOKUP(D:D,'Data Base P.Asuhan &amp; Jompo'!B:I,7,0),0)</f>
        <v>0</v>
      </c>
      <c r="H941" s="271"/>
      <c r="I941" s="258">
        <f>List346[[#This Row],[Pengajuan Donasi]]</f>
        <v>0</v>
      </c>
      <c r="J941" s="213" t="str">
        <f>IF(List346[[#This Row],[Tanggal Trf]]&gt;0,"Done","-")</f>
        <v>-</v>
      </c>
      <c r="K941" s="440"/>
      <c r="L941" s="223"/>
      <c r="M941" s="105"/>
      <c r="N941" s="100">
        <f>MONTH(List346[[#This Row],[Tanggal Pengajuan]])</f>
        <v>1</v>
      </c>
      <c r="O941" s="183"/>
      <c r="P941" s="105"/>
      <c r="Q941" s="111"/>
      <c r="R941" s="367"/>
      <c r="T941" s="152">
        <f>+List346[[#This Row],[Pengajuan Donasi]]-List346[[#This Row],[Jumlah Transfer]]</f>
        <v>0</v>
      </c>
    </row>
    <row r="942" spans="2:20" ht="30" customHeight="1" x14ac:dyDescent="0.2">
      <c r="B942" s="102"/>
      <c r="C942" s="67"/>
      <c r="D942" s="14"/>
      <c r="E942" s="103"/>
      <c r="F942" s="105"/>
      <c r="G942" s="15">
        <f>IFERROR(+VLOOKUP(D:D,'Data Base P.Asuhan &amp; Jompo'!B:I,7,0),0)</f>
        <v>0</v>
      </c>
      <c r="H942" s="271"/>
      <c r="I942" s="258">
        <f>List346[[#This Row],[Pengajuan Donasi]]</f>
        <v>0</v>
      </c>
      <c r="J942" s="213" t="str">
        <f>IF(List346[[#This Row],[Tanggal Trf]]&gt;0,"Done","-")</f>
        <v>-</v>
      </c>
      <c r="K942" s="440"/>
      <c r="L942" s="223"/>
      <c r="M942" s="105"/>
      <c r="N942" s="100">
        <f>MONTH(List346[[#This Row],[Tanggal Pengajuan]])</f>
        <v>1</v>
      </c>
      <c r="O942" s="183"/>
      <c r="P942" s="105"/>
      <c r="Q942" s="111"/>
      <c r="R942" s="367"/>
      <c r="T942" s="152">
        <f>+List346[[#This Row],[Pengajuan Donasi]]-List346[[#This Row],[Jumlah Transfer]]</f>
        <v>0</v>
      </c>
    </row>
    <row r="943" spans="2:20" ht="30" customHeight="1" x14ac:dyDescent="0.2">
      <c r="B943" s="102"/>
      <c r="C943" s="67"/>
      <c r="D943" s="14"/>
      <c r="E943" s="103"/>
      <c r="F943" s="105"/>
      <c r="G943" s="15">
        <f>IFERROR(+VLOOKUP(D:D,'Data Base P.Asuhan &amp; Jompo'!B:I,7,0),0)</f>
        <v>0</v>
      </c>
      <c r="H943" s="271"/>
      <c r="I943" s="258">
        <f>List346[[#This Row],[Pengajuan Donasi]]</f>
        <v>0</v>
      </c>
      <c r="J943" s="213" t="str">
        <f>IF(List346[[#This Row],[Tanggal Trf]]&gt;0,"Done","-")</f>
        <v>-</v>
      </c>
      <c r="K943" s="440"/>
      <c r="L943" s="223"/>
      <c r="M943" s="105"/>
      <c r="N943" s="100">
        <f>MONTH(List346[[#This Row],[Tanggal Pengajuan]])</f>
        <v>1</v>
      </c>
      <c r="O943" s="183"/>
      <c r="P943" s="105"/>
      <c r="Q943" s="111"/>
      <c r="R943" s="367"/>
      <c r="T943" s="152">
        <f>+List346[[#This Row],[Pengajuan Donasi]]-List346[[#This Row],[Jumlah Transfer]]</f>
        <v>0</v>
      </c>
    </row>
    <row r="944" spans="2:20" ht="30" customHeight="1" x14ac:dyDescent="0.2">
      <c r="B944" s="102"/>
      <c r="C944" s="67"/>
      <c r="D944" s="14"/>
      <c r="E944" s="103"/>
      <c r="F944" s="105"/>
      <c r="G944" s="15">
        <f>IFERROR(+VLOOKUP(D:D,'Data Base P.Asuhan &amp; Jompo'!B:I,7,0),0)</f>
        <v>0</v>
      </c>
      <c r="H944" s="271"/>
      <c r="I944" s="258">
        <f>List346[[#This Row],[Pengajuan Donasi]]</f>
        <v>0</v>
      </c>
      <c r="J944" s="213" t="str">
        <f>IF(List346[[#This Row],[Tanggal Trf]]&gt;0,"Done","-")</f>
        <v>-</v>
      </c>
      <c r="K944" s="440"/>
      <c r="L944" s="223"/>
      <c r="M944" s="105"/>
      <c r="N944" s="100">
        <f>MONTH(List346[[#This Row],[Tanggal Pengajuan]])</f>
        <v>1</v>
      </c>
      <c r="O944" s="183"/>
      <c r="P944" s="105"/>
      <c r="Q944" s="111"/>
      <c r="R944" s="367"/>
      <c r="T944" s="152">
        <f>+List346[[#This Row],[Pengajuan Donasi]]-List346[[#This Row],[Jumlah Transfer]]</f>
        <v>0</v>
      </c>
    </row>
    <row r="945" spans="2:20" ht="30" customHeight="1" x14ac:dyDescent="0.2">
      <c r="B945" s="102"/>
      <c r="C945" s="67"/>
      <c r="D945" s="14"/>
      <c r="E945" s="103"/>
      <c r="F945" s="105"/>
      <c r="G945" s="15">
        <f>IFERROR(+VLOOKUP(D:D,'Data Base P.Asuhan &amp; Jompo'!B:I,7,0),0)</f>
        <v>0</v>
      </c>
      <c r="H945" s="271"/>
      <c r="I945" s="258">
        <f>List346[[#This Row],[Pengajuan Donasi]]</f>
        <v>0</v>
      </c>
      <c r="J945" s="213" t="str">
        <f>IF(List346[[#This Row],[Tanggal Trf]]&gt;0,"Done","-")</f>
        <v>-</v>
      </c>
      <c r="K945" s="440"/>
      <c r="L945" s="223"/>
      <c r="M945" s="105"/>
      <c r="N945" s="100">
        <f>MONTH(List346[[#This Row],[Tanggal Pengajuan]])</f>
        <v>1</v>
      </c>
      <c r="O945" s="183"/>
      <c r="P945" s="105"/>
      <c r="Q945" s="111"/>
      <c r="R945" s="367"/>
      <c r="T945" s="152">
        <f>+List346[[#This Row],[Pengajuan Donasi]]-List346[[#This Row],[Jumlah Transfer]]</f>
        <v>0</v>
      </c>
    </row>
    <row r="946" spans="2:20" ht="30" customHeight="1" x14ac:dyDescent="0.2">
      <c r="B946" s="102"/>
      <c r="C946" s="67"/>
      <c r="D946" s="14"/>
      <c r="E946" s="103"/>
      <c r="F946" s="105"/>
      <c r="G946" s="15">
        <f>IFERROR(+VLOOKUP(D:D,'Data Base P.Asuhan &amp; Jompo'!B:I,7,0),0)</f>
        <v>0</v>
      </c>
      <c r="H946" s="271"/>
      <c r="I946" s="258">
        <f>List346[[#This Row],[Pengajuan Donasi]]</f>
        <v>0</v>
      </c>
      <c r="J946" s="213" t="str">
        <f>IF(List346[[#This Row],[Tanggal Trf]]&gt;0,"Done","-")</f>
        <v>-</v>
      </c>
      <c r="K946" s="440"/>
      <c r="L946" s="223"/>
      <c r="M946" s="105"/>
      <c r="N946" s="100">
        <f>MONTH(List346[[#This Row],[Tanggal Pengajuan]])</f>
        <v>1</v>
      </c>
      <c r="O946" s="183"/>
      <c r="P946" s="105"/>
      <c r="Q946" s="111"/>
      <c r="R946" s="367"/>
      <c r="T946" s="152">
        <f>+List346[[#This Row],[Pengajuan Donasi]]-List346[[#This Row],[Jumlah Transfer]]</f>
        <v>0</v>
      </c>
    </row>
    <row r="947" spans="2:20" ht="30" customHeight="1" x14ac:dyDescent="0.2">
      <c r="B947" s="102"/>
      <c r="C947" s="67"/>
      <c r="D947" s="14"/>
      <c r="E947" s="103"/>
      <c r="F947" s="105"/>
      <c r="G947" s="15">
        <f>IFERROR(+VLOOKUP(D:D,'Data Base P.Asuhan &amp; Jompo'!B:I,7,0),0)</f>
        <v>0</v>
      </c>
      <c r="H947" s="271"/>
      <c r="I947" s="258">
        <f>List346[[#This Row],[Pengajuan Donasi]]</f>
        <v>0</v>
      </c>
      <c r="J947" s="213" t="str">
        <f>IF(List346[[#This Row],[Tanggal Trf]]&gt;0,"Done","-")</f>
        <v>-</v>
      </c>
      <c r="K947" s="440"/>
      <c r="L947" s="223"/>
      <c r="M947" s="105"/>
      <c r="N947" s="100">
        <f>MONTH(List346[[#This Row],[Tanggal Pengajuan]])</f>
        <v>1</v>
      </c>
      <c r="O947" s="183"/>
      <c r="P947" s="105"/>
      <c r="Q947" s="111"/>
      <c r="R947" s="367"/>
      <c r="T947" s="152">
        <f>+List346[[#This Row],[Pengajuan Donasi]]-List346[[#This Row],[Jumlah Transfer]]</f>
        <v>0</v>
      </c>
    </row>
    <row r="948" spans="2:20" ht="30" customHeight="1" x14ac:dyDescent="0.2">
      <c r="B948" s="102"/>
      <c r="C948" s="67"/>
      <c r="D948" s="14"/>
      <c r="E948" s="103"/>
      <c r="F948" s="105"/>
      <c r="G948" s="15">
        <f>IFERROR(+VLOOKUP(D:D,'Data Base P.Asuhan &amp; Jompo'!B:I,7,0),0)</f>
        <v>0</v>
      </c>
      <c r="H948" s="271"/>
      <c r="I948" s="258">
        <f>List346[[#This Row],[Pengajuan Donasi]]</f>
        <v>0</v>
      </c>
      <c r="J948" s="213" t="str">
        <f>IF(List346[[#This Row],[Tanggal Trf]]&gt;0,"Done","-")</f>
        <v>-</v>
      </c>
      <c r="K948" s="440"/>
      <c r="L948" s="223"/>
      <c r="M948" s="105"/>
      <c r="N948" s="100">
        <f>MONTH(List346[[#This Row],[Tanggal Pengajuan]])</f>
        <v>1</v>
      </c>
      <c r="O948" s="183"/>
      <c r="P948" s="105"/>
      <c r="Q948" s="111"/>
      <c r="R948" s="367"/>
      <c r="T948" s="152">
        <f>+List346[[#This Row],[Pengajuan Donasi]]-List346[[#This Row],[Jumlah Transfer]]</f>
        <v>0</v>
      </c>
    </row>
    <row r="949" spans="2:20" ht="30" customHeight="1" x14ac:dyDescent="0.2">
      <c r="B949" s="102"/>
      <c r="C949" s="67"/>
      <c r="D949" s="14"/>
      <c r="E949" s="103"/>
      <c r="F949" s="105"/>
      <c r="G949" s="15">
        <f>IFERROR(+VLOOKUP(D:D,'Data Base P.Asuhan &amp; Jompo'!B:I,7,0),0)</f>
        <v>0</v>
      </c>
      <c r="H949" s="271"/>
      <c r="I949" s="258">
        <f>List346[[#This Row],[Pengajuan Donasi]]</f>
        <v>0</v>
      </c>
      <c r="J949" s="213" t="str">
        <f>IF(List346[[#This Row],[Tanggal Trf]]&gt;0,"Done","-")</f>
        <v>-</v>
      </c>
      <c r="K949" s="440"/>
      <c r="L949" s="223"/>
      <c r="M949" s="105"/>
      <c r="N949" s="100">
        <f>MONTH(List346[[#This Row],[Tanggal Pengajuan]])</f>
        <v>1</v>
      </c>
      <c r="O949" s="183"/>
      <c r="P949" s="105"/>
      <c r="Q949" s="111"/>
      <c r="R949" s="367"/>
      <c r="T949" s="152">
        <f>+List346[[#This Row],[Pengajuan Donasi]]-List346[[#This Row],[Jumlah Transfer]]</f>
        <v>0</v>
      </c>
    </row>
    <row r="950" spans="2:20" ht="30" customHeight="1" x14ac:dyDescent="0.2">
      <c r="B950" s="102"/>
      <c r="C950" s="67"/>
      <c r="D950" s="14"/>
      <c r="E950" s="103"/>
      <c r="F950" s="105"/>
      <c r="G950" s="15">
        <f>IFERROR(+VLOOKUP(D:D,'Data Base P.Asuhan &amp; Jompo'!B:I,7,0),0)</f>
        <v>0</v>
      </c>
      <c r="H950" s="271"/>
      <c r="I950" s="258">
        <f>List346[[#This Row],[Pengajuan Donasi]]</f>
        <v>0</v>
      </c>
      <c r="J950" s="213" t="str">
        <f>IF(List346[[#This Row],[Tanggal Trf]]&gt;0,"Done","-")</f>
        <v>-</v>
      </c>
      <c r="K950" s="440"/>
      <c r="L950" s="223"/>
      <c r="M950" s="105"/>
      <c r="N950" s="100">
        <f>MONTH(List346[[#This Row],[Tanggal Pengajuan]])</f>
        <v>1</v>
      </c>
      <c r="O950" s="183"/>
      <c r="P950" s="105"/>
      <c r="Q950" s="111"/>
      <c r="R950" s="367"/>
      <c r="T950" s="152">
        <f>+List346[[#This Row],[Pengajuan Donasi]]-List346[[#This Row],[Jumlah Transfer]]</f>
        <v>0</v>
      </c>
    </row>
    <row r="951" spans="2:20" ht="30" customHeight="1" x14ac:dyDescent="0.2">
      <c r="B951" s="102"/>
      <c r="C951" s="67"/>
      <c r="D951" s="103"/>
      <c r="E951" s="103"/>
      <c r="F951" s="105"/>
      <c r="G951" s="15">
        <f>IFERROR(+VLOOKUP(D:D,'Data Base P.Asuhan &amp; Jompo'!B:I,7,0),0)</f>
        <v>0</v>
      </c>
      <c r="H951" s="271"/>
      <c r="I951" s="258">
        <f>List346[[#This Row],[Pengajuan Donasi]]</f>
        <v>0</v>
      </c>
      <c r="J951" s="213" t="str">
        <f>IF(List346[[#This Row],[Tanggal Trf]]&gt;0,"Done","-")</f>
        <v>-</v>
      </c>
      <c r="K951" s="440"/>
      <c r="L951" s="223"/>
      <c r="M951" s="105"/>
      <c r="N951" s="100">
        <f>MONTH(List346[[#This Row],[Tanggal Pengajuan]])</f>
        <v>1</v>
      </c>
      <c r="O951" s="183"/>
      <c r="P951" s="105"/>
      <c r="Q951" s="111"/>
      <c r="R951" s="367"/>
      <c r="T951" s="152">
        <f>+List346[[#This Row],[Pengajuan Donasi]]-List346[[#This Row],[Jumlah Transfer]]</f>
        <v>0</v>
      </c>
    </row>
    <row r="952" spans="2:20" ht="30" customHeight="1" x14ac:dyDescent="0.2">
      <c r="B952" s="102"/>
      <c r="C952" s="67"/>
      <c r="D952" s="103"/>
      <c r="E952" s="103"/>
      <c r="F952" s="105"/>
      <c r="G952" s="15">
        <f>IFERROR(+VLOOKUP(D:D,'Data Base P.Asuhan &amp; Jompo'!B:I,7,0),0)</f>
        <v>0</v>
      </c>
      <c r="H952" s="271"/>
      <c r="I952" s="258">
        <f>List346[[#This Row],[Pengajuan Donasi]]</f>
        <v>0</v>
      </c>
      <c r="J952" s="213" t="str">
        <f>IF(List346[[#This Row],[Tanggal Trf]]&gt;0,"Done","-")</f>
        <v>-</v>
      </c>
      <c r="K952" s="440"/>
      <c r="L952" s="214"/>
      <c r="M952" s="105"/>
      <c r="N952" s="100">
        <f>MONTH(List346[[#This Row],[Tanggal Pengajuan]])</f>
        <v>1</v>
      </c>
      <c r="O952" s="183"/>
      <c r="P952" s="105"/>
      <c r="Q952" s="111"/>
      <c r="R952" s="367"/>
      <c r="T952" s="152">
        <f>+List346[[#This Row],[Pengajuan Donasi]]-List346[[#This Row],[Jumlah Transfer]]</f>
        <v>0</v>
      </c>
    </row>
    <row r="953" spans="2:20" ht="30" customHeight="1" x14ac:dyDescent="0.2">
      <c r="B953" s="1023"/>
      <c r="C953" s="1024"/>
      <c r="D953" s="1025"/>
      <c r="E953" s="1025"/>
      <c r="F953" s="1025" t="s">
        <v>156</v>
      </c>
      <c r="G953" s="1026">
        <f>SUBTOTAL(109,List346[[Jumlah Anak ]])</f>
        <v>5540</v>
      </c>
      <c r="H953" s="1027">
        <f>SUBTOTAL(109,List346[Pengajuan Donasi])</f>
        <v>850906502</v>
      </c>
      <c r="I953" s="1028">
        <f>SUBTOTAL(109,List346[Jumlah Transfer])</f>
        <v>850906502</v>
      </c>
      <c r="J953" s="1028"/>
      <c r="K953" s="1025"/>
      <c r="L953" s="1029"/>
      <c r="M953" s="1025"/>
      <c r="N953" s="1025"/>
      <c r="O953" s="1023"/>
      <c r="P953" s="1025"/>
      <c r="Q953" s="1030"/>
      <c r="R953" s="1025"/>
    </row>
    <row r="954" spans="2:20" ht="30" customHeight="1" x14ac:dyDescent="0.2">
      <c r="G954" s="81"/>
      <c r="H954" s="268">
        <f>List346[[#Totals],[Pengajuan Donasi]]-Category!BN338</f>
        <v>0</v>
      </c>
      <c r="I954" s="152">
        <f>+List346[[#Totals],[Pengajuan Donasi]]-List346[[#Totals],[Jumlah Transfer]]</f>
        <v>0</v>
      </c>
    </row>
    <row r="955" spans="2:20" ht="30" customHeight="1" x14ac:dyDescent="0.2">
      <c r="J955" s="286"/>
    </row>
    <row r="956" spans="2:20" ht="30" customHeight="1" x14ac:dyDescent="0.2">
      <c r="G956" s="82"/>
      <c r="H956" s="272"/>
      <c r="I956" s="272"/>
      <c r="J956" s="218"/>
    </row>
    <row r="957" spans="2:20" ht="30" customHeight="1" x14ac:dyDescent="0.2">
      <c r="J957" s="286"/>
    </row>
    <row r="958" spans="2:20" ht="30" customHeight="1" x14ac:dyDescent="0.2">
      <c r="J958" s="218"/>
    </row>
    <row r="959" spans="2:20" ht="30" customHeight="1" x14ac:dyDescent="0.2">
      <c r="J959" s="218"/>
    </row>
  </sheetData>
  <dataValidations count="8">
    <dataValidation allowBlank="1" showInputMessage="1" showErrorMessage="1" prompt="Enter City, State, and Zip Code in this column under this heading" sqref="C2 C59:C87" xr:uid="{00000000-0002-0000-0900-000000000000}"/>
    <dataValidation allowBlank="1" showInputMessage="1" showErrorMessage="1" prompt="Enter Year in this cell. Poinsettia is also in this cell. Title of this worksheet is in cell at right" sqref="B1" xr:uid="{00000000-0002-0000-0900-000001000000}"/>
    <dataValidation allowBlank="1" showInputMessage="1" showErrorMessage="1" prompt="Title of this worksheet is in this cell. Enter details in table below" sqref="C1" xr:uid="{00000000-0002-0000-0900-000002000000}"/>
    <dataValidation allowBlank="1" showInputMessage="1" showErrorMessage="1" prompt="Create a Christmas Card List in this worksheet. Enter Year in cell at right and details in List table" sqref="A1" xr:uid="{00000000-0002-0000-0900-000003000000}"/>
    <dataValidation allowBlank="1" showInputMessage="1" showErrorMessage="1" prompt="Enter Address in this column under this heading" sqref="E2:F2" xr:uid="{00000000-0002-0000-0900-000004000000}"/>
    <dataValidation errorStyle="warning" allowBlank="1" showInputMessage="1" showErrorMessage="1" error="If the card was received, select Yes from the list. Select CANCEL, press ALT+DOWN ARROW for options, then DOWN ARROW and ENTER to make selection" sqref="N954:P1048576 N103:P103 N1:N99 M88 O1:O102 O202:O223 M100:N100 L179:L182 L184 L203 P145:P147 P1:P119 M343:M344 L364 P121:P123 P125:P127 P129:P131 P133:P135 P137:P139 P141:P143 P149:P153 N104:O151 M120:M152 O152:O200 M220:M221 O345:O346 M104 M429:M430 M97:M98 M533:M534 M624 N152:N952 O604:O952 N101:N102 M183" xr:uid="{00000000-0002-0000-0900-000005000000}"/>
    <dataValidation allowBlank="1" showInputMessage="1" showErrorMessage="1" prompt="Enter Last Name in this column under this heading. Use heading filters to find specific entries" sqref="B2" xr:uid="{00000000-0002-0000-0900-000006000000}"/>
    <dataValidation allowBlank="1" showInputMessage="1" showErrorMessage="1" prompt="Enter First Name in this column under this heading" sqref="D2" xr:uid="{00000000-0002-0000-0900-000007000000}"/>
  </dataValidations>
  <printOptions horizontalCentered="1"/>
  <pageMargins left="0.19685039370078741" right="0.19685039370078741" top="0.35" bottom="0.32" header="0.27" footer="0.22"/>
  <pageSetup paperSize="9" scale="59" fitToHeight="0" orientation="landscape" r:id="rId1"/>
  <headerFooter differentFirst="1">
    <oddFooter>Page &amp;P of &amp;N</oddFooter>
  </headerFooter>
  <drawing r:id="rId2"/>
  <legacy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outlinePr showOutlineSymbols="0"/>
  </sheetPr>
  <dimension ref="A1:BW350"/>
  <sheetViews>
    <sheetView showGridLines="0" showOutlineSymbols="0" zoomScale="75" zoomScaleNormal="75" workbookViewId="0">
      <pane xSplit="11" ySplit="3" topLeftCell="AN109" activePane="bottomRight" state="frozen"/>
      <selection activeCell="K300" sqref="K300"/>
      <selection pane="bottomLeft" activeCell="K300" sqref="K300"/>
      <selection pane="topRight" activeCell="K300" sqref="K300"/>
      <selection pane="bottomRight" activeCell="BQ35" sqref="BQ35"/>
    </sheetView>
  </sheetViews>
  <sheetFormatPr defaultColWidth="8.7421875" defaultRowHeight="21" outlineLevelCol="1" x14ac:dyDescent="0.2"/>
  <cols>
    <col min="1" max="1" width="3.359375" style="302" customWidth="1"/>
    <col min="2" max="2" width="31.74609375" style="303" customWidth="1"/>
    <col min="3" max="3" width="68.3359375" style="303" customWidth="1"/>
    <col min="4" max="4" width="11.97265625" style="303" customWidth="1"/>
    <col min="5" max="6" width="15.46875" style="304" hidden="1" customWidth="1" outlineLevel="1"/>
    <col min="7" max="8" width="16.8125" style="304" hidden="1" customWidth="1" outlineLevel="1"/>
    <col min="9" max="9" width="21.7890625" style="304" bestFit="1" customWidth="1" outlineLevel="1"/>
    <col min="10" max="10" width="21.7890625" style="304" bestFit="1" customWidth="1" collapsed="1"/>
    <col min="11" max="11" width="11.56640625" style="304" customWidth="1"/>
    <col min="12" max="13" width="15.46875" style="304" hidden="1" customWidth="1" outlineLevel="1"/>
    <col min="14" max="14" width="14.390625" style="304" hidden="1" customWidth="1" outlineLevel="1"/>
    <col min="15" max="15" width="13.85546875" style="304" hidden="1" customWidth="1" outlineLevel="1"/>
    <col min="16" max="16" width="14.66015625" style="304" hidden="1" customWidth="1" outlineLevel="1"/>
    <col min="17" max="17" width="15.46875" style="304" hidden="1" customWidth="1" outlineLevel="1"/>
    <col min="18" max="18" width="17.08203125" style="304" hidden="1" customWidth="1" outlineLevel="1"/>
    <col min="19" max="23" width="17.62109375" style="304" hidden="1" customWidth="1" outlineLevel="1"/>
    <col min="24" max="24" width="19.1015625" style="304" bestFit="1" customWidth="1" collapsed="1"/>
    <col min="25" max="25" width="11.43359375" style="304" customWidth="1"/>
    <col min="26" max="27" width="17.62109375" style="304" hidden="1" customWidth="1" outlineLevel="1"/>
    <col min="28" max="31" width="19.1015625" style="304" hidden="1" customWidth="1" outlineLevel="1"/>
    <col min="32" max="32" width="17.62109375" style="304" hidden="1" customWidth="1" outlineLevel="1"/>
    <col min="33" max="33" width="19.1015625" style="304" hidden="1" customWidth="1" outlineLevel="1"/>
    <col min="34" max="35" width="17.62109375" style="304" hidden="1" customWidth="1" outlineLevel="1"/>
    <col min="36" max="37" width="19.1015625" style="304" hidden="1" customWidth="1" outlineLevel="1"/>
    <col min="38" max="38" width="23" style="304" bestFit="1" customWidth="1"/>
    <col min="39" max="39" width="11.56640625" style="304" customWidth="1"/>
    <col min="40" max="40" width="19.1015625" style="304" hidden="1" customWidth="1" outlineLevel="1"/>
    <col min="41" max="41" width="17.62109375" style="304" hidden="1" customWidth="1" outlineLevel="1"/>
    <col min="42" max="49" width="19.1015625" style="304" hidden="1" customWidth="1" outlineLevel="1"/>
    <col min="50" max="50" width="20.3125" style="304" bestFit="1" customWidth="1" outlineLevel="1"/>
    <col min="51" max="51" width="19.1015625" style="304" bestFit="1" customWidth="1" outlineLevel="1"/>
    <col min="52" max="52" width="21.5234375" style="304" bestFit="1" customWidth="1"/>
    <col min="53" max="53" width="11.56640625" style="304" customWidth="1"/>
    <col min="54" max="54" width="28.515625" style="304" customWidth="1" outlineLevel="1"/>
    <col min="55" max="55" width="19.1015625" style="304" bestFit="1" customWidth="1" outlineLevel="1"/>
    <col min="56" max="56" width="6.05078125" style="304" bestFit="1" customWidth="1" outlineLevel="1"/>
    <col min="57" max="57" width="5.37890625" style="304" hidden="1" customWidth="1" outlineLevel="1"/>
    <col min="58" max="58" width="6.3203125" style="304" hidden="1" customWidth="1" outlineLevel="1"/>
    <col min="59" max="59" width="5.24609375" style="304" hidden="1" customWidth="1" outlineLevel="1"/>
    <col min="60" max="60" width="4.4375" style="304" hidden="1" customWidth="1" outlineLevel="1"/>
    <col min="61" max="61" width="5.6484375" style="304" hidden="1" customWidth="1" outlineLevel="1"/>
    <col min="62" max="62" width="5.37890625" style="304" hidden="1" customWidth="1" outlineLevel="1"/>
    <col min="63" max="63" width="5.24609375" style="304" hidden="1" customWidth="1" outlineLevel="1"/>
    <col min="64" max="64" width="7.53125" style="304" hidden="1" customWidth="1" outlineLevel="1"/>
    <col min="65" max="65" width="5.51171875" style="304" hidden="1" customWidth="1" outlineLevel="1"/>
    <col min="66" max="66" width="21.5234375" style="304" customWidth="1"/>
    <col min="67" max="67" width="8.7421875" style="248"/>
    <col min="68" max="68" width="11.56640625" style="248" bestFit="1" customWidth="1"/>
    <col min="69" max="16384" width="8.7421875" style="248"/>
  </cols>
  <sheetData>
    <row r="1" spans="1:66" ht="5.0999999999999996" customHeight="1" x14ac:dyDescent="0.25">
      <c r="E1" s="305">
        <v>8</v>
      </c>
      <c r="F1" s="305">
        <v>9</v>
      </c>
      <c r="G1" s="305">
        <v>10</v>
      </c>
      <c r="H1" s="305">
        <v>11</v>
      </c>
      <c r="I1" s="305">
        <v>12</v>
      </c>
      <c r="L1" s="305">
        <v>1</v>
      </c>
      <c r="M1" s="305">
        <v>2</v>
      </c>
      <c r="N1" s="305">
        <v>3</v>
      </c>
      <c r="O1" s="305">
        <v>4</v>
      </c>
      <c r="P1" s="305">
        <v>5</v>
      </c>
      <c r="Q1" s="305">
        <v>6</v>
      </c>
      <c r="R1" s="305">
        <v>7</v>
      </c>
      <c r="S1" s="305">
        <v>8</v>
      </c>
      <c r="T1" s="305">
        <v>9</v>
      </c>
      <c r="U1" s="305">
        <v>10</v>
      </c>
      <c r="V1" s="305">
        <v>11</v>
      </c>
      <c r="W1" s="305">
        <v>12</v>
      </c>
      <c r="Z1" s="305">
        <v>1</v>
      </c>
      <c r="AA1" s="305">
        <v>2</v>
      </c>
      <c r="AB1" s="305">
        <v>3</v>
      </c>
      <c r="AC1" s="305">
        <v>4</v>
      </c>
      <c r="AD1" s="305">
        <v>5</v>
      </c>
      <c r="AE1" s="305">
        <v>6</v>
      </c>
      <c r="AF1" s="305">
        <v>7</v>
      </c>
      <c r="AG1" s="305">
        <v>8</v>
      </c>
      <c r="AH1" s="305">
        <v>9</v>
      </c>
      <c r="AI1" s="305">
        <v>10</v>
      </c>
      <c r="AJ1" s="305">
        <v>11</v>
      </c>
      <c r="AK1" s="305">
        <v>12</v>
      </c>
      <c r="AN1" s="305">
        <v>1</v>
      </c>
      <c r="AO1" s="305">
        <v>2</v>
      </c>
      <c r="AP1" s="305">
        <v>3</v>
      </c>
      <c r="AQ1" s="305">
        <v>4</v>
      </c>
      <c r="AR1" s="305">
        <v>5</v>
      </c>
      <c r="AS1" s="305">
        <v>6</v>
      </c>
      <c r="AT1" s="305">
        <v>7</v>
      </c>
      <c r="AU1" s="305">
        <v>8</v>
      </c>
      <c r="AV1" s="305">
        <v>9</v>
      </c>
      <c r="AW1" s="305">
        <v>10</v>
      </c>
      <c r="AX1" s="305">
        <v>11</v>
      </c>
      <c r="AY1" s="305">
        <v>12</v>
      </c>
      <c r="BB1" s="305">
        <v>1</v>
      </c>
      <c r="BC1" s="305">
        <v>2</v>
      </c>
      <c r="BD1" s="305">
        <v>3</v>
      </c>
      <c r="BE1" s="305">
        <v>4</v>
      </c>
      <c r="BF1" s="305">
        <v>5</v>
      </c>
      <c r="BG1" s="305">
        <v>6</v>
      </c>
      <c r="BH1" s="305">
        <v>7</v>
      </c>
      <c r="BI1" s="305">
        <v>8</v>
      </c>
      <c r="BJ1" s="305">
        <v>9</v>
      </c>
      <c r="BK1" s="305">
        <v>10</v>
      </c>
      <c r="BL1" s="305">
        <v>11</v>
      </c>
      <c r="BM1" s="305">
        <v>12</v>
      </c>
    </row>
    <row r="2" spans="1:66" x14ac:dyDescent="0.3">
      <c r="A2" s="306"/>
      <c r="B2" s="307" t="s">
        <v>157</v>
      </c>
      <c r="C2" s="308"/>
      <c r="D2" s="1057">
        <v>2019</v>
      </c>
      <c r="E2" s="1057"/>
      <c r="F2" s="1057"/>
      <c r="G2" s="1057"/>
      <c r="H2" s="1057"/>
      <c r="I2" s="1057"/>
      <c r="J2" s="1057"/>
      <c r="K2" s="1058">
        <v>2020</v>
      </c>
      <c r="L2" s="1058"/>
      <c r="M2" s="1058"/>
      <c r="N2" s="1058"/>
      <c r="O2" s="1058"/>
      <c r="P2" s="1058"/>
      <c r="Q2" s="1058"/>
      <c r="R2" s="1058"/>
      <c r="S2" s="1058"/>
      <c r="T2" s="1058"/>
      <c r="U2" s="1058"/>
      <c r="V2" s="1058"/>
      <c r="W2" s="1058"/>
      <c r="X2" s="1058"/>
      <c r="Y2" s="1055">
        <v>2021</v>
      </c>
      <c r="Z2" s="1055"/>
      <c r="AA2" s="1055"/>
      <c r="AB2" s="1055"/>
      <c r="AC2" s="1055"/>
      <c r="AD2" s="1055"/>
      <c r="AE2" s="1055"/>
      <c r="AF2" s="1055"/>
      <c r="AG2" s="1055"/>
      <c r="AH2" s="1055"/>
      <c r="AI2" s="1055"/>
      <c r="AJ2" s="1055"/>
      <c r="AK2" s="1055"/>
      <c r="AL2" s="1055"/>
      <c r="AM2" s="1056">
        <v>2022</v>
      </c>
      <c r="AN2" s="1056"/>
      <c r="AO2" s="1056"/>
      <c r="AP2" s="1056"/>
      <c r="AQ2" s="1056"/>
      <c r="AR2" s="1056"/>
      <c r="AS2" s="1056"/>
      <c r="AT2" s="1056"/>
      <c r="AU2" s="1056"/>
      <c r="AV2" s="1056"/>
      <c r="AW2" s="1056"/>
      <c r="AX2" s="1056"/>
      <c r="AY2" s="1056"/>
      <c r="AZ2" s="1056"/>
      <c r="BA2" s="1054">
        <v>2023</v>
      </c>
      <c r="BB2" s="1054"/>
      <c r="BC2" s="1054"/>
      <c r="BD2" s="1054"/>
      <c r="BE2" s="1054"/>
      <c r="BF2" s="1054"/>
      <c r="BG2" s="1054"/>
      <c r="BH2" s="1054"/>
      <c r="BI2" s="1054"/>
      <c r="BJ2" s="1054"/>
      <c r="BK2" s="1054"/>
      <c r="BL2" s="1054"/>
      <c r="BM2" s="1054"/>
      <c r="BN2" s="1054"/>
    </row>
    <row r="3" spans="1:66" ht="59.25" x14ac:dyDescent="0.3">
      <c r="A3" s="137"/>
      <c r="B3" s="531" t="s">
        <v>158</v>
      </c>
      <c r="C3" s="532" t="s">
        <v>159</v>
      </c>
      <c r="D3" s="529" t="s">
        <v>1874</v>
      </c>
      <c r="E3" s="530" t="s">
        <v>167</v>
      </c>
      <c r="F3" s="530" t="s">
        <v>168</v>
      </c>
      <c r="G3" s="530" t="s">
        <v>169</v>
      </c>
      <c r="H3" s="530" t="s">
        <v>170</v>
      </c>
      <c r="I3" s="530" t="s">
        <v>171</v>
      </c>
      <c r="J3" s="530" t="s">
        <v>221</v>
      </c>
      <c r="K3" s="138" t="s">
        <v>1309</v>
      </c>
      <c r="L3" s="139" t="s">
        <v>160</v>
      </c>
      <c r="M3" s="140" t="s">
        <v>161</v>
      </c>
      <c r="N3" s="140" t="s">
        <v>162</v>
      </c>
      <c r="O3" s="140" t="s">
        <v>163</v>
      </c>
      <c r="P3" s="139" t="s">
        <v>164</v>
      </c>
      <c r="Q3" s="140" t="s">
        <v>165</v>
      </c>
      <c r="R3" s="139" t="s">
        <v>166</v>
      </c>
      <c r="S3" s="141" t="s">
        <v>167</v>
      </c>
      <c r="T3" s="141" t="s">
        <v>168</v>
      </c>
      <c r="U3" s="141" t="s">
        <v>169</v>
      </c>
      <c r="V3" s="141" t="s">
        <v>170</v>
      </c>
      <c r="W3" s="141" t="s">
        <v>171</v>
      </c>
      <c r="X3" s="141" t="s">
        <v>221</v>
      </c>
      <c r="Y3" s="497" t="s">
        <v>1310</v>
      </c>
      <c r="Z3" s="142" t="s">
        <v>160</v>
      </c>
      <c r="AA3" s="143" t="s">
        <v>161</v>
      </c>
      <c r="AB3" s="143" t="s">
        <v>162</v>
      </c>
      <c r="AC3" s="143" t="s">
        <v>163</v>
      </c>
      <c r="AD3" s="142" t="s">
        <v>164</v>
      </c>
      <c r="AE3" s="143" t="s">
        <v>165</v>
      </c>
      <c r="AF3" s="142" t="s">
        <v>166</v>
      </c>
      <c r="AG3" s="144" t="s">
        <v>167</v>
      </c>
      <c r="AH3" s="144" t="s">
        <v>168</v>
      </c>
      <c r="AI3" s="144" t="s">
        <v>169</v>
      </c>
      <c r="AJ3" s="144" t="s">
        <v>170</v>
      </c>
      <c r="AK3" s="144" t="s">
        <v>171</v>
      </c>
      <c r="AL3" s="144" t="s">
        <v>221</v>
      </c>
      <c r="AM3" s="496" t="s">
        <v>1311</v>
      </c>
      <c r="AN3" s="190" t="s">
        <v>160</v>
      </c>
      <c r="AO3" s="191" t="s">
        <v>161</v>
      </c>
      <c r="AP3" s="191" t="s">
        <v>162</v>
      </c>
      <c r="AQ3" s="191" t="s">
        <v>163</v>
      </c>
      <c r="AR3" s="190" t="s">
        <v>164</v>
      </c>
      <c r="AS3" s="191" t="s">
        <v>165</v>
      </c>
      <c r="AT3" s="190" t="s">
        <v>166</v>
      </c>
      <c r="AU3" s="192" t="s">
        <v>167</v>
      </c>
      <c r="AV3" s="192" t="s">
        <v>168</v>
      </c>
      <c r="AW3" s="192" t="s">
        <v>169</v>
      </c>
      <c r="AX3" s="192" t="s">
        <v>170</v>
      </c>
      <c r="AY3" s="192" t="s">
        <v>171</v>
      </c>
      <c r="AZ3" s="192" t="s">
        <v>221</v>
      </c>
      <c r="BA3" s="967" t="s">
        <v>1752</v>
      </c>
      <c r="BB3" s="968" t="s">
        <v>160</v>
      </c>
      <c r="BC3" s="969" t="s">
        <v>161</v>
      </c>
      <c r="BD3" s="969" t="s">
        <v>162</v>
      </c>
      <c r="BE3" s="969" t="s">
        <v>163</v>
      </c>
      <c r="BF3" s="968" t="s">
        <v>164</v>
      </c>
      <c r="BG3" s="969" t="s">
        <v>165</v>
      </c>
      <c r="BH3" s="968" t="s">
        <v>166</v>
      </c>
      <c r="BI3" s="970" t="s">
        <v>167</v>
      </c>
      <c r="BJ3" s="970" t="s">
        <v>168</v>
      </c>
      <c r="BK3" s="970" t="s">
        <v>169</v>
      </c>
      <c r="BL3" s="970" t="s">
        <v>170</v>
      </c>
      <c r="BM3" s="970" t="s">
        <v>171</v>
      </c>
      <c r="BN3" s="970" t="s">
        <v>221</v>
      </c>
    </row>
    <row r="4" spans="1:66" x14ac:dyDescent="0.3">
      <c r="A4" s="309">
        <v>1</v>
      </c>
      <c r="B4" s="310" t="s">
        <v>179</v>
      </c>
      <c r="C4" s="310"/>
      <c r="D4" s="310">
        <f t="shared" ref="D4:AI4" si="0">SUM(D5:D25)</f>
        <v>284</v>
      </c>
      <c r="E4" s="311">
        <f t="shared" si="0"/>
        <v>15000000</v>
      </c>
      <c r="F4" s="311">
        <f t="shared" si="0"/>
        <v>0</v>
      </c>
      <c r="G4" s="311">
        <f t="shared" si="0"/>
        <v>10015000</v>
      </c>
      <c r="H4" s="311">
        <f t="shared" si="0"/>
        <v>229229000</v>
      </c>
      <c r="I4" s="311">
        <f t="shared" si="0"/>
        <v>0</v>
      </c>
      <c r="J4" s="311">
        <f t="shared" si="0"/>
        <v>254244000</v>
      </c>
      <c r="K4" s="498">
        <f t="shared" si="0"/>
        <v>368</v>
      </c>
      <c r="L4" s="311">
        <f t="shared" si="0"/>
        <v>0</v>
      </c>
      <c r="M4" s="311">
        <f t="shared" si="0"/>
        <v>0</v>
      </c>
      <c r="N4" s="311">
        <f t="shared" si="0"/>
        <v>46864998</v>
      </c>
      <c r="O4" s="311">
        <f t="shared" si="0"/>
        <v>0</v>
      </c>
      <c r="P4" s="311">
        <f t="shared" si="0"/>
        <v>0</v>
      </c>
      <c r="Q4" s="311">
        <f t="shared" si="0"/>
        <v>0</v>
      </c>
      <c r="R4" s="311">
        <f t="shared" si="0"/>
        <v>0</v>
      </c>
      <c r="S4" s="311">
        <f t="shared" si="0"/>
        <v>40325000</v>
      </c>
      <c r="T4" s="311">
        <f t="shared" si="0"/>
        <v>206758000</v>
      </c>
      <c r="U4" s="311">
        <f t="shared" si="0"/>
        <v>0</v>
      </c>
      <c r="V4" s="311">
        <f t="shared" si="0"/>
        <v>182910000</v>
      </c>
      <c r="W4" s="311">
        <f t="shared" si="0"/>
        <v>0</v>
      </c>
      <c r="X4" s="311">
        <f t="shared" si="0"/>
        <v>476857998</v>
      </c>
      <c r="Y4" s="498">
        <f t="shared" si="0"/>
        <v>288</v>
      </c>
      <c r="Z4" s="311">
        <f t="shared" si="0"/>
        <v>0</v>
      </c>
      <c r="AA4" s="311">
        <f t="shared" si="0"/>
        <v>37080000</v>
      </c>
      <c r="AB4" s="311">
        <f t="shared" si="0"/>
        <v>0</v>
      </c>
      <c r="AC4" s="311">
        <f t="shared" si="0"/>
        <v>0</v>
      </c>
      <c r="AD4" s="311">
        <f t="shared" si="0"/>
        <v>0</v>
      </c>
      <c r="AE4" s="311">
        <f t="shared" si="0"/>
        <v>0</v>
      </c>
      <c r="AF4" s="311">
        <f t="shared" si="0"/>
        <v>0</v>
      </c>
      <c r="AG4" s="311">
        <f t="shared" si="0"/>
        <v>0</v>
      </c>
      <c r="AH4" s="311">
        <f t="shared" si="0"/>
        <v>88623000</v>
      </c>
      <c r="AI4" s="311">
        <f t="shared" si="0"/>
        <v>26099000</v>
      </c>
      <c r="AJ4" s="311">
        <f t="shared" ref="AJ4:AZ4" si="1">SUM(AJ5:AJ25)</f>
        <v>144016000</v>
      </c>
      <c r="AK4" s="311">
        <f t="shared" si="1"/>
        <v>75506000</v>
      </c>
      <c r="AL4" s="311">
        <f t="shared" si="1"/>
        <v>371324000</v>
      </c>
      <c r="AM4" s="498">
        <f t="shared" si="1"/>
        <v>320</v>
      </c>
      <c r="AN4" s="311">
        <f t="shared" si="1"/>
        <v>32224000</v>
      </c>
      <c r="AO4" s="311">
        <f t="shared" si="1"/>
        <v>114100000</v>
      </c>
      <c r="AP4" s="311">
        <f t="shared" si="1"/>
        <v>39210000</v>
      </c>
      <c r="AQ4" s="311">
        <f t="shared" si="1"/>
        <v>50610000</v>
      </c>
      <c r="AR4" s="311">
        <f t="shared" si="1"/>
        <v>50610000</v>
      </c>
      <c r="AS4" s="311">
        <f t="shared" si="1"/>
        <v>29510000</v>
      </c>
      <c r="AT4" s="311">
        <f t="shared" si="1"/>
        <v>30125950</v>
      </c>
      <c r="AU4" s="311">
        <f t="shared" si="1"/>
        <v>3820000</v>
      </c>
      <c r="AV4" s="311">
        <f t="shared" si="1"/>
        <v>24220000</v>
      </c>
      <c r="AW4" s="311">
        <f t="shared" si="1"/>
        <v>3820000</v>
      </c>
      <c r="AX4" s="311">
        <f t="shared" si="1"/>
        <v>24220000</v>
      </c>
      <c r="AY4" s="311">
        <f t="shared" si="1"/>
        <v>14020000</v>
      </c>
      <c r="AZ4" s="311">
        <f t="shared" si="1"/>
        <v>416489950</v>
      </c>
      <c r="BA4" s="498">
        <f t="shared" ref="BA4:BN4" si="2">SUM(BA5:BA25)</f>
        <v>87</v>
      </c>
      <c r="BB4" s="311">
        <f t="shared" si="2"/>
        <v>14020000</v>
      </c>
      <c r="BC4" s="311">
        <f t="shared" si="2"/>
        <v>14020000</v>
      </c>
      <c r="BD4" s="311">
        <f t="shared" si="2"/>
        <v>0</v>
      </c>
      <c r="BE4" s="311">
        <f t="shared" si="2"/>
        <v>0</v>
      </c>
      <c r="BF4" s="311">
        <f t="shared" si="2"/>
        <v>0</v>
      </c>
      <c r="BG4" s="311">
        <f t="shared" si="2"/>
        <v>0</v>
      </c>
      <c r="BH4" s="311">
        <f t="shared" si="2"/>
        <v>0</v>
      </c>
      <c r="BI4" s="311">
        <f t="shared" si="2"/>
        <v>0</v>
      </c>
      <c r="BJ4" s="311">
        <f t="shared" si="2"/>
        <v>0</v>
      </c>
      <c r="BK4" s="311">
        <f t="shared" si="2"/>
        <v>0</v>
      </c>
      <c r="BL4" s="311">
        <f t="shared" si="2"/>
        <v>0</v>
      </c>
      <c r="BM4" s="311">
        <f t="shared" si="2"/>
        <v>0</v>
      </c>
      <c r="BN4" s="311">
        <f t="shared" si="2"/>
        <v>28040000</v>
      </c>
    </row>
    <row r="5" spans="1:66" x14ac:dyDescent="0.3">
      <c r="A5" s="312"/>
      <c r="B5" s="313"/>
      <c r="C5" s="313" t="s">
        <v>32</v>
      </c>
      <c r="D5" s="512">
        <f>IFERROR(VLOOKUP($C5,'2019'!$D:$G,4,0),0)</f>
        <v>0</v>
      </c>
      <c r="E5" s="314">
        <f>SUMIFS('2019'!$I:$I,'2019'!$E:$E,Category!$B$4,'2019'!$N:$N,Category!E$1,'2019'!$D:$D,Category!$C5)</f>
        <v>0</v>
      </c>
      <c r="F5" s="314">
        <f>SUMIFS('2019'!$I:$I,'2019'!$E:$E,Category!$B$4,'2019'!$N:$N,Category!F$1,'2019'!$D:$D,Category!$C5)</f>
        <v>0</v>
      </c>
      <c r="G5" s="314">
        <f>SUMIFS('2019'!$I:$I,'2019'!$E:$E,Category!$B$4,'2019'!$N:$N,Category!G$1,'2019'!$D:$D,Category!$C5)</f>
        <v>0</v>
      </c>
      <c r="H5" s="314">
        <f>SUMIFS('2019'!$I:$I,'2019'!$E:$E,Category!$B$4,'2019'!$N:$N,Category!H$1,'2019'!$D:$D,Category!$C5)</f>
        <v>0</v>
      </c>
      <c r="I5" s="314">
        <f>SUMIFS('2019'!$I:$I,'2019'!$E:$E,Category!$B$4,'2019'!$N:$N,Category!I$1,'2019'!$D:$D,Category!$C5)</f>
        <v>0</v>
      </c>
      <c r="J5" s="315">
        <f t="shared" ref="J5:J21" si="3">SUM(E5:I5)</f>
        <v>0</v>
      </c>
      <c r="K5" s="499">
        <f>IFERROR(VLOOKUP($C5,'2020'!$D:$G,4,0),0)</f>
        <v>8</v>
      </c>
      <c r="L5" s="314">
        <f>SUMIFS('2020'!$I:$I,'2020'!$E:$E,Category!$B$4,'2020'!$N:$N,Category!L$1,'2020'!$D:$D,Category!$C5)</f>
        <v>0</v>
      </c>
      <c r="M5" s="314">
        <f>SUMIFS('2020'!$I:$I,'2020'!$E:$E,Category!$B$4,'2020'!$N:$N,Category!M$1,'2020'!$D:$D,Category!$C5)</f>
        <v>0</v>
      </c>
      <c r="N5" s="314">
        <f>SUMIFS('2020'!$I:$I,'2020'!$E:$E,Category!$B$4,'2020'!$N:$N,Category!N$1,'2020'!$D:$D,Category!$C5)</f>
        <v>0</v>
      </c>
      <c r="O5" s="314">
        <f>SUMIFS('2020'!$I:$I,'2020'!$E:$E,Category!$B$4,'2020'!$N:$N,Category!O$1,'2020'!$D:$D,Category!$C5)</f>
        <v>0</v>
      </c>
      <c r="P5" s="314">
        <f>SUMIFS('2020'!$I:$I,'2020'!$E:$E,Category!$B$4,'2020'!$N:$N,Category!P$1,'2020'!$D:$D,Category!$C5)</f>
        <v>0</v>
      </c>
      <c r="Q5" s="314">
        <f>SUMIFS('2020'!$I:$I,'2020'!$E:$E,Category!$B$4,'2020'!$N:$N,Category!Q$1,'2020'!$D:$D,Category!$C5)</f>
        <v>0</v>
      </c>
      <c r="R5" s="314">
        <f>SUMIFS('2020'!$I:$I,'2020'!$E:$E,Category!$B$4,'2020'!$N:$N,Category!R$1,'2020'!$D:$D,Category!$C5)</f>
        <v>0</v>
      </c>
      <c r="S5" s="314">
        <f>SUMIFS('2020'!$I:$I,'2020'!$E:$E,Category!$B$4,'2020'!$N:$N,Category!S$1,'2020'!$D:$D,Category!$C5)</f>
        <v>7130000</v>
      </c>
      <c r="T5" s="314">
        <f>SUMIFS('2020'!$I:$I,'2020'!$E:$E,Category!$B$4,'2020'!$N:$N,Category!T$1,'2020'!$D:$D,Category!$C5)</f>
        <v>0</v>
      </c>
      <c r="U5" s="314">
        <f>SUMIFS('2020'!$I:$I,'2020'!$E:$E,Category!$B$4,'2020'!$N:$N,Category!U$1,'2020'!$D:$D,Category!$C5)</f>
        <v>0</v>
      </c>
      <c r="V5" s="314">
        <f>SUMIFS('2020'!$I:$I,'2020'!$E:$E,Category!$B$4,'2020'!$N:$N,Category!V$1,'2020'!$D:$D,Category!$C5)</f>
        <v>0</v>
      </c>
      <c r="W5" s="314">
        <f>SUMIFS('2020'!$I:$I,'2020'!$E:$E,Category!$B$4,'2020'!$N:$N,Category!W$1,'2020'!$D:$D,Category!$C5)</f>
        <v>0</v>
      </c>
      <c r="X5" s="315">
        <f t="shared" ref="X5:X24" si="4">SUM(L5:W5)</f>
        <v>7130000</v>
      </c>
      <c r="Y5" s="499">
        <f>IFERROR(VLOOKUP(C5,'2021'!$D:$G,4,0),0)</f>
        <v>0</v>
      </c>
      <c r="Z5" s="314">
        <f>SUMIFS('2021'!$I:$I,'2021'!$E:$E,Category!$B$4,'2021'!$N:$N,Category!Z$1,'2021'!$D:$D,Category!$C5)</f>
        <v>0</v>
      </c>
      <c r="AA5" s="314">
        <f>SUMIFS('2021'!$I:$I,'2021'!$E:$E,Category!$B$4,'2021'!$N:$N,Category!AA$1,'2021'!$D:$D,Category!$C5)</f>
        <v>0</v>
      </c>
      <c r="AB5" s="314">
        <f>SUMIFS('2021'!$I:$I,'2021'!$E:$E,Category!$B$4,'2021'!$N:$N,Category!AB$1,'2021'!$D:$D,Category!$C5)</f>
        <v>0</v>
      </c>
      <c r="AC5" s="314">
        <f>SUMIFS('2021'!$I:$I,'2021'!$E:$E,Category!$B$4,'2021'!$N:$N,Category!AC$1,'2021'!$D:$D,Category!$C5)</f>
        <v>0</v>
      </c>
      <c r="AD5" s="314">
        <f>SUMIFS('2021'!$I:$I,'2021'!$E:$E,Category!$B$4,'2021'!$N:$N,Category!AD$1,'2021'!$D:$D,Category!$C5)</f>
        <v>0</v>
      </c>
      <c r="AE5" s="314">
        <f>SUMIFS('2021'!$I:$I,'2021'!$E:$E,Category!$B$4,'2021'!$N:$N,Category!AE$1,'2021'!$D:$D,Category!$C5)</f>
        <v>0</v>
      </c>
      <c r="AF5" s="314">
        <f>SUMIFS('2021'!$I:$I,'2021'!$E:$E,Category!$B$4,'2021'!$N:$N,Category!AF$1,'2021'!$D:$D,Category!$C5)</f>
        <v>0</v>
      </c>
      <c r="AG5" s="314">
        <f>SUMIFS('2021'!$I:$I,'2021'!$E:$E,Category!$B$4,'2021'!$N:$N,Category!AG$1,'2021'!$D:$D,Category!$C5)</f>
        <v>0</v>
      </c>
      <c r="AH5" s="314">
        <f>SUMIFS('2021'!$I:$I,'2021'!$E:$E,Category!$B$4,'2021'!$N:$N,Category!AH$1,'2021'!$D:$D,Category!$C5)</f>
        <v>0</v>
      </c>
      <c r="AI5" s="314">
        <f>SUMIFS('2021'!$I:$I,'2021'!$E:$E,Category!$B$4,'2021'!$N:$N,Category!AI$1,'2021'!$D:$D,Category!$C5)</f>
        <v>0</v>
      </c>
      <c r="AJ5" s="314">
        <f>SUMIFS('2021'!$I:$I,'2021'!$E:$E,Category!$B$4,'2021'!$N:$N,Category!AJ$1,'2021'!$D:$D,Category!$C5)</f>
        <v>0</v>
      </c>
      <c r="AK5" s="314">
        <f>SUMIFS('2021'!$I:$I,'2021'!$E:$E,Category!$B$4,'2021'!$N:$N,Category!AK$1,'2021'!$D:$D,Category!$C5)</f>
        <v>0</v>
      </c>
      <c r="AL5" s="315">
        <f>SUM(Z5:AK5)</f>
        <v>0</v>
      </c>
      <c r="AM5" s="499">
        <f>IFERROR(VLOOKUP(C5,'2022'!$D:$G,4,0),0)</f>
        <v>0</v>
      </c>
      <c r="AN5" s="314">
        <f>SUMIFS('2022'!$I:$I,'2022'!$E:$E,Category!$B$4,'2022'!$N:$N,Category!AN$1,'2022'!$D:$D,Category!$C5)</f>
        <v>0</v>
      </c>
      <c r="AO5" s="314">
        <f>SUMIFS('2022'!$I:$I,'2022'!$E:$E,Category!$B$4,'2022'!$N:$N,Category!AO$1,'2022'!$D:$D,Category!$C5)</f>
        <v>0</v>
      </c>
      <c r="AP5" s="314">
        <f>SUMIFS('2022'!$I:$I,'2022'!$E:$E,Category!$B$4,'2022'!$N:$N,Category!AP$1,'2022'!$D:$D,Category!$C5)</f>
        <v>0</v>
      </c>
      <c r="AQ5" s="314">
        <f>SUMIFS('2022'!$I:$I,'2022'!$E:$E,Category!$B$4,'2022'!$N:$N,Category!AQ$1,'2022'!$D:$D,Category!$C5)</f>
        <v>0</v>
      </c>
      <c r="AR5" s="314">
        <f>SUMIFS('2022'!$I:$I,'2022'!$E:$E,Category!$B$4,'2022'!$N:$N,Category!AR$1,'2022'!$D:$D,Category!$C5)</f>
        <v>0</v>
      </c>
      <c r="AS5" s="314">
        <f>SUMIFS('2022'!$I:$I,'2022'!$E:$E,Category!$B$4,'2022'!$N:$N,Category!AS$1,'2022'!$D:$D,Category!$C5)</f>
        <v>0</v>
      </c>
      <c r="AT5" s="314">
        <f>SUMIFS('2022'!$I:$I,'2022'!$E:$E,Category!$B$4,'2022'!$N:$N,Category!AT$1,'2022'!$D:$D,Category!$C5)</f>
        <v>0</v>
      </c>
      <c r="AU5" s="314">
        <f>SUMIFS('2022'!$I:$I,'2022'!$E:$E,Category!$B$4,'2022'!$N:$N,Category!AU$1,'2022'!$D:$D,Category!$C5)</f>
        <v>0</v>
      </c>
      <c r="AV5" s="314">
        <f>SUMIFS('2022'!$I:$I,'2022'!$E:$E,Category!$B$4,'2022'!$N:$N,Category!AV$1,'2022'!$D:$D,Category!$C5)</f>
        <v>0</v>
      </c>
      <c r="AW5" s="314">
        <f>SUMIFS('2022'!$I:$I,'2022'!$E:$E,Category!$B$4,'2022'!$N:$N,Category!AW$1,'2022'!$D:$D,Category!$C5)</f>
        <v>0</v>
      </c>
      <c r="AX5" s="314">
        <f>SUMIFS('2022'!$I:$I,'2022'!$E:$E,Category!$B$4,'2022'!$N:$N,Category!AX$1,'2022'!$D:$D,Category!$C5)</f>
        <v>0</v>
      </c>
      <c r="AY5" s="314">
        <f>SUMIFS('2022'!$I:$I,'2022'!$E:$E,Category!$B$4,'2022'!$N:$N,Category!AY$1,'2022'!$D:$D,Category!$C5)</f>
        <v>0</v>
      </c>
      <c r="AZ5" s="315">
        <f t="shared" ref="AZ5:AZ25" si="5">SUM(AN5:AY5)</f>
        <v>0</v>
      </c>
      <c r="BA5" s="499">
        <f>IFERROR(VLOOKUP(C5,'2023'!$D:$G,4,0),0)</f>
        <v>0</v>
      </c>
      <c r="BB5" s="314">
        <f>SUMIFS('2023'!$I:$I,'2023'!$E:$E,Category!$B$4,'2023'!$N:$N,Category!BB$1,'2023'!$D:$D,Category!$C5)</f>
        <v>0</v>
      </c>
      <c r="BC5" s="314">
        <f>SUMIFS('2023'!$I:$I,'2023'!$E:$E,Category!$B$4,'2023'!$N:$N,Category!BC$1,'2023'!$D:$D,Category!$C5)</f>
        <v>0</v>
      </c>
      <c r="BD5" s="314">
        <f>SUMIFS('2023'!$I:$I,'2023'!$E:$E,Category!$B$4,'2023'!$N:$N,Category!BD$1,'2023'!$D:$D,Category!$C5)</f>
        <v>0</v>
      </c>
      <c r="BE5" s="314">
        <f>SUMIFS('2023'!$I:$I,'2023'!$E:$E,Category!$B$4,'2023'!$N:$N,Category!BE$1,'2023'!$D:$D,Category!$C5)</f>
        <v>0</v>
      </c>
      <c r="BF5" s="314">
        <f>SUMIFS('2023'!$I:$I,'2023'!$E:$E,Category!$B$4,'2023'!$N:$N,Category!BF$1,'2023'!$D:$D,Category!$C5)</f>
        <v>0</v>
      </c>
      <c r="BG5" s="314">
        <f>SUMIFS('2023'!$I:$I,'2023'!$E:$E,Category!$B$4,'2023'!$N:$N,Category!BG$1,'2023'!$D:$D,Category!$C5)</f>
        <v>0</v>
      </c>
      <c r="BH5" s="314">
        <f>SUMIFS('2023'!$I:$I,'2023'!$E:$E,Category!$B$4,'2023'!$N:$N,Category!BH$1,'2023'!$D:$D,Category!$C5)</f>
        <v>0</v>
      </c>
      <c r="BI5" s="314">
        <f>SUMIFS('2023'!$I:$I,'2023'!$E:$E,Category!$B$4,'2023'!$N:$N,Category!BI$1,'2023'!$D:$D,Category!$C5)</f>
        <v>0</v>
      </c>
      <c r="BJ5" s="314">
        <f>SUMIFS('2023'!$I:$I,'2023'!$E:$E,Category!$B$4,'2023'!$N:$N,Category!BJ$1,'2023'!$D:$D,Category!$C5)</f>
        <v>0</v>
      </c>
      <c r="BK5" s="314">
        <f>SUMIFS('2023'!$I:$I,'2023'!$E:$E,Category!$B$4,'2023'!$N:$N,Category!BK$1,'2023'!$D:$D,Category!$C5)</f>
        <v>0</v>
      </c>
      <c r="BL5" s="314">
        <f>SUMIFS('2023'!$I:$I,'2023'!$E:$E,Category!$B$4,'2023'!$N:$N,Category!BL$1,'2023'!$D:$D,Category!$C5)</f>
        <v>0</v>
      </c>
      <c r="BM5" s="314">
        <f>SUMIFS('2023'!$I:$I,'2023'!$E:$E,Category!$B$4,'2023'!$N:$N,Category!BM$1,'2023'!$D:$D,Category!$C5)</f>
        <v>0</v>
      </c>
      <c r="BN5" s="315">
        <f t="shared" ref="BN5:BN25" si="6">SUM(BB5:BM5)</f>
        <v>0</v>
      </c>
    </row>
    <row r="6" spans="1:66" x14ac:dyDescent="0.3">
      <c r="A6" s="312"/>
      <c r="B6" s="313"/>
      <c r="C6" s="313" t="s">
        <v>35</v>
      </c>
      <c r="D6" s="512">
        <f>IFERROR(VLOOKUP($C6,'2019'!$D:$G,4,0),0)</f>
        <v>29</v>
      </c>
      <c r="E6" s="314">
        <f>SUMIFS('2019'!$I:$I,'2019'!$E:$E,Category!$B$4,'2019'!$N:$N,Category!E$1,'2019'!$D:$D,Category!$C6)</f>
        <v>0</v>
      </c>
      <c r="F6" s="314">
        <f>SUMIFS('2019'!$I:$I,'2019'!$E:$E,Category!$B$4,'2019'!$N:$N,Category!F$1,'2019'!$D:$D,Category!$C6)</f>
        <v>0</v>
      </c>
      <c r="G6" s="314">
        <f>SUMIFS('2019'!$I:$I,'2019'!$E:$E,Category!$B$4,'2019'!$N:$N,Category!G$1,'2019'!$D:$D,Category!$C6)</f>
        <v>0</v>
      </c>
      <c r="H6" s="314">
        <f>SUMIFS('2019'!$I:$I,'2019'!$E:$E,Category!$B$4,'2019'!$N:$N,Category!H$1,'2019'!$D:$D,Category!$C6)</f>
        <v>18750000</v>
      </c>
      <c r="I6" s="314">
        <f>SUMIFS('2019'!$I:$I,'2019'!$E:$E,Category!$B$4,'2019'!$N:$N,Category!I$1,'2019'!$D:$D,Category!$C6)</f>
        <v>0</v>
      </c>
      <c r="J6" s="315">
        <f t="shared" si="3"/>
        <v>18750000</v>
      </c>
      <c r="K6" s="499">
        <f>IFERROR(VLOOKUP($C6,'2020'!$D:$G,4,0),0)</f>
        <v>57</v>
      </c>
      <c r="L6" s="314">
        <f>SUMIFS('2020'!$I:$I,'2020'!$E:$E,Category!$B$4,'2020'!$N:$N,Category!L$1,'2020'!$D:$D,Category!$C6)</f>
        <v>0</v>
      </c>
      <c r="M6" s="314">
        <f>SUMIFS('2020'!$I:$I,'2020'!$E:$E,Category!$B$4,'2020'!$N:$N,Category!M$1,'2020'!$D:$D,Category!$C6)</f>
        <v>0</v>
      </c>
      <c r="N6" s="314">
        <f>SUMIFS('2020'!$I:$I,'2020'!$E:$E,Category!$B$4,'2020'!$N:$N,Category!N$1,'2020'!$D:$D,Category!$C6)</f>
        <v>0</v>
      </c>
      <c r="O6" s="314">
        <f>SUMIFS('2020'!$I:$I,'2020'!$E:$E,Category!$B$4,'2020'!$N:$N,Category!O$1,'2020'!$D:$D,Category!$C6)</f>
        <v>0</v>
      </c>
      <c r="P6" s="314">
        <f>SUMIFS('2020'!$I:$I,'2020'!$E:$E,Category!$B$4,'2020'!$N:$N,Category!P$1,'2020'!$D:$D,Category!$C6)</f>
        <v>0</v>
      </c>
      <c r="Q6" s="314">
        <f>SUMIFS('2020'!$I:$I,'2020'!$E:$E,Category!$B$4,'2020'!$N:$N,Category!Q$1,'2020'!$D:$D,Category!$C6)</f>
        <v>0</v>
      </c>
      <c r="R6" s="314">
        <f>SUMIFS('2020'!$I:$I,'2020'!$E:$E,Category!$B$4,'2020'!$N:$N,Category!R$1,'2020'!$D:$D,Category!$C6)</f>
        <v>0</v>
      </c>
      <c r="S6" s="314">
        <f>SUMIFS('2020'!$I:$I,'2020'!$E:$E,Category!$B$4,'2020'!$N:$N,Category!S$1,'2020'!$D:$D,Category!$C6)</f>
        <v>25995000</v>
      </c>
      <c r="T6" s="314">
        <f>SUMIFS('2020'!$I:$I,'2020'!$E:$E,Category!$B$4,'2020'!$N:$N,Category!T$1,'2020'!$D:$D,Category!$C6)</f>
        <v>0</v>
      </c>
      <c r="U6" s="314">
        <f>SUMIFS('2020'!$I:$I,'2020'!$E:$E,Category!$B$4,'2020'!$N:$N,Category!U$1,'2020'!$D:$D,Category!$C6)</f>
        <v>0</v>
      </c>
      <c r="V6" s="314">
        <f>SUMIFS('2020'!$I:$I,'2020'!$E:$E,Category!$B$4,'2020'!$N:$N,Category!V$1,'2020'!$D:$D,Category!$C6)</f>
        <v>0</v>
      </c>
      <c r="W6" s="314">
        <f>SUMIFS('2020'!$I:$I,'2020'!$E:$E,Category!$B$4,'2020'!$N:$N,Category!W$1,'2020'!$D:$D,Category!$C6)</f>
        <v>0</v>
      </c>
      <c r="X6" s="315">
        <f t="shared" si="4"/>
        <v>25995000</v>
      </c>
      <c r="Y6" s="499">
        <f>IFERROR(VLOOKUP(C6,'2021'!$D:$G,4,0),0)</f>
        <v>57</v>
      </c>
      <c r="Z6" s="314">
        <f>SUMIFS('2021'!$I:$I,'2021'!$E:$E,Category!$B$4,'2021'!$N:$N,Category!Z$1,'2021'!$D:$D,Category!$C6)</f>
        <v>0</v>
      </c>
      <c r="AA6" s="314">
        <f>SUMIFS('2021'!$I:$I,'2021'!$E:$E,Category!$B$4,'2021'!$N:$N,Category!AA$1,'2021'!$D:$D,Category!$C6)</f>
        <v>0</v>
      </c>
      <c r="AB6" s="314">
        <f>SUMIFS('2021'!$I:$I,'2021'!$E:$E,Category!$B$4,'2021'!$N:$N,Category!AB$1,'2021'!$D:$D,Category!$C6)</f>
        <v>0</v>
      </c>
      <c r="AC6" s="314">
        <f>SUMIFS('2021'!$I:$I,'2021'!$E:$E,Category!$B$4,'2021'!$N:$N,Category!AC$1,'2021'!$D:$D,Category!$C6)</f>
        <v>0</v>
      </c>
      <c r="AD6" s="314">
        <f>SUMIFS('2021'!$I:$I,'2021'!$E:$E,Category!$B$4,'2021'!$N:$N,Category!AD$1,'2021'!$D:$D,Category!$C6)</f>
        <v>0</v>
      </c>
      <c r="AE6" s="314">
        <f>SUMIFS('2021'!$I:$I,'2021'!$E:$E,Category!$B$4,'2021'!$N:$N,Category!AE$1,'2021'!$D:$D,Category!$C6)</f>
        <v>0</v>
      </c>
      <c r="AF6" s="314">
        <f>SUMIFS('2021'!$I:$I,'2021'!$E:$E,Category!$B$4,'2021'!$N:$N,Category!AF$1,'2021'!$D:$D,Category!$C6)</f>
        <v>0</v>
      </c>
      <c r="AG6" s="314">
        <f>SUMIFS('2021'!$I:$I,'2021'!$E:$E,Category!$B$4,'2021'!$N:$N,Category!AG$1,'2021'!$D:$D,Category!$C6)</f>
        <v>0</v>
      </c>
      <c r="AH6" s="314">
        <f>SUMIFS('2021'!$I:$I,'2021'!$E:$E,Category!$B$4,'2021'!$N:$N,Category!AH$1,'2021'!$D:$D,Category!$C6)</f>
        <v>0</v>
      </c>
      <c r="AI6" s="314">
        <f>SUMIFS('2021'!$I:$I,'2021'!$E:$E,Category!$B$4,'2021'!$N:$N,Category!AI$1,'2021'!$D:$D,Category!$C6)</f>
        <v>0</v>
      </c>
      <c r="AJ6" s="314">
        <f>SUMIFS('2021'!$I:$I,'2021'!$E:$E,Category!$B$4,'2021'!$N:$N,Category!AJ$1,'2021'!$D:$D,Category!$C6)</f>
        <v>31350000</v>
      </c>
      <c r="AK6" s="314">
        <f>SUMIFS('2021'!$I:$I,'2021'!$E:$E,Category!$B$4,'2021'!$N:$N,Category!AK$1,'2021'!$D:$D,Category!$C6)</f>
        <v>6825000</v>
      </c>
      <c r="AL6" s="315">
        <f t="shared" ref="AL6:AL24" si="7">SUM(Z6:AK6)</f>
        <v>38175000</v>
      </c>
      <c r="AM6" s="499">
        <f>IFERROR(VLOOKUP(C6,'2022'!$D:$G,4,0),0)</f>
        <v>0</v>
      </c>
      <c r="AN6" s="314">
        <f>SUMIFS('2022'!$I:$I,'2022'!$E:$E,Category!$B$4,'2022'!$N:$N,Category!AN$1,'2022'!$D:$D,Category!$C6)</f>
        <v>0</v>
      </c>
      <c r="AO6" s="314">
        <f>SUMIFS('2022'!$I:$I,'2022'!$E:$E,Category!$B$4,'2022'!$N:$N,Category!AO$1,'2022'!$D:$D,Category!$C6)</f>
        <v>0</v>
      </c>
      <c r="AP6" s="314">
        <f>SUMIFS('2022'!$I:$I,'2022'!$E:$E,Category!$B$4,'2022'!$N:$N,Category!AP$1,'2022'!$D:$D,Category!$C6)</f>
        <v>0</v>
      </c>
      <c r="AQ6" s="314">
        <f>SUMIFS('2022'!$I:$I,'2022'!$E:$E,Category!$B$4,'2022'!$N:$N,Category!AQ$1,'2022'!$D:$D,Category!$C6)</f>
        <v>0</v>
      </c>
      <c r="AR6" s="314">
        <f>SUMIFS('2022'!$I:$I,'2022'!$E:$E,Category!$B$4,'2022'!$N:$N,Category!AR$1,'2022'!$D:$D,Category!$C6)</f>
        <v>0</v>
      </c>
      <c r="AS6" s="314">
        <f>SUMIFS('2022'!$I:$I,'2022'!$E:$E,Category!$B$4,'2022'!$N:$N,Category!AS$1,'2022'!$D:$D,Category!$C6)</f>
        <v>0</v>
      </c>
      <c r="AT6" s="314">
        <f>SUMIFS('2022'!$I:$I,'2022'!$E:$E,Category!$B$4,'2022'!$N:$N,Category!AT$1,'2022'!$D:$D,Category!$C6)</f>
        <v>0</v>
      </c>
      <c r="AU6" s="314">
        <f>SUMIFS('2022'!$I:$I,'2022'!$E:$E,Category!$B$4,'2022'!$N:$N,Category!AU$1,'2022'!$D:$D,Category!$C6)</f>
        <v>0</v>
      </c>
      <c r="AV6" s="314">
        <f>SUMIFS('2022'!$I:$I,'2022'!$E:$E,Category!$B$4,'2022'!$N:$N,Category!AV$1,'2022'!$D:$D,Category!$C6)</f>
        <v>0</v>
      </c>
      <c r="AW6" s="314">
        <f>SUMIFS('2022'!$I:$I,'2022'!$E:$E,Category!$B$4,'2022'!$N:$N,Category!AW$1,'2022'!$D:$D,Category!$C6)</f>
        <v>0</v>
      </c>
      <c r="AX6" s="314">
        <f>SUMIFS('2022'!$I:$I,'2022'!$E:$E,Category!$B$4,'2022'!$N:$N,Category!AX$1,'2022'!$D:$D,Category!$C6)</f>
        <v>0</v>
      </c>
      <c r="AY6" s="314">
        <f>SUMIFS('2022'!$I:$I,'2022'!$E:$E,Category!$B$4,'2022'!$N:$N,Category!AY$1,'2022'!$D:$D,Category!$C6)</f>
        <v>0</v>
      </c>
      <c r="AZ6" s="315">
        <f t="shared" si="5"/>
        <v>0</v>
      </c>
      <c r="BA6" s="499">
        <f>IFERROR(VLOOKUP(C6,'2023'!$D:$G,4,0),0)</f>
        <v>0</v>
      </c>
      <c r="BB6" s="314">
        <f>SUMIFS('2023'!$I:$I,'2023'!$E:$E,Category!$B$4,'2023'!$N:$N,Category!BB$1,'2023'!$D:$D,Category!$C6)</f>
        <v>0</v>
      </c>
      <c r="BC6" s="314">
        <f>SUMIFS('2023'!$I:$I,'2023'!$E:$E,Category!$B$4,'2023'!$N:$N,Category!BC$1,'2023'!$D:$D,Category!$C6)</f>
        <v>0</v>
      </c>
      <c r="BD6" s="314">
        <f>SUMIFS('2023'!$I:$I,'2023'!$E:$E,Category!$B$4,'2023'!$N:$N,Category!BD$1,'2023'!$D:$D,Category!$C6)</f>
        <v>0</v>
      </c>
      <c r="BE6" s="314">
        <f>SUMIFS('2023'!$I:$I,'2023'!$E:$E,Category!$B$4,'2023'!$N:$N,Category!BE$1,'2023'!$D:$D,Category!$C6)</f>
        <v>0</v>
      </c>
      <c r="BF6" s="314">
        <f>SUMIFS('2023'!$I:$I,'2023'!$E:$E,Category!$B$4,'2023'!$N:$N,Category!BF$1,'2023'!$D:$D,Category!$C6)</f>
        <v>0</v>
      </c>
      <c r="BG6" s="314">
        <f>SUMIFS('2023'!$I:$I,'2023'!$E:$E,Category!$B$4,'2023'!$N:$N,Category!BG$1,'2023'!$D:$D,Category!$C6)</f>
        <v>0</v>
      </c>
      <c r="BH6" s="314">
        <f>SUMIFS('2023'!$I:$I,'2023'!$E:$E,Category!$B$4,'2023'!$N:$N,Category!BH$1,'2023'!$D:$D,Category!$C6)</f>
        <v>0</v>
      </c>
      <c r="BI6" s="314">
        <f>SUMIFS('2023'!$I:$I,'2023'!$E:$E,Category!$B$4,'2023'!$N:$N,Category!BI$1,'2023'!$D:$D,Category!$C6)</f>
        <v>0</v>
      </c>
      <c r="BJ6" s="314">
        <f>SUMIFS('2023'!$I:$I,'2023'!$E:$E,Category!$B$4,'2023'!$N:$N,Category!BJ$1,'2023'!$D:$D,Category!$C6)</f>
        <v>0</v>
      </c>
      <c r="BK6" s="314">
        <f>SUMIFS('2023'!$I:$I,'2023'!$E:$E,Category!$B$4,'2023'!$N:$N,Category!BK$1,'2023'!$D:$D,Category!$C6)</f>
        <v>0</v>
      </c>
      <c r="BL6" s="314">
        <f>SUMIFS('2023'!$I:$I,'2023'!$E:$E,Category!$B$4,'2023'!$N:$N,Category!BL$1,'2023'!$D:$D,Category!$C6)</f>
        <v>0</v>
      </c>
      <c r="BM6" s="314">
        <f>SUMIFS('2023'!$I:$I,'2023'!$E:$E,Category!$B$4,'2023'!$N:$N,Category!BM$1,'2023'!$D:$D,Category!$C6)</f>
        <v>0</v>
      </c>
      <c r="BN6" s="315">
        <f t="shared" si="6"/>
        <v>0</v>
      </c>
    </row>
    <row r="7" spans="1:66" x14ac:dyDescent="0.3">
      <c r="A7" s="312"/>
      <c r="B7" s="313"/>
      <c r="C7" s="313" t="s">
        <v>25</v>
      </c>
      <c r="D7" s="512">
        <f>IFERROR(VLOOKUP($C7,'2019'!$D:$G,4,0),0)</f>
        <v>12</v>
      </c>
      <c r="E7" s="314">
        <f>SUMIFS('2019'!$I:$I,'2019'!$E:$E,Category!$B$4,'2019'!$N:$N,Category!E$1,'2019'!$D:$D,Category!$C7)</f>
        <v>15000000</v>
      </c>
      <c r="F7" s="314">
        <f>SUMIFS('2019'!$I:$I,'2019'!$E:$E,Category!$B$4,'2019'!$N:$N,Category!F$1,'2019'!$D:$D,Category!$C7)</f>
        <v>0</v>
      </c>
      <c r="G7" s="314">
        <f>SUMIFS('2019'!$I:$I,'2019'!$E:$E,Category!$B$4,'2019'!$N:$N,Category!G$1,'2019'!$D:$D,Category!$C7)</f>
        <v>0</v>
      </c>
      <c r="H7" s="314">
        <f>SUMIFS('2019'!$I:$I,'2019'!$E:$E,Category!$B$4,'2019'!$N:$N,Category!H$1,'2019'!$D:$D,Category!$C7)</f>
        <v>0</v>
      </c>
      <c r="I7" s="314">
        <f>SUMIFS('2019'!$I:$I,'2019'!$E:$E,Category!$B$4,'2019'!$N:$N,Category!I$1,'2019'!$D:$D,Category!$C7)</f>
        <v>0</v>
      </c>
      <c r="J7" s="315">
        <f t="shared" si="3"/>
        <v>15000000</v>
      </c>
      <c r="K7" s="499">
        <f>IFERROR(VLOOKUP($C7,'2020'!$D:$G,4,0),0)</f>
        <v>0</v>
      </c>
      <c r="L7" s="314">
        <f>SUMIFS('2020'!$I:$I,'2020'!$E:$E,Category!$B$4,'2020'!$N:$N,Category!L$1,'2020'!$D:$D,Category!$C7)</f>
        <v>0</v>
      </c>
      <c r="M7" s="314">
        <f>SUMIFS('2020'!$I:$I,'2020'!$E:$E,Category!$B$4,'2020'!$N:$N,Category!M$1,'2020'!$D:$D,Category!$C7)</f>
        <v>0</v>
      </c>
      <c r="N7" s="314">
        <f>SUMIFS('2020'!$I:$I,'2020'!$E:$E,Category!$B$4,'2020'!$N:$N,Category!N$1,'2020'!$D:$D,Category!$C7)</f>
        <v>9000000</v>
      </c>
      <c r="O7" s="314">
        <f>SUMIFS('2020'!$I:$I,'2020'!$E:$E,Category!$B$4,'2020'!$N:$N,Category!O$1,'2020'!$D:$D,Category!$C7)</f>
        <v>0</v>
      </c>
      <c r="P7" s="314">
        <f>SUMIFS('2020'!$I:$I,'2020'!$E:$E,Category!$B$4,'2020'!$N:$N,Category!P$1,'2020'!$D:$D,Category!$C7)</f>
        <v>0</v>
      </c>
      <c r="Q7" s="314">
        <f>SUMIFS('2020'!$I:$I,'2020'!$E:$E,Category!$B$4,'2020'!$N:$N,Category!Q$1,'2020'!$D:$D,Category!$C7)</f>
        <v>0</v>
      </c>
      <c r="R7" s="314">
        <f>SUMIFS('2020'!$I:$I,'2020'!$E:$E,Category!$B$4,'2020'!$N:$N,Category!R$1,'2020'!$D:$D,Category!$C7)</f>
        <v>0</v>
      </c>
      <c r="S7" s="314">
        <f>SUMIFS('2020'!$I:$I,'2020'!$E:$E,Category!$B$4,'2020'!$N:$N,Category!S$1,'2020'!$D:$D,Category!$C7)</f>
        <v>7200000</v>
      </c>
      <c r="T7" s="314">
        <f>SUMIFS('2020'!$I:$I,'2020'!$E:$E,Category!$B$4,'2020'!$N:$N,Category!T$1,'2020'!$D:$D,Category!$C7)</f>
        <v>3600000</v>
      </c>
      <c r="U7" s="314">
        <f>SUMIFS('2020'!$I:$I,'2020'!$E:$E,Category!$B$4,'2020'!$N:$N,Category!U$1,'2020'!$D:$D,Category!$C7)</f>
        <v>0</v>
      </c>
      <c r="V7" s="314">
        <f>SUMIFS('2020'!$I:$I,'2020'!$E:$E,Category!$B$4,'2020'!$N:$N,Category!V$1,'2020'!$D:$D,Category!$C7)</f>
        <v>34200000</v>
      </c>
      <c r="W7" s="314">
        <f>SUMIFS('2020'!$I:$I,'2020'!$E:$E,Category!$B$4,'2020'!$N:$N,Category!W$1,'2020'!$D:$D,Category!$C7)</f>
        <v>0</v>
      </c>
      <c r="X7" s="315">
        <f t="shared" si="4"/>
        <v>54000000</v>
      </c>
      <c r="Y7" s="499">
        <f>IFERROR(VLOOKUP(C7,'2021'!$D:$G,4,0),0)</f>
        <v>12</v>
      </c>
      <c r="Z7" s="314">
        <f>SUMIFS('2021'!$I:$I,'2021'!$E:$E,Category!$B$4,'2021'!$N:$N,Category!Z$1,'2021'!$D:$D,Category!$C7)</f>
        <v>0</v>
      </c>
      <c r="AA7" s="314">
        <f>SUMIFS('2021'!$I:$I,'2021'!$E:$E,Category!$B$4,'2021'!$N:$N,Category!AA$1,'2021'!$D:$D,Category!$C7)</f>
        <v>0</v>
      </c>
      <c r="AB7" s="314">
        <f>SUMIFS('2021'!$I:$I,'2021'!$E:$E,Category!$B$4,'2021'!$N:$N,Category!AB$1,'2021'!$D:$D,Category!$C7)</f>
        <v>0</v>
      </c>
      <c r="AC7" s="314">
        <f>SUMIFS('2021'!$I:$I,'2021'!$E:$E,Category!$B$4,'2021'!$N:$N,Category!AC$1,'2021'!$D:$D,Category!$C7)</f>
        <v>0</v>
      </c>
      <c r="AD7" s="314">
        <f>SUMIFS('2021'!$I:$I,'2021'!$E:$E,Category!$B$4,'2021'!$N:$N,Category!AD$1,'2021'!$D:$D,Category!$C7)</f>
        <v>0</v>
      </c>
      <c r="AE7" s="314">
        <f>SUMIFS('2021'!$I:$I,'2021'!$E:$E,Category!$B$4,'2021'!$N:$N,Category!AE$1,'2021'!$D:$D,Category!$C7)</f>
        <v>0</v>
      </c>
      <c r="AF7" s="314">
        <f>SUMIFS('2021'!$I:$I,'2021'!$E:$E,Category!$B$4,'2021'!$N:$N,Category!AF$1,'2021'!$D:$D,Category!$C7)</f>
        <v>0</v>
      </c>
      <c r="AG7" s="314">
        <f>SUMIFS('2021'!$I:$I,'2021'!$E:$E,Category!$B$4,'2021'!$N:$N,Category!AG$1,'2021'!$D:$D,Category!$C7)</f>
        <v>0</v>
      </c>
      <c r="AH7" s="314">
        <f>SUMIFS('2021'!$I:$I,'2021'!$E:$E,Category!$B$4,'2021'!$N:$N,Category!AH$1,'2021'!$D:$D,Category!$C7)</f>
        <v>0</v>
      </c>
      <c r="AI7" s="314">
        <f>SUMIFS('2021'!$I:$I,'2021'!$E:$E,Category!$B$4,'2021'!$N:$N,Category!AI$1,'2021'!$D:$D,Category!$C7)</f>
        <v>0</v>
      </c>
      <c r="AJ7" s="314">
        <f>SUMIFS('2021'!$I:$I,'2021'!$E:$E,Category!$B$4,'2021'!$N:$N,Category!AJ$1,'2021'!$D:$D,Category!$C7)</f>
        <v>4010000</v>
      </c>
      <c r="AK7" s="314">
        <f>SUMIFS('2021'!$I:$I,'2021'!$E:$E,Category!$B$4,'2021'!$N:$N,Category!AK$1,'2021'!$D:$D,Category!$C7)</f>
        <v>5040000</v>
      </c>
      <c r="AL7" s="315">
        <f t="shared" si="7"/>
        <v>9050000</v>
      </c>
      <c r="AM7" s="499">
        <f>IFERROR(VLOOKUP(C7,'2022'!$D:$G,4,0),0)</f>
        <v>12</v>
      </c>
      <c r="AN7" s="314">
        <f>SUMIFS('2022'!$I:$I,'2022'!$E:$E,Category!$B$4,'2022'!$N:$N,Category!AN$1,'2022'!$D:$D,Category!$C7)</f>
        <v>2520000</v>
      </c>
      <c r="AO7" s="314">
        <f>SUMIFS('2022'!$I:$I,'2022'!$E:$E,Category!$B$4,'2022'!$N:$N,Category!AO$1,'2022'!$D:$D,Category!$C7)</f>
        <v>2520000</v>
      </c>
      <c r="AP7" s="314">
        <f>SUMIFS('2022'!$I:$I,'2022'!$E:$E,Category!$B$4,'2022'!$N:$N,Category!AP$1,'2022'!$D:$D,Category!$C7)</f>
        <v>2520000</v>
      </c>
      <c r="AQ7" s="314">
        <v>2520000</v>
      </c>
      <c r="AR7" s="314">
        <f>SUMIFS('2022'!$I:$I,'2022'!$E:$E,Category!$B$4,'2022'!$N:$N,Category!AR$1,'2022'!$D:$D,Category!$C7)</f>
        <v>2520000</v>
      </c>
      <c r="AS7" s="314">
        <f>SUMIFS('2022'!$I:$I,'2022'!$E:$E,Category!$B$4,'2022'!$N:$N,Category!AS$1,'2022'!$D:$D,Category!$C7)</f>
        <v>2520000</v>
      </c>
      <c r="AT7" s="314">
        <f>SUMIFS('2022'!$I:$I,'2022'!$E:$E,Category!$B$4,'2022'!$N:$N,Category!AT$1,'2022'!$D:$D,Category!$C7)</f>
        <v>0</v>
      </c>
      <c r="AU7" s="314">
        <f>SUMIFS('2022'!$I:$I,'2022'!$E:$E,Category!$B$4,'2022'!$N:$N,Category!AU$1,'2022'!$D:$D,Category!$C7)</f>
        <v>0</v>
      </c>
      <c r="AV7" s="314">
        <f>SUMIFS('2022'!$I:$I,'2022'!$E:$E,Category!$B$4,'2022'!$N:$N,Category!AV$1,'2022'!$D:$D,Category!$C7)</f>
        <v>0</v>
      </c>
      <c r="AW7" s="314">
        <f>SUMIFS('2022'!$I:$I,'2022'!$E:$E,Category!$B$4,'2022'!$N:$N,Category!AW$1,'2022'!$D:$D,Category!$C7)</f>
        <v>0</v>
      </c>
      <c r="AX7" s="314">
        <f>SUMIFS('2022'!$I:$I,'2022'!$E:$E,Category!$B$4,'2022'!$N:$N,Category!AX$1,'2022'!$D:$D,Category!$C7)</f>
        <v>0</v>
      </c>
      <c r="AY7" s="314">
        <f>SUMIFS('2022'!$I:$I,'2022'!$E:$E,Category!$B$4,'2022'!$N:$N,Category!AY$1,'2022'!$D:$D,Category!$C7)</f>
        <v>0</v>
      </c>
      <c r="AZ7" s="315">
        <f t="shared" si="5"/>
        <v>15120000</v>
      </c>
      <c r="BA7" s="499">
        <f>IFERROR(VLOOKUP(C7,'2023'!$D:$G,4,0),0)</f>
        <v>0</v>
      </c>
      <c r="BB7" s="314">
        <f>SUMIFS('2023'!$I:$I,'2023'!$E:$E,Category!$B$4,'2023'!$N:$N,Category!BB$1,'2023'!$D:$D,Category!$C7)</f>
        <v>0</v>
      </c>
      <c r="BC7" s="314">
        <f>SUMIFS('2023'!$I:$I,'2023'!$E:$E,Category!$B$4,'2023'!$N:$N,Category!BC$1,'2023'!$D:$D,Category!$C7)</f>
        <v>0</v>
      </c>
      <c r="BD7" s="314">
        <f>SUMIFS('2023'!$I:$I,'2023'!$E:$E,Category!$B$4,'2023'!$N:$N,Category!BD$1,'2023'!$D:$D,Category!$C7)</f>
        <v>0</v>
      </c>
      <c r="BE7" s="314">
        <f>SUMIFS('2023'!$I:$I,'2023'!$E:$E,Category!$B$4,'2023'!$N:$N,Category!BE$1,'2023'!$D:$D,Category!$C7)</f>
        <v>0</v>
      </c>
      <c r="BF7" s="314">
        <f>SUMIFS('2023'!$I:$I,'2023'!$E:$E,Category!$B$4,'2023'!$N:$N,Category!BF$1,'2023'!$D:$D,Category!$C7)</f>
        <v>0</v>
      </c>
      <c r="BG7" s="314">
        <f>SUMIFS('2023'!$I:$I,'2023'!$E:$E,Category!$B$4,'2023'!$N:$N,Category!BG$1,'2023'!$D:$D,Category!$C7)</f>
        <v>0</v>
      </c>
      <c r="BH7" s="314">
        <f>SUMIFS('2023'!$I:$I,'2023'!$E:$E,Category!$B$4,'2023'!$N:$N,Category!BH$1,'2023'!$D:$D,Category!$C7)</f>
        <v>0</v>
      </c>
      <c r="BI7" s="314">
        <f>SUMIFS('2023'!$I:$I,'2023'!$E:$E,Category!$B$4,'2023'!$N:$N,Category!BI$1,'2023'!$D:$D,Category!$C7)</f>
        <v>0</v>
      </c>
      <c r="BJ7" s="314">
        <f>SUMIFS('2023'!$I:$I,'2023'!$E:$E,Category!$B$4,'2023'!$N:$N,Category!BJ$1,'2023'!$D:$D,Category!$C7)</f>
        <v>0</v>
      </c>
      <c r="BK7" s="314">
        <f>SUMIFS('2023'!$I:$I,'2023'!$E:$E,Category!$B$4,'2023'!$N:$N,Category!BK$1,'2023'!$D:$D,Category!$C7)</f>
        <v>0</v>
      </c>
      <c r="BL7" s="314">
        <f>SUMIFS('2023'!$I:$I,'2023'!$E:$E,Category!$B$4,'2023'!$N:$N,Category!BL$1,'2023'!$D:$D,Category!$C7)</f>
        <v>0</v>
      </c>
      <c r="BM7" s="314">
        <f>SUMIFS('2023'!$I:$I,'2023'!$E:$E,Category!$B$4,'2023'!$N:$N,Category!BM$1,'2023'!$D:$D,Category!$C7)</f>
        <v>0</v>
      </c>
      <c r="BN7" s="315">
        <f t="shared" si="6"/>
        <v>0</v>
      </c>
    </row>
    <row r="8" spans="1:66" x14ac:dyDescent="0.3">
      <c r="A8" s="312"/>
      <c r="B8" s="313"/>
      <c r="C8" s="313" t="s">
        <v>48</v>
      </c>
      <c r="D8" s="512">
        <f>IFERROR(VLOOKUP($C8,'2019'!$D:$G,4,0),0)</f>
        <v>32</v>
      </c>
      <c r="E8" s="314">
        <f>SUMIFS('2019'!$I:$I,'2019'!$E:$E,Category!$B$4,'2019'!$N:$N,Category!E$1,'2019'!$D:$D,Category!$C8)</f>
        <v>0</v>
      </c>
      <c r="F8" s="314">
        <f>SUMIFS('2019'!$I:$I,'2019'!$E:$E,Category!$B$4,'2019'!$N:$N,Category!F$1,'2019'!$D:$D,Category!$C8)</f>
        <v>0</v>
      </c>
      <c r="G8" s="314">
        <f>SUMIFS('2019'!$I:$I,'2019'!$E:$E,Category!$B$4,'2019'!$N:$N,Category!G$1,'2019'!$D:$D,Category!$C8)</f>
        <v>4515000</v>
      </c>
      <c r="H8" s="314">
        <f>SUMIFS('2019'!$I:$I,'2019'!$E:$E,Category!$B$4,'2019'!$N:$N,Category!H$1,'2019'!$D:$D,Category!$C8)</f>
        <v>1792000</v>
      </c>
      <c r="I8" s="314">
        <f>SUMIFS('2019'!$I:$I,'2019'!$E:$E,Category!$B$4,'2019'!$N:$N,Category!I$1,'2019'!$D:$D,Category!$C8)</f>
        <v>0</v>
      </c>
      <c r="J8" s="315">
        <f t="shared" si="3"/>
        <v>6307000</v>
      </c>
      <c r="K8" s="499">
        <f>IFERROR(VLOOKUP($C8,'2020'!$D:$G,4,0),0)</f>
        <v>0</v>
      </c>
      <c r="L8" s="314">
        <f>SUMIFS('2020'!$I:$I,'2020'!$E:$E,Category!$B$4,'2020'!$N:$N,Category!L$1,'2020'!$D:$D,Category!$C8)</f>
        <v>0</v>
      </c>
      <c r="M8" s="314">
        <f>SUMIFS('2020'!$I:$I,'2020'!$E:$E,Category!$B$4,'2020'!$N:$N,Category!M$1,'2020'!$D:$D,Category!$C8)</f>
        <v>0</v>
      </c>
      <c r="N8" s="314">
        <f>SUMIFS('2020'!$I:$I,'2020'!$E:$E,Category!$B$4,'2020'!$N:$N,Category!N$1,'2020'!$D:$D,Category!$C8)</f>
        <v>2720000</v>
      </c>
      <c r="O8" s="314">
        <f>SUMIFS('2020'!$I:$I,'2020'!$E:$E,Category!$B$4,'2020'!$N:$N,Category!O$1,'2020'!$D:$D,Category!$C8)</f>
        <v>0</v>
      </c>
      <c r="P8" s="314">
        <f>SUMIFS('2020'!$I:$I,'2020'!$E:$E,Category!$B$4,'2020'!$N:$N,Category!P$1,'2020'!$D:$D,Category!$C8)</f>
        <v>0</v>
      </c>
      <c r="Q8" s="314">
        <f>SUMIFS('2020'!$I:$I,'2020'!$E:$E,Category!$B$4,'2020'!$N:$N,Category!Q$1,'2020'!$D:$D,Category!$C8)</f>
        <v>0</v>
      </c>
      <c r="R8" s="314">
        <f>SUMIFS('2020'!$I:$I,'2020'!$E:$E,Category!$B$4,'2020'!$N:$N,Category!R$1,'2020'!$D:$D,Category!$C8)</f>
        <v>0</v>
      </c>
      <c r="S8" s="314">
        <f>SUMIFS('2020'!$I:$I,'2020'!$E:$E,Category!$B$4,'2020'!$N:$N,Category!S$1,'2020'!$D:$D,Category!$C8)</f>
        <v>0</v>
      </c>
      <c r="T8" s="314">
        <f>SUMIFS('2020'!$I:$I,'2020'!$E:$E,Category!$B$4,'2020'!$N:$N,Category!T$1,'2020'!$D:$D,Category!$C8)</f>
        <v>33596000</v>
      </c>
      <c r="U8" s="314">
        <f>SUMIFS('2020'!$I:$I,'2020'!$E:$E,Category!$B$4,'2020'!$N:$N,Category!U$1,'2020'!$D:$D,Category!$C8)</f>
        <v>0</v>
      </c>
      <c r="V8" s="314">
        <f>SUMIFS('2020'!$I:$I,'2020'!$E:$E,Category!$B$4,'2020'!$N:$N,Category!V$1,'2020'!$D:$D,Category!$C8)</f>
        <v>0</v>
      </c>
      <c r="W8" s="314">
        <f>SUMIFS('2020'!$I:$I,'2020'!$E:$E,Category!$B$4,'2020'!$N:$N,Category!W$1,'2020'!$D:$D,Category!$C8)</f>
        <v>0</v>
      </c>
      <c r="X8" s="315">
        <f t="shared" si="4"/>
        <v>36316000</v>
      </c>
      <c r="Y8" s="499">
        <f>IFERROR(VLOOKUP(C8,'2021'!$D:$G,4,0),0)</f>
        <v>32</v>
      </c>
      <c r="Z8" s="314">
        <f>SUMIFS('2021'!$I:$I,'2021'!$E:$E,Category!$B$4,'2021'!$N:$N,Category!Z$1,'2021'!$D:$D,Category!$C8)</f>
        <v>0</v>
      </c>
      <c r="AA8" s="314">
        <f>SUMIFS('2021'!$I:$I,'2021'!$E:$E,Category!$B$4,'2021'!$N:$N,Category!AA$1,'2021'!$D:$D,Category!$C8)</f>
        <v>0</v>
      </c>
      <c r="AB8" s="314">
        <f>SUMIFS('2021'!$I:$I,'2021'!$E:$E,Category!$B$4,'2021'!$N:$N,Category!AB$1,'2021'!$D:$D,Category!$C8)</f>
        <v>0</v>
      </c>
      <c r="AC8" s="314">
        <f>SUMIFS('2021'!$I:$I,'2021'!$E:$E,Category!$B$4,'2021'!$N:$N,Category!AC$1,'2021'!$D:$D,Category!$C8)</f>
        <v>0</v>
      </c>
      <c r="AD8" s="314">
        <f>SUMIFS('2021'!$I:$I,'2021'!$E:$E,Category!$B$4,'2021'!$N:$N,Category!AD$1,'2021'!$D:$D,Category!$C8)</f>
        <v>0</v>
      </c>
      <c r="AE8" s="314">
        <f>SUMIFS('2021'!$I:$I,'2021'!$E:$E,Category!$B$4,'2021'!$N:$N,Category!AE$1,'2021'!$D:$D,Category!$C8)</f>
        <v>0</v>
      </c>
      <c r="AF8" s="314">
        <f>SUMIFS('2021'!$I:$I,'2021'!$E:$E,Category!$B$4,'2021'!$N:$N,Category!AF$1,'2021'!$D:$D,Category!$C8)</f>
        <v>0</v>
      </c>
      <c r="AG8" s="314">
        <f>SUMIFS('2021'!$I:$I,'2021'!$E:$E,Category!$B$4,'2021'!$N:$N,Category!AG$1,'2021'!$D:$D,Category!$C8)</f>
        <v>0</v>
      </c>
      <c r="AH8" s="314">
        <f>SUMIFS('2021'!$I:$I,'2021'!$E:$E,Category!$B$4,'2021'!$N:$N,Category!AH$1,'2021'!$D:$D,Category!$C8)</f>
        <v>10290000</v>
      </c>
      <c r="AI8" s="314">
        <f>SUMIFS('2021'!$I:$I,'2021'!$E:$E,Category!$B$4,'2021'!$N:$N,Category!AI$1,'2021'!$D:$D,Category!$C8)</f>
        <v>3325000</v>
      </c>
      <c r="AJ8" s="314">
        <f>SUMIFS('2021'!$I:$I,'2021'!$E:$E,Category!$B$4,'2021'!$N:$N,Category!AJ$1,'2021'!$D:$D,Category!$C8)</f>
        <v>3325000</v>
      </c>
      <c r="AK8" s="314">
        <f>SUMIFS('2021'!$I:$I,'2021'!$E:$E,Category!$B$4,'2021'!$N:$N,Category!AK$1,'2021'!$D:$D,Category!$C8)</f>
        <v>3325000</v>
      </c>
      <c r="AL8" s="315">
        <f t="shared" si="7"/>
        <v>20265000</v>
      </c>
      <c r="AM8" s="499">
        <f>IFERROR(VLOOKUP(C8,'2022'!$D:$G,4,0),0)</f>
        <v>39</v>
      </c>
      <c r="AN8" s="314">
        <f>SUMIFS('2022'!$I:$I,'2022'!$E:$E,Category!$B$4,'2022'!$N:$N,Category!AN$1,'2022'!$D:$D,Category!$C8)</f>
        <v>3325000</v>
      </c>
      <c r="AO8" s="314">
        <f>SUMIFS('2022'!$I:$I,'2022'!$E:$E,Category!$B$4,'2022'!$N:$N,Category!AO$1,'2022'!$D:$D,Category!$C8)</f>
        <v>3325000</v>
      </c>
      <c r="AP8" s="314">
        <f>SUMIFS('2022'!$I:$I,'2022'!$E:$E,Category!$B$4,'2022'!$N:$N,Category!AP$1,'2022'!$D:$D,Category!$C8)</f>
        <v>3325000</v>
      </c>
      <c r="AQ8" s="314">
        <f>'2022'!$I$304</f>
        <v>3325000</v>
      </c>
      <c r="AR8" s="314">
        <f>SUMIFS('2022'!$I:$I,'2022'!$E:$E,Category!$B$4,'2022'!$N:$N,Category!AR$1,'2022'!$D:$D,Category!$C8)</f>
        <v>3325000</v>
      </c>
      <c r="AS8" s="314">
        <f>SUMIFS('2022'!$I:$I,'2022'!$E:$E,Category!$B$4,'2022'!$N:$N,Category!AS$1,'2022'!$D:$D,Category!$C8)</f>
        <v>3325000</v>
      </c>
      <c r="AT8" s="314">
        <f>SUMIFS('2022'!$I:$I,'2022'!$E:$E,Category!$B$4,'2022'!$N:$N,Category!AT$1,'2022'!$D:$D,Category!$C8)</f>
        <v>14274000</v>
      </c>
      <c r="AU8" s="314">
        <f>SUMIFS('2022'!$I:$I,'2022'!$E:$E,Category!$B$4,'2022'!$N:$N,Category!AU$1,'2022'!$D:$D,Category!$C8)</f>
        <v>3820000</v>
      </c>
      <c r="AV8" s="314">
        <f>SUMIFS('2022'!$I:$I,'2022'!$E:$E,Category!$B$4,'2022'!$N:$N,Category!AV$1,'2022'!$D:$D,Category!$C8)</f>
        <v>3820000</v>
      </c>
      <c r="AW8" s="314">
        <f>SUMIFS('2022'!$I:$I,'2022'!$E:$E,Category!$B$4,'2022'!$N:$N,Category!AW$1,'2022'!$D:$D,Category!$C8)</f>
        <v>3820000</v>
      </c>
      <c r="AX8" s="314">
        <f>SUMIFS('2022'!$I:$I,'2022'!$E:$E,Category!$B$4,'2022'!$N:$N,Category!AX$1,'2022'!$D:$D,Category!$C8)</f>
        <v>3820000</v>
      </c>
      <c r="AY8" s="314">
        <f>SUMIFS('2022'!$I:$I,'2022'!$E:$E,Category!$B$4,'2022'!$N:$N,Category!AY$1,'2022'!$D:$D,Category!$C8)</f>
        <v>3820000</v>
      </c>
      <c r="AZ8" s="315">
        <f t="shared" si="5"/>
        <v>53324000</v>
      </c>
      <c r="BA8" s="499">
        <f>IFERROR(VLOOKUP(C8,'2023'!$D:$G,4,0),0)</f>
        <v>47</v>
      </c>
      <c r="BB8" s="314">
        <f>SUMIFS('2023'!$I:$I,'2023'!$E:$E,Category!$B$4,'2023'!$N:$N,Category!BB$1,'2023'!$D:$D,Category!$C8)</f>
        <v>3820000</v>
      </c>
      <c r="BC8" s="314">
        <f>SUMIFS('2023'!$I:$I,'2023'!$E:$E,Category!$B$4,'2023'!$N:$N,Category!BC$1,'2023'!$D:$D,Category!$C8)</f>
        <v>3820000</v>
      </c>
      <c r="BD8" s="314">
        <f>SUMIFS('2023'!$I:$I,'2023'!$E:$E,Category!$B$4,'2023'!$N:$N,Category!BD$1,'2023'!$D:$D,Category!$C8)</f>
        <v>0</v>
      </c>
      <c r="BE8" s="314">
        <f>SUMIFS('2023'!$I:$I,'2023'!$E:$E,Category!$B$4,'2023'!$N:$N,Category!BE$1,'2023'!$D:$D,Category!$C8)</f>
        <v>0</v>
      </c>
      <c r="BF8" s="314">
        <f>SUMIFS('2023'!$I:$I,'2023'!$E:$E,Category!$B$4,'2023'!$N:$N,Category!BF$1,'2023'!$D:$D,Category!$C8)</f>
        <v>0</v>
      </c>
      <c r="BG8" s="314">
        <f>SUMIFS('2023'!$I:$I,'2023'!$E:$E,Category!$B$4,'2023'!$N:$N,Category!BG$1,'2023'!$D:$D,Category!$C8)</f>
        <v>0</v>
      </c>
      <c r="BH8" s="314">
        <f>SUMIFS('2023'!$I:$I,'2023'!$E:$E,Category!$B$4,'2023'!$N:$N,Category!BH$1,'2023'!$D:$D,Category!$C8)</f>
        <v>0</v>
      </c>
      <c r="BI8" s="314">
        <f>SUMIFS('2023'!$I:$I,'2023'!$E:$E,Category!$B$4,'2023'!$N:$N,Category!BI$1,'2023'!$D:$D,Category!$C8)</f>
        <v>0</v>
      </c>
      <c r="BJ8" s="314">
        <f>SUMIFS('2023'!$I:$I,'2023'!$E:$E,Category!$B$4,'2023'!$N:$N,Category!BJ$1,'2023'!$D:$D,Category!$C8)</f>
        <v>0</v>
      </c>
      <c r="BK8" s="314">
        <f>SUMIFS('2023'!$I:$I,'2023'!$E:$E,Category!$B$4,'2023'!$N:$N,Category!BK$1,'2023'!$D:$D,Category!$C8)</f>
        <v>0</v>
      </c>
      <c r="BL8" s="314">
        <f>SUMIFS('2023'!$I:$I,'2023'!$E:$E,Category!$B$4,'2023'!$N:$N,Category!BL$1,'2023'!$D:$D,Category!$C8)</f>
        <v>0</v>
      </c>
      <c r="BM8" s="314">
        <f>SUMIFS('2023'!$I:$I,'2023'!$E:$E,Category!$B$4,'2023'!$N:$N,Category!BM$1,'2023'!$D:$D,Category!$C8)</f>
        <v>0</v>
      </c>
      <c r="BN8" s="315">
        <f t="shared" si="6"/>
        <v>7640000</v>
      </c>
    </row>
    <row r="9" spans="1:66" x14ac:dyDescent="0.3">
      <c r="A9" s="312"/>
      <c r="B9" s="313"/>
      <c r="C9" s="313" t="s">
        <v>53</v>
      </c>
      <c r="D9" s="512">
        <f>IFERROR(VLOOKUP($C9,'2019'!$D:$G,4,0),0)</f>
        <v>67</v>
      </c>
      <c r="E9" s="314">
        <f>SUMIFS('2019'!$I:$I,'2019'!$E:$E,Category!$B$4,'2019'!$N:$N,Category!E$1,'2019'!$D:$D,Category!$C9)</f>
        <v>0</v>
      </c>
      <c r="F9" s="314">
        <f>SUMIFS('2019'!$I:$I,'2019'!$E:$E,Category!$B$4,'2019'!$N:$N,Category!F$1,'2019'!$D:$D,Category!$C9)</f>
        <v>0</v>
      </c>
      <c r="G9" s="314">
        <f>SUMIFS('2019'!$I:$I,'2019'!$E:$E,Category!$B$4,'2019'!$N:$N,Category!G$1,'2019'!$D:$D,Category!$C9)</f>
        <v>0</v>
      </c>
      <c r="H9" s="314">
        <f>SUMIFS('2019'!$I:$I,'2019'!$E:$E,Category!$B$4,'2019'!$N:$N,Category!H$1,'2019'!$D:$D,Category!$C9)</f>
        <v>67310000</v>
      </c>
      <c r="I9" s="314">
        <f>SUMIFS('2019'!$I:$I,'2019'!$E:$E,Category!$B$4,'2019'!$N:$N,Category!I$1,'2019'!$D:$D,Category!$C9)</f>
        <v>0</v>
      </c>
      <c r="J9" s="315">
        <f t="shared" si="3"/>
        <v>67310000</v>
      </c>
      <c r="K9" s="499">
        <f>IFERROR(VLOOKUP($C9,'2020'!$D:$G,4,0),0)</f>
        <v>0</v>
      </c>
      <c r="L9" s="314">
        <f>SUMIFS('2020'!$I:$I,'2020'!$E:$E,Category!$B$4,'2020'!$N:$N,Category!L$1,'2020'!$D:$D,Category!$C9)</f>
        <v>0</v>
      </c>
      <c r="M9" s="314">
        <f>SUMIFS('2020'!$I:$I,'2020'!$E:$E,Category!$B$4,'2020'!$N:$N,Category!M$1,'2020'!$D:$D,Category!$C9)</f>
        <v>0</v>
      </c>
      <c r="N9" s="314">
        <f>SUMIFS('2020'!$I:$I,'2020'!$E:$E,Category!$B$4,'2020'!$N:$N,Category!N$1,'2020'!$D:$D,Category!$C9)</f>
        <v>9720000</v>
      </c>
      <c r="O9" s="314">
        <f>SUMIFS('2020'!$I:$I,'2020'!$E:$E,Category!$B$4,'2020'!$N:$N,Category!O$1,'2020'!$D:$D,Category!$C9)</f>
        <v>0</v>
      </c>
      <c r="P9" s="314">
        <f>SUMIFS('2020'!$I:$I,'2020'!$E:$E,Category!$B$4,'2020'!$N:$N,Category!P$1,'2020'!$D:$D,Category!$C9)</f>
        <v>0</v>
      </c>
      <c r="Q9" s="314">
        <f>SUMIFS('2020'!$I:$I,'2020'!$E:$E,Category!$B$4,'2020'!$N:$N,Category!Q$1,'2020'!$D:$D,Category!$C9)</f>
        <v>0</v>
      </c>
      <c r="R9" s="314">
        <f>SUMIFS('2020'!$I:$I,'2020'!$E:$E,Category!$B$4,'2020'!$N:$N,Category!R$1,'2020'!$D:$D,Category!$C9)</f>
        <v>0</v>
      </c>
      <c r="S9" s="314">
        <f>SUMIFS('2020'!$I:$I,'2020'!$E:$E,Category!$B$4,'2020'!$N:$N,Category!S$1,'2020'!$D:$D,Category!$C9)</f>
        <v>0</v>
      </c>
      <c r="T9" s="314">
        <f>SUMIFS('2020'!$I:$I,'2020'!$E:$E,Category!$B$4,'2020'!$N:$N,Category!T$1,'2020'!$D:$D,Category!$C9)</f>
        <v>39540000</v>
      </c>
      <c r="U9" s="314">
        <f>SUMIFS('2020'!$I:$I,'2020'!$E:$E,Category!$B$4,'2020'!$N:$N,Category!U$1,'2020'!$D:$D,Category!$C9)</f>
        <v>0</v>
      </c>
      <c r="V9" s="314">
        <f>SUMIFS('2020'!$I:$I,'2020'!$E:$E,Category!$B$4,'2020'!$N:$N,Category!V$1,'2020'!$D:$D,Category!$C9)</f>
        <v>0</v>
      </c>
      <c r="W9" s="314">
        <f>SUMIFS('2020'!$I:$I,'2020'!$E:$E,Category!$B$4,'2020'!$N:$N,Category!W$1,'2020'!$D:$D,Category!$C9)</f>
        <v>0</v>
      </c>
      <c r="X9" s="315">
        <f t="shared" si="4"/>
        <v>49260000</v>
      </c>
      <c r="Y9" s="499">
        <f>IFERROR(VLOOKUP(C9,'2021'!$D:$G,4,0),0)</f>
        <v>52</v>
      </c>
      <c r="Z9" s="314">
        <f>SUMIFS('2021'!$I:$I,'2021'!$E:$E,Category!$B$4,'2021'!$N:$N,Category!Z$1,'2021'!$D:$D,Category!$C9)</f>
        <v>0</v>
      </c>
      <c r="AA9" s="314">
        <f>SUMIFS('2021'!$I:$I,'2021'!$E:$E,Category!$B$4,'2021'!$N:$N,Category!AA$1,'2021'!$D:$D,Category!$C9)</f>
        <v>37080000</v>
      </c>
      <c r="AB9" s="314">
        <f>SUMIFS('2021'!$I:$I,'2021'!$E:$E,Category!$B$4,'2021'!$N:$N,Category!AB$1,'2021'!$D:$D,Category!$C9)</f>
        <v>0</v>
      </c>
      <c r="AC9" s="314">
        <f>SUMIFS('2021'!$I:$I,'2021'!$E:$E,Category!$B$4,'2021'!$N:$N,Category!AC$1,'2021'!$D:$D,Category!$C9)</f>
        <v>0</v>
      </c>
      <c r="AD9" s="314">
        <f>SUMIFS('2021'!$I:$I,'2021'!$E:$E,Category!$B$4,'2021'!$N:$N,Category!AD$1,'2021'!$D:$D,Category!$C9)</f>
        <v>0</v>
      </c>
      <c r="AE9" s="314">
        <f>SUMIFS('2021'!$I:$I,'2021'!$E:$E,Category!$B$4,'2021'!$N:$N,Category!AE$1,'2021'!$D:$D,Category!$C9)</f>
        <v>0</v>
      </c>
      <c r="AF9" s="314">
        <f>SUMIFS('2021'!$I:$I,'2021'!$E:$E,Category!$B$4,'2021'!$N:$N,Category!AF$1,'2021'!$D:$D,Category!$C9)</f>
        <v>0</v>
      </c>
      <c r="AG9" s="314">
        <f>SUMIFS('2021'!$I:$I,'2021'!$E:$E,Category!$B$4,'2021'!$N:$N,Category!AG$1,'2021'!$D:$D,Category!$C9)</f>
        <v>0</v>
      </c>
      <c r="AH9" s="314">
        <f>SUMIFS('2021'!$I:$I,'2021'!$E:$E,Category!$B$4,'2021'!$N:$N,Category!AH$1,'2021'!$D:$D,Category!$C9)</f>
        <v>0</v>
      </c>
      <c r="AI9" s="314">
        <f>SUMIFS('2021'!$I:$I,'2021'!$E:$E,Category!$B$4,'2021'!$N:$N,Category!AI$1,'2021'!$D:$D,Category!$C9)</f>
        <v>0</v>
      </c>
      <c r="AJ9" s="314">
        <f>SUMIFS('2021'!$I:$I,'2021'!$E:$E,Category!$B$4,'2021'!$N:$N,Category!AJ$1,'2021'!$D:$D,Category!$C9)</f>
        <v>31255000</v>
      </c>
      <c r="AK9" s="314">
        <f>SUMIFS('2021'!$I:$I,'2021'!$E:$E,Category!$B$4,'2021'!$N:$N,Category!AK$1,'2021'!$D:$D,Category!$C9)</f>
        <v>0</v>
      </c>
      <c r="AL9" s="315">
        <f t="shared" si="7"/>
        <v>68335000</v>
      </c>
      <c r="AM9" s="499">
        <f>IFERROR(VLOOKUP(C9,'2022'!$D:$G,4,0),0)</f>
        <v>47</v>
      </c>
      <c r="AN9" s="314">
        <f>SUMIFS('2022'!$I:$I,'2022'!$E:$E,Category!$B$4,'2022'!$N:$N,Category!AN$1,'2022'!$D:$D,Category!$C9)</f>
        <v>0</v>
      </c>
      <c r="AO9" s="314">
        <f>SUMIFS('2022'!$I:$I,'2022'!$E:$E,Category!$B$4,'2022'!$N:$N,Category!AO$1,'2022'!$D:$D,Category!$C9)</f>
        <v>0</v>
      </c>
      <c r="AP9" s="314">
        <f>SUMIFS('2022'!$I:$I,'2022'!$E:$E,Category!$B$4,'2022'!$N:$N,Category!AP$1,'2022'!$D:$D,Category!$C9)</f>
        <v>0</v>
      </c>
      <c r="AQ9" s="314">
        <f>SUMIFS('2022'!$I:$I,'2022'!$E:$E,Category!$B$4,'2022'!$N:$N,Category!AQ$1,'2022'!$D:$D,Category!$C9)</f>
        <v>0</v>
      </c>
      <c r="AR9" s="314">
        <f>SUMIFS('2022'!$I:$I,'2022'!$E:$E,Category!$B$4,'2022'!$N:$N,Category!AR$1,'2022'!$D:$D,Category!$C9)</f>
        <v>0</v>
      </c>
      <c r="AS9" s="314">
        <f>SUMIFS('2022'!$I:$I,'2022'!$E:$E,Category!$B$4,'2022'!$N:$N,Category!AS$1,'2022'!$D:$D,Category!$C9)</f>
        <v>0</v>
      </c>
      <c r="AT9" s="314">
        <f>SUMIFS('2022'!$I:$I,'2022'!$E:$E,Category!$B$4,'2022'!$N:$N,Category!AT$1,'2022'!$D:$D,Category!$C9)</f>
        <v>15851950</v>
      </c>
      <c r="AU9" s="314">
        <f>SUMIFS('2022'!$I:$I,'2022'!$E:$E,Category!$B$4,'2022'!$N:$N,Category!AU$1,'2022'!$D:$D,Category!$C9)</f>
        <v>0</v>
      </c>
      <c r="AV9" s="314">
        <f>SUMIFS('2022'!$I:$I,'2022'!$E:$E,Category!$B$4,'2022'!$N:$N,Category!AV$1,'2022'!$D:$D,Category!$C9)</f>
        <v>0</v>
      </c>
      <c r="AW9" s="314">
        <f>SUMIFS('2022'!$I:$I,'2022'!$E:$E,Category!$B$4,'2022'!$N:$N,Category!AW$1,'2022'!$D:$D,Category!$C9)</f>
        <v>0</v>
      </c>
      <c r="AX9" s="314">
        <f>SUMIFS('2022'!$I:$I,'2022'!$E:$E,Category!$B$4,'2022'!$N:$N,Category!AX$1,'2022'!$D:$D,Category!$C9)</f>
        <v>0</v>
      </c>
      <c r="AY9" s="314">
        <f>SUMIFS('2022'!$I:$I,'2022'!$E:$E,Category!$B$4,'2022'!$N:$N,Category!AY$1,'2022'!$D:$D,Category!$C9)</f>
        <v>0</v>
      </c>
      <c r="AZ9" s="315">
        <f t="shared" si="5"/>
        <v>15851950</v>
      </c>
      <c r="BA9" s="499">
        <f>IFERROR(VLOOKUP(C9,'2023'!$D:$G,4,0),0)</f>
        <v>0</v>
      </c>
      <c r="BB9" s="314">
        <f>SUMIFS('2023'!$I:$I,'2023'!$E:$E,Category!$B$4,'2023'!$N:$N,Category!BB$1,'2023'!$D:$D,Category!$C9)</f>
        <v>0</v>
      </c>
      <c r="BC9" s="314">
        <f>SUMIFS('2023'!$I:$I,'2023'!$E:$E,Category!$B$4,'2023'!$N:$N,Category!BC$1,'2023'!$D:$D,Category!$C9)</f>
        <v>0</v>
      </c>
      <c r="BD9" s="314">
        <f>SUMIFS('2023'!$I:$I,'2023'!$E:$E,Category!$B$4,'2023'!$N:$N,Category!BD$1,'2023'!$D:$D,Category!$C9)</f>
        <v>0</v>
      </c>
      <c r="BE9" s="314">
        <f>SUMIFS('2023'!$I:$I,'2023'!$E:$E,Category!$B$4,'2023'!$N:$N,Category!BE$1,'2023'!$D:$D,Category!$C9)</f>
        <v>0</v>
      </c>
      <c r="BF9" s="314">
        <f>SUMIFS('2023'!$I:$I,'2023'!$E:$E,Category!$B$4,'2023'!$N:$N,Category!BF$1,'2023'!$D:$D,Category!$C9)</f>
        <v>0</v>
      </c>
      <c r="BG9" s="314">
        <f>SUMIFS('2023'!$I:$I,'2023'!$E:$E,Category!$B$4,'2023'!$N:$N,Category!BG$1,'2023'!$D:$D,Category!$C9)</f>
        <v>0</v>
      </c>
      <c r="BH9" s="314">
        <f>SUMIFS('2023'!$I:$I,'2023'!$E:$E,Category!$B$4,'2023'!$N:$N,Category!BH$1,'2023'!$D:$D,Category!$C9)</f>
        <v>0</v>
      </c>
      <c r="BI9" s="314">
        <f>SUMIFS('2023'!$I:$I,'2023'!$E:$E,Category!$B$4,'2023'!$N:$N,Category!BI$1,'2023'!$D:$D,Category!$C9)</f>
        <v>0</v>
      </c>
      <c r="BJ9" s="314">
        <f>SUMIFS('2023'!$I:$I,'2023'!$E:$E,Category!$B$4,'2023'!$N:$N,Category!BJ$1,'2023'!$D:$D,Category!$C9)</f>
        <v>0</v>
      </c>
      <c r="BK9" s="314">
        <f>SUMIFS('2023'!$I:$I,'2023'!$E:$E,Category!$B$4,'2023'!$N:$N,Category!BK$1,'2023'!$D:$D,Category!$C9)</f>
        <v>0</v>
      </c>
      <c r="BL9" s="314">
        <f>SUMIFS('2023'!$I:$I,'2023'!$E:$E,Category!$B$4,'2023'!$N:$N,Category!BL$1,'2023'!$D:$D,Category!$C9)</f>
        <v>0</v>
      </c>
      <c r="BM9" s="314">
        <f>SUMIFS('2023'!$I:$I,'2023'!$E:$E,Category!$B$4,'2023'!$N:$N,Category!BM$1,'2023'!$D:$D,Category!$C9)</f>
        <v>0</v>
      </c>
      <c r="BN9" s="315">
        <f t="shared" si="6"/>
        <v>0</v>
      </c>
    </row>
    <row r="10" spans="1:66" x14ac:dyDescent="0.3">
      <c r="A10" s="312"/>
      <c r="B10" s="313"/>
      <c r="C10" s="313" t="s">
        <v>60</v>
      </c>
      <c r="D10" s="512">
        <f>IFERROR(VLOOKUP($C10,'2019'!$D:$G,4,0),0)</f>
        <v>37</v>
      </c>
      <c r="E10" s="314">
        <f>SUMIFS('2019'!$I:$I,'2019'!$E:$E,Category!$B$4,'2019'!$N:$N,Category!E$1,'2019'!$D:$D,Category!$C10)</f>
        <v>0</v>
      </c>
      <c r="F10" s="314">
        <f>SUMIFS('2019'!$I:$I,'2019'!$E:$E,Category!$B$4,'2019'!$N:$N,Category!F$1,'2019'!$D:$D,Category!$C10)</f>
        <v>0</v>
      </c>
      <c r="G10" s="314">
        <f>SUMIFS('2019'!$I:$I,'2019'!$E:$E,Category!$B$4,'2019'!$N:$N,Category!G$1,'2019'!$D:$D,Category!$C10)</f>
        <v>0</v>
      </c>
      <c r="H10" s="314">
        <f>SUMIFS('2019'!$I:$I,'2019'!$E:$E,Category!$B$4,'2019'!$N:$N,Category!H$1,'2019'!$D:$D,Category!$C10)</f>
        <v>31305000</v>
      </c>
      <c r="I10" s="314">
        <f>SUMIFS('2019'!$I:$I,'2019'!$E:$E,Category!$B$4,'2019'!$N:$N,Category!I$1,'2019'!$D:$D,Category!$C10)</f>
        <v>0</v>
      </c>
      <c r="J10" s="315">
        <f t="shared" si="3"/>
        <v>31305000</v>
      </c>
      <c r="K10" s="499">
        <f>IFERROR(VLOOKUP($C10,'2020'!$D:$G,4,0),0)</f>
        <v>37</v>
      </c>
      <c r="L10" s="314">
        <f>SUMIFS('2020'!$I:$I,'2020'!$E:$E,Category!$B$4,'2020'!$N:$N,Category!L$1,'2020'!$D:$D,Category!$C10)</f>
        <v>0</v>
      </c>
      <c r="M10" s="314">
        <f>SUMIFS('2020'!$I:$I,'2020'!$E:$E,Category!$B$4,'2020'!$N:$N,Category!M$1,'2020'!$D:$D,Category!$C10)</f>
        <v>0</v>
      </c>
      <c r="N10" s="314">
        <f>SUMIFS('2020'!$I:$I,'2020'!$E:$E,Category!$B$4,'2020'!$N:$N,Category!N$1,'2020'!$D:$D,Category!$C10)</f>
        <v>0</v>
      </c>
      <c r="O10" s="314">
        <f>SUMIFS('2020'!$I:$I,'2020'!$E:$E,Category!$B$4,'2020'!$N:$N,Category!O$1,'2020'!$D:$D,Category!$C10)</f>
        <v>0</v>
      </c>
      <c r="P10" s="314">
        <f>SUMIFS('2020'!$I:$I,'2020'!$E:$E,Category!$B$4,'2020'!$N:$N,Category!P$1,'2020'!$D:$D,Category!$C10)</f>
        <v>0</v>
      </c>
      <c r="Q10" s="314">
        <f>SUMIFS('2020'!$I:$I,'2020'!$E:$E,Category!$B$4,'2020'!$N:$N,Category!Q$1,'2020'!$D:$D,Category!$C10)</f>
        <v>0</v>
      </c>
      <c r="R10" s="314">
        <f>SUMIFS('2020'!$I:$I,'2020'!$E:$E,Category!$B$4,'2020'!$N:$N,Category!R$1,'2020'!$D:$D,Category!$C10)</f>
        <v>0</v>
      </c>
      <c r="S10" s="314">
        <f>SUMIFS('2020'!$I:$I,'2020'!$E:$E,Category!$B$4,'2020'!$N:$N,Category!S$1,'2020'!$D:$D,Category!$C10)</f>
        <v>0</v>
      </c>
      <c r="T10" s="314">
        <f>SUMIFS('2020'!$I:$I,'2020'!$E:$E,Category!$B$4,'2020'!$N:$N,Category!T$1,'2020'!$D:$D,Category!$C10)</f>
        <v>19880000</v>
      </c>
      <c r="U10" s="314">
        <f>SUMIFS('2020'!$I:$I,'2020'!$E:$E,Category!$B$4,'2020'!$N:$N,Category!U$1,'2020'!$D:$D,Category!$C10)</f>
        <v>0</v>
      </c>
      <c r="V10" s="314">
        <f>SUMIFS('2020'!$I:$I,'2020'!$E:$E,Category!$B$4,'2020'!$N:$N,Category!V$1,'2020'!$D:$D,Category!$C10)</f>
        <v>0</v>
      </c>
      <c r="W10" s="314">
        <f>SUMIFS('2020'!$I:$I,'2020'!$E:$E,Category!$B$4,'2020'!$N:$N,Category!W$1,'2020'!$D:$D,Category!$C10)</f>
        <v>0</v>
      </c>
      <c r="X10" s="315">
        <f t="shared" si="4"/>
        <v>19880000</v>
      </c>
      <c r="Y10" s="499">
        <f>IFERROR(VLOOKUP(C10,'2021'!$D:$G,4,0),0)</f>
        <v>0</v>
      </c>
      <c r="Z10" s="314">
        <f>SUMIFS('2021'!$I:$I,'2021'!$E:$E,Category!$B$4,'2021'!$N:$N,Category!Z$1,'2021'!$D:$D,Category!$C10)</f>
        <v>0</v>
      </c>
      <c r="AA10" s="314">
        <f>SUMIFS('2021'!$I:$I,'2021'!$E:$E,Category!$B$4,'2021'!$N:$N,Category!AA$1,'2021'!$D:$D,Category!$C10)</f>
        <v>0</v>
      </c>
      <c r="AB10" s="314">
        <f>SUMIFS('2021'!$I:$I,'2021'!$E:$E,Category!$B$4,'2021'!$N:$N,Category!AB$1,'2021'!$D:$D,Category!$C10)</f>
        <v>0</v>
      </c>
      <c r="AC10" s="314">
        <f>SUMIFS('2021'!$I:$I,'2021'!$E:$E,Category!$B$4,'2021'!$N:$N,Category!AC$1,'2021'!$D:$D,Category!$C10)</f>
        <v>0</v>
      </c>
      <c r="AD10" s="314">
        <f>SUMIFS('2021'!$I:$I,'2021'!$E:$E,Category!$B$4,'2021'!$N:$N,Category!AD$1,'2021'!$D:$D,Category!$C10)</f>
        <v>0</v>
      </c>
      <c r="AE10" s="314">
        <f>SUMIFS('2021'!$I:$I,'2021'!$E:$E,Category!$B$4,'2021'!$N:$N,Category!AE$1,'2021'!$D:$D,Category!$C10)</f>
        <v>0</v>
      </c>
      <c r="AF10" s="314">
        <f>SUMIFS('2021'!$I:$I,'2021'!$E:$E,Category!$B$4,'2021'!$N:$N,Category!AF$1,'2021'!$D:$D,Category!$C10)</f>
        <v>0</v>
      </c>
      <c r="AG10" s="314">
        <f>SUMIFS('2021'!$I:$I,'2021'!$E:$E,Category!$B$4,'2021'!$N:$N,Category!AG$1,'2021'!$D:$D,Category!$C10)</f>
        <v>0</v>
      </c>
      <c r="AH10" s="314">
        <f>SUMIFS('2021'!$I:$I,'2021'!$E:$E,Category!$B$4,'2021'!$N:$N,Category!AH$1,'2021'!$D:$D,Category!$C10)</f>
        <v>0</v>
      </c>
      <c r="AI10" s="314">
        <f>SUMIFS('2021'!$I:$I,'2021'!$E:$E,Category!$B$4,'2021'!$N:$N,Category!AI$1,'2021'!$D:$D,Category!$C10)</f>
        <v>0</v>
      </c>
      <c r="AJ10" s="314">
        <f>SUMIFS('2021'!$I:$I,'2021'!$E:$E,Category!$B$4,'2021'!$N:$N,Category!AJ$1,'2021'!$D:$D,Category!$C10)</f>
        <v>0</v>
      </c>
      <c r="AK10" s="314">
        <f>SUMIFS('2021'!$I:$I,'2021'!$E:$E,Category!$B$4,'2021'!$N:$N,Category!AK$1,'2021'!$D:$D,Category!$C10)</f>
        <v>0</v>
      </c>
      <c r="AL10" s="315">
        <f t="shared" si="7"/>
        <v>0</v>
      </c>
      <c r="AM10" s="499">
        <f>IFERROR(VLOOKUP(C10,'2022'!$D:$G,4,0),0)</f>
        <v>37</v>
      </c>
      <c r="AN10" s="314">
        <f>SUMIFS('2022'!$I:$I,'2022'!$E:$E,Category!$B$4,'2022'!$N:$N,Category!AN$1,'2022'!$D:$D,Category!$C10)</f>
        <v>16029000</v>
      </c>
      <c r="AO10" s="314">
        <f>SUMIFS('2022'!$I:$I,'2022'!$E:$E,Category!$B$4,'2022'!$N:$N,Category!AO$1,'2022'!$D:$D,Category!$C10)</f>
        <v>1200000</v>
      </c>
      <c r="AP10" s="314">
        <f>SUMIFS('2022'!$I:$I,'2022'!$E:$E,Category!$B$4,'2022'!$N:$N,Category!AP$1,'2022'!$D:$D,Category!$C10)</f>
        <v>1200000</v>
      </c>
      <c r="AQ10" s="314">
        <f>'2022'!$I$301</f>
        <v>1200000</v>
      </c>
      <c r="AR10" s="314">
        <f>SUMIFS('2022'!$I:$I,'2022'!$E:$E,Category!$B$4,'2022'!$N:$N,Category!AR$1,'2022'!$D:$D,Category!$C10)</f>
        <v>1200000</v>
      </c>
      <c r="AS10" s="314">
        <f>SUMIFS('2022'!$I:$I,'2022'!$E:$E,Category!$B$4,'2022'!$N:$N,Category!AS$1,'2022'!$D:$D,Category!$C10)</f>
        <v>1200000</v>
      </c>
      <c r="AT10" s="314">
        <f>SUMIFS('2022'!$I:$I,'2022'!$E:$E,Category!$B$4,'2022'!$N:$N,Category!AT$1,'2022'!$D:$D,Category!$C10)</f>
        <v>0</v>
      </c>
      <c r="AU10" s="314">
        <f>SUMIFS('2022'!$I:$I,'2022'!$E:$E,Category!$B$4,'2022'!$N:$N,Category!AU$1,'2022'!$D:$D,Category!$C10)</f>
        <v>0</v>
      </c>
      <c r="AV10" s="314">
        <f>SUMIFS('2022'!$I:$I,'2022'!$E:$E,Category!$B$4,'2022'!$N:$N,Category!AV$1,'2022'!$D:$D,Category!$C10)</f>
        <v>0</v>
      </c>
      <c r="AW10" s="314">
        <f>SUMIFS('2022'!$I:$I,'2022'!$E:$E,Category!$B$4,'2022'!$N:$N,Category!AW$1,'2022'!$D:$D,Category!$C10)</f>
        <v>0</v>
      </c>
      <c r="AX10" s="314">
        <f>SUMIFS('2022'!$I:$I,'2022'!$E:$E,Category!$B$4,'2022'!$N:$N,Category!AX$1,'2022'!$D:$D,Category!$C10)</f>
        <v>0</v>
      </c>
      <c r="AY10" s="314">
        <f>SUMIFS('2022'!$I:$I,'2022'!$E:$E,Category!$B$4,'2022'!$N:$N,Category!AY$1,'2022'!$D:$D,Category!$C10)</f>
        <v>0</v>
      </c>
      <c r="AZ10" s="315">
        <f t="shared" si="5"/>
        <v>22029000</v>
      </c>
      <c r="BA10" s="499">
        <f>IFERROR(VLOOKUP(C10,'2023'!$D:$G,4,0),0)</f>
        <v>0</v>
      </c>
      <c r="BB10" s="314">
        <f>SUMIFS('2023'!$I:$I,'2023'!$E:$E,Category!$B$4,'2023'!$N:$N,Category!BB$1,'2023'!$D:$D,Category!$C10)</f>
        <v>0</v>
      </c>
      <c r="BC10" s="314">
        <f>SUMIFS('2023'!$I:$I,'2023'!$E:$E,Category!$B$4,'2023'!$N:$N,Category!BC$1,'2023'!$D:$D,Category!$C10)</f>
        <v>0</v>
      </c>
      <c r="BD10" s="314">
        <f>SUMIFS('2023'!$I:$I,'2023'!$E:$E,Category!$B$4,'2023'!$N:$N,Category!BD$1,'2023'!$D:$D,Category!$C10)</f>
        <v>0</v>
      </c>
      <c r="BE10" s="314">
        <f>SUMIFS('2023'!$I:$I,'2023'!$E:$E,Category!$B$4,'2023'!$N:$N,Category!BE$1,'2023'!$D:$D,Category!$C10)</f>
        <v>0</v>
      </c>
      <c r="BF10" s="314">
        <f>SUMIFS('2023'!$I:$I,'2023'!$E:$E,Category!$B$4,'2023'!$N:$N,Category!BF$1,'2023'!$D:$D,Category!$C10)</f>
        <v>0</v>
      </c>
      <c r="BG10" s="314">
        <f>SUMIFS('2023'!$I:$I,'2023'!$E:$E,Category!$B$4,'2023'!$N:$N,Category!BG$1,'2023'!$D:$D,Category!$C10)</f>
        <v>0</v>
      </c>
      <c r="BH10" s="314">
        <f>SUMIFS('2023'!$I:$I,'2023'!$E:$E,Category!$B$4,'2023'!$N:$N,Category!BH$1,'2023'!$D:$D,Category!$C10)</f>
        <v>0</v>
      </c>
      <c r="BI10" s="314">
        <f>SUMIFS('2023'!$I:$I,'2023'!$E:$E,Category!$B$4,'2023'!$N:$N,Category!BI$1,'2023'!$D:$D,Category!$C10)</f>
        <v>0</v>
      </c>
      <c r="BJ10" s="314">
        <f>SUMIFS('2023'!$I:$I,'2023'!$E:$E,Category!$B$4,'2023'!$N:$N,Category!BJ$1,'2023'!$D:$D,Category!$C10)</f>
        <v>0</v>
      </c>
      <c r="BK10" s="314">
        <f>SUMIFS('2023'!$I:$I,'2023'!$E:$E,Category!$B$4,'2023'!$N:$N,Category!BK$1,'2023'!$D:$D,Category!$C10)</f>
        <v>0</v>
      </c>
      <c r="BL10" s="314">
        <f>SUMIFS('2023'!$I:$I,'2023'!$E:$E,Category!$B$4,'2023'!$N:$N,Category!BL$1,'2023'!$D:$D,Category!$C10)</f>
        <v>0</v>
      </c>
      <c r="BM10" s="314">
        <f>SUMIFS('2023'!$I:$I,'2023'!$E:$E,Category!$B$4,'2023'!$N:$N,Category!BM$1,'2023'!$D:$D,Category!$C10)</f>
        <v>0</v>
      </c>
      <c r="BN10" s="315">
        <f t="shared" si="6"/>
        <v>0</v>
      </c>
    </row>
    <row r="11" spans="1:66" x14ac:dyDescent="0.3">
      <c r="A11" s="312"/>
      <c r="B11" s="313"/>
      <c r="C11" s="313" t="s">
        <v>64</v>
      </c>
      <c r="D11" s="512">
        <f>IFERROR(VLOOKUP($C11,'2019'!$D:$G,4,0),0)</f>
        <v>10</v>
      </c>
      <c r="E11" s="314">
        <f>SUMIFS('2019'!$I:$I,'2019'!$E:$E,Category!$B$4,'2019'!$N:$N,Category!E$1,'2019'!$D:$D,Category!$C11)</f>
        <v>0</v>
      </c>
      <c r="F11" s="314">
        <f>SUMIFS('2019'!$I:$I,'2019'!$E:$E,Category!$B$4,'2019'!$N:$N,Category!F$1,'2019'!$D:$D,Category!$C11)</f>
        <v>0</v>
      </c>
      <c r="G11" s="314">
        <f>SUMIFS('2019'!$I:$I,'2019'!$E:$E,Category!$B$4,'2019'!$N:$N,Category!G$1,'2019'!$D:$D,Category!$C11)</f>
        <v>0</v>
      </c>
      <c r="H11" s="314">
        <f>SUMIFS('2019'!$I:$I,'2019'!$E:$E,Category!$B$4,'2019'!$N:$N,Category!H$1,'2019'!$D:$D,Category!$C11)</f>
        <v>10760000</v>
      </c>
      <c r="I11" s="314">
        <f>SUMIFS('2019'!$I:$I,'2019'!$E:$E,Category!$B$4,'2019'!$N:$N,Category!I$1,'2019'!$D:$D,Category!$C11)</f>
        <v>0</v>
      </c>
      <c r="J11" s="315">
        <f t="shared" si="3"/>
        <v>10760000</v>
      </c>
      <c r="K11" s="499">
        <f>IFERROR(VLOOKUP($C11,'2020'!$D:$G,4,0),0)</f>
        <v>15</v>
      </c>
      <c r="L11" s="314">
        <f>SUMIFS('2020'!$I:$I,'2020'!$E:$E,Category!$B$4,'2020'!$N:$N,Category!L$1,'2020'!$D:$D,Category!$C11)</f>
        <v>0</v>
      </c>
      <c r="M11" s="314">
        <f>SUMIFS('2020'!$I:$I,'2020'!$E:$E,Category!$B$4,'2020'!$N:$N,Category!M$1,'2020'!$D:$D,Category!$C11)</f>
        <v>0</v>
      </c>
      <c r="N11" s="314">
        <f>SUMIFS('2020'!$I:$I,'2020'!$E:$E,Category!$B$4,'2020'!$N:$N,Category!N$1,'2020'!$D:$D,Category!$C11)</f>
        <v>0</v>
      </c>
      <c r="O11" s="314">
        <f>SUMIFS('2020'!$I:$I,'2020'!$E:$E,Category!$B$4,'2020'!$N:$N,Category!O$1,'2020'!$D:$D,Category!$C11)</f>
        <v>0</v>
      </c>
      <c r="P11" s="314">
        <f>SUMIFS('2020'!$I:$I,'2020'!$E:$E,Category!$B$4,'2020'!$N:$N,Category!P$1,'2020'!$D:$D,Category!$C11)</f>
        <v>0</v>
      </c>
      <c r="Q11" s="314">
        <f>SUMIFS('2020'!$I:$I,'2020'!$E:$E,Category!$B$4,'2020'!$N:$N,Category!Q$1,'2020'!$D:$D,Category!$C11)</f>
        <v>0</v>
      </c>
      <c r="R11" s="314">
        <f>SUMIFS('2020'!$I:$I,'2020'!$E:$E,Category!$B$4,'2020'!$N:$N,Category!R$1,'2020'!$D:$D,Category!$C11)</f>
        <v>0</v>
      </c>
      <c r="S11" s="314">
        <f>SUMIFS('2020'!$I:$I,'2020'!$E:$E,Category!$B$4,'2020'!$N:$N,Category!S$1,'2020'!$D:$D,Category!$C11)</f>
        <v>0</v>
      </c>
      <c r="T11" s="314">
        <f>SUMIFS('2020'!$I:$I,'2020'!$E:$E,Category!$B$4,'2020'!$N:$N,Category!T$1,'2020'!$D:$D,Category!$C11)</f>
        <v>17385000</v>
      </c>
      <c r="U11" s="314">
        <f>SUMIFS('2020'!$I:$I,'2020'!$E:$E,Category!$B$4,'2020'!$N:$N,Category!U$1,'2020'!$D:$D,Category!$C11)</f>
        <v>0</v>
      </c>
      <c r="V11" s="314">
        <f>SUMIFS('2020'!$I:$I,'2020'!$E:$E,Category!$B$4,'2020'!$N:$N,Category!V$1,'2020'!$D:$D,Category!$C11)</f>
        <v>0</v>
      </c>
      <c r="W11" s="314">
        <f>SUMIFS('2020'!$I:$I,'2020'!$E:$E,Category!$B$4,'2020'!$N:$N,Category!W$1,'2020'!$D:$D,Category!$C11)</f>
        <v>0</v>
      </c>
      <c r="X11" s="315">
        <f t="shared" si="4"/>
        <v>17385000</v>
      </c>
      <c r="Y11" s="499">
        <f>IFERROR(VLOOKUP(C11,'2021'!$D:$G,4,0),0)</f>
        <v>15</v>
      </c>
      <c r="Z11" s="314">
        <f>SUMIFS('2021'!$I:$I,'2021'!$E:$E,Category!$B$4,'2021'!$N:$N,Category!Z$1,'2021'!$D:$D,Category!$C11)</f>
        <v>0</v>
      </c>
      <c r="AA11" s="314">
        <f>SUMIFS('2021'!$I:$I,'2021'!$E:$E,Category!$B$4,'2021'!$N:$N,Category!AA$1,'2021'!$D:$D,Category!$C11)</f>
        <v>0</v>
      </c>
      <c r="AB11" s="314">
        <f>SUMIFS('2021'!$I:$I,'2021'!$E:$E,Category!$B$4,'2021'!$N:$N,Category!AB$1,'2021'!$D:$D,Category!$C11)</f>
        <v>0</v>
      </c>
      <c r="AC11" s="314">
        <f>SUMIFS('2021'!$I:$I,'2021'!$E:$E,Category!$B$4,'2021'!$N:$N,Category!AC$1,'2021'!$D:$D,Category!$C11)</f>
        <v>0</v>
      </c>
      <c r="AD11" s="314">
        <f>SUMIFS('2021'!$I:$I,'2021'!$E:$E,Category!$B$4,'2021'!$N:$N,Category!AD$1,'2021'!$D:$D,Category!$C11)</f>
        <v>0</v>
      </c>
      <c r="AE11" s="314">
        <f>SUMIFS('2021'!$I:$I,'2021'!$E:$E,Category!$B$4,'2021'!$N:$N,Category!AE$1,'2021'!$D:$D,Category!$C11)</f>
        <v>0</v>
      </c>
      <c r="AF11" s="314">
        <f>SUMIFS('2021'!$I:$I,'2021'!$E:$E,Category!$B$4,'2021'!$N:$N,Category!AF$1,'2021'!$D:$D,Category!$C11)</f>
        <v>0</v>
      </c>
      <c r="AG11" s="314">
        <f>SUMIFS('2021'!$I:$I,'2021'!$E:$E,Category!$B$4,'2021'!$N:$N,Category!AG$1,'2021'!$D:$D,Category!$C11)</f>
        <v>0</v>
      </c>
      <c r="AH11" s="314">
        <f>SUMIFS('2021'!$I:$I,'2021'!$E:$E,Category!$B$4,'2021'!$N:$N,Category!AH$1,'2021'!$D:$D,Category!$C11)</f>
        <v>0</v>
      </c>
      <c r="AI11" s="314">
        <f>SUMIFS('2021'!$I:$I,'2021'!$E:$E,Category!$B$4,'2021'!$N:$N,Category!AI$1,'2021'!$D:$D,Category!$C11)</f>
        <v>0</v>
      </c>
      <c r="AJ11" s="314">
        <f>SUMIFS('2021'!$I:$I,'2021'!$E:$E,Category!$B$4,'2021'!$N:$N,Category!AJ$1,'2021'!$D:$D,Category!$C11)</f>
        <v>46500000</v>
      </c>
      <c r="AK11" s="314">
        <f>SUMIFS('2021'!$I:$I,'2021'!$E:$E,Category!$B$4,'2021'!$N:$N,Category!AK$1,'2021'!$D:$D,Category!$C11)</f>
        <v>0</v>
      </c>
      <c r="AL11" s="315">
        <f t="shared" si="7"/>
        <v>46500000</v>
      </c>
      <c r="AM11" s="499">
        <f>IFERROR(VLOOKUP(C11,'2022'!$D:$G,4,0),0)</f>
        <v>0</v>
      </c>
      <c r="AN11" s="314">
        <f>SUMIFS('2022'!$I:$I,'2022'!$E:$E,Category!$B$4,'2022'!$N:$N,Category!AN$1,'2022'!$D:$D,Category!$C11)</f>
        <v>0</v>
      </c>
      <c r="AO11" s="314">
        <f>SUMIFS('2022'!$I:$I,'2022'!$E:$E,Category!$B$4,'2022'!$N:$N,Category!AO$1,'2022'!$D:$D,Category!$C11)</f>
        <v>0</v>
      </c>
      <c r="AP11" s="314">
        <f>SUMIFS('2022'!$I:$I,'2022'!$E:$E,Category!$B$4,'2022'!$N:$N,Category!AP$1,'2022'!$D:$D,Category!$C11)</f>
        <v>0</v>
      </c>
      <c r="AQ11" s="314">
        <f>SUMIFS('2022'!$I:$I,'2022'!$E:$E,Category!$B$4,'2022'!$N:$N,Category!AQ$1,'2022'!$D:$D,Category!$C11)</f>
        <v>0</v>
      </c>
      <c r="AR11" s="314">
        <f>SUMIFS('2022'!$I:$I,'2022'!$E:$E,Category!$B$4,'2022'!$N:$N,Category!AR$1,'2022'!$D:$D,Category!$C11)</f>
        <v>0</v>
      </c>
      <c r="AS11" s="314">
        <f>SUMIFS('2022'!$I:$I,'2022'!$E:$E,Category!$B$4,'2022'!$N:$N,Category!AS$1,'2022'!$D:$D,Category!$C11)</f>
        <v>0</v>
      </c>
      <c r="AT11" s="314">
        <f>SUMIFS('2022'!$I:$I,'2022'!$E:$E,Category!$B$4,'2022'!$N:$N,Category!AT$1,'2022'!$D:$D,Category!$C11)</f>
        <v>0</v>
      </c>
      <c r="AU11" s="314">
        <f>SUMIFS('2022'!$I:$I,'2022'!$E:$E,Category!$B$4,'2022'!$N:$N,Category!AU$1,'2022'!$D:$D,Category!$C11)</f>
        <v>0</v>
      </c>
      <c r="AV11" s="314">
        <f>SUMIFS('2022'!$I:$I,'2022'!$E:$E,Category!$B$4,'2022'!$N:$N,Category!AV$1,'2022'!$D:$D,Category!$C11)</f>
        <v>0</v>
      </c>
      <c r="AW11" s="314">
        <f>SUMIFS('2022'!$I:$I,'2022'!$E:$E,Category!$B$4,'2022'!$N:$N,Category!AW$1,'2022'!$D:$D,Category!$C11)</f>
        <v>0</v>
      </c>
      <c r="AX11" s="314">
        <f>SUMIFS('2022'!$I:$I,'2022'!$E:$E,Category!$B$4,'2022'!$N:$N,Category!AX$1,'2022'!$D:$D,Category!$C11)</f>
        <v>0</v>
      </c>
      <c r="AY11" s="314">
        <f>SUMIFS('2022'!$I:$I,'2022'!$E:$E,Category!$B$4,'2022'!$N:$N,Category!AY$1,'2022'!$D:$D,Category!$C11)</f>
        <v>0</v>
      </c>
      <c r="AZ11" s="315">
        <f t="shared" si="5"/>
        <v>0</v>
      </c>
      <c r="BA11" s="499">
        <f>IFERROR(VLOOKUP(C11,'2023'!$D:$G,4,0),0)</f>
        <v>0</v>
      </c>
      <c r="BB11" s="314">
        <f>SUMIFS('2023'!$I:$I,'2023'!$E:$E,Category!$B$4,'2023'!$N:$N,Category!BB$1,'2023'!$D:$D,Category!$C11)</f>
        <v>0</v>
      </c>
      <c r="BC11" s="314">
        <f>SUMIFS('2023'!$I:$I,'2023'!$E:$E,Category!$B$4,'2023'!$N:$N,Category!BC$1,'2023'!$D:$D,Category!$C11)</f>
        <v>0</v>
      </c>
      <c r="BD11" s="314">
        <f>SUMIFS('2023'!$I:$I,'2023'!$E:$E,Category!$B$4,'2023'!$N:$N,Category!BD$1,'2023'!$D:$D,Category!$C11)</f>
        <v>0</v>
      </c>
      <c r="BE11" s="314">
        <f>SUMIFS('2023'!$I:$I,'2023'!$E:$E,Category!$B$4,'2023'!$N:$N,Category!BE$1,'2023'!$D:$D,Category!$C11)</f>
        <v>0</v>
      </c>
      <c r="BF11" s="314">
        <f>SUMIFS('2023'!$I:$I,'2023'!$E:$E,Category!$B$4,'2023'!$N:$N,Category!BF$1,'2023'!$D:$D,Category!$C11)</f>
        <v>0</v>
      </c>
      <c r="BG11" s="314">
        <f>SUMIFS('2023'!$I:$I,'2023'!$E:$E,Category!$B$4,'2023'!$N:$N,Category!BG$1,'2023'!$D:$D,Category!$C11)</f>
        <v>0</v>
      </c>
      <c r="BH11" s="314">
        <f>SUMIFS('2023'!$I:$I,'2023'!$E:$E,Category!$B$4,'2023'!$N:$N,Category!BH$1,'2023'!$D:$D,Category!$C11)</f>
        <v>0</v>
      </c>
      <c r="BI11" s="314">
        <f>SUMIFS('2023'!$I:$I,'2023'!$E:$E,Category!$B$4,'2023'!$N:$N,Category!BI$1,'2023'!$D:$D,Category!$C11)</f>
        <v>0</v>
      </c>
      <c r="BJ11" s="314">
        <f>SUMIFS('2023'!$I:$I,'2023'!$E:$E,Category!$B$4,'2023'!$N:$N,Category!BJ$1,'2023'!$D:$D,Category!$C11)</f>
        <v>0</v>
      </c>
      <c r="BK11" s="314">
        <f>SUMIFS('2023'!$I:$I,'2023'!$E:$E,Category!$B$4,'2023'!$N:$N,Category!BK$1,'2023'!$D:$D,Category!$C11)</f>
        <v>0</v>
      </c>
      <c r="BL11" s="314">
        <f>SUMIFS('2023'!$I:$I,'2023'!$E:$E,Category!$B$4,'2023'!$N:$N,Category!BL$1,'2023'!$D:$D,Category!$C11)</f>
        <v>0</v>
      </c>
      <c r="BM11" s="314">
        <f>SUMIFS('2023'!$I:$I,'2023'!$E:$E,Category!$B$4,'2023'!$N:$N,Category!BM$1,'2023'!$D:$D,Category!$C11)</f>
        <v>0</v>
      </c>
      <c r="BN11" s="315">
        <f t="shared" si="6"/>
        <v>0</v>
      </c>
    </row>
    <row r="12" spans="1:66" x14ac:dyDescent="0.3">
      <c r="A12" s="312"/>
      <c r="B12" s="313"/>
      <c r="C12" s="313" t="s">
        <v>75</v>
      </c>
      <c r="D12" s="512">
        <f>IFERROR(VLOOKUP($C12,'2019'!$D:$G,4,0),0)</f>
        <v>0</v>
      </c>
      <c r="E12" s="314">
        <f>SUMIFS('2019'!$I:$I,'2019'!$E:$E,Category!$B$4,'2019'!$N:$N,Category!E$1,'2019'!$D:$D,Category!$C12)</f>
        <v>0</v>
      </c>
      <c r="F12" s="314">
        <f>SUMIFS('2019'!$I:$I,'2019'!$E:$E,Category!$B$4,'2019'!$N:$N,Category!F$1,'2019'!$D:$D,Category!$C12)</f>
        <v>0</v>
      </c>
      <c r="G12" s="314">
        <f>SUMIFS('2019'!$I:$I,'2019'!$E:$E,Category!$B$4,'2019'!$N:$N,Category!G$1,'2019'!$D:$D,Category!$C12)</f>
        <v>0</v>
      </c>
      <c r="H12" s="314">
        <f>SUMIFS('2019'!$I:$I,'2019'!$E:$E,Category!$B$4,'2019'!$N:$N,Category!H$1,'2019'!$D:$D,Category!$C12)</f>
        <v>0</v>
      </c>
      <c r="I12" s="314">
        <f>SUMIFS('2019'!$I:$I,'2019'!$E:$E,Category!$B$4,'2019'!$N:$N,Category!I$1,'2019'!$D:$D,Category!$C12)</f>
        <v>0</v>
      </c>
      <c r="J12" s="315">
        <f t="shared" si="3"/>
        <v>0</v>
      </c>
      <c r="K12" s="499">
        <f>IFERROR(VLOOKUP($C12,'2020'!$D:$G,4,0),0)</f>
        <v>9</v>
      </c>
      <c r="L12" s="314">
        <f>SUMIFS('2020'!$I:$I,'2020'!$E:$E,Category!$B$4,'2020'!$N:$N,Category!L$1,'2020'!$D:$D,Category!$C12)</f>
        <v>0</v>
      </c>
      <c r="M12" s="314">
        <f>SUMIFS('2020'!$I:$I,'2020'!$E:$E,Category!$B$4,'2020'!$N:$N,Category!M$1,'2020'!$D:$D,Category!$C12)</f>
        <v>0</v>
      </c>
      <c r="N12" s="314">
        <f>SUMIFS('2020'!$I:$I,'2020'!$E:$E,Category!$B$4,'2020'!$N:$N,Category!N$1,'2020'!$D:$D,Category!$C12)</f>
        <v>0</v>
      </c>
      <c r="O12" s="314">
        <f>SUMIFS('2020'!$I:$I,'2020'!$E:$E,Category!$B$4,'2020'!$N:$N,Category!O$1,'2020'!$D:$D,Category!$C12)</f>
        <v>0</v>
      </c>
      <c r="P12" s="314">
        <f>SUMIFS('2020'!$I:$I,'2020'!$E:$E,Category!$B$4,'2020'!$N:$N,Category!P$1,'2020'!$D:$D,Category!$C12)</f>
        <v>0</v>
      </c>
      <c r="Q12" s="314">
        <f>SUMIFS('2020'!$I:$I,'2020'!$E:$E,Category!$B$4,'2020'!$N:$N,Category!Q$1,'2020'!$D:$D,Category!$C12)</f>
        <v>0</v>
      </c>
      <c r="R12" s="314">
        <f>SUMIFS('2020'!$I:$I,'2020'!$E:$E,Category!$B$4,'2020'!$N:$N,Category!R$1,'2020'!$D:$D,Category!$C12)</f>
        <v>0</v>
      </c>
      <c r="S12" s="314">
        <f>SUMIFS('2020'!$I:$I,'2020'!$E:$E,Category!$B$4,'2020'!$N:$N,Category!S$1,'2020'!$D:$D,Category!$C12)</f>
        <v>0</v>
      </c>
      <c r="T12" s="314">
        <f>SUMIFS('2020'!$I:$I,'2020'!$E:$E,Category!$B$4,'2020'!$N:$N,Category!T$1,'2020'!$D:$D,Category!$C12)</f>
        <v>6791000</v>
      </c>
      <c r="U12" s="314">
        <f>SUMIFS('2020'!$I:$I,'2020'!$E:$E,Category!$B$4,'2020'!$N:$N,Category!U$1,'2020'!$D:$D,Category!$C12)</f>
        <v>0</v>
      </c>
      <c r="V12" s="314">
        <f>SUMIFS('2020'!$I:$I,'2020'!$E:$E,Category!$B$4,'2020'!$N:$N,Category!V$1,'2020'!$D:$D,Category!$C12)</f>
        <v>0</v>
      </c>
      <c r="W12" s="314">
        <f>SUMIFS('2020'!$I:$I,'2020'!$E:$E,Category!$B$4,'2020'!$N:$N,Category!W$1,'2020'!$D:$D,Category!$C12)</f>
        <v>0</v>
      </c>
      <c r="X12" s="315">
        <f t="shared" si="4"/>
        <v>6791000</v>
      </c>
      <c r="Y12" s="499">
        <f>IFERROR(VLOOKUP(C12,'2021'!$D:$G,4,0),0)</f>
        <v>9</v>
      </c>
      <c r="Z12" s="314">
        <f>SUMIFS('2021'!$I:$I,'2021'!$E:$E,Category!$B$4,'2021'!$N:$N,Category!Z$1,'2021'!$D:$D,Category!$C12)</f>
        <v>0</v>
      </c>
      <c r="AA12" s="314">
        <f>SUMIFS('2021'!$I:$I,'2021'!$E:$E,Category!$B$4,'2021'!$N:$N,Category!AA$1,'2021'!$D:$D,Category!$C12)</f>
        <v>0</v>
      </c>
      <c r="AB12" s="314">
        <f>SUMIFS('2021'!$I:$I,'2021'!$E:$E,Category!$B$4,'2021'!$N:$N,Category!AB$1,'2021'!$D:$D,Category!$C12)</f>
        <v>0</v>
      </c>
      <c r="AC12" s="314">
        <f>SUMIFS('2021'!$I:$I,'2021'!$E:$E,Category!$B$4,'2021'!$N:$N,Category!AC$1,'2021'!$D:$D,Category!$C12)</f>
        <v>0</v>
      </c>
      <c r="AD12" s="314">
        <f>SUMIFS('2021'!$I:$I,'2021'!$E:$E,Category!$B$4,'2021'!$N:$N,Category!AD$1,'2021'!$D:$D,Category!$C12)</f>
        <v>0</v>
      </c>
      <c r="AE12" s="314">
        <f>SUMIFS('2021'!$I:$I,'2021'!$E:$E,Category!$B$4,'2021'!$N:$N,Category!AE$1,'2021'!$D:$D,Category!$C12)</f>
        <v>0</v>
      </c>
      <c r="AF12" s="314">
        <f>SUMIFS('2021'!$I:$I,'2021'!$E:$E,Category!$B$4,'2021'!$N:$N,Category!AF$1,'2021'!$D:$D,Category!$C12)</f>
        <v>0</v>
      </c>
      <c r="AG12" s="314">
        <f>SUMIFS('2021'!$I:$I,'2021'!$E:$E,Category!$B$4,'2021'!$N:$N,Category!AG$1,'2021'!$D:$D,Category!$C12)</f>
        <v>0</v>
      </c>
      <c r="AH12" s="314">
        <f>SUMIFS('2021'!$I:$I,'2021'!$E:$E,Category!$B$4,'2021'!$N:$N,Category!AH$1,'2021'!$D:$D,Category!$C12)</f>
        <v>18408000</v>
      </c>
      <c r="AI12" s="314">
        <f>SUMIFS('2021'!$I:$I,'2021'!$E:$E,Category!$B$4,'2021'!$N:$N,Category!AI$1,'2021'!$D:$D,Category!$C12)</f>
        <v>9784000</v>
      </c>
      <c r="AJ12" s="314">
        <f>SUMIFS('2021'!$I:$I,'2021'!$E:$E,Category!$B$4,'2021'!$N:$N,Category!AJ$1,'2021'!$D:$D,Category!$C12)</f>
        <v>14586000</v>
      </c>
      <c r="AK12" s="314">
        <f>SUMIFS('2021'!$I:$I,'2021'!$E:$E,Category!$B$4,'2021'!$N:$N,Category!AK$1,'2021'!$D:$D,Category!$C12)</f>
        <v>14586000</v>
      </c>
      <c r="AL12" s="315">
        <f t="shared" si="7"/>
        <v>57364000</v>
      </c>
      <c r="AM12" s="499">
        <f>IFERROR(VLOOKUP(C12,'2022'!$D:$G,4,0),0)</f>
        <v>0</v>
      </c>
      <c r="AN12" s="314">
        <f>SUMIFS('2022'!$I:$I,'2022'!$E:$E,Category!$B$4,'2022'!$N:$N,Category!AN$1,'2022'!$D:$D,Category!$C12)</f>
        <v>0</v>
      </c>
      <c r="AO12" s="314">
        <f>SUMIFS('2022'!$I:$I,'2022'!$E:$E,Category!$B$4,'2022'!$N:$N,Category!AO$1,'2022'!$D:$D,Category!$C12)</f>
        <v>0</v>
      </c>
      <c r="AP12" s="314">
        <f>SUMIFS('2022'!$I:$I,'2022'!$E:$E,Category!$B$4,'2022'!$N:$N,Category!AP$1,'2022'!$D:$D,Category!$C12)</f>
        <v>0</v>
      </c>
      <c r="AQ12" s="314">
        <f>SUMIFS('2022'!$I:$I,'2022'!$E:$E,Category!$B$4,'2022'!$N:$N,Category!AQ$1,'2022'!$D:$D,Category!$C12)</f>
        <v>0</v>
      </c>
      <c r="AR12" s="314">
        <f>SUMIFS('2022'!$I:$I,'2022'!$E:$E,Category!$B$4,'2022'!$N:$N,Category!AR$1,'2022'!$D:$D,Category!$C12)</f>
        <v>0</v>
      </c>
      <c r="AS12" s="314">
        <f>SUMIFS('2022'!$I:$I,'2022'!$E:$E,Category!$B$4,'2022'!$N:$N,Category!AS$1,'2022'!$D:$D,Category!$C12)</f>
        <v>0</v>
      </c>
      <c r="AT12" s="314">
        <f>SUMIFS('2022'!$I:$I,'2022'!$E:$E,Category!$B$4,'2022'!$N:$N,Category!AT$1,'2022'!$D:$D,Category!$C12)</f>
        <v>0</v>
      </c>
      <c r="AU12" s="314">
        <f>SUMIFS('2022'!$I:$I,'2022'!$E:$E,Category!$B$4,'2022'!$N:$N,Category!AU$1,'2022'!$D:$D,Category!$C12)</f>
        <v>0</v>
      </c>
      <c r="AV12" s="314">
        <f>SUMIFS('2022'!$I:$I,'2022'!$E:$E,Category!$B$4,'2022'!$N:$N,Category!AV$1,'2022'!$D:$D,Category!$C12)</f>
        <v>0</v>
      </c>
      <c r="AW12" s="314">
        <f>SUMIFS('2022'!$I:$I,'2022'!$E:$E,Category!$B$4,'2022'!$N:$N,Category!AW$1,'2022'!$D:$D,Category!$C12)</f>
        <v>0</v>
      </c>
      <c r="AX12" s="314">
        <f>SUMIFS('2022'!$I:$I,'2022'!$E:$E,Category!$B$4,'2022'!$N:$N,Category!AX$1,'2022'!$D:$D,Category!$C12)</f>
        <v>0</v>
      </c>
      <c r="AY12" s="314">
        <f>SUMIFS('2022'!$I:$I,'2022'!$E:$E,Category!$B$4,'2022'!$N:$N,Category!AY$1,'2022'!$D:$D,Category!$C12)</f>
        <v>0</v>
      </c>
      <c r="AZ12" s="315">
        <f t="shared" si="5"/>
        <v>0</v>
      </c>
      <c r="BA12" s="499">
        <f>IFERROR(VLOOKUP(C12,'2023'!$D:$G,4,0),0)</f>
        <v>0</v>
      </c>
      <c r="BB12" s="314">
        <f>SUMIFS('2023'!$I:$I,'2023'!$E:$E,Category!$B$4,'2023'!$N:$N,Category!BB$1,'2023'!$D:$D,Category!$C12)</f>
        <v>0</v>
      </c>
      <c r="BC12" s="314">
        <f>SUMIFS('2023'!$I:$I,'2023'!$E:$E,Category!$B$4,'2023'!$N:$N,Category!BC$1,'2023'!$D:$D,Category!$C12)</f>
        <v>0</v>
      </c>
      <c r="BD12" s="314">
        <f>SUMIFS('2023'!$I:$I,'2023'!$E:$E,Category!$B$4,'2023'!$N:$N,Category!BD$1,'2023'!$D:$D,Category!$C12)</f>
        <v>0</v>
      </c>
      <c r="BE12" s="314">
        <f>SUMIFS('2023'!$I:$I,'2023'!$E:$E,Category!$B$4,'2023'!$N:$N,Category!BE$1,'2023'!$D:$D,Category!$C12)</f>
        <v>0</v>
      </c>
      <c r="BF12" s="314">
        <f>SUMIFS('2023'!$I:$I,'2023'!$E:$E,Category!$B$4,'2023'!$N:$N,Category!BF$1,'2023'!$D:$D,Category!$C12)</f>
        <v>0</v>
      </c>
      <c r="BG12" s="314">
        <f>SUMIFS('2023'!$I:$I,'2023'!$E:$E,Category!$B$4,'2023'!$N:$N,Category!BG$1,'2023'!$D:$D,Category!$C12)</f>
        <v>0</v>
      </c>
      <c r="BH12" s="314">
        <f>SUMIFS('2023'!$I:$I,'2023'!$E:$E,Category!$B$4,'2023'!$N:$N,Category!BH$1,'2023'!$D:$D,Category!$C12)</f>
        <v>0</v>
      </c>
      <c r="BI12" s="314">
        <f>SUMIFS('2023'!$I:$I,'2023'!$E:$E,Category!$B$4,'2023'!$N:$N,Category!BI$1,'2023'!$D:$D,Category!$C12)</f>
        <v>0</v>
      </c>
      <c r="BJ12" s="314">
        <f>SUMIFS('2023'!$I:$I,'2023'!$E:$E,Category!$B$4,'2023'!$N:$N,Category!BJ$1,'2023'!$D:$D,Category!$C12)</f>
        <v>0</v>
      </c>
      <c r="BK12" s="314">
        <f>SUMIFS('2023'!$I:$I,'2023'!$E:$E,Category!$B$4,'2023'!$N:$N,Category!BK$1,'2023'!$D:$D,Category!$C12)</f>
        <v>0</v>
      </c>
      <c r="BL12" s="314">
        <f>SUMIFS('2023'!$I:$I,'2023'!$E:$E,Category!$B$4,'2023'!$N:$N,Category!BL$1,'2023'!$D:$D,Category!$C12)</f>
        <v>0</v>
      </c>
      <c r="BM12" s="314">
        <f>SUMIFS('2023'!$I:$I,'2023'!$E:$E,Category!$B$4,'2023'!$N:$N,Category!BM$1,'2023'!$D:$D,Category!$C12)</f>
        <v>0</v>
      </c>
      <c r="BN12" s="315">
        <f t="shared" si="6"/>
        <v>0</v>
      </c>
    </row>
    <row r="13" spans="1:66" x14ac:dyDescent="0.3">
      <c r="A13" s="312"/>
      <c r="B13" s="313"/>
      <c r="C13" s="313" t="s">
        <v>79</v>
      </c>
      <c r="D13" s="512">
        <f>IFERROR(VLOOKUP($C13,'2019'!$D:$G,4,0),0)</f>
        <v>0</v>
      </c>
      <c r="E13" s="314">
        <f>SUMIFS('2019'!$I:$I,'2019'!$E:$E,Category!$B$4,'2019'!$N:$N,Category!E$1,'2019'!$D:$D,Category!$C13)</f>
        <v>0</v>
      </c>
      <c r="F13" s="314">
        <f>SUMIFS('2019'!$I:$I,'2019'!$E:$E,Category!$B$4,'2019'!$N:$N,Category!F$1,'2019'!$D:$D,Category!$C13)</f>
        <v>0</v>
      </c>
      <c r="G13" s="314">
        <f>SUMIFS('2019'!$I:$I,'2019'!$E:$E,Category!$B$4,'2019'!$N:$N,Category!G$1,'2019'!$D:$D,Category!$C13)</f>
        <v>0</v>
      </c>
      <c r="H13" s="314">
        <f>SUMIFS('2019'!$I:$I,'2019'!$E:$E,Category!$B$4,'2019'!$N:$N,Category!H$1,'2019'!$D:$D,Category!$C13)</f>
        <v>0</v>
      </c>
      <c r="I13" s="314">
        <f>SUMIFS('2019'!$I:$I,'2019'!$E:$E,Category!$B$4,'2019'!$N:$N,Category!I$1,'2019'!$D:$D,Category!$C13)</f>
        <v>0</v>
      </c>
      <c r="J13" s="315">
        <f t="shared" si="3"/>
        <v>0</v>
      </c>
      <c r="K13" s="499">
        <f>IFERROR(VLOOKUP($C13,'2020'!$D:$G,4,0),0)</f>
        <v>44</v>
      </c>
      <c r="L13" s="314">
        <f>SUMIFS('2020'!$I:$I,'2020'!$E:$E,Category!$B$4,'2020'!$N:$N,Category!L$1,'2020'!$D:$D,Category!$C13)</f>
        <v>0</v>
      </c>
      <c r="M13" s="314">
        <f>SUMIFS('2020'!$I:$I,'2020'!$E:$E,Category!$B$4,'2020'!$N:$N,Category!M$1,'2020'!$D:$D,Category!$C13)</f>
        <v>0</v>
      </c>
      <c r="N13" s="314">
        <f>SUMIFS('2020'!$I:$I,'2020'!$E:$E,Category!$B$4,'2020'!$N:$N,Category!N$1,'2020'!$D:$D,Category!$C13)</f>
        <v>0</v>
      </c>
      <c r="O13" s="314">
        <f>SUMIFS('2020'!$I:$I,'2020'!$E:$E,Category!$B$4,'2020'!$N:$N,Category!O$1,'2020'!$D:$D,Category!$C13)</f>
        <v>0</v>
      </c>
      <c r="P13" s="314">
        <f>SUMIFS('2020'!$I:$I,'2020'!$E:$E,Category!$B$4,'2020'!$N:$N,Category!P$1,'2020'!$D:$D,Category!$C13)</f>
        <v>0</v>
      </c>
      <c r="Q13" s="314">
        <f>SUMIFS('2020'!$I:$I,'2020'!$E:$E,Category!$B$4,'2020'!$N:$N,Category!Q$1,'2020'!$D:$D,Category!$C13)</f>
        <v>0</v>
      </c>
      <c r="R13" s="314">
        <f>SUMIFS('2020'!$I:$I,'2020'!$E:$E,Category!$B$4,'2020'!$N:$N,Category!R$1,'2020'!$D:$D,Category!$C13)</f>
        <v>0</v>
      </c>
      <c r="S13" s="314">
        <f>SUMIFS('2020'!$I:$I,'2020'!$E:$E,Category!$B$4,'2020'!$N:$N,Category!S$1,'2020'!$D:$D,Category!$C13)</f>
        <v>0</v>
      </c>
      <c r="T13" s="314">
        <f>SUMIFS('2020'!$I:$I,'2020'!$E:$E,Category!$B$4,'2020'!$N:$N,Category!T$1,'2020'!$D:$D,Category!$C13)</f>
        <v>61566000</v>
      </c>
      <c r="U13" s="314">
        <f>SUMIFS('2020'!$I:$I,'2020'!$E:$E,Category!$B$4,'2020'!$N:$N,Category!U$1,'2020'!$D:$D,Category!$C13)</f>
        <v>0</v>
      </c>
      <c r="V13" s="314">
        <f>SUMIFS('2020'!$I:$I,'2020'!$E:$E,Category!$B$4,'2020'!$N:$N,Category!V$1,'2020'!$D:$D,Category!$C13)</f>
        <v>0</v>
      </c>
      <c r="W13" s="314">
        <f>SUMIFS('2020'!$I:$I,'2020'!$E:$E,Category!$B$4,'2020'!$N:$N,Category!W$1,'2020'!$D:$D,Category!$C13)</f>
        <v>0</v>
      </c>
      <c r="X13" s="315">
        <f t="shared" si="4"/>
        <v>61566000</v>
      </c>
      <c r="Y13" s="499">
        <f>IFERROR(VLOOKUP(C13,'2021'!$D:$G,4,0),0)</f>
        <v>0</v>
      </c>
      <c r="Z13" s="314">
        <f>SUMIFS('2021'!$I:$I,'2021'!$E:$E,Category!$B$4,'2021'!$N:$N,Category!Z$1,'2021'!$D:$D,Category!$C13)</f>
        <v>0</v>
      </c>
      <c r="AA13" s="314">
        <f>SUMIFS('2021'!$I:$I,'2021'!$E:$E,Category!$B$4,'2021'!$N:$N,Category!AA$1,'2021'!$D:$D,Category!$C13)</f>
        <v>0</v>
      </c>
      <c r="AB13" s="314">
        <f>SUMIFS('2021'!$I:$I,'2021'!$E:$E,Category!$B$4,'2021'!$N:$N,Category!AB$1,'2021'!$D:$D,Category!$C13)</f>
        <v>0</v>
      </c>
      <c r="AC13" s="314">
        <f>SUMIFS('2021'!$I:$I,'2021'!$E:$E,Category!$B$4,'2021'!$N:$N,Category!AC$1,'2021'!$D:$D,Category!$C13)</f>
        <v>0</v>
      </c>
      <c r="AD13" s="314">
        <f>SUMIFS('2021'!$I:$I,'2021'!$E:$E,Category!$B$4,'2021'!$N:$N,Category!AD$1,'2021'!$D:$D,Category!$C13)</f>
        <v>0</v>
      </c>
      <c r="AE13" s="314">
        <f>SUMIFS('2021'!$I:$I,'2021'!$E:$E,Category!$B$4,'2021'!$N:$N,Category!AE$1,'2021'!$D:$D,Category!$C13)</f>
        <v>0</v>
      </c>
      <c r="AF13" s="314">
        <f>SUMIFS('2021'!$I:$I,'2021'!$E:$E,Category!$B$4,'2021'!$N:$N,Category!AF$1,'2021'!$D:$D,Category!$C13)</f>
        <v>0</v>
      </c>
      <c r="AG13" s="314">
        <f>SUMIFS('2021'!$I:$I,'2021'!$E:$E,Category!$B$4,'2021'!$N:$N,Category!AG$1,'2021'!$D:$D,Category!$C13)</f>
        <v>0</v>
      </c>
      <c r="AH13" s="314">
        <f>SUMIFS('2021'!$I:$I,'2021'!$E:$E,Category!$B$4,'2021'!$N:$N,Category!AH$1,'2021'!$D:$D,Category!$C13)</f>
        <v>0</v>
      </c>
      <c r="AI13" s="314">
        <f>SUMIFS('2021'!$I:$I,'2021'!$E:$E,Category!$B$4,'2021'!$N:$N,Category!AI$1,'2021'!$D:$D,Category!$C13)</f>
        <v>0</v>
      </c>
      <c r="AJ13" s="314">
        <f>SUMIFS('2021'!$I:$I,'2021'!$E:$E,Category!$B$4,'2021'!$N:$N,Category!AJ$1,'2021'!$D:$D,Category!$C13)</f>
        <v>0</v>
      </c>
      <c r="AK13" s="314">
        <f>SUMIFS('2021'!$I:$I,'2021'!$E:$E,Category!$B$4,'2021'!$N:$N,Category!AK$1,'2021'!$D:$D,Category!$C13)</f>
        <v>0</v>
      </c>
      <c r="AL13" s="315">
        <f t="shared" si="7"/>
        <v>0</v>
      </c>
      <c r="AM13" s="499">
        <f>IFERROR(VLOOKUP(C13,'2022'!$D:$G,4,0),0)</f>
        <v>0</v>
      </c>
      <c r="AN13" s="314">
        <f>SUMIFS('2022'!$I:$I,'2022'!$E:$E,Category!$B$4,'2022'!$N:$N,Category!AN$1,'2022'!$D:$D,Category!$C13)</f>
        <v>0</v>
      </c>
      <c r="AO13" s="314">
        <f>SUMIFS('2022'!$I:$I,'2022'!$E:$E,Category!$B$4,'2022'!$N:$N,Category!AO$1,'2022'!$D:$D,Category!$C13)</f>
        <v>0</v>
      </c>
      <c r="AP13" s="314">
        <f>SUMIFS('2022'!$I:$I,'2022'!$E:$E,Category!$B$4,'2022'!$N:$N,Category!AP$1,'2022'!$D:$D,Category!$C13)</f>
        <v>0</v>
      </c>
      <c r="AQ13" s="314">
        <f>SUMIFS('2022'!$I:$I,'2022'!$E:$E,Category!$B$4,'2022'!$N:$N,Category!AQ$1,'2022'!$D:$D,Category!$C13)</f>
        <v>0</v>
      </c>
      <c r="AR13" s="314">
        <f>SUMIFS('2022'!$I:$I,'2022'!$E:$E,Category!$B$4,'2022'!$N:$N,Category!AR$1,'2022'!$D:$D,Category!$C13)</f>
        <v>0</v>
      </c>
      <c r="AS13" s="314">
        <f>SUMIFS('2022'!$I:$I,'2022'!$E:$E,Category!$B$4,'2022'!$N:$N,Category!AS$1,'2022'!$D:$D,Category!$C13)</f>
        <v>0</v>
      </c>
      <c r="AT13" s="314">
        <f>SUMIFS('2022'!$I:$I,'2022'!$E:$E,Category!$B$4,'2022'!$N:$N,Category!AT$1,'2022'!$D:$D,Category!$C13)</f>
        <v>0</v>
      </c>
      <c r="AU13" s="314">
        <f>SUMIFS('2022'!$I:$I,'2022'!$E:$E,Category!$B$4,'2022'!$N:$N,Category!AU$1,'2022'!$D:$D,Category!$C13)</f>
        <v>0</v>
      </c>
      <c r="AV13" s="314">
        <f>SUMIFS('2022'!$I:$I,'2022'!$E:$E,Category!$B$4,'2022'!$N:$N,Category!AV$1,'2022'!$D:$D,Category!$C13)</f>
        <v>0</v>
      </c>
      <c r="AW13" s="314">
        <f>SUMIFS('2022'!$I:$I,'2022'!$E:$E,Category!$B$4,'2022'!$N:$N,Category!AW$1,'2022'!$D:$D,Category!$C13)</f>
        <v>0</v>
      </c>
      <c r="AX13" s="314">
        <f>SUMIFS('2022'!$I:$I,'2022'!$E:$E,Category!$B$4,'2022'!$N:$N,Category!AX$1,'2022'!$D:$D,Category!$C13)</f>
        <v>0</v>
      </c>
      <c r="AY13" s="314">
        <f>SUMIFS('2022'!$I:$I,'2022'!$E:$E,Category!$B$4,'2022'!$N:$N,Category!AY$1,'2022'!$D:$D,Category!$C13)</f>
        <v>0</v>
      </c>
      <c r="AZ13" s="315">
        <f t="shared" si="5"/>
        <v>0</v>
      </c>
      <c r="BA13" s="499">
        <f>IFERROR(VLOOKUP(C13,'2023'!$D:$G,4,0),0)</f>
        <v>0</v>
      </c>
      <c r="BB13" s="314">
        <f>SUMIFS('2023'!$I:$I,'2023'!$E:$E,Category!$B$4,'2023'!$N:$N,Category!BB$1,'2023'!$D:$D,Category!$C13)</f>
        <v>0</v>
      </c>
      <c r="BC13" s="314">
        <f>SUMIFS('2023'!$I:$I,'2023'!$E:$E,Category!$B$4,'2023'!$N:$N,Category!BC$1,'2023'!$D:$D,Category!$C13)</f>
        <v>0</v>
      </c>
      <c r="BD13" s="314">
        <f>SUMIFS('2023'!$I:$I,'2023'!$E:$E,Category!$B$4,'2023'!$N:$N,Category!BD$1,'2023'!$D:$D,Category!$C13)</f>
        <v>0</v>
      </c>
      <c r="BE13" s="314">
        <f>SUMIFS('2023'!$I:$I,'2023'!$E:$E,Category!$B$4,'2023'!$N:$N,Category!BE$1,'2023'!$D:$D,Category!$C13)</f>
        <v>0</v>
      </c>
      <c r="BF13" s="314">
        <f>SUMIFS('2023'!$I:$I,'2023'!$E:$E,Category!$B$4,'2023'!$N:$N,Category!BF$1,'2023'!$D:$D,Category!$C13)</f>
        <v>0</v>
      </c>
      <c r="BG13" s="314">
        <f>SUMIFS('2023'!$I:$I,'2023'!$E:$E,Category!$B$4,'2023'!$N:$N,Category!BG$1,'2023'!$D:$D,Category!$C13)</f>
        <v>0</v>
      </c>
      <c r="BH13" s="314">
        <f>SUMIFS('2023'!$I:$I,'2023'!$E:$E,Category!$B$4,'2023'!$N:$N,Category!BH$1,'2023'!$D:$D,Category!$C13)</f>
        <v>0</v>
      </c>
      <c r="BI13" s="314">
        <f>SUMIFS('2023'!$I:$I,'2023'!$E:$E,Category!$B$4,'2023'!$N:$N,Category!BI$1,'2023'!$D:$D,Category!$C13)</f>
        <v>0</v>
      </c>
      <c r="BJ13" s="314">
        <f>SUMIFS('2023'!$I:$I,'2023'!$E:$E,Category!$B$4,'2023'!$N:$N,Category!BJ$1,'2023'!$D:$D,Category!$C13)</f>
        <v>0</v>
      </c>
      <c r="BK13" s="314">
        <f>SUMIFS('2023'!$I:$I,'2023'!$E:$E,Category!$B$4,'2023'!$N:$N,Category!BK$1,'2023'!$D:$D,Category!$C13)</f>
        <v>0</v>
      </c>
      <c r="BL13" s="314">
        <f>SUMIFS('2023'!$I:$I,'2023'!$E:$E,Category!$B$4,'2023'!$N:$N,Category!BL$1,'2023'!$D:$D,Category!$C13)</f>
        <v>0</v>
      </c>
      <c r="BM13" s="314">
        <f>SUMIFS('2023'!$I:$I,'2023'!$E:$E,Category!$B$4,'2023'!$N:$N,Category!BM$1,'2023'!$D:$D,Category!$C13)</f>
        <v>0</v>
      </c>
      <c r="BN13" s="315">
        <f t="shared" si="6"/>
        <v>0</v>
      </c>
    </row>
    <row r="14" spans="1:66" x14ac:dyDescent="0.3">
      <c r="A14" s="312"/>
      <c r="B14" s="313"/>
      <c r="C14" s="313" t="s">
        <v>83</v>
      </c>
      <c r="D14" s="512">
        <f>IFERROR(VLOOKUP($C14,'2019'!$D:$G,4,0),0)</f>
        <v>0</v>
      </c>
      <c r="E14" s="314">
        <f>SUMIFS('2019'!$I:$I,'2019'!$E:$E,Category!$B$4,'2019'!$N:$N,Category!E$1,'2019'!$D:$D,Category!$C14)</f>
        <v>0</v>
      </c>
      <c r="F14" s="314">
        <f>SUMIFS('2019'!$I:$I,'2019'!$E:$E,Category!$B$4,'2019'!$N:$N,Category!F$1,'2019'!$D:$D,Category!$C14)</f>
        <v>0</v>
      </c>
      <c r="G14" s="314">
        <f>SUMIFS('2019'!$I:$I,'2019'!$E:$E,Category!$B$4,'2019'!$N:$N,Category!G$1,'2019'!$D:$D,Category!$C14)</f>
        <v>0</v>
      </c>
      <c r="H14" s="314">
        <f>SUMIFS('2019'!$I:$I,'2019'!$E:$E,Category!$B$4,'2019'!$N:$N,Category!H$1,'2019'!$D:$D,Category!$C14)</f>
        <v>0</v>
      </c>
      <c r="I14" s="314">
        <f>SUMIFS('2019'!$I:$I,'2019'!$E:$E,Category!$B$4,'2019'!$N:$N,Category!I$1,'2019'!$D:$D,Category!$C14)</f>
        <v>0</v>
      </c>
      <c r="J14" s="315">
        <f t="shared" si="3"/>
        <v>0</v>
      </c>
      <c r="K14" s="499">
        <f>IFERROR(VLOOKUP($C14,'2020'!$D:$G,4,0),0)</f>
        <v>20</v>
      </c>
      <c r="L14" s="314">
        <f>SUMIFS('2020'!$I:$I,'2020'!$E:$E,Category!$B$4,'2020'!$N:$N,Category!L$1,'2020'!$D:$D,Category!$C14)</f>
        <v>0</v>
      </c>
      <c r="M14" s="314">
        <f>SUMIFS('2020'!$I:$I,'2020'!$E:$E,Category!$B$4,'2020'!$N:$N,Category!M$1,'2020'!$D:$D,Category!$C14)</f>
        <v>0</v>
      </c>
      <c r="N14" s="314">
        <f>SUMIFS('2020'!$I:$I,'2020'!$E:$E,Category!$B$4,'2020'!$N:$N,Category!N$1,'2020'!$D:$D,Category!$C14)</f>
        <v>0</v>
      </c>
      <c r="O14" s="314">
        <f>SUMIFS('2020'!$I:$I,'2020'!$E:$E,Category!$B$4,'2020'!$N:$N,Category!O$1,'2020'!$D:$D,Category!$C14)</f>
        <v>0</v>
      </c>
      <c r="P14" s="314">
        <f>SUMIFS('2020'!$I:$I,'2020'!$E:$E,Category!$B$4,'2020'!$N:$N,Category!P$1,'2020'!$D:$D,Category!$C14)</f>
        <v>0</v>
      </c>
      <c r="Q14" s="314">
        <f>SUMIFS('2020'!$I:$I,'2020'!$E:$E,Category!$B$4,'2020'!$N:$N,Category!Q$1,'2020'!$D:$D,Category!$C14)</f>
        <v>0</v>
      </c>
      <c r="R14" s="314">
        <f>SUMIFS('2020'!$I:$I,'2020'!$E:$E,Category!$B$4,'2020'!$N:$N,Category!R$1,'2020'!$D:$D,Category!$C14)</f>
        <v>0</v>
      </c>
      <c r="S14" s="314">
        <f>SUMIFS('2020'!$I:$I,'2020'!$E:$E,Category!$B$4,'2020'!$N:$N,Category!S$1,'2020'!$D:$D,Category!$C14)</f>
        <v>0</v>
      </c>
      <c r="T14" s="314">
        <f>SUMIFS('2020'!$I:$I,'2020'!$E:$E,Category!$B$4,'2020'!$N:$N,Category!T$1,'2020'!$D:$D,Category!$C14)</f>
        <v>15400000</v>
      </c>
      <c r="U14" s="314">
        <f>SUMIFS('2020'!$I:$I,'2020'!$E:$E,Category!$B$4,'2020'!$N:$N,Category!U$1,'2020'!$D:$D,Category!$C14)</f>
        <v>0</v>
      </c>
      <c r="V14" s="314">
        <f>SUMIFS('2020'!$I:$I,'2020'!$E:$E,Category!$B$4,'2020'!$N:$N,Category!V$1,'2020'!$D:$D,Category!$C14)</f>
        <v>0</v>
      </c>
      <c r="W14" s="314">
        <f>SUMIFS('2020'!$I:$I,'2020'!$E:$E,Category!$B$4,'2020'!$N:$N,Category!W$1,'2020'!$D:$D,Category!$C14)</f>
        <v>0</v>
      </c>
      <c r="X14" s="315">
        <f t="shared" si="4"/>
        <v>15400000</v>
      </c>
      <c r="Y14" s="499">
        <f>IFERROR(VLOOKUP(C14,'2021'!$D:$G,4,0),0)</f>
        <v>0</v>
      </c>
      <c r="Z14" s="314">
        <f>SUMIFS('2021'!$I:$I,'2021'!$E:$E,Category!$B$4,'2021'!$N:$N,Category!Z$1,'2021'!$D:$D,Category!$C14)</f>
        <v>0</v>
      </c>
      <c r="AA14" s="314">
        <f>SUMIFS('2021'!$I:$I,'2021'!$E:$E,Category!$B$4,'2021'!$N:$N,Category!AA$1,'2021'!$D:$D,Category!$C14)</f>
        <v>0</v>
      </c>
      <c r="AB14" s="314">
        <f>SUMIFS('2021'!$I:$I,'2021'!$E:$E,Category!$B$4,'2021'!$N:$N,Category!AB$1,'2021'!$D:$D,Category!$C14)</f>
        <v>0</v>
      </c>
      <c r="AC14" s="314">
        <f>SUMIFS('2021'!$I:$I,'2021'!$E:$E,Category!$B$4,'2021'!$N:$N,Category!AC$1,'2021'!$D:$D,Category!$C14)</f>
        <v>0</v>
      </c>
      <c r="AD14" s="314">
        <f>SUMIFS('2021'!$I:$I,'2021'!$E:$E,Category!$B$4,'2021'!$N:$N,Category!AD$1,'2021'!$D:$D,Category!$C14)</f>
        <v>0</v>
      </c>
      <c r="AE14" s="314">
        <f>SUMIFS('2021'!$I:$I,'2021'!$E:$E,Category!$B$4,'2021'!$N:$N,Category!AE$1,'2021'!$D:$D,Category!$C14)</f>
        <v>0</v>
      </c>
      <c r="AF14" s="314">
        <f>SUMIFS('2021'!$I:$I,'2021'!$E:$E,Category!$B$4,'2021'!$N:$N,Category!AF$1,'2021'!$D:$D,Category!$C14)</f>
        <v>0</v>
      </c>
      <c r="AG14" s="314">
        <f>SUMIFS('2021'!$I:$I,'2021'!$E:$E,Category!$B$4,'2021'!$N:$N,Category!AG$1,'2021'!$D:$D,Category!$C14)</f>
        <v>0</v>
      </c>
      <c r="AH14" s="314">
        <f>SUMIFS('2021'!$I:$I,'2021'!$E:$E,Category!$B$4,'2021'!$N:$N,Category!AH$1,'2021'!$D:$D,Category!$C14)</f>
        <v>0</v>
      </c>
      <c r="AI14" s="314">
        <f>SUMIFS('2021'!$I:$I,'2021'!$E:$E,Category!$B$4,'2021'!$N:$N,Category!AI$1,'2021'!$D:$D,Category!$C14)</f>
        <v>0</v>
      </c>
      <c r="AJ14" s="314">
        <f>SUMIFS('2021'!$I:$I,'2021'!$E:$E,Category!$B$4,'2021'!$N:$N,Category!AJ$1,'2021'!$D:$D,Category!$C14)</f>
        <v>0</v>
      </c>
      <c r="AK14" s="314">
        <f>SUMIFS('2021'!$I:$I,'2021'!$E:$E,Category!$B$4,'2021'!$N:$N,Category!AK$1,'2021'!$D:$D,Category!$C14)</f>
        <v>0</v>
      </c>
      <c r="AL14" s="315">
        <f t="shared" si="7"/>
        <v>0</v>
      </c>
      <c r="AM14" s="499">
        <f>IFERROR(VLOOKUP(C14,'2022'!$D:$G,4,0),0)</f>
        <v>0</v>
      </c>
      <c r="AN14" s="314">
        <f>SUMIFS('2022'!$I:$I,'2022'!$E:$E,Category!$B$4,'2022'!$N:$N,Category!AN$1,'2022'!$D:$D,Category!$C14)</f>
        <v>0</v>
      </c>
      <c r="AO14" s="314">
        <f>SUMIFS('2022'!$I:$I,'2022'!$E:$E,Category!$B$4,'2022'!$N:$N,Category!AO$1,'2022'!$D:$D,Category!$C14)</f>
        <v>0</v>
      </c>
      <c r="AP14" s="314">
        <f>SUMIFS('2022'!$I:$I,'2022'!$E:$E,Category!$B$4,'2022'!$N:$N,Category!AP$1,'2022'!$D:$D,Category!$C14)</f>
        <v>0</v>
      </c>
      <c r="AQ14" s="314">
        <f>SUMIFS('2022'!$I:$I,'2022'!$E:$E,Category!$B$4,'2022'!$N:$N,Category!AQ$1,'2022'!$D:$D,Category!$C14)</f>
        <v>0</v>
      </c>
      <c r="AR14" s="314">
        <f>SUMIFS('2022'!$I:$I,'2022'!$E:$E,Category!$B$4,'2022'!$N:$N,Category!AR$1,'2022'!$D:$D,Category!$C14)</f>
        <v>0</v>
      </c>
      <c r="AS14" s="314">
        <f>SUMIFS('2022'!$I:$I,'2022'!$E:$E,Category!$B$4,'2022'!$N:$N,Category!AS$1,'2022'!$D:$D,Category!$C14)</f>
        <v>0</v>
      </c>
      <c r="AT14" s="314">
        <f>SUMIFS('2022'!$I:$I,'2022'!$E:$E,Category!$B$4,'2022'!$N:$N,Category!AT$1,'2022'!$D:$D,Category!$C14)</f>
        <v>0</v>
      </c>
      <c r="AU14" s="314">
        <f>SUMIFS('2022'!$I:$I,'2022'!$E:$E,Category!$B$4,'2022'!$N:$N,Category!AU$1,'2022'!$D:$D,Category!$C14)</f>
        <v>0</v>
      </c>
      <c r="AV14" s="314">
        <f>SUMIFS('2022'!$I:$I,'2022'!$E:$E,Category!$B$4,'2022'!$N:$N,Category!AV$1,'2022'!$D:$D,Category!$C14)</f>
        <v>0</v>
      </c>
      <c r="AW14" s="314">
        <f>SUMIFS('2022'!$I:$I,'2022'!$E:$E,Category!$B$4,'2022'!$N:$N,Category!AW$1,'2022'!$D:$D,Category!$C14)</f>
        <v>0</v>
      </c>
      <c r="AX14" s="314">
        <f>SUMIFS('2022'!$I:$I,'2022'!$E:$E,Category!$B$4,'2022'!$N:$N,Category!AX$1,'2022'!$D:$D,Category!$C14)</f>
        <v>0</v>
      </c>
      <c r="AY14" s="314">
        <f>SUMIFS('2022'!$I:$I,'2022'!$E:$E,Category!$B$4,'2022'!$N:$N,Category!AY$1,'2022'!$D:$D,Category!$C14)</f>
        <v>0</v>
      </c>
      <c r="AZ14" s="315">
        <f t="shared" si="5"/>
        <v>0</v>
      </c>
      <c r="BA14" s="499">
        <f>IFERROR(VLOOKUP(C14,'2023'!$D:$G,4,0),0)</f>
        <v>0</v>
      </c>
      <c r="BB14" s="314">
        <f>SUMIFS('2023'!$I:$I,'2023'!$E:$E,Category!$B$4,'2023'!$N:$N,Category!BB$1,'2023'!$D:$D,Category!$C14)</f>
        <v>0</v>
      </c>
      <c r="BC14" s="314">
        <f>SUMIFS('2023'!$I:$I,'2023'!$E:$E,Category!$B$4,'2023'!$N:$N,Category!BC$1,'2023'!$D:$D,Category!$C14)</f>
        <v>0</v>
      </c>
      <c r="BD14" s="314">
        <f>SUMIFS('2023'!$I:$I,'2023'!$E:$E,Category!$B$4,'2023'!$N:$N,Category!BD$1,'2023'!$D:$D,Category!$C14)</f>
        <v>0</v>
      </c>
      <c r="BE14" s="314">
        <f>SUMIFS('2023'!$I:$I,'2023'!$E:$E,Category!$B$4,'2023'!$N:$N,Category!BE$1,'2023'!$D:$D,Category!$C14)</f>
        <v>0</v>
      </c>
      <c r="BF14" s="314">
        <f>SUMIFS('2023'!$I:$I,'2023'!$E:$E,Category!$B$4,'2023'!$N:$N,Category!BF$1,'2023'!$D:$D,Category!$C14)</f>
        <v>0</v>
      </c>
      <c r="BG14" s="314">
        <f>SUMIFS('2023'!$I:$I,'2023'!$E:$E,Category!$B$4,'2023'!$N:$N,Category!BG$1,'2023'!$D:$D,Category!$C14)</f>
        <v>0</v>
      </c>
      <c r="BH14" s="314">
        <f>SUMIFS('2023'!$I:$I,'2023'!$E:$E,Category!$B$4,'2023'!$N:$N,Category!BH$1,'2023'!$D:$D,Category!$C14)</f>
        <v>0</v>
      </c>
      <c r="BI14" s="314">
        <f>SUMIFS('2023'!$I:$I,'2023'!$E:$E,Category!$B$4,'2023'!$N:$N,Category!BI$1,'2023'!$D:$D,Category!$C14)</f>
        <v>0</v>
      </c>
      <c r="BJ14" s="314">
        <f>SUMIFS('2023'!$I:$I,'2023'!$E:$E,Category!$B$4,'2023'!$N:$N,Category!BJ$1,'2023'!$D:$D,Category!$C14)</f>
        <v>0</v>
      </c>
      <c r="BK14" s="314">
        <f>SUMIFS('2023'!$I:$I,'2023'!$E:$E,Category!$B$4,'2023'!$N:$N,Category!BK$1,'2023'!$D:$D,Category!$C14)</f>
        <v>0</v>
      </c>
      <c r="BL14" s="314">
        <f>SUMIFS('2023'!$I:$I,'2023'!$E:$E,Category!$B$4,'2023'!$N:$N,Category!BL$1,'2023'!$D:$D,Category!$C14)</f>
        <v>0</v>
      </c>
      <c r="BM14" s="314">
        <f>SUMIFS('2023'!$I:$I,'2023'!$E:$E,Category!$B$4,'2023'!$N:$N,Category!BM$1,'2023'!$D:$D,Category!$C14)</f>
        <v>0</v>
      </c>
      <c r="BN14" s="315">
        <f t="shared" si="6"/>
        <v>0</v>
      </c>
    </row>
    <row r="15" spans="1:66" x14ac:dyDescent="0.3">
      <c r="A15" s="312"/>
      <c r="B15" s="313"/>
      <c r="C15" s="313" t="s">
        <v>87</v>
      </c>
      <c r="D15" s="512">
        <f>IFERROR(VLOOKUP($C15,'2019'!$D:$G,4,0),0)</f>
        <v>0</v>
      </c>
      <c r="E15" s="314">
        <f>SUMIFS('2019'!$I:$I,'2019'!$E:$E,Category!$B$4,'2019'!$N:$N,Category!E$1,'2019'!$D:$D,Category!$C15)</f>
        <v>0</v>
      </c>
      <c r="F15" s="314">
        <f>SUMIFS('2019'!$I:$I,'2019'!$E:$E,Category!$B$4,'2019'!$N:$N,Category!F$1,'2019'!$D:$D,Category!$C15)</f>
        <v>0</v>
      </c>
      <c r="G15" s="314">
        <f>SUMIFS('2019'!$I:$I,'2019'!$E:$E,Category!$B$4,'2019'!$N:$N,Category!G$1,'2019'!$D:$D,Category!$C15)</f>
        <v>0</v>
      </c>
      <c r="H15" s="314">
        <f>SUMIFS('2019'!$I:$I,'2019'!$E:$E,Category!$B$4,'2019'!$N:$N,Category!H$1,'2019'!$D:$D,Category!$C15)</f>
        <v>0</v>
      </c>
      <c r="I15" s="314">
        <f>SUMIFS('2019'!$I:$I,'2019'!$E:$E,Category!$B$4,'2019'!$N:$N,Category!I$1,'2019'!$D:$D,Category!$C15)</f>
        <v>0</v>
      </c>
      <c r="J15" s="315">
        <f t="shared" si="3"/>
        <v>0</v>
      </c>
      <c r="K15" s="499">
        <f>IFERROR(VLOOKUP($C15,'2020'!$D:$G,4,0),0)</f>
        <v>0</v>
      </c>
      <c r="L15" s="314">
        <f>SUMIFS('2020'!$I:$I,'2020'!$E:$E,Category!$B$4,'2020'!$N:$N,Category!L$1,'2020'!$D:$D,Category!$C15)</f>
        <v>0</v>
      </c>
      <c r="M15" s="314">
        <f>SUMIFS('2020'!$I:$I,'2020'!$E:$E,Category!$B$4,'2020'!$N:$N,Category!M$1,'2020'!$D:$D,Category!$C15)</f>
        <v>0</v>
      </c>
      <c r="N15" s="314">
        <f>SUMIFS('2020'!$I:$I,'2020'!$E:$E,Category!$B$4,'2020'!$N:$N,Category!N$1,'2020'!$D:$D,Category!$C15)</f>
        <v>25424998</v>
      </c>
      <c r="O15" s="314">
        <f>SUMIFS('2020'!$I:$I,'2020'!$E:$E,Category!$B$4,'2020'!$N:$N,Category!O$1,'2020'!$D:$D,Category!$C15)</f>
        <v>0</v>
      </c>
      <c r="P15" s="314">
        <f>SUMIFS('2020'!$I:$I,'2020'!$E:$E,Category!$B$4,'2020'!$N:$N,Category!P$1,'2020'!$D:$D,Category!$C15)</f>
        <v>0</v>
      </c>
      <c r="Q15" s="314">
        <f>SUMIFS('2020'!$I:$I,'2020'!$E:$E,Category!$B$4,'2020'!$N:$N,Category!Q$1,'2020'!$D:$D,Category!$C15)</f>
        <v>0</v>
      </c>
      <c r="R15" s="314">
        <f>SUMIFS('2020'!$I:$I,'2020'!$E:$E,Category!$B$4,'2020'!$N:$N,Category!R$1,'2020'!$D:$D,Category!$C15)</f>
        <v>0</v>
      </c>
      <c r="S15" s="314">
        <f>SUMIFS('2020'!$I:$I,'2020'!$E:$E,Category!$B$4,'2020'!$N:$N,Category!S$1,'2020'!$D:$D,Category!$C15)</f>
        <v>0</v>
      </c>
      <c r="T15" s="314">
        <f>SUMIFS('2020'!$I:$I,'2020'!$E:$E,Category!$B$4,'2020'!$N:$N,Category!T$1,'2020'!$D:$D,Category!$C15)</f>
        <v>9000000</v>
      </c>
      <c r="U15" s="314">
        <f>SUMIFS('2020'!$I:$I,'2020'!$E:$E,Category!$B$4,'2020'!$N:$N,Category!U$1,'2020'!$D:$D,Category!$C15)</f>
        <v>0</v>
      </c>
      <c r="V15" s="314">
        <f>SUMIFS('2020'!$I:$I,'2020'!$E:$E,Category!$B$4,'2020'!$N:$N,Category!V$1,'2020'!$D:$D,Category!$C15)</f>
        <v>0</v>
      </c>
      <c r="W15" s="314">
        <f>SUMIFS('2020'!$I:$I,'2020'!$E:$E,Category!$B$4,'2020'!$N:$N,Category!W$1,'2020'!$D:$D,Category!$C15)</f>
        <v>0</v>
      </c>
      <c r="X15" s="315">
        <f t="shared" si="4"/>
        <v>34424998</v>
      </c>
      <c r="Y15" s="499">
        <f>IFERROR(VLOOKUP(C15,'2021'!$D:$G,4,0),0)</f>
        <v>20</v>
      </c>
      <c r="Z15" s="314">
        <f>SUMIFS('2021'!$I:$I,'2021'!$E:$E,Category!$B$4,'2021'!$N:$N,Category!Z$1,'2021'!$D:$D,Category!$C15)</f>
        <v>0</v>
      </c>
      <c r="AA15" s="314">
        <f>SUMIFS('2021'!$I:$I,'2021'!$E:$E,Category!$B$4,'2021'!$N:$N,Category!AA$1,'2021'!$D:$D,Category!$C15)</f>
        <v>0</v>
      </c>
      <c r="AB15" s="314">
        <f>SUMIFS('2021'!$I:$I,'2021'!$E:$E,Category!$B$4,'2021'!$N:$N,Category!AB$1,'2021'!$D:$D,Category!$C15)</f>
        <v>0</v>
      </c>
      <c r="AC15" s="314">
        <f>SUMIFS('2021'!$I:$I,'2021'!$E:$E,Category!$B$4,'2021'!$N:$N,Category!AC$1,'2021'!$D:$D,Category!$C15)</f>
        <v>0</v>
      </c>
      <c r="AD15" s="314">
        <f>SUMIFS('2021'!$I:$I,'2021'!$E:$E,Category!$B$4,'2021'!$N:$N,Category!AD$1,'2021'!$D:$D,Category!$C15)</f>
        <v>0</v>
      </c>
      <c r="AE15" s="314">
        <f>SUMIFS('2021'!$I:$I,'2021'!$E:$E,Category!$B$4,'2021'!$N:$N,Category!AE$1,'2021'!$D:$D,Category!$C15)</f>
        <v>0</v>
      </c>
      <c r="AF15" s="314">
        <f>SUMIFS('2021'!$I:$I,'2021'!$E:$E,Category!$B$4,'2021'!$N:$N,Category!AF$1,'2021'!$D:$D,Category!$C15)</f>
        <v>0</v>
      </c>
      <c r="AG15" s="314">
        <f>SUMIFS('2021'!$I:$I,'2021'!$E:$E,Category!$B$4,'2021'!$N:$N,Category!AG$1,'2021'!$D:$D,Category!$C15)</f>
        <v>0</v>
      </c>
      <c r="AH15" s="314">
        <f>SUMIFS('2021'!$I:$I,'2021'!$E:$E,Category!$B$4,'2021'!$N:$N,Category!AH$1,'2021'!$D:$D,Category!$C15)</f>
        <v>30525000</v>
      </c>
      <c r="AI15" s="314">
        <f>SUMIFS('2021'!$I:$I,'2021'!$E:$E,Category!$B$4,'2021'!$N:$N,Category!AI$1,'2021'!$D:$D,Category!$C15)</f>
        <v>2400000</v>
      </c>
      <c r="AJ15" s="314">
        <f>SUMIFS('2021'!$I:$I,'2021'!$E:$E,Category!$B$4,'2021'!$N:$N,Category!AJ$1,'2021'!$D:$D,Category!$C15)</f>
        <v>2400000</v>
      </c>
      <c r="AK15" s="314">
        <f>SUMIFS('2021'!$I:$I,'2021'!$E:$E,Category!$B$4,'2021'!$N:$N,Category!AK$1,'2021'!$D:$D,Category!$C15)</f>
        <v>2400000</v>
      </c>
      <c r="AL15" s="315">
        <f t="shared" si="7"/>
        <v>37725000</v>
      </c>
      <c r="AM15" s="499">
        <f>IFERROR(VLOOKUP(C15,'2022'!$D:$G,4,0),0)</f>
        <v>24</v>
      </c>
      <c r="AN15" s="314">
        <f>SUMIFS('2022'!$I:$I,'2022'!$E:$E,Category!$B$4,'2022'!$N:$N,Category!AN$1,'2022'!$D:$D,Category!$C15)</f>
        <v>2400000</v>
      </c>
      <c r="AO15" s="314">
        <f>SUMIFS('2022'!$I:$I,'2022'!$E:$E,Category!$B$4,'2022'!$N:$N,Category!AO$1,'2022'!$D:$D,Category!$C15)</f>
        <v>2400000</v>
      </c>
      <c r="AP15" s="314">
        <f>SUMIFS('2022'!$I:$I,'2022'!$E:$E,Category!$B$4,'2022'!$N:$N,Category!AP$1,'2022'!$D:$D,Category!$C15)</f>
        <v>2400000</v>
      </c>
      <c r="AQ15" s="314">
        <f>'2022'!$I$305</f>
        <v>2400000</v>
      </c>
      <c r="AR15" s="314">
        <f>SUMIFS('2022'!$I:$I,'2022'!$E:$E,Category!$B$4,'2022'!$N:$N,Category!AR$1,'2022'!$D:$D,Category!$C15)</f>
        <v>2400000</v>
      </c>
      <c r="AS15" s="314">
        <f>SUMIFS('2022'!$I:$I,'2022'!$E:$E,Category!$B$4,'2022'!$N:$N,Category!AS$1,'2022'!$D:$D,Category!$C15)</f>
        <v>0</v>
      </c>
      <c r="AT15" s="314">
        <f>SUMIFS('2022'!$I:$I,'2022'!$E:$E,Category!$B$4,'2022'!$N:$N,Category!AT$1,'2022'!$D:$D,Category!$C15)</f>
        <v>0</v>
      </c>
      <c r="AU15" s="314">
        <f>SUMIFS('2022'!$I:$I,'2022'!$E:$E,Category!$B$4,'2022'!$N:$N,Category!AU$1,'2022'!$D:$D,Category!$C15)</f>
        <v>0</v>
      </c>
      <c r="AV15" s="314">
        <f>SUMIFS('2022'!$I:$I,'2022'!$E:$E,Category!$B$4,'2022'!$N:$N,Category!AV$1,'2022'!$D:$D,Category!$C15)</f>
        <v>0</v>
      </c>
      <c r="AW15" s="314">
        <f>SUMIFS('2022'!$I:$I,'2022'!$E:$E,Category!$B$4,'2022'!$N:$N,Category!AW$1,'2022'!$D:$D,Category!$C15)</f>
        <v>0</v>
      </c>
      <c r="AX15" s="314">
        <f>SUMIFS('2022'!$I:$I,'2022'!$E:$E,Category!$B$4,'2022'!$N:$N,Category!AX$1,'2022'!$D:$D,Category!$C15)</f>
        <v>0</v>
      </c>
      <c r="AY15" s="314">
        <f>SUMIFS('2022'!$I:$I,'2022'!$E:$E,Category!$B$4,'2022'!$N:$N,Category!AY$1,'2022'!$D:$D,Category!$C15)</f>
        <v>0</v>
      </c>
      <c r="AZ15" s="315">
        <f t="shared" si="5"/>
        <v>12000000</v>
      </c>
      <c r="BA15" s="499">
        <f>IFERROR(VLOOKUP(C15,'2023'!$D:$G,4,0),0)</f>
        <v>0</v>
      </c>
      <c r="BB15" s="314">
        <f>SUMIFS('2023'!$I:$I,'2023'!$E:$E,Category!$B$4,'2023'!$N:$N,Category!BB$1,'2023'!$D:$D,Category!$C15)</f>
        <v>0</v>
      </c>
      <c r="BC15" s="314">
        <f>SUMIFS('2023'!$I:$I,'2023'!$E:$E,Category!$B$4,'2023'!$N:$N,Category!BC$1,'2023'!$D:$D,Category!$C15)</f>
        <v>0</v>
      </c>
      <c r="BD15" s="314">
        <f>SUMIFS('2023'!$I:$I,'2023'!$E:$E,Category!$B$4,'2023'!$N:$N,Category!BD$1,'2023'!$D:$D,Category!$C15)</f>
        <v>0</v>
      </c>
      <c r="BE15" s="314">
        <f>SUMIFS('2023'!$I:$I,'2023'!$E:$E,Category!$B$4,'2023'!$N:$N,Category!BE$1,'2023'!$D:$D,Category!$C15)</f>
        <v>0</v>
      </c>
      <c r="BF15" s="314">
        <f>SUMIFS('2023'!$I:$I,'2023'!$E:$E,Category!$B$4,'2023'!$N:$N,Category!BF$1,'2023'!$D:$D,Category!$C15)</f>
        <v>0</v>
      </c>
      <c r="BG15" s="314">
        <f>SUMIFS('2023'!$I:$I,'2023'!$E:$E,Category!$B$4,'2023'!$N:$N,Category!BG$1,'2023'!$D:$D,Category!$C15)</f>
        <v>0</v>
      </c>
      <c r="BH15" s="314">
        <f>SUMIFS('2023'!$I:$I,'2023'!$E:$E,Category!$B$4,'2023'!$N:$N,Category!BH$1,'2023'!$D:$D,Category!$C15)</f>
        <v>0</v>
      </c>
      <c r="BI15" s="314">
        <f>SUMIFS('2023'!$I:$I,'2023'!$E:$E,Category!$B$4,'2023'!$N:$N,Category!BI$1,'2023'!$D:$D,Category!$C15)</f>
        <v>0</v>
      </c>
      <c r="BJ15" s="314">
        <f>SUMIFS('2023'!$I:$I,'2023'!$E:$E,Category!$B$4,'2023'!$N:$N,Category!BJ$1,'2023'!$D:$D,Category!$C15)</f>
        <v>0</v>
      </c>
      <c r="BK15" s="314">
        <f>SUMIFS('2023'!$I:$I,'2023'!$E:$E,Category!$B$4,'2023'!$N:$N,Category!BK$1,'2023'!$D:$D,Category!$C15)</f>
        <v>0</v>
      </c>
      <c r="BL15" s="314">
        <f>SUMIFS('2023'!$I:$I,'2023'!$E:$E,Category!$B$4,'2023'!$N:$N,Category!BL$1,'2023'!$D:$D,Category!$C15)</f>
        <v>0</v>
      </c>
      <c r="BM15" s="314">
        <f>SUMIFS('2023'!$I:$I,'2023'!$E:$E,Category!$B$4,'2023'!$N:$N,Category!BM$1,'2023'!$D:$D,Category!$C15)</f>
        <v>0</v>
      </c>
      <c r="BN15" s="315">
        <f t="shared" si="6"/>
        <v>0</v>
      </c>
    </row>
    <row r="16" spans="1:66" x14ac:dyDescent="0.3">
      <c r="A16" s="312"/>
      <c r="B16" s="313"/>
      <c r="C16" s="313" t="s">
        <v>90</v>
      </c>
      <c r="D16" s="512">
        <f>IFERROR(VLOOKUP($C16,'2019'!$D:$G,4,0),0)</f>
        <v>0</v>
      </c>
      <c r="E16" s="314">
        <f>SUMIFS('2019'!$I:$I,'2019'!$E:$E,Category!$B$4,'2019'!$N:$N,Category!E$1,'2019'!$D:$D,Category!$C16)</f>
        <v>0</v>
      </c>
      <c r="F16" s="314">
        <f>SUMIFS('2019'!$I:$I,'2019'!$E:$E,Category!$B$4,'2019'!$N:$N,Category!F$1,'2019'!$D:$D,Category!$C16)</f>
        <v>0</v>
      </c>
      <c r="G16" s="314">
        <f>SUMIFS('2019'!$I:$I,'2019'!$E:$E,Category!$B$4,'2019'!$N:$N,Category!G$1,'2019'!$D:$D,Category!$C16)</f>
        <v>0</v>
      </c>
      <c r="H16" s="314">
        <f>SUMIFS('2019'!$I:$I,'2019'!$E:$E,Category!$B$4,'2019'!$N:$N,Category!H$1,'2019'!$D:$D,Category!$C16)</f>
        <v>0</v>
      </c>
      <c r="I16" s="314">
        <f>SUMIFS('2019'!$I:$I,'2019'!$E:$E,Category!$B$4,'2019'!$N:$N,Category!I$1,'2019'!$D:$D,Category!$C16)</f>
        <v>0</v>
      </c>
      <c r="J16" s="315">
        <f t="shared" si="3"/>
        <v>0</v>
      </c>
      <c r="K16" s="499">
        <f>IFERROR(VLOOKUP($C16,'2020'!$D:$G,4,0),0)</f>
        <v>25</v>
      </c>
      <c r="L16" s="314">
        <f>SUMIFS('2020'!$I:$I,'2020'!$E:$E,Category!$B$4,'2020'!$N:$N,Category!L$1,'2020'!$D:$D,Category!$C16)</f>
        <v>0</v>
      </c>
      <c r="M16" s="314">
        <f>SUMIFS('2020'!$I:$I,'2020'!$E:$E,Category!$B$4,'2020'!$N:$N,Category!M$1,'2020'!$D:$D,Category!$C16)</f>
        <v>0</v>
      </c>
      <c r="N16" s="314">
        <f>SUMIFS('2020'!$I:$I,'2020'!$E:$E,Category!$B$4,'2020'!$N:$N,Category!N$1,'2020'!$D:$D,Category!$C16)</f>
        <v>0</v>
      </c>
      <c r="O16" s="314">
        <f>SUMIFS('2020'!$I:$I,'2020'!$E:$E,Category!$B$4,'2020'!$N:$N,Category!O$1,'2020'!$D:$D,Category!$C16)</f>
        <v>0</v>
      </c>
      <c r="P16" s="314">
        <f>SUMIFS('2020'!$I:$I,'2020'!$E:$E,Category!$B$4,'2020'!$N:$N,Category!P$1,'2020'!$D:$D,Category!$C16)</f>
        <v>0</v>
      </c>
      <c r="Q16" s="314">
        <f>SUMIFS('2020'!$I:$I,'2020'!$E:$E,Category!$B$4,'2020'!$N:$N,Category!Q$1,'2020'!$D:$D,Category!$C16)</f>
        <v>0</v>
      </c>
      <c r="R16" s="314">
        <f>SUMIFS('2020'!$I:$I,'2020'!$E:$E,Category!$B$4,'2020'!$N:$N,Category!R$1,'2020'!$D:$D,Category!$C16)</f>
        <v>0</v>
      </c>
      <c r="S16" s="314">
        <f>SUMIFS('2020'!$I:$I,'2020'!$E:$E,Category!$B$4,'2020'!$N:$N,Category!S$1,'2020'!$D:$D,Category!$C16)</f>
        <v>0</v>
      </c>
      <c r="T16" s="314">
        <f>SUMIFS('2020'!$I:$I,'2020'!$E:$E,Category!$B$4,'2020'!$N:$N,Category!T$1,'2020'!$D:$D,Category!$C16)</f>
        <v>0</v>
      </c>
      <c r="U16" s="314">
        <f>SUMIFS('2020'!$I:$I,'2020'!$E:$E,Category!$B$4,'2020'!$N:$N,Category!U$1,'2020'!$D:$D,Category!$C16)</f>
        <v>0</v>
      </c>
      <c r="V16" s="314">
        <f>SUMIFS('2020'!$I:$I,'2020'!$E:$E,Category!$B$4,'2020'!$N:$N,Category!V$1,'2020'!$D:$D,Category!$C16)</f>
        <v>38300000</v>
      </c>
      <c r="W16" s="314">
        <f>SUMIFS('2020'!$I:$I,'2020'!$E:$E,Category!$B$4,'2020'!$N:$N,Category!W$1,'2020'!$D:$D,Category!$C16)</f>
        <v>0</v>
      </c>
      <c r="X16" s="315">
        <f t="shared" si="4"/>
        <v>38300000</v>
      </c>
      <c r="Y16" s="499">
        <f>IFERROR(VLOOKUP(C16,'2021'!$D:$G,4,0),0)</f>
        <v>0</v>
      </c>
      <c r="Z16" s="314">
        <f>SUMIFS('2021'!$I:$I,'2021'!$E:$E,Category!$B$4,'2021'!$N:$N,Category!Z$1,'2021'!$D:$D,Category!$C16)</f>
        <v>0</v>
      </c>
      <c r="AA16" s="314">
        <f>SUMIFS('2021'!$I:$I,'2021'!$E:$E,Category!$B$4,'2021'!$N:$N,Category!AA$1,'2021'!$D:$D,Category!$C16)</f>
        <v>0</v>
      </c>
      <c r="AB16" s="314">
        <f>SUMIFS('2021'!$I:$I,'2021'!$E:$E,Category!$B$4,'2021'!$N:$N,Category!AB$1,'2021'!$D:$D,Category!$C16)</f>
        <v>0</v>
      </c>
      <c r="AC16" s="314">
        <f>SUMIFS('2021'!$I:$I,'2021'!$E:$E,Category!$B$4,'2021'!$N:$N,Category!AC$1,'2021'!$D:$D,Category!$C16)</f>
        <v>0</v>
      </c>
      <c r="AD16" s="314">
        <f>SUMIFS('2021'!$I:$I,'2021'!$E:$E,Category!$B$4,'2021'!$N:$N,Category!AD$1,'2021'!$D:$D,Category!$C16)</f>
        <v>0</v>
      </c>
      <c r="AE16" s="314">
        <f>SUMIFS('2021'!$I:$I,'2021'!$E:$E,Category!$B$4,'2021'!$N:$N,Category!AE$1,'2021'!$D:$D,Category!$C16)</f>
        <v>0</v>
      </c>
      <c r="AF16" s="314">
        <f>SUMIFS('2021'!$I:$I,'2021'!$E:$E,Category!$B$4,'2021'!$N:$N,Category!AF$1,'2021'!$D:$D,Category!$C16)</f>
        <v>0</v>
      </c>
      <c r="AG16" s="314">
        <f>SUMIFS('2021'!$I:$I,'2021'!$E:$E,Category!$B$4,'2021'!$N:$N,Category!AG$1,'2021'!$D:$D,Category!$C16)</f>
        <v>0</v>
      </c>
      <c r="AH16" s="314">
        <f>SUMIFS('2021'!$I:$I,'2021'!$E:$E,Category!$B$4,'2021'!$N:$N,Category!AH$1,'2021'!$D:$D,Category!$C16)</f>
        <v>0</v>
      </c>
      <c r="AI16" s="314">
        <f>SUMIFS('2021'!$I:$I,'2021'!$E:$E,Category!$B$4,'2021'!$N:$N,Category!AI$1,'2021'!$D:$D,Category!$C16)</f>
        <v>0</v>
      </c>
      <c r="AJ16" s="314">
        <f>SUMIFS('2021'!$I:$I,'2021'!$E:$E,Category!$B$4,'2021'!$N:$N,Category!AJ$1,'2021'!$D:$D,Category!$C16)</f>
        <v>0</v>
      </c>
      <c r="AK16" s="314">
        <f>SUMIFS('2021'!$I:$I,'2021'!$E:$E,Category!$B$4,'2021'!$N:$N,Category!AK$1,'2021'!$D:$D,Category!$C16)</f>
        <v>0</v>
      </c>
      <c r="AL16" s="315">
        <f t="shared" si="7"/>
        <v>0</v>
      </c>
      <c r="AM16" s="499">
        <f>IFERROR(VLOOKUP(C16,'2022'!$D:$G,4,0),0)</f>
        <v>0</v>
      </c>
      <c r="AN16" s="314">
        <f>SUMIFS('2022'!$I:$I,'2022'!$E:$E,Category!$B$4,'2022'!$N:$N,Category!AN$1,'2022'!$D:$D,Category!$C16)</f>
        <v>0</v>
      </c>
      <c r="AO16" s="314">
        <f>SUMIFS('2022'!$I:$I,'2022'!$E:$E,Category!$B$4,'2022'!$N:$N,Category!AO$1,'2022'!$D:$D,Category!$C16)</f>
        <v>0</v>
      </c>
      <c r="AP16" s="314">
        <f>SUMIFS('2022'!$I:$I,'2022'!$E:$E,Category!$B$4,'2022'!$N:$N,Category!AP$1,'2022'!$D:$D,Category!$C16)</f>
        <v>0</v>
      </c>
      <c r="AQ16" s="314">
        <f>SUMIFS('2022'!$I:$I,'2022'!$E:$E,Category!$B$4,'2022'!$N:$N,Category!AQ$1,'2022'!$D:$D,Category!$C16)</f>
        <v>0</v>
      </c>
      <c r="AR16" s="314">
        <f>SUMIFS('2022'!$I:$I,'2022'!$E:$E,Category!$B$4,'2022'!$N:$N,Category!AR$1,'2022'!$D:$D,Category!$C16)</f>
        <v>0</v>
      </c>
      <c r="AS16" s="314">
        <f>SUMIFS('2022'!$I:$I,'2022'!$E:$E,Category!$B$4,'2022'!$N:$N,Category!AS$1,'2022'!$D:$D,Category!$C16)</f>
        <v>0</v>
      </c>
      <c r="AT16" s="314">
        <f>SUMIFS('2022'!$I:$I,'2022'!$E:$E,Category!$B$4,'2022'!$N:$N,Category!AT$1,'2022'!$D:$D,Category!$C16)</f>
        <v>0</v>
      </c>
      <c r="AU16" s="314">
        <f>SUMIFS('2022'!$I:$I,'2022'!$E:$E,Category!$B$4,'2022'!$N:$N,Category!AU$1,'2022'!$D:$D,Category!$C16)</f>
        <v>0</v>
      </c>
      <c r="AV16" s="314">
        <f>SUMIFS('2022'!$I:$I,'2022'!$E:$E,Category!$B$4,'2022'!$N:$N,Category!AV$1,'2022'!$D:$D,Category!$C16)</f>
        <v>0</v>
      </c>
      <c r="AW16" s="314">
        <f>SUMIFS('2022'!$I:$I,'2022'!$E:$E,Category!$B$4,'2022'!$N:$N,Category!AW$1,'2022'!$D:$D,Category!$C16)</f>
        <v>0</v>
      </c>
      <c r="AX16" s="314">
        <f>SUMIFS('2022'!$I:$I,'2022'!$E:$E,Category!$B$4,'2022'!$N:$N,Category!AX$1,'2022'!$D:$D,Category!$C16)</f>
        <v>0</v>
      </c>
      <c r="AY16" s="314">
        <f>SUMIFS('2022'!$I:$I,'2022'!$E:$E,Category!$B$4,'2022'!$N:$N,Category!AY$1,'2022'!$D:$D,Category!$C16)</f>
        <v>0</v>
      </c>
      <c r="AZ16" s="315">
        <f t="shared" si="5"/>
        <v>0</v>
      </c>
      <c r="BA16" s="499">
        <f>IFERROR(VLOOKUP(C16,'2023'!$D:$G,4,0),0)</f>
        <v>0</v>
      </c>
      <c r="BB16" s="314">
        <f>SUMIFS('2023'!$I:$I,'2023'!$E:$E,Category!$B$4,'2023'!$N:$N,Category!BB$1,'2023'!$D:$D,Category!$C16)</f>
        <v>0</v>
      </c>
      <c r="BC16" s="314">
        <f>SUMIFS('2023'!$I:$I,'2023'!$E:$E,Category!$B$4,'2023'!$N:$N,Category!BC$1,'2023'!$D:$D,Category!$C16)</f>
        <v>0</v>
      </c>
      <c r="BD16" s="314">
        <f>SUMIFS('2023'!$I:$I,'2023'!$E:$E,Category!$B$4,'2023'!$N:$N,Category!BD$1,'2023'!$D:$D,Category!$C16)</f>
        <v>0</v>
      </c>
      <c r="BE16" s="314">
        <f>SUMIFS('2023'!$I:$I,'2023'!$E:$E,Category!$B$4,'2023'!$N:$N,Category!BE$1,'2023'!$D:$D,Category!$C16)</f>
        <v>0</v>
      </c>
      <c r="BF16" s="314">
        <f>SUMIFS('2023'!$I:$I,'2023'!$E:$E,Category!$B$4,'2023'!$N:$N,Category!BF$1,'2023'!$D:$D,Category!$C16)</f>
        <v>0</v>
      </c>
      <c r="BG16" s="314">
        <f>SUMIFS('2023'!$I:$I,'2023'!$E:$E,Category!$B$4,'2023'!$N:$N,Category!BG$1,'2023'!$D:$D,Category!$C16)</f>
        <v>0</v>
      </c>
      <c r="BH16" s="314">
        <f>SUMIFS('2023'!$I:$I,'2023'!$E:$E,Category!$B$4,'2023'!$N:$N,Category!BH$1,'2023'!$D:$D,Category!$C16)</f>
        <v>0</v>
      </c>
      <c r="BI16" s="314">
        <f>SUMIFS('2023'!$I:$I,'2023'!$E:$E,Category!$B$4,'2023'!$N:$N,Category!BI$1,'2023'!$D:$D,Category!$C16)</f>
        <v>0</v>
      </c>
      <c r="BJ16" s="314">
        <f>SUMIFS('2023'!$I:$I,'2023'!$E:$E,Category!$B$4,'2023'!$N:$N,Category!BJ$1,'2023'!$D:$D,Category!$C16)</f>
        <v>0</v>
      </c>
      <c r="BK16" s="314">
        <f>SUMIFS('2023'!$I:$I,'2023'!$E:$E,Category!$B$4,'2023'!$N:$N,Category!BK$1,'2023'!$D:$D,Category!$C16)</f>
        <v>0</v>
      </c>
      <c r="BL16" s="314">
        <f>SUMIFS('2023'!$I:$I,'2023'!$E:$E,Category!$B$4,'2023'!$N:$N,Category!BL$1,'2023'!$D:$D,Category!$C16)</f>
        <v>0</v>
      </c>
      <c r="BM16" s="314">
        <f>SUMIFS('2023'!$I:$I,'2023'!$E:$E,Category!$B$4,'2023'!$N:$N,Category!BM$1,'2023'!$D:$D,Category!$C16)</f>
        <v>0</v>
      </c>
      <c r="BN16" s="315">
        <f t="shared" si="6"/>
        <v>0</v>
      </c>
    </row>
    <row r="17" spans="1:75" x14ac:dyDescent="0.3">
      <c r="A17" s="312"/>
      <c r="B17" s="313"/>
      <c r="C17" s="313" t="s">
        <v>114</v>
      </c>
      <c r="D17" s="512">
        <f>IFERROR(VLOOKUP($C17,'2019'!$D:$G,4,0),0)</f>
        <v>84</v>
      </c>
      <c r="E17" s="314">
        <f>SUMIFS('2019'!$I:$I,'2019'!$E:$E,Category!$B$4,'2019'!$N:$N,Category!E$1,'2019'!$D:$D,Category!$C17)</f>
        <v>0</v>
      </c>
      <c r="F17" s="314">
        <f>SUMIFS('2019'!$I:$I,'2019'!$E:$E,Category!$B$4,'2019'!$N:$N,Category!F$1,'2019'!$D:$D,Category!$C17)</f>
        <v>0</v>
      </c>
      <c r="G17" s="314">
        <f>SUMIFS('2019'!$I:$I,'2019'!$E:$E,Category!$B$4,'2019'!$N:$N,Category!G$1,'2019'!$D:$D,Category!$C17)</f>
        <v>0</v>
      </c>
      <c r="H17" s="314">
        <f>SUMIFS('2019'!$I:$I,'2019'!$E:$E,Category!$B$4,'2019'!$N:$N,Category!H$1,'2019'!$D:$D,Category!$C17)</f>
        <v>89232000</v>
      </c>
      <c r="I17" s="314">
        <f>SUMIFS('2019'!$I:$I,'2019'!$E:$E,Category!$B$4,'2019'!$N:$N,Category!I$1,'2019'!$D:$D,Category!$C17)</f>
        <v>0</v>
      </c>
      <c r="J17" s="315">
        <f t="shared" si="3"/>
        <v>89232000</v>
      </c>
      <c r="K17" s="499">
        <f>IFERROR(VLOOKUP($C17,'2020'!$D:$G,4,0),0)</f>
        <v>115</v>
      </c>
      <c r="L17" s="314">
        <f>SUMIFS('2020'!$I:$I,'2020'!$E:$E,Category!$B$4,'2020'!$N:$N,Category!L$1,'2020'!$D:$D,Category!$C17)</f>
        <v>0</v>
      </c>
      <c r="M17" s="314">
        <f>SUMIFS('2020'!$I:$I,'2020'!$E:$E,Category!$B$4,'2020'!$N:$N,Category!M$1,'2020'!$D:$D,Category!$C17)</f>
        <v>0</v>
      </c>
      <c r="N17" s="314">
        <f>SUMIFS('2020'!$I:$I,'2020'!$E:$E,Category!$B$4,'2020'!$N:$N,Category!N$1,'2020'!$D:$D,Category!$C17)</f>
        <v>0</v>
      </c>
      <c r="O17" s="314">
        <f>SUMIFS('2020'!$I:$I,'2020'!$E:$E,Category!$B$4,'2020'!$N:$N,Category!O$1,'2020'!$D:$D,Category!$C17)</f>
        <v>0</v>
      </c>
      <c r="P17" s="314">
        <f>SUMIFS('2020'!$I:$I,'2020'!$E:$E,Category!$B$4,'2020'!$N:$N,Category!P$1,'2020'!$D:$D,Category!$C17)</f>
        <v>0</v>
      </c>
      <c r="Q17" s="314">
        <f>SUMIFS('2020'!$I:$I,'2020'!$E:$E,Category!$B$4,'2020'!$N:$N,Category!Q$1,'2020'!$D:$D,Category!$C17)</f>
        <v>0</v>
      </c>
      <c r="R17" s="314">
        <f>SUMIFS('2020'!$I:$I,'2020'!$E:$E,Category!$B$4,'2020'!$N:$N,Category!R$1,'2020'!$D:$D,Category!$C17)</f>
        <v>0</v>
      </c>
      <c r="S17" s="314">
        <f>SUMIFS('2020'!$I:$I,'2020'!$E:$E,Category!$B$4,'2020'!$N:$N,Category!S$1,'2020'!$D:$D,Category!$C17)</f>
        <v>0</v>
      </c>
      <c r="T17" s="314">
        <f>SUMIFS('2020'!$I:$I,'2020'!$E:$E,Category!$B$4,'2020'!$N:$N,Category!T$1,'2020'!$D:$D,Category!$C17)</f>
        <v>0</v>
      </c>
      <c r="U17" s="314">
        <f>SUMIFS('2020'!$I:$I,'2020'!$E:$E,Category!$B$4,'2020'!$N:$N,Category!U$1,'2020'!$D:$D,Category!$C17)</f>
        <v>0</v>
      </c>
      <c r="V17" s="314">
        <f>SUMIFS('2020'!$I:$I,'2020'!$E:$E,Category!$B$4,'2020'!$N:$N,Category!V$1,'2020'!$D:$D,Category!$C17)</f>
        <v>94250000</v>
      </c>
      <c r="W17" s="314">
        <f>SUMIFS('2020'!$I:$I,'2020'!$E:$E,Category!$B$4,'2020'!$N:$N,Category!W$1,'2020'!$D:$D,Category!$C17)</f>
        <v>0</v>
      </c>
      <c r="X17" s="315">
        <f t="shared" si="4"/>
        <v>94250000</v>
      </c>
      <c r="Y17" s="499">
        <f>IFERROR(VLOOKUP(C17,'2021'!$D:$G,4,0),0)</f>
        <v>0</v>
      </c>
      <c r="Z17" s="314">
        <f>SUMIFS('2021'!$I:$I,'2021'!$E:$E,Category!$B$4,'2021'!$N:$N,Category!Z$1,'2021'!$D:$D,Category!$C17)</f>
        <v>0</v>
      </c>
      <c r="AA17" s="314">
        <f>SUMIFS('2021'!$I:$I,'2021'!$E:$E,Category!$B$4,'2021'!$N:$N,Category!AA$1,'2021'!$D:$D,Category!$C17)</f>
        <v>0</v>
      </c>
      <c r="AB17" s="314">
        <f>SUMIFS('2021'!$I:$I,'2021'!$E:$E,Category!$B$4,'2021'!$N:$N,Category!AB$1,'2021'!$D:$D,Category!$C17)</f>
        <v>0</v>
      </c>
      <c r="AC17" s="314">
        <f>SUMIFS('2021'!$I:$I,'2021'!$E:$E,Category!$B$4,'2021'!$N:$N,Category!AC$1,'2021'!$D:$D,Category!$C17)</f>
        <v>0</v>
      </c>
      <c r="AD17" s="314">
        <f>SUMIFS('2021'!$I:$I,'2021'!$E:$E,Category!$B$4,'2021'!$N:$N,Category!AD$1,'2021'!$D:$D,Category!$C17)</f>
        <v>0</v>
      </c>
      <c r="AE17" s="314">
        <f>SUMIFS('2021'!$I:$I,'2021'!$E:$E,Category!$B$4,'2021'!$N:$N,Category!AE$1,'2021'!$D:$D,Category!$C17)</f>
        <v>0</v>
      </c>
      <c r="AF17" s="314">
        <f>SUMIFS('2021'!$I:$I,'2021'!$E:$E,Category!$B$4,'2021'!$N:$N,Category!AF$1,'2021'!$D:$D,Category!$C17)</f>
        <v>0</v>
      </c>
      <c r="AG17" s="314">
        <f>SUMIFS('2021'!$I:$I,'2021'!$E:$E,Category!$B$4,'2021'!$N:$N,Category!AG$1,'2021'!$D:$D,Category!$C17)</f>
        <v>0</v>
      </c>
      <c r="AH17" s="314">
        <f>SUMIFS('2021'!$I:$I,'2021'!$E:$E,Category!$B$4,'2021'!$N:$N,Category!AH$1,'2021'!$D:$D,Category!$C17)</f>
        <v>0</v>
      </c>
      <c r="AI17" s="314">
        <f>SUMIFS('2021'!$I:$I,'2021'!$E:$E,Category!$B$4,'2021'!$N:$N,Category!AI$1,'2021'!$D:$D,Category!$C17)</f>
        <v>0</v>
      </c>
      <c r="AJ17" s="314">
        <f>SUMIFS('2021'!$I:$I,'2021'!$E:$E,Category!$B$4,'2021'!$N:$N,Category!AJ$1,'2021'!$D:$D,Category!$C17)</f>
        <v>0</v>
      </c>
      <c r="AK17" s="314">
        <f>SUMIFS('2021'!$I:$I,'2021'!$E:$E,Category!$B$4,'2021'!$N:$N,Category!AK$1,'2021'!$D:$D,Category!$C17)</f>
        <v>0</v>
      </c>
      <c r="AL17" s="315">
        <f t="shared" si="7"/>
        <v>0</v>
      </c>
      <c r="AM17" s="499">
        <f>IFERROR(VLOOKUP(C17,'2022'!$D:$G,4,0),0)</f>
        <v>0</v>
      </c>
      <c r="AN17" s="314">
        <f>SUMIFS('2022'!$I:$I,'2022'!$E:$E,Category!$B$4,'2022'!$N:$N,Category!AN$1,'2022'!$D:$D,Category!$C17)</f>
        <v>0</v>
      </c>
      <c r="AO17" s="314">
        <f>SUMIFS('2022'!$I:$I,'2022'!$E:$E,Category!$B$4,'2022'!$N:$N,Category!AO$1,'2022'!$D:$D,Category!$C17)</f>
        <v>11875000</v>
      </c>
      <c r="AP17" s="314">
        <f>SUMIFS('2022'!$I:$I,'2022'!$E:$E,Category!$B$4,'2022'!$N:$N,Category!AP$1,'2022'!$D:$D,Category!$C17)</f>
        <v>11875000</v>
      </c>
      <c r="AQ17" s="314">
        <v>11875000</v>
      </c>
      <c r="AR17" s="314">
        <f>SUMIFS('2022'!$I:$I,'2022'!$E:$E,Category!$B$4,'2022'!$N:$N,Category!AR$1,'2022'!$D:$D,Category!$C17)</f>
        <v>11875000</v>
      </c>
      <c r="AS17" s="314">
        <f>SUMIFS('2022'!$I:$I,'2022'!$E:$E,Category!$B$4,'2022'!$N:$N,Category!AS$1,'2022'!$D:$D,Category!$C17)</f>
        <v>11875000</v>
      </c>
      <c r="AT17" s="314">
        <f>SUMIFS('2022'!$I:$I,'2022'!$E:$E,Category!$B$4,'2022'!$N:$N,Category!AT$1,'2022'!$D:$D,Category!$C17)</f>
        <v>0</v>
      </c>
      <c r="AU17" s="314">
        <f>SUMIFS('2022'!$I:$I,'2022'!$E:$E,Category!$B$4,'2022'!$N:$N,Category!AU$1,'2022'!$D:$D,Category!$C17)</f>
        <v>0</v>
      </c>
      <c r="AV17" s="314">
        <f>SUMIFS('2022'!$I:$I,'2022'!$E:$E,Category!$B$4,'2022'!$N:$N,Category!AV$1,'2022'!$D:$D,Category!$C17)</f>
        <v>0</v>
      </c>
      <c r="AW17" s="314">
        <f>SUMIFS('2022'!$I:$I,'2022'!$E:$E,Category!$B$4,'2022'!$N:$N,Category!AW$1,'2022'!$D:$D,Category!$C17)</f>
        <v>0</v>
      </c>
      <c r="AX17" s="314">
        <f>SUMIFS('2022'!$I:$I,'2022'!$E:$E,Category!$B$4,'2022'!$N:$N,Category!AX$1,'2022'!$D:$D,Category!$C17)</f>
        <v>0</v>
      </c>
      <c r="AY17" s="314">
        <f>SUMIFS('2022'!$I:$I,'2022'!$E:$E,Category!$B$4,'2022'!$N:$N,Category!AY$1,'2022'!$D:$D,Category!$C17)</f>
        <v>0</v>
      </c>
      <c r="AZ17" s="315">
        <f t="shared" si="5"/>
        <v>59375000</v>
      </c>
      <c r="BA17" s="499">
        <f>IFERROR(VLOOKUP(C17,'2023'!$D:$G,4,0),0)</f>
        <v>0</v>
      </c>
      <c r="BB17" s="314">
        <f>SUMIFS('2023'!$I:$I,'2023'!$E:$E,Category!$B$4,'2023'!$N:$N,Category!BB$1,'2023'!$D:$D,Category!$C17)</f>
        <v>0</v>
      </c>
      <c r="BC17" s="314">
        <f>SUMIFS('2023'!$I:$I,'2023'!$E:$E,Category!$B$4,'2023'!$N:$N,Category!BC$1,'2023'!$D:$D,Category!$C17)</f>
        <v>0</v>
      </c>
      <c r="BD17" s="314">
        <f>SUMIFS('2023'!$I:$I,'2023'!$E:$E,Category!$B$4,'2023'!$N:$N,Category!BD$1,'2023'!$D:$D,Category!$C17)</f>
        <v>0</v>
      </c>
      <c r="BE17" s="314">
        <f>SUMIFS('2023'!$I:$I,'2023'!$E:$E,Category!$B$4,'2023'!$N:$N,Category!BE$1,'2023'!$D:$D,Category!$C17)</f>
        <v>0</v>
      </c>
      <c r="BF17" s="314">
        <f>SUMIFS('2023'!$I:$I,'2023'!$E:$E,Category!$B$4,'2023'!$N:$N,Category!BF$1,'2023'!$D:$D,Category!$C17)</f>
        <v>0</v>
      </c>
      <c r="BG17" s="314">
        <f>SUMIFS('2023'!$I:$I,'2023'!$E:$E,Category!$B$4,'2023'!$N:$N,Category!BG$1,'2023'!$D:$D,Category!$C17)</f>
        <v>0</v>
      </c>
      <c r="BH17" s="314">
        <f>SUMIFS('2023'!$I:$I,'2023'!$E:$E,Category!$B$4,'2023'!$N:$N,Category!BH$1,'2023'!$D:$D,Category!$C17)</f>
        <v>0</v>
      </c>
      <c r="BI17" s="314">
        <f>SUMIFS('2023'!$I:$I,'2023'!$E:$E,Category!$B$4,'2023'!$N:$N,Category!BI$1,'2023'!$D:$D,Category!$C17)</f>
        <v>0</v>
      </c>
      <c r="BJ17" s="314">
        <f>SUMIFS('2023'!$I:$I,'2023'!$E:$E,Category!$B$4,'2023'!$N:$N,Category!BJ$1,'2023'!$D:$D,Category!$C17)</f>
        <v>0</v>
      </c>
      <c r="BK17" s="314">
        <f>SUMIFS('2023'!$I:$I,'2023'!$E:$E,Category!$B$4,'2023'!$N:$N,Category!BK$1,'2023'!$D:$D,Category!$C17)</f>
        <v>0</v>
      </c>
      <c r="BL17" s="314">
        <f>SUMIFS('2023'!$I:$I,'2023'!$E:$E,Category!$B$4,'2023'!$N:$N,Category!BL$1,'2023'!$D:$D,Category!$C17)</f>
        <v>0</v>
      </c>
      <c r="BM17" s="314">
        <f>SUMIFS('2023'!$I:$I,'2023'!$E:$E,Category!$B$4,'2023'!$N:$N,Category!BM$1,'2023'!$D:$D,Category!$C17)</f>
        <v>0</v>
      </c>
      <c r="BN17" s="315">
        <f t="shared" si="6"/>
        <v>0</v>
      </c>
    </row>
    <row r="18" spans="1:75" x14ac:dyDescent="0.3">
      <c r="A18" s="312"/>
      <c r="B18" s="313"/>
      <c r="C18" s="313" t="s">
        <v>129</v>
      </c>
      <c r="D18" s="512">
        <f>IFERROR(VLOOKUP($C18,'2019'!$D:$G,4,0),0)</f>
        <v>0</v>
      </c>
      <c r="E18" s="314">
        <f>SUMIFS('2019'!$I:$I,'2019'!$E:$E,Category!$B$4,'2019'!$N:$N,Category!E$1,'2019'!$D:$D,Category!$C18)</f>
        <v>0</v>
      </c>
      <c r="F18" s="314">
        <f>SUMIFS('2019'!$I:$I,'2019'!$E:$E,Category!$B$4,'2019'!$N:$N,Category!F$1,'2019'!$D:$D,Category!$C18)</f>
        <v>0</v>
      </c>
      <c r="G18" s="314">
        <f>SUMIFS('2019'!$I:$I,'2019'!$E:$E,Category!$B$4,'2019'!$N:$N,Category!G$1,'2019'!$D:$D,Category!$C18)</f>
        <v>0</v>
      </c>
      <c r="H18" s="314">
        <f>SUMIFS('2019'!$I:$I,'2019'!$E:$E,Category!$B$4,'2019'!$N:$N,Category!H$1,'2019'!$D:$D,Category!$C18)</f>
        <v>0</v>
      </c>
      <c r="I18" s="314">
        <f>SUMIFS('2019'!$I:$I,'2019'!$E:$E,Category!$B$4,'2019'!$N:$N,Category!I$1,'2019'!$D:$D,Category!$C18)</f>
        <v>0</v>
      </c>
      <c r="J18" s="315">
        <f t="shared" si="3"/>
        <v>0</v>
      </c>
      <c r="K18" s="499">
        <f>IFERROR(VLOOKUP($C18,'2020'!$D:$G,4,0),0)</f>
        <v>32</v>
      </c>
      <c r="L18" s="314">
        <f>SUMIFS('2020'!$I:$I,'2020'!$E:$E,Category!$B$4,'2020'!$N:$N,Category!L$1,'2020'!$D:$D,Category!$C18)</f>
        <v>0</v>
      </c>
      <c r="M18" s="314">
        <f>SUMIFS('2020'!$I:$I,'2020'!$E:$E,Category!$B$4,'2020'!$N:$N,Category!M$1,'2020'!$D:$D,Category!$C18)</f>
        <v>0</v>
      </c>
      <c r="N18" s="314">
        <f>SUMIFS('2020'!$I:$I,'2020'!$E:$E,Category!$B$4,'2020'!$N:$N,Category!N$1,'2020'!$D:$D,Category!$C18)</f>
        <v>0</v>
      </c>
      <c r="O18" s="314">
        <f>SUMIFS('2020'!$I:$I,'2020'!$E:$E,Category!$B$4,'2020'!$N:$N,Category!O$1,'2020'!$D:$D,Category!$C18)</f>
        <v>0</v>
      </c>
      <c r="P18" s="314">
        <f>SUMIFS('2020'!$I:$I,'2020'!$E:$E,Category!$B$4,'2020'!$N:$N,Category!P$1,'2020'!$D:$D,Category!$C18)</f>
        <v>0</v>
      </c>
      <c r="Q18" s="314">
        <f>SUMIFS('2020'!$I:$I,'2020'!$E:$E,Category!$B$4,'2020'!$N:$N,Category!Q$1,'2020'!$D:$D,Category!$C18)</f>
        <v>0</v>
      </c>
      <c r="R18" s="314">
        <f>SUMIFS('2020'!$I:$I,'2020'!$E:$E,Category!$B$4,'2020'!$N:$N,Category!R$1,'2020'!$D:$D,Category!$C18)</f>
        <v>0</v>
      </c>
      <c r="S18" s="314">
        <f>SUMIFS('2020'!$I:$I,'2020'!$E:$E,Category!$B$4,'2020'!$N:$N,Category!S$1,'2020'!$D:$D,Category!$C18)</f>
        <v>0</v>
      </c>
      <c r="T18" s="314">
        <f>SUMIFS('2020'!$I:$I,'2020'!$E:$E,Category!$B$4,'2020'!$N:$N,Category!T$1,'2020'!$D:$D,Category!$C18)</f>
        <v>0</v>
      </c>
      <c r="U18" s="314">
        <f>SUMIFS('2020'!$I:$I,'2020'!$E:$E,Category!$B$4,'2020'!$N:$N,Category!U$1,'2020'!$D:$D,Category!$C18)</f>
        <v>0</v>
      </c>
      <c r="V18" s="314">
        <f>SUMIFS('2020'!$I:$I,'2020'!$E:$E,Category!$B$4,'2020'!$N:$N,Category!V$1,'2020'!$D:$D,Category!$C18)</f>
        <v>16160000</v>
      </c>
      <c r="W18" s="314">
        <f>SUMIFS('2020'!$I:$I,'2020'!$E:$E,Category!$B$4,'2020'!$N:$N,Category!W$1,'2020'!$D:$D,Category!$C18)</f>
        <v>0</v>
      </c>
      <c r="X18" s="315">
        <f t="shared" si="4"/>
        <v>16160000</v>
      </c>
      <c r="Y18" s="499">
        <f>IFERROR(VLOOKUP(C18,'2021'!$D:$G,4,0),0)</f>
        <v>32</v>
      </c>
      <c r="Z18" s="314">
        <f>SUMIFS('2021'!$I:$I,'2021'!$E:$E,Category!$B$4,'2021'!$N:$N,Category!Z$1,'2021'!$D:$D,Category!$C18)</f>
        <v>0</v>
      </c>
      <c r="AA18" s="314">
        <f>SUMIFS('2021'!$I:$I,'2021'!$E:$E,Category!$B$4,'2021'!$N:$N,Category!AA$1,'2021'!$D:$D,Category!$C18)</f>
        <v>0</v>
      </c>
      <c r="AB18" s="314">
        <f>SUMIFS('2021'!$I:$I,'2021'!$E:$E,Category!$B$4,'2021'!$N:$N,Category!AB$1,'2021'!$D:$D,Category!$C18)</f>
        <v>0</v>
      </c>
      <c r="AC18" s="314">
        <f>SUMIFS('2021'!$I:$I,'2021'!$E:$E,Category!$B$4,'2021'!$N:$N,Category!AC$1,'2021'!$D:$D,Category!$C18)</f>
        <v>0</v>
      </c>
      <c r="AD18" s="314">
        <f>SUMIFS('2021'!$I:$I,'2021'!$E:$E,Category!$B$4,'2021'!$N:$N,Category!AD$1,'2021'!$D:$D,Category!$C18)</f>
        <v>0</v>
      </c>
      <c r="AE18" s="314">
        <f>SUMIFS('2021'!$I:$I,'2021'!$E:$E,Category!$B$4,'2021'!$N:$N,Category!AE$1,'2021'!$D:$D,Category!$C18)</f>
        <v>0</v>
      </c>
      <c r="AF18" s="314">
        <f>SUMIFS('2021'!$I:$I,'2021'!$E:$E,Category!$B$4,'2021'!$N:$N,Category!AF$1,'2021'!$D:$D,Category!$C18)</f>
        <v>0</v>
      </c>
      <c r="AG18" s="314">
        <f>SUMIFS('2021'!$I:$I,'2021'!$E:$E,Category!$B$4,'2021'!$N:$N,Category!AG$1,'2021'!$D:$D,Category!$C18)</f>
        <v>0</v>
      </c>
      <c r="AH18" s="314">
        <f>SUMIFS('2021'!$I:$I,'2021'!$E:$E,Category!$B$4,'2021'!$N:$N,Category!AH$1,'2021'!$D:$D,Category!$C18)</f>
        <v>16110000</v>
      </c>
      <c r="AI18" s="314">
        <f>SUMIFS('2021'!$I:$I,'2021'!$E:$E,Category!$B$4,'2021'!$N:$N,Category!AI$1,'2021'!$D:$D,Category!$C18)</f>
        <v>7950000</v>
      </c>
      <c r="AJ18" s="314">
        <f>SUMIFS('2021'!$I:$I,'2021'!$E:$E,Category!$B$4,'2021'!$N:$N,Category!AJ$1,'2021'!$D:$D,Category!$C18)</f>
        <v>7950000</v>
      </c>
      <c r="AK18" s="314">
        <f>SUMIFS('2021'!$I:$I,'2021'!$E:$E,Category!$B$4,'2021'!$N:$N,Category!AK$1,'2021'!$D:$D,Category!$C18)</f>
        <v>7950000</v>
      </c>
      <c r="AL18" s="315">
        <f t="shared" si="7"/>
        <v>39960000</v>
      </c>
      <c r="AM18" s="499">
        <f>IFERROR(VLOOKUP(C18,'2022'!$D:$G,4,0),0)</f>
        <v>32</v>
      </c>
      <c r="AN18" s="314">
        <f>SUMIFS('2022'!$I:$I,'2022'!$E:$E,Category!$B$4,'2022'!$N:$N,Category!AN$1,'2022'!$D:$D,Category!$C18)</f>
        <v>7950000</v>
      </c>
      <c r="AO18" s="314">
        <f>SUMIFS('2022'!$I:$I,'2022'!$E:$E,Category!$B$4,'2022'!$N:$N,Category!AO$1,'2022'!$D:$D,Category!$C18)</f>
        <v>7950000</v>
      </c>
      <c r="AP18" s="314">
        <f>SUMIFS('2022'!$I:$I,'2022'!$E:$E,Category!$B$4,'2022'!$N:$N,Category!AP$1,'2022'!$D:$D,Category!$C18)</f>
        <v>7950000</v>
      </c>
      <c r="AQ18" s="314">
        <f>'2022'!$I$302</f>
        <v>7950000</v>
      </c>
      <c r="AR18" s="314">
        <f>SUMIFS('2022'!$I:$I,'2022'!$E:$E,Category!$B$4,'2022'!$N:$N,Category!AR$1,'2022'!$D:$D,Category!$C18)</f>
        <v>7950000</v>
      </c>
      <c r="AS18" s="314">
        <f>SUMIFS('2022'!$I:$I,'2022'!$E:$E,Category!$B$4,'2022'!$N:$N,Category!AS$1,'2022'!$D:$D,Category!$C18)</f>
        <v>7950000</v>
      </c>
      <c r="AT18" s="314">
        <f>SUMIFS('2022'!$I:$I,'2022'!$E:$E,Category!$B$4,'2022'!$N:$N,Category!AT$1,'2022'!$D:$D,Category!$C18)</f>
        <v>0</v>
      </c>
      <c r="AU18" s="314">
        <f>SUMIFS('2022'!$I:$I,'2022'!$E:$E,Category!$B$4,'2022'!$N:$N,Category!AU$1,'2022'!$D:$D,Category!$C18)</f>
        <v>0</v>
      </c>
      <c r="AV18" s="314">
        <f>SUMIFS('2022'!$I:$I,'2022'!$E:$E,Category!$B$4,'2022'!$N:$N,Category!AV$1,'2022'!$D:$D,Category!$C18)</f>
        <v>20400000</v>
      </c>
      <c r="AW18" s="314">
        <f>SUMIFS('2022'!$I:$I,'2022'!$E:$E,Category!$B$4,'2022'!$N:$N,Category!AW$1,'2022'!$D:$D,Category!$C18)</f>
        <v>0</v>
      </c>
      <c r="AX18" s="314">
        <f>SUMIFS('2022'!$I:$I,'2022'!$E:$E,Category!$B$4,'2022'!$N:$N,Category!AX$1,'2022'!$D:$D,Category!$C18)</f>
        <v>20400000</v>
      </c>
      <c r="AY18" s="314">
        <f>SUMIFS('2022'!$I:$I,'2022'!$E:$E,Category!$B$4,'2022'!$N:$N,Category!AY$1,'2022'!$D:$D,Category!$C18)</f>
        <v>10200000</v>
      </c>
      <c r="AZ18" s="315">
        <f t="shared" si="5"/>
        <v>98700000</v>
      </c>
      <c r="BA18" s="499">
        <f>IFERROR(VLOOKUP(C18,'2023'!$D:$G,4,0),0)</f>
        <v>40</v>
      </c>
      <c r="BB18" s="314">
        <f>SUMIFS('2023'!$I:$I,'2023'!$E:$E,Category!$B$4,'2023'!$N:$N,Category!BB$1,'2023'!$D:$D,Category!$C18)</f>
        <v>10200000</v>
      </c>
      <c r="BC18" s="314">
        <f>SUMIFS('2023'!$I:$I,'2023'!$E:$E,Category!$B$4,'2023'!$N:$N,Category!BC$1,'2023'!$D:$D,Category!$C18)</f>
        <v>10200000</v>
      </c>
      <c r="BD18" s="314">
        <f>SUMIFS('2023'!$I:$I,'2023'!$E:$E,Category!$B$4,'2023'!$N:$N,Category!BD$1,'2023'!$D:$D,Category!$C18)</f>
        <v>0</v>
      </c>
      <c r="BE18" s="314">
        <f>SUMIFS('2023'!$I:$I,'2023'!$E:$E,Category!$B$4,'2023'!$N:$N,Category!BE$1,'2023'!$D:$D,Category!$C18)</f>
        <v>0</v>
      </c>
      <c r="BF18" s="314">
        <f>SUMIFS('2023'!$I:$I,'2023'!$E:$E,Category!$B$4,'2023'!$N:$N,Category!BF$1,'2023'!$D:$D,Category!$C18)</f>
        <v>0</v>
      </c>
      <c r="BG18" s="314">
        <f>SUMIFS('2023'!$I:$I,'2023'!$E:$E,Category!$B$4,'2023'!$N:$N,Category!BG$1,'2023'!$D:$D,Category!$C18)</f>
        <v>0</v>
      </c>
      <c r="BH18" s="314">
        <f>SUMIFS('2023'!$I:$I,'2023'!$E:$E,Category!$B$4,'2023'!$N:$N,Category!BH$1,'2023'!$D:$D,Category!$C18)</f>
        <v>0</v>
      </c>
      <c r="BI18" s="314">
        <f>SUMIFS('2023'!$I:$I,'2023'!$E:$E,Category!$B$4,'2023'!$N:$N,Category!BI$1,'2023'!$D:$D,Category!$C18)</f>
        <v>0</v>
      </c>
      <c r="BJ18" s="314">
        <f>SUMIFS('2023'!$I:$I,'2023'!$E:$E,Category!$B$4,'2023'!$N:$N,Category!BJ$1,'2023'!$D:$D,Category!$C18)</f>
        <v>0</v>
      </c>
      <c r="BK18" s="314">
        <f>SUMIFS('2023'!$I:$I,'2023'!$E:$E,Category!$B$4,'2023'!$N:$N,Category!BK$1,'2023'!$D:$D,Category!$C18)</f>
        <v>0</v>
      </c>
      <c r="BL18" s="314">
        <f>SUMIFS('2023'!$I:$I,'2023'!$E:$E,Category!$B$4,'2023'!$N:$N,Category!BL$1,'2023'!$D:$D,Category!$C18)</f>
        <v>0</v>
      </c>
      <c r="BM18" s="314">
        <f>SUMIFS('2023'!$I:$I,'2023'!$E:$E,Category!$B$4,'2023'!$N:$N,Category!BM$1,'2023'!$D:$D,Category!$C18)</f>
        <v>0</v>
      </c>
      <c r="BN18" s="315">
        <f t="shared" si="6"/>
        <v>20400000</v>
      </c>
    </row>
    <row r="19" spans="1:75" x14ac:dyDescent="0.3">
      <c r="A19" s="312"/>
      <c r="B19" s="313"/>
      <c r="C19" s="313" t="s">
        <v>106</v>
      </c>
      <c r="D19" s="512">
        <f>IFERROR(VLOOKUP($C19,'2019'!$D:$G,4,0),0)</f>
        <v>0</v>
      </c>
      <c r="E19" s="314">
        <f>SUMIFS('2019'!$I:$I,'2019'!$E:$E,Category!$B$4,'2019'!$N:$N,Category!E$1,'2019'!$D:$D,Category!$C19)</f>
        <v>0</v>
      </c>
      <c r="F19" s="314">
        <f>SUMIFS('2019'!$I:$I,'2019'!$E:$E,Category!$B$4,'2019'!$N:$N,Category!F$1,'2019'!$D:$D,Category!$C19)</f>
        <v>0</v>
      </c>
      <c r="G19" s="314">
        <f>SUMIFS('2019'!$I:$I,'2019'!$E:$E,Category!$B$4,'2019'!$N:$N,Category!G$1,'2019'!$D:$D,Category!$C19)</f>
        <v>5500000</v>
      </c>
      <c r="H19" s="314">
        <f>SUMIFS('2019'!$I:$I,'2019'!$E:$E,Category!$B$4,'2019'!$N:$N,Category!H$1,'2019'!$D:$D,Category!$C19)</f>
        <v>0</v>
      </c>
      <c r="I19" s="314">
        <f>SUMIFS('2019'!$I:$I,'2019'!$E:$E,Category!$B$4,'2019'!$N:$N,Category!I$1,'2019'!$D:$D,Category!$C19)</f>
        <v>0</v>
      </c>
      <c r="J19" s="315">
        <f t="shared" si="3"/>
        <v>5500000</v>
      </c>
      <c r="K19" s="499">
        <f>IFERROR(VLOOKUP($C19,'2020'!$D:$G,4,0),0)</f>
        <v>6</v>
      </c>
      <c r="L19" s="314">
        <f>SUMIFS('2020'!$I:$I,'2020'!$E:$E,Category!$B$4,'2020'!$N:$N,Category!L$1,'2020'!$D:$D,Category!$C19)</f>
        <v>0</v>
      </c>
      <c r="M19" s="314">
        <f>SUMIFS('2020'!$I:$I,'2020'!$E:$E,Category!$B$4,'2020'!$N:$N,Category!M$1,'2020'!$D:$D,Category!$C19)</f>
        <v>0</v>
      </c>
      <c r="N19" s="314">
        <f>SUMIFS('2020'!$I:$I,'2020'!$E:$E,Category!$B$4,'2020'!$N:$N,Category!N$1,'2020'!$D:$D,Category!$C19)</f>
        <v>0</v>
      </c>
      <c r="O19" s="314">
        <f>SUMIFS('2020'!$I:$I,'2020'!$E:$E,Category!$B$4,'2020'!$N:$N,Category!O$1,'2020'!$D:$D,Category!$C19)</f>
        <v>0</v>
      </c>
      <c r="P19" s="314">
        <f>SUMIFS('2020'!$I:$I,'2020'!$E:$E,Category!$B$4,'2020'!$N:$N,Category!P$1,'2020'!$D:$D,Category!$C19)</f>
        <v>0</v>
      </c>
      <c r="Q19" s="314">
        <f>SUMIFS('2020'!$I:$I,'2020'!$E:$E,Category!$B$4,'2020'!$N:$N,Category!Q$1,'2020'!$D:$D,Category!$C19)</f>
        <v>0</v>
      </c>
      <c r="R19" s="314">
        <f>SUMIFS('2020'!$I:$I,'2020'!$E:$E,Category!$B$4,'2020'!$N:$N,Category!R$1,'2020'!$D:$D,Category!$C19)</f>
        <v>0</v>
      </c>
      <c r="S19" s="314">
        <f>SUMIFS('2020'!$I:$I,'2020'!$E:$E,Category!$B$4,'2020'!$N:$N,Category!S$1,'2020'!$D:$D,Category!$C19)</f>
        <v>0</v>
      </c>
      <c r="T19" s="314">
        <f>SUMIFS('2020'!$I:$I,'2020'!$E:$E,Category!$B$4,'2020'!$N:$N,Category!T$1,'2020'!$D:$D,Category!$C19)</f>
        <v>0</v>
      </c>
      <c r="U19" s="314">
        <f>SUMIFS('2020'!$I:$I,'2020'!$E:$E,Category!$B$4,'2020'!$N:$N,Category!U$1,'2020'!$D:$D,Category!$C19)</f>
        <v>0</v>
      </c>
      <c r="V19" s="314">
        <f>SUMIFS('2020'!$I:$I,'2020'!$E:$E,Category!$B$4,'2020'!$N:$N,Category!V$1,'2020'!$D:$D,Category!$C19)</f>
        <v>0</v>
      </c>
      <c r="W19" s="314">
        <f>SUMIFS('2020'!$I:$I,'2020'!$E:$E,Category!$B$4,'2020'!$N:$N,Category!W$1,'2020'!$D:$D,Category!$C19)</f>
        <v>0</v>
      </c>
      <c r="X19" s="315">
        <f t="shared" si="4"/>
        <v>0</v>
      </c>
      <c r="Y19" s="499">
        <f>IFERROR(VLOOKUP(C19,'2021'!$D:$G,4,0),0)</f>
        <v>0</v>
      </c>
      <c r="Z19" s="314">
        <f>SUMIFS('2021'!$I:$I,'2021'!$E:$E,Category!$B$4,'2021'!$N:$N,Category!Z$1,'2021'!$D:$D,Category!$C19)</f>
        <v>0</v>
      </c>
      <c r="AA19" s="314">
        <f>SUMIFS('2021'!$I:$I,'2021'!$E:$E,Category!$B$4,'2021'!$N:$N,Category!AA$1,'2021'!$D:$D,Category!$C19)</f>
        <v>0</v>
      </c>
      <c r="AB19" s="314">
        <f>SUMIFS('2021'!$I:$I,'2021'!$E:$E,Category!$B$4,'2021'!$N:$N,Category!AB$1,'2021'!$D:$D,Category!$C19)</f>
        <v>0</v>
      </c>
      <c r="AC19" s="314">
        <f>SUMIFS('2021'!$I:$I,'2021'!$E:$E,Category!$B$4,'2021'!$N:$N,Category!AC$1,'2021'!$D:$D,Category!$C19)</f>
        <v>0</v>
      </c>
      <c r="AD19" s="314">
        <f>SUMIFS('2021'!$I:$I,'2021'!$E:$E,Category!$B$4,'2021'!$N:$N,Category!AD$1,'2021'!$D:$D,Category!$C19)</f>
        <v>0</v>
      </c>
      <c r="AE19" s="314">
        <f>SUMIFS('2021'!$I:$I,'2021'!$E:$E,Category!$B$4,'2021'!$N:$N,Category!AE$1,'2021'!$D:$D,Category!$C19)</f>
        <v>0</v>
      </c>
      <c r="AF19" s="314">
        <f>SUMIFS('2021'!$I:$I,'2021'!$E:$E,Category!$B$4,'2021'!$N:$N,Category!AF$1,'2021'!$D:$D,Category!$C19)</f>
        <v>0</v>
      </c>
      <c r="AG19" s="314"/>
      <c r="AH19" s="314"/>
      <c r="AI19" s="314"/>
      <c r="AJ19" s="314"/>
      <c r="AK19" s="314">
        <f>SUMIFS('2021'!$I:$I,'2021'!$E:$E,Category!$B$4,'2021'!$N:$N,Category!AK$1,'2021'!$D:$D,Category!$C19)</f>
        <v>0</v>
      </c>
      <c r="AL19" s="315">
        <v>0</v>
      </c>
      <c r="AM19" s="499">
        <f>IFERROR(VLOOKUP(C19,'2022'!$D:$G,4,0),0)</f>
        <v>85</v>
      </c>
      <c r="AN19" s="314">
        <f>SUMIFS('2022'!$I:$I,'2022'!$E:$E,Category!$B$4,'2022'!$N:$N,Category!AN$1,'2022'!$D:$D,Category!$C19)</f>
        <v>0</v>
      </c>
      <c r="AO19" s="314">
        <f>SUMIFS('2022'!$I:$I,'2022'!$E:$E,Category!$B$4,'2022'!$N:$N,Category!AO$1,'2022'!$D:$D,Category!$C19)</f>
        <v>79550000</v>
      </c>
      <c r="AP19" s="314">
        <f>SUMIFS('2022'!$I:$I,'2022'!$E:$E,Category!$B$4,'2022'!$N:$N,Category!AP$1,'2022'!$D:$D,Category!$C19)</f>
        <v>7300000</v>
      </c>
      <c r="AQ19" s="314">
        <f>'2022'!$I$303</f>
        <v>18700000</v>
      </c>
      <c r="AR19" s="314">
        <f>SUMIFS('2022'!$I:$I,'2022'!$E:$E,Category!$B$4,'2022'!$N:$N,Category!AR$1,'2022'!$D:$D,Category!$C19)</f>
        <v>18700000</v>
      </c>
      <c r="AS19" s="314">
        <f>SUMIFS('2022'!$I:$I,'2022'!$E:$E,Category!$B$4,'2022'!$N:$N,Category!AS$1,'2022'!$D:$D,Category!$C19)</f>
        <v>0</v>
      </c>
      <c r="AT19" s="314"/>
      <c r="AU19" s="314"/>
      <c r="AV19" s="314"/>
      <c r="AW19" s="314"/>
      <c r="AX19" s="314"/>
      <c r="AY19" s="314"/>
      <c r="AZ19" s="315">
        <f t="shared" si="5"/>
        <v>124250000</v>
      </c>
      <c r="BA19" s="499">
        <f>IFERROR(VLOOKUP(C19,'2023'!$D:$G,4,0),0)</f>
        <v>0</v>
      </c>
      <c r="BB19" s="314">
        <f>SUMIFS('2023'!$I:$I,'2023'!$E:$E,Category!$B$4,'2023'!$N:$N,Category!BB$1,'2023'!$D:$D,Category!$C19)</f>
        <v>0</v>
      </c>
      <c r="BC19" s="314">
        <f>SUMIFS('2023'!$I:$I,'2023'!$E:$E,Category!$B$4,'2023'!$N:$N,Category!BC$1,'2023'!$D:$D,Category!$C19)</f>
        <v>0</v>
      </c>
      <c r="BD19" s="314">
        <f>SUMIFS('2023'!$I:$I,'2023'!$E:$E,Category!$B$4,'2023'!$N:$N,Category!BD$1,'2023'!$D:$D,Category!$C19)</f>
        <v>0</v>
      </c>
      <c r="BE19" s="314">
        <f>SUMIFS('2023'!$I:$I,'2023'!$E:$E,Category!$B$4,'2023'!$N:$N,Category!BE$1,'2023'!$D:$D,Category!$C19)</f>
        <v>0</v>
      </c>
      <c r="BF19" s="314">
        <f>SUMIFS('2023'!$I:$I,'2023'!$E:$E,Category!$B$4,'2023'!$N:$N,Category!BF$1,'2023'!$D:$D,Category!$C19)</f>
        <v>0</v>
      </c>
      <c r="BG19" s="314">
        <f>SUMIFS('2023'!$I:$I,'2023'!$E:$E,Category!$B$4,'2023'!$N:$N,Category!BG$1,'2023'!$D:$D,Category!$C19)</f>
        <v>0</v>
      </c>
      <c r="BH19" s="314"/>
      <c r="BI19" s="314"/>
      <c r="BJ19" s="314"/>
      <c r="BK19" s="314"/>
      <c r="BL19" s="314"/>
      <c r="BM19" s="314"/>
      <c r="BN19" s="315">
        <f t="shared" si="6"/>
        <v>0</v>
      </c>
    </row>
    <row r="20" spans="1:75" x14ac:dyDescent="0.3">
      <c r="A20" s="312"/>
      <c r="B20" s="313"/>
      <c r="C20" s="313" t="s">
        <v>1231</v>
      </c>
      <c r="D20" s="512">
        <f>IFERROR(VLOOKUP($C20,'2019'!$D:$G,4,0),0)</f>
        <v>13</v>
      </c>
      <c r="E20" s="314">
        <f>SUMIFS('2019'!$I:$I,'2019'!$E:$E,Category!$B$4,'2019'!$N:$N,Category!E$1,'2019'!$D:$D,Category!$C20)</f>
        <v>0</v>
      </c>
      <c r="F20" s="314">
        <f>SUMIFS('2019'!$I:$I,'2019'!$E:$E,Category!$B$4,'2019'!$N:$N,Category!F$1,'2019'!$D:$D,Category!$C20)</f>
        <v>0</v>
      </c>
      <c r="G20" s="314">
        <f>SUMIFS('2019'!$I:$I,'2019'!$E:$E,Category!$B$4,'2019'!$N:$N,Category!G$1,'2019'!$D:$D,Category!$C20)</f>
        <v>0</v>
      </c>
      <c r="H20" s="314">
        <f>SUMIFS('2019'!$I:$I,'2019'!$E:$E,Category!$B$4,'2019'!$N:$N,Category!H$1,'2019'!$D:$D,Category!$C20)</f>
        <v>10080000</v>
      </c>
      <c r="I20" s="314">
        <f>SUMIFS('2019'!$I:$I,'2019'!$E:$E,Category!$B$4,'2019'!$N:$N,Category!I$1,'2019'!$D:$D,Category!$C20)</f>
        <v>0</v>
      </c>
      <c r="J20" s="315">
        <f t="shared" si="3"/>
        <v>10080000</v>
      </c>
      <c r="K20" s="499">
        <f>IFERROR(VLOOKUP($C20,'2020'!$D:$G,4,0),0)</f>
        <v>0</v>
      </c>
      <c r="L20" s="314">
        <f>SUMIFS('2020'!$I:$I,'2020'!$E:$E,Category!$B$4,'2020'!$N:$N,Category!L$1,'2020'!$D:$D,Category!$C20)</f>
        <v>0</v>
      </c>
      <c r="M20" s="314">
        <f>SUMIFS('2020'!$I:$I,'2020'!$E:$E,Category!$B$4,'2020'!$N:$N,Category!M$1,'2020'!$D:$D,Category!$C20)</f>
        <v>0</v>
      </c>
      <c r="N20" s="314">
        <f>SUMIFS('2020'!$I:$I,'2020'!$E:$E,Category!$B$4,'2020'!$N:$N,Category!N$1,'2020'!$D:$D,Category!$C20)</f>
        <v>0</v>
      </c>
      <c r="O20" s="314">
        <f>SUMIFS('2020'!$I:$I,'2020'!$E:$E,Category!$B$4,'2020'!$N:$N,Category!O$1,'2020'!$D:$D,Category!$C20)</f>
        <v>0</v>
      </c>
      <c r="P20" s="314">
        <f>SUMIFS('2020'!$I:$I,'2020'!$E:$E,Category!$B$4,'2020'!$N:$N,Category!P$1,'2020'!$D:$D,Category!$C20)</f>
        <v>0</v>
      </c>
      <c r="Q20" s="314">
        <f>SUMIFS('2020'!$I:$I,'2020'!$E:$E,Category!$B$4,'2020'!$N:$N,Category!Q$1,'2020'!$D:$D,Category!$C20)</f>
        <v>0</v>
      </c>
      <c r="R20" s="314">
        <f>SUMIFS('2020'!$I:$I,'2020'!$E:$E,Category!$B$4,'2020'!$N:$N,Category!R$1,'2020'!$D:$D,Category!$C20)</f>
        <v>0</v>
      </c>
      <c r="S20" s="314">
        <f>SUMIFS('2020'!$I:$I,'2020'!$E:$E,Category!$B$4,'2020'!$N:$N,Category!S$1,'2020'!$D:$D,Category!$C20)</f>
        <v>0</v>
      </c>
      <c r="T20" s="314">
        <f>SUMIFS('2020'!$I:$I,'2020'!$E:$E,Category!$B$4,'2020'!$N:$N,Category!T$1,'2020'!$D:$D,Category!$C20)</f>
        <v>0</v>
      </c>
      <c r="U20" s="314">
        <f>SUMIFS('2020'!$I:$I,'2020'!$E:$E,Category!$B$4,'2020'!$N:$N,Category!U$1,'2020'!$D:$D,Category!$C20)</f>
        <v>0</v>
      </c>
      <c r="V20" s="314">
        <f>SUMIFS('2020'!$I:$I,'2020'!$E:$E,Category!$B$4,'2020'!$N:$N,Category!V$1,'2020'!$D:$D,Category!$C20)</f>
        <v>0</v>
      </c>
      <c r="W20" s="314">
        <f>SUMIFS('2020'!$I:$I,'2020'!$E:$E,Category!$B$4,'2020'!$N:$N,Category!W$1,'2020'!$D:$D,Category!$C20)</f>
        <v>0</v>
      </c>
      <c r="X20" s="315">
        <f>SUM(L20:W20)</f>
        <v>0</v>
      </c>
      <c r="Y20" s="499">
        <f>IFERROR(VLOOKUP(C20,'2021'!$D:$G,4,0),0)</f>
        <v>0</v>
      </c>
      <c r="Z20" s="314">
        <f>SUMIFS('2021'!$I:$I,'2021'!$E:$E,Category!$B$4,'2021'!$N:$N,Category!Z$1,'2021'!$D:$D,Category!$C20)</f>
        <v>0</v>
      </c>
      <c r="AA20" s="314">
        <f>SUMIFS('2021'!$I:$I,'2021'!$E:$E,Category!$B$4,'2021'!$N:$N,Category!AA$1,'2021'!$D:$D,Category!$C20)</f>
        <v>0</v>
      </c>
      <c r="AB20" s="314">
        <f>SUMIFS('2021'!$I:$I,'2021'!$E:$E,Category!$B$4,'2021'!$N:$N,Category!AB$1,'2021'!$D:$D,Category!$C20)</f>
        <v>0</v>
      </c>
      <c r="AC20" s="314">
        <f>SUMIFS('2021'!$I:$I,'2021'!$E:$E,Category!$B$4,'2021'!$N:$N,Category!AC$1,'2021'!$D:$D,Category!$C20)</f>
        <v>0</v>
      </c>
      <c r="AD20" s="314">
        <f>SUMIFS('2021'!$I:$I,'2021'!$E:$E,Category!$B$4,'2021'!$N:$N,Category!AD$1,'2021'!$D:$D,Category!$C20)</f>
        <v>0</v>
      </c>
      <c r="AE20" s="314">
        <f>SUMIFS('2021'!$I:$I,'2021'!$E:$E,Category!$B$4,'2021'!$N:$N,Category!AE$1,'2021'!$D:$D,Category!$C20)</f>
        <v>0</v>
      </c>
      <c r="AF20" s="314">
        <f>SUMIFS('2021'!$I:$I,'2021'!$E:$E,Category!$B$4,'2021'!$N:$N,Category!AF$1,'2021'!$D:$D,Category!$C20)</f>
        <v>0</v>
      </c>
      <c r="AG20" s="314"/>
      <c r="AH20" s="314"/>
      <c r="AI20" s="314"/>
      <c r="AJ20" s="314"/>
      <c r="AK20" s="314">
        <f>SUMIFS('2021'!$I:$I,'2021'!$E:$E,Category!$B$4,'2021'!$N:$N,Category!AK$1,'2021'!$D:$D,Category!$C20)</f>
        <v>0</v>
      </c>
      <c r="AL20" s="315">
        <v>0</v>
      </c>
      <c r="AM20" s="499">
        <f>IFERROR(VLOOKUP(C20,'2022'!$D:$G,4,0),0)</f>
        <v>0</v>
      </c>
      <c r="AN20" s="314">
        <f>SUMIFS('2022'!$I:$I,'2022'!$E:$E,Category!$B$4,'2022'!$N:$N,Category!AN$1,'2022'!$D:$D,Category!$C20)</f>
        <v>0</v>
      </c>
      <c r="AO20" s="314">
        <f>SUMIFS('2022'!$I:$I,'2022'!$E:$E,Category!$B$4,'2022'!$N:$N,Category!AO$1,'2022'!$D:$D,Category!$C20)</f>
        <v>0</v>
      </c>
      <c r="AP20" s="314">
        <f>SUMIFS('2022'!$I:$I,'2022'!$E:$E,Category!$B$4,'2022'!$N:$N,Category!AP$1,'2022'!$D:$D,Category!$C20)</f>
        <v>0</v>
      </c>
      <c r="AQ20" s="314">
        <v>0</v>
      </c>
      <c r="AR20" s="314">
        <f>SUMIFS('2022'!$I:$I,'2022'!$E:$E,Category!$B$4,'2022'!$N:$N,Category!AR$1,'2022'!$D:$D,Category!$C20)</f>
        <v>0</v>
      </c>
      <c r="AS20" s="314">
        <f>SUMIFS('2022'!$I:$I,'2022'!$E:$E,Category!$B$4,'2022'!$N:$N,Category!AS$1,'2022'!$D:$D,Category!$C20)</f>
        <v>0</v>
      </c>
      <c r="AT20" s="314"/>
      <c r="AU20" s="314"/>
      <c r="AV20" s="314"/>
      <c r="AW20" s="314"/>
      <c r="AX20" s="314"/>
      <c r="AY20" s="314"/>
      <c r="AZ20" s="315">
        <f>SUM(AN20:AY20)</f>
        <v>0</v>
      </c>
      <c r="BA20" s="499">
        <f>IFERROR(VLOOKUP(C20,'2023'!$D:$G,4,0),0)</f>
        <v>0</v>
      </c>
      <c r="BB20" s="314">
        <f>SUMIFS('2023'!$I:$I,'2023'!$E:$E,Category!$B$4,'2023'!$N:$N,Category!BB$1,'2023'!$D:$D,Category!$C20)</f>
        <v>0</v>
      </c>
      <c r="BC20" s="314">
        <f>SUMIFS('2023'!$I:$I,'2023'!$E:$E,Category!$B$4,'2023'!$N:$N,Category!BC$1,'2023'!$D:$D,Category!$C20)</f>
        <v>0</v>
      </c>
      <c r="BD20" s="314">
        <f>SUMIFS('2023'!$I:$I,'2023'!$E:$E,Category!$B$4,'2023'!$N:$N,Category!BD$1,'2023'!$D:$D,Category!$C20)</f>
        <v>0</v>
      </c>
      <c r="BE20" s="314">
        <f>SUMIFS('2023'!$I:$I,'2023'!$E:$E,Category!$B$4,'2023'!$N:$N,Category!BE$1,'2023'!$D:$D,Category!$C20)</f>
        <v>0</v>
      </c>
      <c r="BF20" s="314">
        <f>SUMIFS('2023'!$I:$I,'2023'!$E:$E,Category!$B$4,'2023'!$N:$N,Category!BF$1,'2023'!$D:$D,Category!$C20)</f>
        <v>0</v>
      </c>
      <c r="BG20" s="314">
        <f>SUMIFS('2023'!$I:$I,'2023'!$E:$E,Category!$B$4,'2023'!$N:$N,Category!BG$1,'2023'!$D:$D,Category!$C20)</f>
        <v>0</v>
      </c>
      <c r="BH20" s="314"/>
      <c r="BI20" s="314"/>
      <c r="BJ20" s="314"/>
      <c r="BK20" s="314"/>
      <c r="BL20" s="314"/>
      <c r="BM20" s="314"/>
      <c r="BN20" s="315">
        <f t="shared" si="6"/>
        <v>0</v>
      </c>
    </row>
    <row r="21" spans="1:75" x14ac:dyDescent="0.3">
      <c r="A21" s="312"/>
      <c r="B21" s="313"/>
      <c r="C21" s="313" t="s">
        <v>486</v>
      </c>
      <c r="D21" s="512">
        <f>IFERROR(VLOOKUP($C21,'2019'!$D:$G,4,0),0)</f>
        <v>0</v>
      </c>
      <c r="E21" s="314">
        <f>SUMIFS('2019'!$I:$I,'2019'!$E:$E,Category!$B$4,'2019'!$N:$N,Category!E$1,'2019'!$D:$D,Category!$C21)</f>
        <v>0</v>
      </c>
      <c r="F21" s="314">
        <f>SUMIFS('2019'!$I:$I,'2019'!$E:$E,Category!$B$4,'2019'!$N:$N,Category!F$1,'2019'!$D:$D,Category!$C21)</f>
        <v>0</v>
      </c>
      <c r="G21" s="314">
        <f>SUMIFS('2019'!$I:$I,'2019'!$E:$E,Category!$B$4,'2019'!$N:$N,Category!G$1,'2019'!$D:$D,Category!$C21)</f>
        <v>0</v>
      </c>
      <c r="H21" s="314">
        <f>SUMIFS('2019'!$I:$I,'2019'!$E:$E,Category!$B$4,'2019'!$N:$N,Category!H$1,'2019'!$D:$D,Category!$C21)</f>
        <v>0</v>
      </c>
      <c r="I21" s="314">
        <f>SUMIFS('2019'!$I:$I,'2019'!$E:$E,Category!$B$4,'2019'!$N:$N,Category!I$1,'2019'!$D:$D,Category!$C21)</f>
        <v>0</v>
      </c>
      <c r="J21" s="315">
        <f t="shared" si="3"/>
        <v>0</v>
      </c>
      <c r="K21" s="499">
        <f>IFERROR(VLOOKUP($C21,'2020'!$D:$G,4,0),0)</f>
        <v>0</v>
      </c>
      <c r="L21" s="314">
        <f>SUMIFS('2020'!$I:$I,'2020'!$E:$E,Category!$B$4,'2020'!$N:$N,Category!L$1,'2020'!$D:$D,Category!$C21)</f>
        <v>0</v>
      </c>
      <c r="M21" s="314">
        <f>SUMIFS('2020'!$I:$I,'2020'!$E:$E,Category!$B$4,'2020'!$N:$N,Category!M$1,'2020'!$D:$D,Category!$C21)</f>
        <v>0</v>
      </c>
      <c r="N21" s="314">
        <f>SUMIFS('2020'!$I:$I,'2020'!$E:$E,Category!$B$4,'2020'!$N:$N,Category!N$1,'2020'!$D:$D,Category!$C21)</f>
        <v>0</v>
      </c>
      <c r="O21" s="314">
        <f>SUMIFS('2020'!$I:$I,'2020'!$E:$E,Category!$B$4,'2020'!$N:$N,Category!O$1,'2020'!$D:$D,Category!$C21)</f>
        <v>0</v>
      </c>
      <c r="P21" s="314">
        <f>SUMIFS('2020'!$I:$I,'2020'!$E:$E,Category!$B$4,'2020'!$N:$N,Category!P$1,'2020'!$D:$D,Category!$C21)</f>
        <v>0</v>
      </c>
      <c r="Q21" s="314">
        <f>SUMIFS('2020'!$I:$I,'2020'!$E:$E,Category!$B$4,'2020'!$N:$N,Category!Q$1,'2020'!$D:$D,Category!$C21)</f>
        <v>0</v>
      </c>
      <c r="R21" s="314">
        <f>SUMIFS('2020'!$I:$I,'2020'!$E:$E,Category!$B$4,'2020'!$N:$N,Category!R$1,'2020'!$D:$D,Category!$C21)</f>
        <v>0</v>
      </c>
      <c r="S21" s="314">
        <f>SUMIFS('2020'!$I:$I,'2020'!$E:$E,Category!$B$4,'2020'!$N:$N,Category!S$1,'2020'!$D:$D,Category!$C21)</f>
        <v>0</v>
      </c>
      <c r="T21" s="314">
        <f>SUMIFS('2020'!$I:$I,'2020'!$E:$E,Category!$B$4,'2020'!$N:$N,Category!T$1,'2020'!$D:$D,Category!$C21)</f>
        <v>0</v>
      </c>
      <c r="U21" s="314">
        <f>SUMIFS('2020'!$I:$I,'2020'!$E:$E,Category!$B$4,'2020'!$N:$N,Category!U$1,'2020'!$D:$D,Category!$C21)</f>
        <v>0</v>
      </c>
      <c r="V21" s="314">
        <f>SUMIFS('2020'!$I:$I,'2020'!$E:$E,Category!$B$4,'2020'!$N:$N,Category!V$1,'2020'!$D:$D,Category!$C21)</f>
        <v>0</v>
      </c>
      <c r="W21" s="314">
        <f>SUMIFS('2020'!$I:$I,'2020'!$E:$E,Category!$B$4,'2020'!$N:$N,Category!W$1,'2020'!$D:$D,Category!$C21)</f>
        <v>0</v>
      </c>
      <c r="X21" s="315">
        <f t="shared" si="4"/>
        <v>0</v>
      </c>
      <c r="Y21" s="499">
        <f>IFERROR(VLOOKUP(C21,'2021'!$D:$G,4,0),0)</f>
        <v>44</v>
      </c>
      <c r="Z21" s="314">
        <f>SUMIFS('2021'!$I:$I,'2021'!$E:$E,Category!$B$4,'2021'!$N:$N,Category!Z$1,'2021'!$D:$D,Category!$C21)</f>
        <v>0</v>
      </c>
      <c r="AA21" s="314">
        <f>SUMIFS('2021'!$I:$I,'2021'!$E:$E,Category!$B$4,'2021'!$N:$N,Category!AA$1,'2021'!$D:$D,Category!$C21)</f>
        <v>0</v>
      </c>
      <c r="AB21" s="314">
        <f>SUMIFS('2021'!$I:$I,'2021'!$E:$E,Category!$B$4,'2021'!$N:$N,Category!AB$1,'2021'!$D:$D,Category!$C21)</f>
        <v>0</v>
      </c>
      <c r="AC21" s="314">
        <f>SUMIFS('2021'!$I:$I,'2021'!$E:$E,Category!$B$4,'2021'!$N:$N,Category!AC$1,'2021'!$D:$D,Category!$C21)</f>
        <v>0</v>
      </c>
      <c r="AD21" s="314">
        <f>SUMIFS('2021'!$I:$I,'2021'!$E:$E,Category!$B$4,'2021'!$N:$N,Category!AD$1,'2021'!$D:$D,Category!$C21)</f>
        <v>0</v>
      </c>
      <c r="AE21" s="314">
        <f>SUMIFS('2021'!$I:$I,'2021'!$E:$E,Category!$B$4,'2021'!$N:$N,Category!AE$1,'2021'!$D:$D,Category!$C21)</f>
        <v>0</v>
      </c>
      <c r="AF21" s="314">
        <f>SUMIFS('2021'!$I:$I,'2021'!$E:$E,Category!$B$4,'2021'!$N:$N,Category!AF$1,'2021'!$D:$D,Category!$C21)</f>
        <v>0</v>
      </c>
      <c r="AG21" s="314">
        <f>SUMIFS('2021'!$I:$I,'2021'!$E:$E,Category!$B$4,'2021'!$N:$N,Category!AG$1,'2021'!$D:$D,Category!$C21)</f>
        <v>0</v>
      </c>
      <c r="AH21" s="314">
        <f>SUMIFS('2021'!$I:$I,'2021'!$E:$E,Category!$B$4,'2021'!$N:$N,Category!AH$1,'2021'!$D:$D,Category!$C21)</f>
        <v>13290000</v>
      </c>
      <c r="AI21" s="314">
        <f>SUMIFS('2021'!$I:$I,'2021'!$E:$E,Category!$B$4,'2021'!$N:$N,Category!AI$1,'2021'!$D:$D,Category!$C21)</f>
        <v>2640000</v>
      </c>
      <c r="AJ21" s="314">
        <f>SUMIFS('2021'!$I:$I,'2021'!$E:$E,Category!$B$4,'2021'!$N:$N,Category!AJ$1,'2021'!$D:$D,Category!$C21)</f>
        <v>2640000</v>
      </c>
      <c r="AK21" s="314">
        <f>SUMIFS('2021'!$I:$I,'2021'!$E:$E,Category!$B$4,'2021'!$N:$N,Category!AK$1,'2021'!$D:$D,Category!$C21)</f>
        <v>2640000</v>
      </c>
      <c r="AL21" s="315">
        <f t="shared" si="7"/>
        <v>21210000</v>
      </c>
      <c r="AM21" s="499">
        <f>IFERROR(VLOOKUP(C21,'2022'!$D:$G,4,0),0)</f>
        <v>44</v>
      </c>
      <c r="AN21" s="314">
        <f>SUMIFS('2022'!$I:$I,'2022'!$E:$E,Category!$B$4,'2022'!$N:$N,Category!AN$1,'2022'!$D:$D,Category!$C21)</f>
        <v>0</v>
      </c>
      <c r="AO21" s="314">
        <f>SUMIFS('2022'!$I:$I,'2022'!$E:$E,Category!$B$4,'2022'!$N:$N,Category!AO$1,'2022'!$D:$D,Category!$C21)</f>
        <v>5280000</v>
      </c>
      <c r="AP21" s="314">
        <f>SUMIFS('2022'!$I:$I,'2022'!$E:$E,Category!$B$4,'2022'!$N:$N,Category!AP$1,'2022'!$D:$D,Category!$C21)</f>
        <v>2640000</v>
      </c>
      <c r="AQ21" s="314">
        <v>2640000</v>
      </c>
      <c r="AR21" s="314">
        <f>SUMIFS('2022'!$I:$I,'2022'!$E:$E,Category!$B$4,'2022'!$N:$N,Category!AR$1,'2022'!$D:$D,Category!$C21)</f>
        <v>2640000</v>
      </c>
      <c r="AS21" s="314">
        <f>SUMIFS('2022'!$I:$I,'2022'!$E:$E,Category!$B$4,'2022'!$N:$N,Category!AS$1,'2022'!$D:$D,Category!$C21)</f>
        <v>2640000</v>
      </c>
      <c r="AT21" s="314">
        <f>SUMIFS('2022'!$I:$I,'2022'!$E:$E,Category!$B$4,'2022'!$N:$N,Category!AT$1,'2022'!$D:$D,Category!$C21)</f>
        <v>0</v>
      </c>
      <c r="AU21" s="314">
        <f>SUMIFS('2022'!$I:$I,'2022'!$E:$E,Category!$B$4,'2022'!$N:$N,Category!AU$1,'2022'!$D:$D,Category!$C21)</f>
        <v>0</v>
      </c>
      <c r="AV21" s="314">
        <f>SUMIFS('2022'!$I:$I,'2022'!$E:$E,Category!$B$4,'2022'!$N:$N,Category!AV$1,'2022'!$D:$D,Category!$C21)</f>
        <v>0</v>
      </c>
      <c r="AW21" s="314">
        <f>SUMIFS('2022'!$I:$I,'2022'!$E:$E,Category!$B$4,'2022'!$N:$N,Category!AW$1,'2022'!$D:$D,Category!$C21)</f>
        <v>0</v>
      </c>
      <c r="AX21" s="314">
        <f>SUMIFS('2022'!$I:$I,'2022'!$E:$E,Category!$B$4,'2022'!$N:$N,Category!AX$1,'2022'!$D:$D,Category!$C21)</f>
        <v>0</v>
      </c>
      <c r="AY21" s="314">
        <f>SUMIFS('2022'!$I:$I,'2022'!$E:$E,Category!$B$4,'2022'!$N:$N,Category!AY$1,'2022'!$D:$D,Category!$C21)</f>
        <v>0</v>
      </c>
      <c r="AZ21" s="315">
        <f t="shared" si="5"/>
        <v>15840000</v>
      </c>
      <c r="BA21" s="499">
        <f>IFERROR(VLOOKUP(C21,'2023'!$D:$G,4,0),0)</f>
        <v>0</v>
      </c>
      <c r="BB21" s="314">
        <f>SUMIFS('2023'!$I:$I,'2023'!$E:$E,Category!$B$4,'2023'!$N:$N,Category!BB$1,'2023'!$D:$D,Category!$C21)</f>
        <v>0</v>
      </c>
      <c r="BC21" s="314">
        <f>SUMIFS('2023'!$I:$I,'2023'!$E:$E,Category!$B$4,'2023'!$N:$N,Category!BC$1,'2023'!$D:$D,Category!$C21)</f>
        <v>0</v>
      </c>
      <c r="BD21" s="314">
        <f>SUMIFS('2023'!$I:$I,'2023'!$E:$E,Category!$B$4,'2023'!$N:$N,Category!BD$1,'2023'!$D:$D,Category!$C21)</f>
        <v>0</v>
      </c>
      <c r="BE21" s="314">
        <f>SUMIFS('2023'!$I:$I,'2023'!$E:$E,Category!$B$4,'2023'!$N:$N,Category!BE$1,'2023'!$D:$D,Category!$C21)</f>
        <v>0</v>
      </c>
      <c r="BF21" s="314">
        <f>SUMIFS('2023'!$I:$I,'2023'!$E:$E,Category!$B$4,'2023'!$N:$N,Category!BF$1,'2023'!$D:$D,Category!$C21)</f>
        <v>0</v>
      </c>
      <c r="BG21" s="314">
        <f>SUMIFS('2023'!$I:$I,'2023'!$E:$E,Category!$B$4,'2023'!$N:$N,Category!BG$1,'2023'!$D:$D,Category!$C21)</f>
        <v>0</v>
      </c>
      <c r="BH21" s="314">
        <f>SUMIFS('2023'!$I:$I,'2023'!$E:$E,Category!$B$4,'2023'!$N:$N,Category!BH$1,'2023'!$D:$D,Category!$C21)</f>
        <v>0</v>
      </c>
      <c r="BI21" s="314">
        <f>SUMIFS('2023'!$I:$I,'2023'!$E:$E,Category!$B$4,'2023'!$N:$N,Category!BI$1,'2023'!$D:$D,Category!$C21)</f>
        <v>0</v>
      </c>
      <c r="BJ21" s="314">
        <f>SUMIFS('2023'!$I:$I,'2023'!$E:$E,Category!$B$4,'2023'!$N:$N,Category!BJ$1,'2023'!$D:$D,Category!$C21)</f>
        <v>0</v>
      </c>
      <c r="BK21" s="314">
        <f>SUMIFS('2023'!$I:$I,'2023'!$E:$E,Category!$B$4,'2023'!$N:$N,Category!BK$1,'2023'!$D:$D,Category!$C21)</f>
        <v>0</v>
      </c>
      <c r="BL21" s="314">
        <f>SUMIFS('2023'!$I:$I,'2023'!$E:$E,Category!$B$4,'2023'!$N:$N,Category!BL$1,'2023'!$D:$D,Category!$C21)</f>
        <v>0</v>
      </c>
      <c r="BM21" s="314">
        <f>SUMIFS('2023'!$I:$I,'2023'!$E:$E,Category!$B$4,'2023'!$N:$N,Category!BM$1,'2023'!$D:$D,Category!$C21)</f>
        <v>0</v>
      </c>
      <c r="BN21" s="315">
        <f t="shared" si="6"/>
        <v>0</v>
      </c>
    </row>
    <row r="22" spans="1:75" x14ac:dyDescent="0.3">
      <c r="A22" s="312"/>
      <c r="B22" s="313"/>
      <c r="C22" s="313" t="s">
        <v>618</v>
      </c>
      <c r="D22" s="512">
        <f>IFERROR(VLOOKUP($C22,'2019'!$D:$G,4,0),0)</f>
        <v>0</v>
      </c>
      <c r="E22" s="314">
        <f>SUMIFS('2019'!$I:$I,'2019'!$E:$E,Category!$B$4,'2019'!$N:$N,Category!E$1,'2019'!$D:$D,Category!$C22)</f>
        <v>0</v>
      </c>
      <c r="F22" s="314">
        <f>SUMIFS('2019'!$I:$I,'2019'!$E:$E,Category!$B$4,'2019'!$N:$N,Category!F$1,'2019'!$D:$D,Category!$C22)</f>
        <v>0</v>
      </c>
      <c r="G22" s="314">
        <f>SUMIFS('2019'!$I:$I,'2019'!$E:$E,Category!$B$4,'2019'!$N:$N,Category!G$1,'2019'!$D:$D,Category!$C22)</f>
        <v>0</v>
      </c>
      <c r="H22" s="314">
        <f>SUMIFS('2019'!$I:$I,'2019'!$E:$E,Category!$B$4,'2019'!$N:$N,Category!H$1,'2019'!$D:$D,Category!$C22)</f>
        <v>0</v>
      </c>
      <c r="I22" s="314">
        <f>SUMIFS('2019'!$I:$I,'2019'!$E:$E,Category!$B$4,'2019'!$N:$N,Category!I$1,'2019'!$D:$D,Category!$C22)</f>
        <v>0</v>
      </c>
      <c r="J22" s="315">
        <f>SUM(E22:I22)</f>
        <v>0</v>
      </c>
      <c r="K22" s="499">
        <f>IFERROR(VLOOKUP($C22,'2020'!$D:$G,4,0),0)</f>
        <v>0</v>
      </c>
      <c r="L22" s="314">
        <f>SUMIFS('2020'!$I:$I,'2020'!$E:$E,Category!$B$4,'2020'!$N:$N,Category!L$1,'2020'!$D:$D,Category!$C22)</f>
        <v>0</v>
      </c>
      <c r="M22" s="314">
        <f>SUMIFS('2020'!$I:$I,'2020'!$E:$E,Category!$B$4,'2020'!$N:$N,Category!M$1,'2020'!$D:$D,Category!$C22)</f>
        <v>0</v>
      </c>
      <c r="N22" s="314">
        <f>SUMIFS('2020'!$I:$I,'2020'!$E:$E,Category!$B$4,'2020'!$N:$N,Category!N$1,'2020'!$D:$D,Category!$C22)</f>
        <v>0</v>
      </c>
      <c r="O22" s="314">
        <f>SUMIFS('2020'!$I:$I,'2020'!$E:$E,Category!$B$4,'2020'!$N:$N,Category!O$1,'2020'!$D:$D,Category!$C22)</f>
        <v>0</v>
      </c>
      <c r="P22" s="314">
        <f>SUMIFS('2020'!$I:$I,'2020'!$E:$E,Category!$B$4,'2020'!$N:$N,Category!P$1,'2020'!$D:$D,Category!$C22)</f>
        <v>0</v>
      </c>
      <c r="Q22" s="314">
        <f>SUMIFS('2020'!$I:$I,'2020'!$E:$E,Category!$B$4,'2020'!$N:$N,Category!Q$1,'2020'!$D:$D,Category!$C22)</f>
        <v>0</v>
      </c>
      <c r="R22" s="314">
        <f>SUMIFS('2020'!$I:$I,'2020'!$E:$E,Category!$B$4,'2020'!$N:$N,Category!R$1,'2020'!$D:$D,Category!$C22)</f>
        <v>0</v>
      </c>
      <c r="S22" s="314">
        <f>SUMIFS('2020'!$I:$I,'2020'!$E:$E,Category!$B$4,'2020'!$N:$N,Category!S$1,'2020'!$D:$D,Category!$C22)</f>
        <v>0</v>
      </c>
      <c r="T22" s="314">
        <f>SUMIFS('2020'!$I:$I,'2020'!$E:$E,Category!$B$4,'2020'!$N:$N,Category!T$1,'2020'!$D:$D,Category!$C22)</f>
        <v>0</v>
      </c>
      <c r="U22" s="314">
        <f>SUMIFS('2020'!$I:$I,'2020'!$E:$E,Category!$B$4,'2020'!$N:$N,Category!U$1,'2020'!$D:$D,Category!$C22)</f>
        <v>0</v>
      </c>
      <c r="V22" s="314">
        <f>SUMIFS('2020'!$I:$I,'2020'!$E:$E,Category!$B$4,'2020'!$N:$N,Category!V$1,'2020'!$D:$D,Category!$C22)</f>
        <v>0</v>
      </c>
      <c r="W22" s="314">
        <f>SUMIFS('2020'!$I:$I,'2020'!$E:$E,Category!$B$4,'2020'!$N:$N,Category!W$1,'2020'!$D:$D,Category!$C22)</f>
        <v>0</v>
      </c>
      <c r="X22" s="315">
        <f t="shared" si="4"/>
        <v>0</v>
      </c>
      <c r="Y22" s="499">
        <f>IFERROR(VLOOKUP(C22,'2021'!$D:$G,4,0),0)</f>
        <v>5</v>
      </c>
      <c r="Z22" s="314">
        <f>SUMIFS('2021'!$I:$I,'2021'!$E:$E,Category!$B$4,'2021'!$N:$N,Category!Z$1,'2021'!$D:$D,Category!$C22)</f>
        <v>0</v>
      </c>
      <c r="AA22" s="314">
        <f>SUMIFS('2021'!$I:$I,'2021'!$E:$E,Category!$B$4,'2021'!$N:$N,Category!AA$1,'2021'!$D:$D,Category!$C22)</f>
        <v>0</v>
      </c>
      <c r="AB22" s="314">
        <f>SUMIFS('2021'!$I:$I,'2021'!$E:$E,Category!$B$4,'2021'!$N:$N,Category!AB$1,'2021'!$D:$D,Category!$C22)</f>
        <v>0</v>
      </c>
      <c r="AC22" s="314">
        <f>SUMIFS('2021'!$I:$I,'2021'!$E:$E,Category!$B$4,'2021'!$N:$N,Category!AC$1,'2021'!$D:$D,Category!$C22)</f>
        <v>0</v>
      </c>
      <c r="AD22" s="314">
        <f>SUMIFS('2021'!$I:$I,'2021'!$E:$E,Category!$B$4,'2021'!$N:$N,Category!AD$1,'2021'!$D:$D,Category!$C22)</f>
        <v>0</v>
      </c>
      <c r="AE22" s="314">
        <f>SUMIFS('2021'!$I:$I,'2021'!$E:$E,Category!$B$4,'2021'!$N:$N,Category!AE$1,'2021'!$D:$D,Category!$C22)</f>
        <v>0</v>
      </c>
      <c r="AF22" s="314">
        <f>SUMIFS('2021'!$I:$I,'2021'!$E:$E,Category!$B$4,'2021'!$N:$N,Category!AF$1,'2021'!$D:$D,Category!$C22)</f>
        <v>0</v>
      </c>
      <c r="AG22" s="314">
        <v>0</v>
      </c>
      <c r="AH22" s="314"/>
      <c r="AI22" s="314">
        <v>0</v>
      </c>
      <c r="AJ22" s="314">
        <v>0</v>
      </c>
      <c r="AK22" s="314">
        <f>SUMIFS('2021'!$I:$I,'2021'!$E:$E,Category!$B$4,'2021'!$N:$N,Category!AK$1,'2021'!$D:$D,Category!$C22)</f>
        <v>18740000</v>
      </c>
      <c r="AL22" s="315">
        <f t="shared" si="7"/>
        <v>18740000</v>
      </c>
      <c r="AM22" s="499">
        <f>IFERROR(VLOOKUP(C22,'2022'!$D:$G,4,0),0)</f>
        <v>0</v>
      </c>
      <c r="AN22" s="314">
        <f>SUMIFS('2022'!$I:$I,'2022'!$E:$E,Category!$B$4,'2022'!$N:$N,Category!AN$1,'2022'!$D:$D,Category!$C22)</f>
        <v>0</v>
      </c>
      <c r="AO22" s="314">
        <f>SUMIFS('2022'!$I:$I,'2022'!$E:$E,Category!$B$4,'2022'!$N:$N,Category!AO$1,'2022'!$D:$D,Category!$C22)</f>
        <v>0</v>
      </c>
      <c r="AP22" s="314">
        <f>SUMIFS('2022'!$I:$I,'2022'!$E:$E,Category!$B$4,'2022'!$N:$N,Category!AP$1,'2022'!$D:$D,Category!$C22)</f>
        <v>0</v>
      </c>
      <c r="AQ22" s="314">
        <f>SUMIFS('2022'!$I:$I,'2022'!$E:$E,Category!$B$4,'2022'!$N:$N,Category!AQ$1,'2022'!$D:$D,Category!$C22)</f>
        <v>0</v>
      </c>
      <c r="AR22" s="314">
        <f>SUMIFS('2022'!$I:$I,'2022'!$E:$E,Category!$B$4,'2022'!$N:$N,Category!AR$1,'2022'!$D:$D,Category!$C22)</f>
        <v>0</v>
      </c>
      <c r="AS22" s="314">
        <f>SUMIFS('2022'!$I:$I,'2022'!$E:$E,Category!$B$4,'2022'!$N:$N,Category!AS$1,'2022'!$D:$D,Category!$C22)</f>
        <v>0</v>
      </c>
      <c r="AT22" s="314">
        <f>SUMIFS('2022'!$I:$I,'2022'!$E:$E,Category!$B$4,'2022'!$N:$N,Category!AT$1,'2022'!$D:$D,Category!$C22)</f>
        <v>0</v>
      </c>
      <c r="AU22" s="314">
        <f>SUMIFS('2022'!$I:$I,'2022'!$E:$E,Category!$B$4,'2022'!$N:$N,Category!AU$1,'2022'!$D:$D,Category!$C22)</f>
        <v>0</v>
      </c>
      <c r="AV22" s="314">
        <f>SUMIFS('2022'!$I:$I,'2022'!$E:$E,Category!$B$4,'2022'!$N:$N,Category!AV$1,'2022'!$D:$D,Category!$C22)</f>
        <v>0</v>
      </c>
      <c r="AW22" s="314">
        <f>SUMIFS('2022'!$I:$I,'2022'!$E:$E,Category!$B$4,'2022'!$N:$N,Category!AW$1,'2022'!$D:$D,Category!$C22)</f>
        <v>0</v>
      </c>
      <c r="AX22" s="314">
        <f>SUMIFS('2022'!$I:$I,'2022'!$E:$E,Category!$B$4,'2022'!$N:$N,Category!AX$1,'2022'!$D:$D,Category!$C22)</f>
        <v>0</v>
      </c>
      <c r="AY22" s="314">
        <f>SUMIFS('2022'!$I:$I,'2022'!$E:$E,Category!$B$4,'2022'!$N:$N,Category!AY$1,'2022'!$D:$D,Category!$C22)</f>
        <v>0</v>
      </c>
      <c r="AZ22" s="315">
        <f t="shared" si="5"/>
        <v>0</v>
      </c>
      <c r="BA22" s="499">
        <f>IFERROR(VLOOKUP(C22,'2023'!$D:$G,4,0),0)</f>
        <v>0</v>
      </c>
      <c r="BB22" s="314">
        <f>SUMIFS('2023'!$I:$I,'2023'!$E:$E,Category!$B$4,'2023'!$N:$N,Category!BB$1,'2023'!$D:$D,Category!$C22)</f>
        <v>0</v>
      </c>
      <c r="BC22" s="314">
        <f>SUMIFS('2023'!$I:$I,'2023'!$E:$E,Category!$B$4,'2023'!$N:$N,Category!BC$1,'2023'!$D:$D,Category!$C22)</f>
        <v>0</v>
      </c>
      <c r="BD22" s="314">
        <f>SUMIFS('2023'!$I:$I,'2023'!$E:$E,Category!$B$4,'2023'!$N:$N,Category!BD$1,'2023'!$D:$D,Category!$C22)</f>
        <v>0</v>
      </c>
      <c r="BE22" s="314">
        <f>SUMIFS('2023'!$I:$I,'2023'!$E:$E,Category!$B$4,'2023'!$N:$N,Category!BE$1,'2023'!$D:$D,Category!$C22)</f>
        <v>0</v>
      </c>
      <c r="BF22" s="314">
        <f>SUMIFS('2023'!$I:$I,'2023'!$E:$E,Category!$B$4,'2023'!$N:$N,Category!BF$1,'2023'!$D:$D,Category!$C22)</f>
        <v>0</v>
      </c>
      <c r="BG22" s="314">
        <f>SUMIFS('2023'!$I:$I,'2023'!$E:$E,Category!$B$4,'2023'!$N:$N,Category!BG$1,'2023'!$D:$D,Category!$C22)</f>
        <v>0</v>
      </c>
      <c r="BH22" s="314">
        <f>SUMIFS('2023'!$I:$I,'2023'!$E:$E,Category!$B$4,'2023'!$N:$N,Category!BH$1,'2023'!$D:$D,Category!$C22)</f>
        <v>0</v>
      </c>
      <c r="BI22" s="314">
        <f>SUMIFS('2023'!$I:$I,'2023'!$E:$E,Category!$B$4,'2023'!$N:$N,Category!BI$1,'2023'!$D:$D,Category!$C22)</f>
        <v>0</v>
      </c>
      <c r="BJ22" s="314">
        <f>SUMIFS('2023'!$I:$I,'2023'!$E:$E,Category!$B$4,'2023'!$N:$N,Category!BJ$1,'2023'!$D:$D,Category!$C22)</f>
        <v>0</v>
      </c>
      <c r="BK22" s="314">
        <f>SUMIFS('2023'!$I:$I,'2023'!$E:$E,Category!$B$4,'2023'!$N:$N,Category!BK$1,'2023'!$D:$D,Category!$C22)</f>
        <v>0</v>
      </c>
      <c r="BL22" s="314">
        <f>SUMIFS('2023'!$I:$I,'2023'!$E:$E,Category!$B$4,'2023'!$N:$N,Category!BL$1,'2023'!$D:$D,Category!$C22)</f>
        <v>0</v>
      </c>
      <c r="BM22" s="314">
        <f>SUMIFS('2023'!$I:$I,'2023'!$E:$E,Category!$B$4,'2023'!$N:$N,Category!BM$1,'2023'!$D:$D,Category!$C22)</f>
        <v>0</v>
      </c>
      <c r="BN22" s="315">
        <f t="shared" si="6"/>
        <v>0</v>
      </c>
    </row>
    <row r="23" spans="1:75" x14ac:dyDescent="0.3">
      <c r="A23" s="312"/>
      <c r="B23" s="313"/>
      <c r="C23" s="313" t="s">
        <v>619</v>
      </c>
      <c r="D23" s="512">
        <f>IFERROR(VLOOKUP($C23,'2019'!$D:$G,4,0),0)</f>
        <v>0</v>
      </c>
      <c r="E23" s="314">
        <f>SUMIFS('2019'!$I:$I,'2019'!$E:$E,Category!$B$4,'2019'!$N:$N,Category!E$1,'2019'!$D:$D,Category!$C23)</f>
        <v>0</v>
      </c>
      <c r="F23" s="314">
        <f>SUMIFS('2019'!$I:$I,'2019'!$E:$E,Category!$B$4,'2019'!$N:$N,Category!F$1,'2019'!$D:$D,Category!$C23)</f>
        <v>0</v>
      </c>
      <c r="G23" s="314">
        <f>SUMIFS('2019'!$I:$I,'2019'!$E:$E,Category!$B$4,'2019'!$N:$N,Category!G$1,'2019'!$D:$D,Category!$C23)</f>
        <v>0</v>
      </c>
      <c r="H23" s="314">
        <f>SUMIFS('2019'!$I:$I,'2019'!$E:$E,Category!$B$4,'2019'!$N:$N,Category!H$1,'2019'!$D:$D,Category!$C23)</f>
        <v>0</v>
      </c>
      <c r="I23" s="314">
        <f>SUMIFS('2019'!$I:$I,'2019'!$E:$E,Category!$B$4,'2019'!$N:$N,Category!I$1,'2019'!$D:$D,Category!$C23)</f>
        <v>0</v>
      </c>
      <c r="J23" s="315">
        <f>SUM(E23:I23)</f>
        <v>0</v>
      </c>
      <c r="K23" s="499">
        <f>IFERROR(VLOOKUP($C23,'2020'!$D:$G,4,0),0)</f>
        <v>0</v>
      </c>
      <c r="L23" s="314">
        <f>SUMIFS('2020'!$I:$I,'2020'!$E:$E,Category!$B$4,'2020'!$N:$N,Category!L$1,'2020'!$D:$D,Category!$C23)</f>
        <v>0</v>
      </c>
      <c r="M23" s="314">
        <f>SUMIFS('2020'!$I:$I,'2020'!$E:$E,Category!$B$4,'2020'!$N:$N,Category!M$1,'2020'!$D:$D,Category!$C23)</f>
        <v>0</v>
      </c>
      <c r="N23" s="314">
        <f>SUMIFS('2020'!$I:$I,'2020'!$E:$E,Category!$B$4,'2020'!$N:$N,Category!N$1,'2020'!$D:$D,Category!$C23)</f>
        <v>0</v>
      </c>
      <c r="O23" s="314">
        <f>SUMIFS('2020'!$I:$I,'2020'!$E:$E,Category!$B$4,'2020'!$N:$N,Category!O$1,'2020'!$D:$D,Category!$C23)</f>
        <v>0</v>
      </c>
      <c r="P23" s="314">
        <f>SUMIFS('2020'!$I:$I,'2020'!$E:$E,Category!$B$4,'2020'!$N:$N,Category!P$1,'2020'!$D:$D,Category!$C23)</f>
        <v>0</v>
      </c>
      <c r="Q23" s="314">
        <f>SUMIFS('2020'!$I:$I,'2020'!$E:$E,Category!$B$4,'2020'!$N:$N,Category!Q$1,'2020'!$D:$D,Category!$C23)</f>
        <v>0</v>
      </c>
      <c r="R23" s="314">
        <f>SUMIFS('2020'!$I:$I,'2020'!$E:$E,Category!$B$4,'2020'!$N:$N,Category!R$1,'2020'!$D:$D,Category!$C23)</f>
        <v>0</v>
      </c>
      <c r="S23" s="314">
        <f>SUMIFS('2020'!$I:$I,'2020'!$E:$E,Category!$B$4,'2020'!$N:$N,Category!S$1,'2020'!$D:$D,Category!$C23)</f>
        <v>0</v>
      </c>
      <c r="T23" s="314">
        <f>SUMIFS('2020'!$I:$I,'2020'!$E:$E,Category!$B$4,'2020'!$N:$N,Category!T$1,'2020'!$D:$D,Category!$C23)</f>
        <v>0</v>
      </c>
      <c r="U23" s="314">
        <f>SUMIFS('2020'!$I:$I,'2020'!$E:$E,Category!$B$4,'2020'!$N:$N,Category!U$1,'2020'!$D:$D,Category!$C23)</f>
        <v>0</v>
      </c>
      <c r="V23" s="314">
        <f>SUMIFS('2020'!$I:$I,'2020'!$E:$E,Category!$B$4,'2020'!$N:$N,Category!V$1,'2020'!$D:$D,Category!$C23)</f>
        <v>0</v>
      </c>
      <c r="W23" s="314">
        <f>SUMIFS('2020'!$I:$I,'2020'!$E:$E,Category!$B$4,'2020'!$N:$N,Category!W$1,'2020'!$D:$D,Category!$C23)</f>
        <v>0</v>
      </c>
      <c r="X23" s="315">
        <f t="shared" si="4"/>
        <v>0</v>
      </c>
      <c r="Y23" s="499">
        <f>IFERROR(VLOOKUP(C23,'2021'!$D:$G,4,0),0)</f>
        <v>5</v>
      </c>
      <c r="Z23" s="314">
        <f>SUMIFS('2021'!$I:$I,'2021'!$E:$E,Category!$B$4,'2021'!$N:$N,Category!Z$1,'2021'!$D:$D,Category!$C23)</f>
        <v>0</v>
      </c>
      <c r="AA23" s="314">
        <f>SUMIFS('2021'!$I:$I,'2021'!$E:$E,Category!$B$4,'2021'!$N:$N,Category!AA$1,'2021'!$D:$D,Category!$C23)</f>
        <v>0</v>
      </c>
      <c r="AB23" s="314">
        <f>SUMIFS('2021'!$I:$I,'2021'!$E:$E,Category!$B$4,'2021'!$N:$N,Category!AB$1,'2021'!$D:$D,Category!$C23)</f>
        <v>0</v>
      </c>
      <c r="AC23" s="314">
        <f>SUMIFS('2021'!$I:$I,'2021'!$E:$E,Category!$B$4,'2021'!$N:$N,Category!AC$1,'2021'!$D:$D,Category!$C23)</f>
        <v>0</v>
      </c>
      <c r="AD23" s="314">
        <f>SUMIFS('2021'!$I:$I,'2021'!$E:$E,Category!$B$4,'2021'!$N:$N,Category!AD$1,'2021'!$D:$D,Category!$C23)</f>
        <v>0</v>
      </c>
      <c r="AE23" s="314">
        <f>SUMIFS('2021'!$I:$I,'2021'!$E:$E,Category!$B$4,'2021'!$N:$N,Category!AE$1,'2021'!$D:$D,Category!$C23)</f>
        <v>0</v>
      </c>
      <c r="AF23" s="314">
        <f>SUMIFS('2021'!$I:$I,'2021'!$E:$E,Category!$B$4,'2021'!$N:$N,Category!AF$1,'2021'!$D:$D,Category!$C23)</f>
        <v>0</v>
      </c>
      <c r="AG23" s="314">
        <v>0</v>
      </c>
      <c r="AH23" s="314"/>
      <c r="AI23" s="314">
        <v>0</v>
      </c>
      <c r="AJ23" s="314">
        <v>0</v>
      </c>
      <c r="AK23" s="314">
        <f>SUMIFS('2021'!$I:$I,'2021'!$E:$E,Category!$B$4,'2021'!$N:$N,Category!AK$1,'2021'!$D:$D,Category!$C23)</f>
        <v>7110000</v>
      </c>
      <c r="AL23" s="315">
        <f t="shared" si="7"/>
        <v>7110000</v>
      </c>
      <c r="AM23" s="499">
        <f>IFERROR(VLOOKUP(C23,'2022'!$D:$G,4,0),0)</f>
        <v>0</v>
      </c>
      <c r="AN23" s="314">
        <f>SUMIFS('2022'!$I:$I,'2022'!$E:$E,Category!$B$4,'2022'!$N:$N,Category!AN$1,'2022'!$D:$D,Category!$C23)</f>
        <v>0</v>
      </c>
      <c r="AO23" s="314">
        <f>SUMIFS('2022'!$I:$I,'2022'!$E:$E,Category!$B$4,'2022'!$N:$N,Category!AO$1,'2022'!$D:$D,Category!$C23)</f>
        <v>0</v>
      </c>
      <c r="AP23" s="314">
        <f>SUMIFS('2022'!$I:$I,'2022'!$E:$E,Category!$B$4,'2022'!$N:$N,Category!AP$1,'2022'!$D:$D,Category!$C23)</f>
        <v>0</v>
      </c>
      <c r="AQ23" s="314">
        <f>SUMIFS('2022'!$I:$I,'2022'!$E:$E,Category!$B$4,'2022'!$N:$N,Category!AQ$1,'2022'!$D:$D,Category!$C23)</f>
        <v>0</v>
      </c>
      <c r="AR23" s="314">
        <f>SUMIFS('2022'!$I:$I,'2022'!$E:$E,Category!$B$4,'2022'!$N:$N,Category!AR$1,'2022'!$D:$D,Category!$C23)</f>
        <v>0</v>
      </c>
      <c r="AS23" s="314">
        <f>SUMIFS('2022'!$I:$I,'2022'!$E:$E,Category!$B$4,'2022'!$N:$N,Category!AS$1,'2022'!$D:$D,Category!$C23)</f>
        <v>0</v>
      </c>
      <c r="AT23" s="314">
        <f>SUMIFS('2022'!$I:$I,'2022'!$E:$E,Category!$B$4,'2022'!$N:$N,Category!AT$1,'2022'!$D:$D,Category!$C23)</f>
        <v>0</v>
      </c>
      <c r="AU23" s="314">
        <f>SUMIFS('2022'!$I:$I,'2022'!$E:$E,Category!$B$4,'2022'!$N:$N,Category!AU$1,'2022'!$D:$D,Category!$C23)</f>
        <v>0</v>
      </c>
      <c r="AV23" s="314">
        <f>SUMIFS('2022'!$I:$I,'2022'!$E:$E,Category!$B$4,'2022'!$N:$N,Category!AV$1,'2022'!$D:$D,Category!$C23)</f>
        <v>0</v>
      </c>
      <c r="AW23" s="314">
        <f>SUMIFS('2022'!$I:$I,'2022'!$E:$E,Category!$B$4,'2022'!$N:$N,Category!AW$1,'2022'!$D:$D,Category!$C23)</f>
        <v>0</v>
      </c>
      <c r="AX23" s="314">
        <f>SUMIFS('2022'!$I:$I,'2022'!$E:$E,Category!$B$4,'2022'!$N:$N,Category!AX$1,'2022'!$D:$D,Category!$C23)</f>
        <v>0</v>
      </c>
      <c r="AY23" s="314">
        <f>SUMIFS('2022'!$I:$I,'2022'!$E:$E,Category!$B$4,'2022'!$N:$N,Category!AY$1,'2022'!$D:$D,Category!$C23)</f>
        <v>0</v>
      </c>
      <c r="AZ23" s="315">
        <f t="shared" si="5"/>
        <v>0</v>
      </c>
      <c r="BA23" s="499">
        <f>IFERROR(VLOOKUP(C23,'2023'!$D:$G,4,0),0)</f>
        <v>0</v>
      </c>
      <c r="BB23" s="314">
        <f>SUMIFS('2023'!$I:$I,'2023'!$E:$E,Category!$B$4,'2023'!$N:$N,Category!BB$1,'2023'!$D:$D,Category!$C23)</f>
        <v>0</v>
      </c>
      <c r="BC23" s="314">
        <f>SUMIFS('2023'!$I:$I,'2023'!$E:$E,Category!$B$4,'2023'!$N:$N,Category!BC$1,'2023'!$D:$D,Category!$C23)</f>
        <v>0</v>
      </c>
      <c r="BD23" s="314">
        <f>SUMIFS('2023'!$I:$I,'2023'!$E:$E,Category!$B$4,'2023'!$N:$N,Category!BD$1,'2023'!$D:$D,Category!$C23)</f>
        <v>0</v>
      </c>
      <c r="BE23" s="314">
        <f>SUMIFS('2023'!$I:$I,'2023'!$E:$E,Category!$B$4,'2023'!$N:$N,Category!BE$1,'2023'!$D:$D,Category!$C23)</f>
        <v>0</v>
      </c>
      <c r="BF23" s="314">
        <f>SUMIFS('2023'!$I:$I,'2023'!$E:$E,Category!$B$4,'2023'!$N:$N,Category!BF$1,'2023'!$D:$D,Category!$C23)</f>
        <v>0</v>
      </c>
      <c r="BG23" s="314">
        <f>SUMIFS('2023'!$I:$I,'2023'!$E:$E,Category!$B$4,'2023'!$N:$N,Category!BG$1,'2023'!$D:$D,Category!$C23)</f>
        <v>0</v>
      </c>
      <c r="BH23" s="314">
        <f>SUMIFS('2023'!$I:$I,'2023'!$E:$E,Category!$B$4,'2023'!$N:$N,Category!BH$1,'2023'!$D:$D,Category!$C23)</f>
        <v>0</v>
      </c>
      <c r="BI23" s="314">
        <f>SUMIFS('2023'!$I:$I,'2023'!$E:$E,Category!$B$4,'2023'!$N:$N,Category!BI$1,'2023'!$D:$D,Category!$C23)</f>
        <v>0</v>
      </c>
      <c r="BJ23" s="314">
        <f>SUMIFS('2023'!$I:$I,'2023'!$E:$E,Category!$B$4,'2023'!$N:$N,Category!BJ$1,'2023'!$D:$D,Category!$C23)</f>
        <v>0</v>
      </c>
      <c r="BK23" s="314">
        <f>SUMIFS('2023'!$I:$I,'2023'!$E:$E,Category!$B$4,'2023'!$N:$N,Category!BK$1,'2023'!$D:$D,Category!$C23)</f>
        <v>0</v>
      </c>
      <c r="BL23" s="314">
        <f>SUMIFS('2023'!$I:$I,'2023'!$E:$E,Category!$B$4,'2023'!$N:$N,Category!BL$1,'2023'!$D:$D,Category!$C23)</f>
        <v>0</v>
      </c>
      <c r="BM23" s="314">
        <f>SUMIFS('2023'!$I:$I,'2023'!$E:$E,Category!$B$4,'2023'!$N:$N,Category!BM$1,'2023'!$D:$D,Category!$C23)</f>
        <v>0</v>
      </c>
      <c r="BN23" s="315">
        <f t="shared" si="6"/>
        <v>0</v>
      </c>
    </row>
    <row r="24" spans="1:75" x14ac:dyDescent="0.3">
      <c r="A24" s="312"/>
      <c r="B24" s="313"/>
      <c r="C24" s="313" t="s">
        <v>620</v>
      </c>
      <c r="D24" s="512">
        <f>IFERROR(VLOOKUP($C24,'2019'!$D:$G,4,0),0)</f>
        <v>0</v>
      </c>
      <c r="E24" s="314">
        <f>SUMIFS('2019'!$I:$I,'2019'!$E:$E,Category!$B$4,'2019'!$N:$N,Category!E$1,'2019'!$D:$D,Category!$C24)</f>
        <v>0</v>
      </c>
      <c r="F24" s="314">
        <f>SUMIFS('2019'!$I:$I,'2019'!$E:$E,Category!$B$4,'2019'!$N:$N,Category!F$1,'2019'!$D:$D,Category!$C24)</f>
        <v>0</v>
      </c>
      <c r="G24" s="314">
        <f>SUMIFS('2019'!$I:$I,'2019'!$E:$E,Category!$B$4,'2019'!$N:$N,Category!G$1,'2019'!$D:$D,Category!$C24)</f>
        <v>0</v>
      </c>
      <c r="H24" s="314">
        <f>SUMIFS('2019'!$I:$I,'2019'!$E:$E,Category!$B$4,'2019'!$N:$N,Category!H$1,'2019'!$D:$D,Category!$C24)</f>
        <v>0</v>
      </c>
      <c r="I24" s="314">
        <f>SUMIFS('2019'!$I:$I,'2019'!$E:$E,Category!$B$4,'2019'!$N:$N,Category!I$1,'2019'!$D:$D,Category!$C24)</f>
        <v>0</v>
      </c>
      <c r="J24" s="315">
        <f>SUM(E24:I24)</f>
        <v>0</v>
      </c>
      <c r="K24" s="499">
        <f>IFERROR(VLOOKUP($C24,'2020'!$D:$G,4,0),0)</f>
        <v>0</v>
      </c>
      <c r="L24" s="314">
        <f>SUMIFS('2020'!$I:$I,'2020'!$E:$E,Category!$B$4,'2020'!$N:$N,Category!L$1,'2020'!$D:$D,Category!$C24)</f>
        <v>0</v>
      </c>
      <c r="M24" s="314">
        <f>SUMIFS('2020'!$I:$I,'2020'!$E:$E,Category!$B$4,'2020'!$N:$N,Category!M$1,'2020'!$D:$D,Category!$C24)</f>
        <v>0</v>
      </c>
      <c r="N24" s="314">
        <f>SUMIFS('2020'!$I:$I,'2020'!$E:$E,Category!$B$4,'2020'!$N:$N,Category!N$1,'2020'!$D:$D,Category!$C24)</f>
        <v>0</v>
      </c>
      <c r="O24" s="314">
        <f>SUMIFS('2020'!$I:$I,'2020'!$E:$E,Category!$B$4,'2020'!$N:$N,Category!O$1,'2020'!$D:$D,Category!$C24)</f>
        <v>0</v>
      </c>
      <c r="P24" s="314">
        <f>SUMIFS('2020'!$I:$I,'2020'!$E:$E,Category!$B$4,'2020'!$N:$N,Category!P$1,'2020'!$D:$D,Category!$C24)</f>
        <v>0</v>
      </c>
      <c r="Q24" s="314">
        <f>SUMIFS('2020'!$I:$I,'2020'!$E:$E,Category!$B$4,'2020'!$N:$N,Category!Q$1,'2020'!$D:$D,Category!$C24)</f>
        <v>0</v>
      </c>
      <c r="R24" s="314">
        <f>SUMIFS('2020'!$I:$I,'2020'!$E:$E,Category!$B$4,'2020'!$N:$N,Category!R$1,'2020'!$D:$D,Category!$C24)</f>
        <v>0</v>
      </c>
      <c r="S24" s="314">
        <f>SUMIFS('2020'!$I:$I,'2020'!$E:$E,Category!$B$4,'2020'!$N:$N,Category!S$1,'2020'!$D:$D,Category!$C24)</f>
        <v>0</v>
      </c>
      <c r="T24" s="314">
        <f>SUMIFS('2020'!$I:$I,'2020'!$E:$E,Category!$B$4,'2020'!$N:$N,Category!T$1,'2020'!$D:$D,Category!$C24)</f>
        <v>0</v>
      </c>
      <c r="U24" s="314">
        <f>SUMIFS('2020'!$I:$I,'2020'!$E:$E,Category!$B$4,'2020'!$N:$N,Category!U$1,'2020'!$D:$D,Category!$C24)</f>
        <v>0</v>
      </c>
      <c r="V24" s="314">
        <f>SUMIFS('2020'!$I:$I,'2020'!$E:$E,Category!$B$4,'2020'!$N:$N,Category!V$1,'2020'!$D:$D,Category!$C24)</f>
        <v>0</v>
      </c>
      <c r="W24" s="314">
        <f>SUMIFS('2020'!$I:$I,'2020'!$E:$E,Category!$B$4,'2020'!$N:$N,Category!W$1,'2020'!$D:$D,Category!$C24)</f>
        <v>0</v>
      </c>
      <c r="X24" s="315">
        <f t="shared" si="4"/>
        <v>0</v>
      </c>
      <c r="Y24" s="499">
        <f>IFERROR(VLOOKUP(C24,'2021'!$D:$G,4,0),0)</f>
        <v>5</v>
      </c>
      <c r="Z24" s="314">
        <f>SUMIFS('2021'!$I:$I,'2021'!$E:$E,Category!$B$4,'2021'!$N:$N,Category!Z$1,'2021'!$D:$D,Category!$C24)</f>
        <v>0</v>
      </c>
      <c r="AA24" s="314">
        <f>SUMIFS('2021'!$I:$I,'2021'!$E:$E,Category!$B$4,'2021'!$N:$N,Category!AA$1,'2021'!$D:$D,Category!$C24)</f>
        <v>0</v>
      </c>
      <c r="AB24" s="314">
        <f>SUMIFS('2021'!$I:$I,'2021'!$E:$E,Category!$B$4,'2021'!$N:$N,Category!AB$1,'2021'!$D:$D,Category!$C24)</f>
        <v>0</v>
      </c>
      <c r="AC24" s="314">
        <f>SUMIFS('2021'!$I:$I,'2021'!$E:$E,Category!$B$4,'2021'!$N:$N,Category!AC$1,'2021'!$D:$D,Category!$C24)</f>
        <v>0</v>
      </c>
      <c r="AD24" s="314">
        <f>SUMIFS('2021'!$I:$I,'2021'!$E:$E,Category!$B$4,'2021'!$N:$N,Category!AD$1,'2021'!$D:$D,Category!$C24)</f>
        <v>0</v>
      </c>
      <c r="AE24" s="314">
        <f>SUMIFS('2021'!$I:$I,'2021'!$E:$E,Category!$B$4,'2021'!$N:$N,Category!AE$1,'2021'!$D:$D,Category!$C24)</f>
        <v>0</v>
      </c>
      <c r="AF24" s="314">
        <f>SUMIFS('2021'!$I:$I,'2021'!$E:$E,Category!$B$4,'2021'!$N:$N,Category!AF$1,'2021'!$D:$D,Category!$C24)</f>
        <v>0</v>
      </c>
      <c r="AG24" s="314">
        <f>SUMIFS('2021'!$I:$I,'2021'!$E:$E,Category!$B$4,'2021'!$N:$N,Category!AG$1,'2021'!$D:$D,Category!$C24)</f>
        <v>0</v>
      </c>
      <c r="AH24" s="314">
        <f>SUMIFS('2021'!$I:$I,'2021'!$E:$E,Category!$B$4,'2021'!$N:$N,Category!AH$1,'2021'!$D:$D,Category!$C24)</f>
        <v>0</v>
      </c>
      <c r="AI24" s="314">
        <f>SUMIFS('2021'!$I:$I,'2021'!$E:$E,Category!$B$4,'2021'!$N:$N,Category!AI$1,'2021'!$D:$D,Category!$C24)</f>
        <v>0</v>
      </c>
      <c r="AJ24" s="314">
        <f>SUMIFS('2021'!$I:$I,'2021'!$E:$E,Category!$B$4,'2021'!$N:$N,Category!AJ$1,'2021'!$D:$D,Category!$C24)</f>
        <v>0</v>
      </c>
      <c r="AK24" s="314">
        <f>SUMIFS('2021'!$I:$I,'2021'!$E:$E,Category!$B$4,'2021'!$N:$N,Category!AK$1,'2021'!$D:$D,Category!$C24)</f>
        <v>6890000</v>
      </c>
      <c r="AL24" s="315">
        <f t="shared" si="7"/>
        <v>6890000</v>
      </c>
      <c r="AM24" s="499">
        <f>IFERROR(VLOOKUP(C24,'2022'!$D:$G,4,0),0)</f>
        <v>0</v>
      </c>
      <c r="AN24" s="314">
        <f>SUMIFS('2022'!$I:$I,'2022'!$E:$E,Category!$B$4,'2022'!$N:$N,Category!AN$1,'2022'!$D:$D,Category!$C24)</f>
        <v>0</v>
      </c>
      <c r="AO24" s="314">
        <f>SUMIFS('2022'!$I:$I,'2022'!$E:$E,Category!$B$4,'2022'!$N:$N,Category!AO$1,'2022'!$D:$D,Category!$C24)</f>
        <v>0</v>
      </c>
      <c r="AP24" s="314">
        <f>SUMIFS('2022'!$I:$I,'2022'!$E:$E,Category!$B$4,'2022'!$N:$N,Category!AP$1,'2022'!$D:$D,Category!$C24)</f>
        <v>0</v>
      </c>
      <c r="AQ24" s="314">
        <f>SUMIFS('2022'!$I:$I,'2022'!$E:$E,Category!$B$4,'2022'!$N:$N,Category!AQ$1,'2022'!$D:$D,Category!$C24)</f>
        <v>0</v>
      </c>
      <c r="AR24" s="314">
        <f>SUMIFS('2022'!$I:$I,'2022'!$E:$E,Category!$B$4,'2022'!$N:$N,Category!AR$1,'2022'!$D:$D,Category!$C24)</f>
        <v>0</v>
      </c>
      <c r="AS24" s="314">
        <f>SUMIFS('2022'!$I:$I,'2022'!$E:$E,Category!$B$4,'2022'!$N:$N,Category!AS$1,'2022'!$D:$D,Category!$C24)</f>
        <v>0</v>
      </c>
      <c r="AT24" s="314">
        <f>SUMIFS('2022'!$I:$I,'2022'!$E:$E,Category!$B$4,'2022'!$N:$N,Category!AT$1,'2022'!$D:$D,Category!$C24)</f>
        <v>0</v>
      </c>
      <c r="AU24" s="314">
        <f>SUMIFS('2022'!$I:$I,'2022'!$E:$E,Category!$B$4,'2022'!$N:$N,Category!AU$1,'2022'!$D:$D,Category!$C24)</f>
        <v>0</v>
      </c>
      <c r="AV24" s="314">
        <f>SUMIFS('2022'!$I:$I,'2022'!$E:$E,Category!$B$4,'2022'!$N:$N,Category!AV$1,'2022'!$D:$D,Category!$C24)</f>
        <v>0</v>
      </c>
      <c r="AW24" s="314">
        <f>SUMIFS('2022'!$I:$I,'2022'!$E:$E,Category!$B$4,'2022'!$N:$N,Category!AW$1,'2022'!$D:$D,Category!$C24)</f>
        <v>0</v>
      </c>
      <c r="AX24" s="314">
        <f>SUMIFS('2022'!$I:$I,'2022'!$E:$E,Category!$B$4,'2022'!$N:$N,Category!AX$1,'2022'!$D:$D,Category!$C24)</f>
        <v>0</v>
      </c>
      <c r="AY24" s="314">
        <f>SUMIFS('2022'!$I:$I,'2022'!$E:$E,Category!$B$4,'2022'!$N:$N,Category!AY$1,'2022'!$D:$D,Category!$C24)</f>
        <v>0</v>
      </c>
      <c r="AZ24" s="315">
        <f t="shared" si="5"/>
        <v>0</v>
      </c>
      <c r="BA24" s="499">
        <f>IFERROR(VLOOKUP(C24,'2023'!$D:$G,4,0),0)</f>
        <v>0</v>
      </c>
      <c r="BB24" s="314">
        <f>SUMIFS('2023'!$I:$I,'2023'!$E:$E,Category!$B$4,'2023'!$N:$N,Category!BB$1,'2023'!$D:$D,Category!$C24)</f>
        <v>0</v>
      </c>
      <c r="BC24" s="314">
        <f>SUMIFS('2023'!$I:$I,'2023'!$E:$E,Category!$B$4,'2023'!$N:$N,Category!BC$1,'2023'!$D:$D,Category!$C24)</f>
        <v>0</v>
      </c>
      <c r="BD24" s="314">
        <f>SUMIFS('2023'!$I:$I,'2023'!$E:$E,Category!$B$4,'2023'!$N:$N,Category!BD$1,'2023'!$D:$D,Category!$C24)</f>
        <v>0</v>
      </c>
      <c r="BE24" s="314">
        <f>SUMIFS('2023'!$I:$I,'2023'!$E:$E,Category!$B$4,'2023'!$N:$N,Category!BE$1,'2023'!$D:$D,Category!$C24)</f>
        <v>0</v>
      </c>
      <c r="BF24" s="314">
        <f>SUMIFS('2023'!$I:$I,'2023'!$E:$E,Category!$B$4,'2023'!$N:$N,Category!BF$1,'2023'!$D:$D,Category!$C24)</f>
        <v>0</v>
      </c>
      <c r="BG24" s="314">
        <f>SUMIFS('2023'!$I:$I,'2023'!$E:$E,Category!$B$4,'2023'!$N:$N,Category!BG$1,'2023'!$D:$D,Category!$C24)</f>
        <v>0</v>
      </c>
      <c r="BH24" s="314">
        <f>SUMIFS('2023'!$I:$I,'2023'!$E:$E,Category!$B$4,'2023'!$N:$N,Category!BH$1,'2023'!$D:$D,Category!$C24)</f>
        <v>0</v>
      </c>
      <c r="BI24" s="314">
        <f>SUMIFS('2023'!$I:$I,'2023'!$E:$E,Category!$B$4,'2023'!$N:$N,Category!BI$1,'2023'!$D:$D,Category!$C24)</f>
        <v>0</v>
      </c>
      <c r="BJ24" s="314">
        <f>SUMIFS('2023'!$I:$I,'2023'!$E:$E,Category!$B$4,'2023'!$N:$N,Category!BJ$1,'2023'!$D:$D,Category!$C24)</f>
        <v>0</v>
      </c>
      <c r="BK24" s="314">
        <f>SUMIFS('2023'!$I:$I,'2023'!$E:$E,Category!$B$4,'2023'!$N:$N,Category!BK$1,'2023'!$D:$D,Category!$C24)</f>
        <v>0</v>
      </c>
      <c r="BL24" s="314">
        <f>SUMIFS('2023'!$I:$I,'2023'!$E:$E,Category!$B$4,'2023'!$N:$N,Category!BL$1,'2023'!$D:$D,Category!$C24)</f>
        <v>0</v>
      </c>
      <c r="BM24" s="314">
        <f>SUMIFS('2023'!$I:$I,'2023'!$E:$E,Category!$B$4,'2023'!$N:$N,Category!BM$1,'2023'!$D:$D,Category!$C24)</f>
        <v>0</v>
      </c>
      <c r="BN24" s="315">
        <f t="shared" si="6"/>
        <v>0</v>
      </c>
    </row>
    <row r="25" spans="1:75" x14ac:dyDescent="0.3">
      <c r="A25" s="316"/>
      <c r="B25" s="313"/>
      <c r="C25" s="313"/>
      <c r="D25" s="512">
        <f>IFERROR(VLOOKUP($C25,'2019'!$D:$G,4,0),0)</f>
        <v>0</v>
      </c>
      <c r="E25" s="314">
        <f>SUMIFS('2019'!$I:$I,'2019'!$E:$E,Category!$B$4,'2019'!$N:$N,Category!E$1,'2019'!$D:$D,Category!$C25)</f>
        <v>0</v>
      </c>
      <c r="F25" s="314">
        <f>SUMIFS('2019'!$I:$I,'2019'!$E:$E,Category!$B$4,'2019'!$N:$N,Category!F$1,'2019'!$D:$D,Category!$C25)</f>
        <v>0</v>
      </c>
      <c r="G25" s="314">
        <f>SUMIFS('2019'!$I:$I,'2019'!$E:$E,Category!$B$4,'2019'!$N:$N,Category!G$1,'2019'!$D:$D,Category!$C25)</f>
        <v>0</v>
      </c>
      <c r="H25" s="314">
        <f>SUMIFS('2019'!$I:$I,'2019'!$E:$E,Category!$B$4,'2019'!$N:$N,Category!H$1,'2019'!$D:$D,Category!$C25)</f>
        <v>0</v>
      </c>
      <c r="I25" s="314">
        <f>SUMIFS('2019'!$I:$I,'2019'!$E:$E,Category!$B$4,'2019'!$N:$N,Category!I$1,'2019'!$D:$D,Category!$C25)</f>
        <v>0</v>
      </c>
      <c r="J25" s="315">
        <f>SUM(E25:I25)</f>
        <v>0</v>
      </c>
      <c r="K25" s="499">
        <f>IFERROR(VLOOKUP($C25,'2020'!$D:$G,4,0),0)</f>
        <v>0</v>
      </c>
      <c r="L25" s="314">
        <f>SUMIFS('2020'!$I:$I,'2020'!$E:$E,Category!$B$4,'2020'!$N:$N,Category!L$1,'2020'!$D:$D,Category!$C25)</f>
        <v>0</v>
      </c>
      <c r="M25" s="314">
        <f>SUMIFS('2020'!$I:$I,'2020'!$E:$E,Category!$B$4,'2020'!$N:$N,Category!M$1,'2020'!$D:$D,Category!$C25)</f>
        <v>0</v>
      </c>
      <c r="N25" s="314">
        <f>SUMIFS('2020'!$I:$I,'2020'!$E:$E,Category!$B$4,'2020'!$N:$N,Category!N$1,'2020'!$D:$D,Category!$C25)</f>
        <v>0</v>
      </c>
      <c r="O25" s="314">
        <f>SUMIFS('2020'!$I:$I,'2020'!$E:$E,Category!$B$4,'2020'!$N:$N,Category!O$1,'2020'!$D:$D,Category!$C25)</f>
        <v>0</v>
      </c>
      <c r="P25" s="314">
        <f>SUMIFS('2020'!$I:$I,'2020'!$E:$E,Category!$B$4,'2020'!$N:$N,Category!P$1,'2020'!$D:$D,Category!$C25)</f>
        <v>0</v>
      </c>
      <c r="Q25" s="314">
        <f>SUMIFS('2020'!$I:$I,'2020'!$E:$E,Category!$B$4,'2020'!$N:$N,Category!Q$1,'2020'!$D:$D,Category!$C25)</f>
        <v>0</v>
      </c>
      <c r="R25" s="314">
        <f>SUMIFS('2020'!$I:$I,'2020'!$E:$E,Category!$B$4,'2020'!$N:$N,Category!R$1,'2020'!$D:$D,Category!$C25)</f>
        <v>0</v>
      </c>
      <c r="S25" s="314">
        <f>SUMIFS('2020'!$I:$I,'2020'!$E:$E,Category!$B$4,'2020'!$N:$N,Category!S$1,'2020'!$D:$D,Category!$C25)</f>
        <v>0</v>
      </c>
      <c r="T25" s="314">
        <f>SUMIFS('2020'!$I:$I,'2020'!$E:$E,Category!$B$4,'2020'!$N:$N,Category!T$1,'2020'!$D:$D,Category!$C25)</f>
        <v>0</v>
      </c>
      <c r="U25" s="314">
        <f>SUMIFS('2020'!$I:$I,'2020'!$E:$E,Category!$B$4,'2020'!$N:$N,Category!U$1,'2020'!$D:$D,Category!$C25)</f>
        <v>0</v>
      </c>
      <c r="V25" s="314">
        <f>SUMIFS('2020'!$I:$I,'2020'!$E:$E,Category!$B$4,'2020'!$N:$N,Category!V$1,'2020'!$D:$D,Category!$C25)</f>
        <v>0</v>
      </c>
      <c r="W25" s="314">
        <f>SUMIFS('2020'!$I:$I,'2020'!$E:$E,Category!$B$4,'2020'!$N:$N,Category!W$1,'2020'!$D:$D,Category!$C25)</f>
        <v>0</v>
      </c>
      <c r="X25" s="315">
        <f>SUM(L25:W25)</f>
        <v>0</v>
      </c>
      <c r="Y25" s="499">
        <f>IFERROR(VLOOKUP(C25,'2021'!$D:$G,4,0),0)</f>
        <v>0</v>
      </c>
      <c r="Z25" s="314">
        <f>SUMIFS('2021'!$I:$I,'2021'!$E:$E,Category!$B$4,'2021'!$N:$N,Category!Z$1,'2021'!$D:$D,Category!$C25)</f>
        <v>0</v>
      </c>
      <c r="AA25" s="314">
        <f>SUMIFS('2021'!$I:$I,'2021'!$E:$E,Category!$B$4,'2021'!$N:$N,Category!AA$1,'2021'!$D:$D,Category!$C25)</f>
        <v>0</v>
      </c>
      <c r="AB25" s="314">
        <f>SUMIFS('2021'!$I:$I,'2021'!$E:$E,Category!$B$4,'2021'!$N:$N,Category!AB$1,'2021'!$D:$D,Category!$C25)</f>
        <v>0</v>
      </c>
      <c r="AC25" s="314">
        <f>SUMIFS('2021'!$I:$I,'2021'!$E:$E,Category!$B$4,'2021'!$N:$N,Category!AC$1,'2021'!$D:$D,Category!$C25)</f>
        <v>0</v>
      </c>
      <c r="AD25" s="314">
        <f>SUMIFS('2021'!$I:$I,'2021'!$E:$E,Category!$B$4,'2021'!$N:$N,Category!AD$1,'2021'!$D:$D,Category!$C25)</f>
        <v>0</v>
      </c>
      <c r="AE25" s="314">
        <f>SUMIFS('2021'!$I:$I,'2021'!$E:$E,Category!$B$4,'2021'!$N:$N,Category!AE$1,'2021'!$D:$D,Category!$C25)</f>
        <v>0</v>
      </c>
      <c r="AF25" s="314">
        <f>SUMIFS('2021'!$I:$I,'2021'!$E:$E,Category!$B$4,'2021'!$N:$N,Category!AF$1,'2021'!$D:$D,Category!$C25)</f>
        <v>0</v>
      </c>
      <c r="AG25" s="314">
        <f>SUMIFS('2021'!$I:$I,'2021'!$E:$E,Category!$B$4,'2021'!$N:$N,Category!AG$1,'2021'!$D:$D,Category!$C25)</f>
        <v>0</v>
      </c>
      <c r="AH25" s="314">
        <f>SUMIFS('2021'!$I:$I,'2021'!$E:$E,Category!$B$4,'2021'!$N:$N,Category!AH$1,'2021'!$D:$D,Category!$C25)</f>
        <v>0</v>
      </c>
      <c r="AI25" s="314">
        <f>SUMIFS('2021'!$I:$I,'2021'!$E:$E,Category!$B$4,'2021'!$N:$N,Category!AI$1,'2021'!$D:$D,Category!$C25)</f>
        <v>0</v>
      </c>
      <c r="AJ25" s="314">
        <f>SUMIFS('2021'!$I:$I,'2021'!$E:$E,Category!$B$4,'2021'!$N:$N,Category!AJ$1,'2021'!$D:$D,Category!$C25)</f>
        <v>0</v>
      </c>
      <c r="AK25" s="314">
        <f>SUMIFS('2021'!$I:$I,'2021'!$E:$E,Category!$B$4,'2021'!$N:$N,Category!AK$1,'2021'!$D:$D,Category!$C25)</f>
        <v>0</v>
      </c>
      <c r="AL25" s="315">
        <f>SUM(Z25:AK25)</f>
        <v>0</v>
      </c>
      <c r="AM25" s="499">
        <f>IFERROR(VLOOKUP(C25,'2022'!$D:$G,4,0),0)</f>
        <v>0</v>
      </c>
      <c r="AN25" s="314">
        <f>SUMIFS('2022'!$I:$I,'2022'!$E:$E,Category!$B$4,'2022'!$N:$N,Category!AN$1,'2022'!$D:$D,Category!$C25)</f>
        <v>0</v>
      </c>
      <c r="AO25" s="314">
        <f>SUMIFS('2022'!$I:$I,'2022'!$E:$E,Category!$B$4,'2022'!$N:$N,Category!AO$1,'2022'!$D:$D,Category!$C25)</f>
        <v>0</v>
      </c>
      <c r="AP25" s="314">
        <f>SUMIFS('2022'!$I:$I,'2022'!$E:$E,Category!$B$4,'2022'!$N:$N,Category!AP$1,'2022'!$D:$D,Category!$C25)</f>
        <v>0</v>
      </c>
      <c r="AQ25" s="314">
        <f>SUMIFS('2022'!$I:$I,'2022'!$E:$E,Category!$B$4,'2022'!$N:$N,Category!AQ$1,'2022'!$D:$D,Category!$C25)</f>
        <v>0</v>
      </c>
      <c r="AR25" s="314">
        <f>SUMIFS('2022'!$I:$I,'2022'!$E:$E,Category!$B$4,'2022'!$N:$N,Category!AR$1,'2022'!$D:$D,Category!$C25)</f>
        <v>0</v>
      </c>
      <c r="AS25" s="314">
        <f>SUMIFS('2022'!$I:$I,'2022'!$E:$E,Category!$B$4,'2022'!$N:$N,Category!AS$1,'2022'!$D:$D,Category!$C25)</f>
        <v>0</v>
      </c>
      <c r="AT25" s="314">
        <f>SUMIFS('2022'!$I:$I,'2022'!$E:$E,Category!$B$4,'2022'!$N:$N,Category!AT$1,'2022'!$D:$D,Category!$C25)</f>
        <v>0</v>
      </c>
      <c r="AU25" s="314">
        <f>SUMIFS('2022'!$I:$I,'2022'!$E:$E,Category!$B$4,'2022'!$N:$N,Category!AU$1,'2022'!$D:$D,Category!$C25)</f>
        <v>0</v>
      </c>
      <c r="AV25" s="314">
        <f>SUMIFS('2022'!$I:$I,'2022'!$E:$E,Category!$B$4,'2022'!$N:$N,Category!AV$1,'2022'!$D:$D,Category!$C25)</f>
        <v>0</v>
      </c>
      <c r="AW25" s="314">
        <f>SUMIFS('2022'!$I:$I,'2022'!$E:$E,Category!$B$4,'2022'!$N:$N,Category!AW$1,'2022'!$D:$D,Category!$C25)</f>
        <v>0</v>
      </c>
      <c r="AX25" s="314">
        <f>SUMIFS('2022'!$I:$I,'2022'!$E:$E,Category!$B$4,'2022'!$N:$N,Category!AX$1,'2022'!$D:$D,Category!$C25)</f>
        <v>0</v>
      </c>
      <c r="AY25" s="314">
        <f>SUMIFS('2022'!$I:$I,'2022'!$E:$E,Category!$B$4,'2022'!$N:$N,Category!AY$1,'2022'!$D:$D,Category!$C25)</f>
        <v>0</v>
      </c>
      <c r="AZ25" s="315">
        <f t="shared" si="5"/>
        <v>0</v>
      </c>
      <c r="BA25" s="499">
        <f>IFERROR(VLOOKUP(C25,'2023'!$D:$G,4,0),0)</f>
        <v>0</v>
      </c>
      <c r="BB25" s="314">
        <f>SUMIFS('2023'!$I:$I,'2023'!$E:$E,Category!$B$4,'2023'!$N:$N,Category!BB$1,'2023'!$D:$D,Category!$C25)</f>
        <v>0</v>
      </c>
      <c r="BC25" s="314">
        <f>SUMIFS('2023'!$I:$I,'2023'!$E:$E,Category!$B$4,'2023'!$N:$N,Category!BC$1,'2023'!$D:$D,Category!$C25)</f>
        <v>0</v>
      </c>
      <c r="BD25" s="314">
        <f>SUMIFS('2023'!$I:$I,'2023'!$E:$E,Category!$B$4,'2023'!$N:$N,Category!BD$1,'2023'!$D:$D,Category!$C25)</f>
        <v>0</v>
      </c>
      <c r="BE25" s="314">
        <f>SUMIFS('2023'!$I:$I,'2023'!$E:$E,Category!$B$4,'2023'!$N:$N,Category!BE$1,'2023'!$D:$D,Category!$C25)</f>
        <v>0</v>
      </c>
      <c r="BF25" s="314">
        <f>SUMIFS('2023'!$I:$I,'2023'!$E:$E,Category!$B$4,'2023'!$N:$N,Category!BF$1,'2023'!$D:$D,Category!$C25)</f>
        <v>0</v>
      </c>
      <c r="BG25" s="314">
        <f>SUMIFS('2023'!$I:$I,'2023'!$E:$E,Category!$B$4,'2023'!$N:$N,Category!BG$1,'2023'!$D:$D,Category!$C25)</f>
        <v>0</v>
      </c>
      <c r="BH25" s="314">
        <f>SUMIFS('2023'!$I:$I,'2023'!$E:$E,Category!$B$4,'2023'!$N:$N,Category!BH$1,'2023'!$D:$D,Category!$C25)</f>
        <v>0</v>
      </c>
      <c r="BI25" s="314">
        <f>SUMIFS('2023'!$I:$I,'2023'!$E:$E,Category!$B$4,'2023'!$N:$N,Category!BI$1,'2023'!$D:$D,Category!$C25)</f>
        <v>0</v>
      </c>
      <c r="BJ25" s="314">
        <f>SUMIFS('2023'!$I:$I,'2023'!$E:$E,Category!$B$4,'2023'!$N:$N,Category!BJ$1,'2023'!$D:$D,Category!$C25)</f>
        <v>0</v>
      </c>
      <c r="BK25" s="314">
        <f>SUMIFS('2023'!$I:$I,'2023'!$E:$E,Category!$B$4,'2023'!$N:$N,Category!BK$1,'2023'!$D:$D,Category!$C25)</f>
        <v>0</v>
      </c>
      <c r="BL25" s="314">
        <f>SUMIFS('2023'!$I:$I,'2023'!$E:$E,Category!$B$4,'2023'!$N:$N,Category!BL$1,'2023'!$D:$D,Category!$C25)</f>
        <v>0</v>
      </c>
      <c r="BM25" s="314">
        <f>SUMIFS('2023'!$I:$I,'2023'!$E:$E,Category!$B$4,'2023'!$N:$N,Category!BM$1,'2023'!$D:$D,Category!$C25)</f>
        <v>0</v>
      </c>
      <c r="BN25" s="315">
        <f t="shared" si="6"/>
        <v>0</v>
      </c>
    </row>
    <row r="26" spans="1:75" x14ac:dyDescent="0.25">
      <c r="A26" s="317">
        <v>2</v>
      </c>
      <c r="B26" s="318" t="s">
        <v>17</v>
      </c>
      <c r="C26" s="318"/>
      <c r="D26" s="318">
        <f>SUM(D27:D73)</f>
        <v>149</v>
      </c>
      <c r="E26" s="318">
        <f t="shared" ref="E26:K26" si="8">SUM(E27:E73)</f>
        <v>0</v>
      </c>
      <c r="F26" s="318">
        <f t="shared" si="8"/>
        <v>0</v>
      </c>
      <c r="G26" s="318">
        <f t="shared" si="8"/>
        <v>0</v>
      </c>
      <c r="H26" s="318">
        <f t="shared" si="8"/>
        <v>5500000</v>
      </c>
      <c r="I26" s="1041">
        <f t="shared" si="8"/>
        <v>40000000</v>
      </c>
      <c r="J26" s="1041">
        <f t="shared" si="8"/>
        <v>45500000</v>
      </c>
      <c r="K26" s="318">
        <f t="shared" si="8"/>
        <v>552</v>
      </c>
      <c r="L26" s="960">
        <f t="shared" ref="L26:AZ26" si="9">SUM(L27:L73)</f>
        <v>0</v>
      </c>
      <c r="M26" s="960">
        <f t="shared" si="9"/>
        <v>0</v>
      </c>
      <c r="N26" s="960">
        <f t="shared" si="9"/>
        <v>0</v>
      </c>
      <c r="O26" s="960">
        <f t="shared" si="9"/>
        <v>0</v>
      </c>
      <c r="P26" s="960">
        <f t="shared" si="9"/>
        <v>0</v>
      </c>
      <c r="Q26" s="960">
        <f t="shared" si="9"/>
        <v>0</v>
      </c>
      <c r="R26" s="960">
        <f t="shared" si="9"/>
        <v>0</v>
      </c>
      <c r="S26" s="960">
        <f t="shared" si="9"/>
        <v>13190500</v>
      </c>
      <c r="T26" s="960">
        <f t="shared" si="9"/>
        <v>30204000</v>
      </c>
      <c r="U26" s="960">
        <f t="shared" si="9"/>
        <v>16500000</v>
      </c>
      <c r="V26" s="960">
        <f t="shared" si="9"/>
        <v>56071500</v>
      </c>
      <c r="W26" s="960">
        <f t="shared" si="9"/>
        <v>88910000</v>
      </c>
      <c r="X26" s="960">
        <f t="shared" si="9"/>
        <v>204876000</v>
      </c>
      <c r="Y26" s="318">
        <f t="shared" si="9"/>
        <v>2408</v>
      </c>
      <c r="Z26" s="960">
        <f t="shared" si="9"/>
        <v>85500000</v>
      </c>
      <c r="AA26" s="960">
        <f t="shared" si="9"/>
        <v>22000000</v>
      </c>
      <c r="AB26" s="960">
        <f t="shared" si="9"/>
        <v>124000000</v>
      </c>
      <c r="AC26" s="960">
        <f t="shared" si="9"/>
        <v>112730450</v>
      </c>
      <c r="AD26" s="960">
        <f t="shared" si="9"/>
        <v>131954954</v>
      </c>
      <c r="AE26" s="960">
        <f t="shared" si="9"/>
        <v>151938074</v>
      </c>
      <c r="AF26" s="960">
        <f t="shared" si="9"/>
        <v>25500000</v>
      </c>
      <c r="AG26" s="960">
        <f t="shared" si="9"/>
        <v>191980800</v>
      </c>
      <c r="AH26" s="960">
        <f t="shared" si="9"/>
        <v>25500000</v>
      </c>
      <c r="AI26" s="960">
        <f t="shared" si="9"/>
        <v>25500000</v>
      </c>
      <c r="AJ26" s="960">
        <f t="shared" si="9"/>
        <v>403362600</v>
      </c>
      <c r="AK26" s="960">
        <f t="shared" si="9"/>
        <v>211495641</v>
      </c>
      <c r="AL26" s="960">
        <f t="shared" si="9"/>
        <v>1511462519</v>
      </c>
      <c r="AM26" s="318">
        <f>SUM(AM27:AM73)</f>
        <v>2395</v>
      </c>
      <c r="AN26" s="960">
        <f t="shared" si="9"/>
        <v>211495600</v>
      </c>
      <c r="AO26" s="960">
        <f t="shared" si="9"/>
        <v>25500000</v>
      </c>
      <c r="AP26" s="960">
        <f t="shared" si="9"/>
        <v>397181900</v>
      </c>
      <c r="AQ26" s="960">
        <f t="shared" si="9"/>
        <v>221329103</v>
      </c>
      <c r="AR26" s="960">
        <f t="shared" si="9"/>
        <v>217611600</v>
      </c>
      <c r="AS26" s="960">
        <f t="shared" si="9"/>
        <v>218372800</v>
      </c>
      <c r="AT26" s="960">
        <f t="shared" si="9"/>
        <v>224711660</v>
      </c>
      <c r="AU26" s="960">
        <f t="shared" si="9"/>
        <v>222003260</v>
      </c>
      <c r="AV26" s="960">
        <f t="shared" si="9"/>
        <v>222326290</v>
      </c>
      <c r="AW26" s="960">
        <f t="shared" si="9"/>
        <v>222003770</v>
      </c>
      <c r="AX26" s="960">
        <f t="shared" si="9"/>
        <v>221250820</v>
      </c>
      <c r="AY26" s="960">
        <f t="shared" si="9"/>
        <v>220439420.47</v>
      </c>
      <c r="AZ26" s="960">
        <f t="shared" si="9"/>
        <v>2624226223.4699998</v>
      </c>
      <c r="BA26" s="1041">
        <f t="shared" ref="BA26:BN26" si="10">SUM(BA27:BA73)</f>
        <v>2201</v>
      </c>
      <c r="BB26" s="960">
        <f>SUM(BB27:BB73)</f>
        <v>245374990</v>
      </c>
      <c r="BC26" s="960">
        <f t="shared" si="10"/>
        <v>225879080</v>
      </c>
      <c r="BD26" s="960">
        <f t="shared" si="10"/>
        <v>0</v>
      </c>
      <c r="BE26" s="960">
        <f t="shared" si="10"/>
        <v>0</v>
      </c>
      <c r="BF26" s="960">
        <f t="shared" si="10"/>
        <v>0</v>
      </c>
      <c r="BG26" s="960">
        <f t="shared" si="10"/>
        <v>0</v>
      </c>
      <c r="BH26" s="960">
        <f t="shared" si="10"/>
        <v>0</v>
      </c>
      <c r="BI26" s="960">
        <f t="shared" si="10"/>
        <v>0</v>
      </c>
      <c r="BJ26" s="960">
        <f t="shared" si="10"/>
        <v>0</v>
      </c>
      <c r="BK26" s="960">
        <f t="shared" si="10"/>
        <v>0</v>
      </c>
      <c r="BL26" s="960">
        <f t="shared" si="10"/>
        <v>0</v>
      </c>
      <c r="BM26" s="960">
        <f t="shared" si="10"/>
        <v>0</v>
      </c>
      <c r="BN26" s="960">
        <f t="shared" si="10"/>
        <v>471254070</v>
      </c>
    </row>
    <row r="27" spans="1:75" x14ac:dyDescent="0.25">
      <c r="A27" s="319"/>
      <c r="B27" s="320"/>
      <c r="C27" s="320" t="s">
        <v>872</v>
      </c>
      <c r="D27" s="513">
        <f>IFERROR(VLOOKUP($C27,'2019'!$D:$G,4,0),0)</f>
        <v>0</v>
      </c>
      <c r="E27" s="321">
        <f>SUMIFS('2019'!$I:$I,'2019'!$E:$E,Category!$B$26,'2019'!$N:$N,Category!E$1,'2019'!$D:$D,Category!$C27)</f>
        <v>0</v>
      </c>
      <c r="F27" s="321">
        <f>SUMIFS('2019'!$I:$I,'2019'!$E:$E,Category!$B$26,'2019'!$N:$N,Category!F$1,'2019'!$D:$D,Category!$C27)</f>
        <v>0</v>
      </c>
      <c r="G27" s="321">
        <f>SUMIFS('2019'!$I:$I,'2019'!$E:$E,Category!$B$26,'2019'!$N:$N,Category!G$1,'2019'!$D:$D,Category!$C27)</f>
        <v>0</v>
      </c>
      <c r="H27" s="321">
        <f>SUMIFS('2019'!$I:$I,'2019'!$E:$E,Category!$B$26,'2019'!$N:$N,Category!H$1,'2019'!$D:$D,Category!$C27)</f>
        <v>0</v>
      </c>
      <c r="I27" s="321">
        <f>SUMIFS('2019'!$I:$I,'2019'!$E:$E,Category!$B$26,'2019'!$N:$N,Category!I$1,'2019'!$D:$D,Category!$C27)</f>
        <v>0</v>
      </c>
      <c r="J27" s="322">
        <f t="shared" ref="J27:J61" si="11">SUM(E27:I27)</f>
        <v>0</v>
      </c>
      <c r="K27" s="500">
        <f>IFERROR(VLOOKUP($C27,'2020'!$D:$G,4,0),0)</f>
        <v>70</v>
      </c>
      <c r="L27" s="321">
        <f>SUMIFS('2020'!$I:$I,'2020'!$E:$E,Category!$B$26,'2020'!$N:$N,Category!L$1,'2020'!$D:$D,Category!$C27)</f>
        <v>0</v>
      </c>
      <c r="M27" s="321">
        <f>SUMIFS('2020'!$I:$I,'2020'!$E:$E,Category!$B$26,'2020'!$N:$N,Category!M$1,'2020'!$D:$D,Category!$C27)</f>
        <v>0</v>
      </c>
      <c r="N27" s="321">
        <f>SUMIFS('2020'!$I:$I,'2020'!$E:$E,Category!$B$26,'2020'!$N:$N,Category!N$1,'2020'!$D:$D,Category!$C27)</f>
        <v>0</v>
      </c>
      <c r="O27" s="321">
        <f>SUMIFS('2020'!$I:$I,'2020'!$E:$E,Category!$B$26,'2020'!$N:$N,Category!O$1,'2020'!$D:$D,Category!$C27)</f>
        <v>0</v>
      </c>
      <c r="P27" s="321">
        <f>SUMIFS('2020'!$I:$I,'2020'!$E:$E,Category!$B$26,'2020'!$N:$N,Category!P$1,'2020'!$D:$D,Category!$C27)</f>
        <v>0</v>
      </c>
      <c r="Q27" s="321">
        <f>SUMIFS('2020'!$I:$I,'2020'!$E:$E,Category!$B$26,'2020'!$N:$N,Category!Q$1,'2020'!$D:$D,Category!$C27)</f>
        <v>0</v>
      </c>
      <c r="R27" s="321">
        <f>SUMIFS('2020'!$I:$I,'2020'!$E:$E,Category!$B$26,'2020'!$N:$N,Category!R$1,'2020'!$D:$D,Category!$C27)</f>
        <v>0</v>
      </c>
      <c r="S27" s="321">
        <f>SUMIFS('2020'!$I:$I,'2020'!$E:$E,Category!$B$26,'2020'!$N:$N,Category!S$1,'2020'!$D:$D,Category!$C27)</f>
        <v>7190500</v>
      </c>
      <c r="T27" s="321">
        <f>SUMIFS('2020'!$I:$I,'2020'!$E:$E,Category!$B$26,'2020'!$N:$N,Category!T$1,'2020'!$D:$D,Category!$C27)</f>
        <v>5500000</v>
      </c>
      <c r="U27" s="321">
        <f>SUMIFS('2020'!$I:$I,'2020'!$E:$E,Category!$B$26,'2020'!$N:$N,Category!U$1,'2020'!$D:$D,Category!$C27)</f>
        <v>5500000</v>
      </c>
      <c r="V27" s="321">
        <f>SUMIFS('2020'!$I:$I,'2020'!$E:$E,Category!$B$26,'2020'!$N:$N,Category!V$1,'2020'!$D:$D,Category!$C27)</f>
        <v>5500000</v>
      </c>
      <c r="W27" s="321">
        <f>SUMIFS('2020'!$I:$I,'2020'!$E:$E,Category!$B$26,'2020'!$N:$N,Category!W$1,'2020'!$D:$D,Category!$C27)</f>
        <v>58410000</v>
      </c>
      <c r="X27" s="322">
        <f t="shared" ref="X27:X34" si="12">SUM(L27:W27)</f>
        <v>82100500</v>
      </c>
      <c r="Y27" s="500">
        <f>IFERROR(VLOOKUP(C27,'2021'!$D:$G,4,0),0)</f>
        <v>70</v>
      </c>
      <c r="Z27" s="321">
        <f>SUMIFS('2021'!$I:$I,'2021'!$E:$E,Category!$B$26,'2021'!$N:$N,Category!Z$1,'2021'!$D:$D,Category!$C27)</f>
        <v>5500000</v>
      </c>
      <c r="AA27" s="321">
        <f>SUMIFS('2021'!$I:$I,'2021'!$E:$E,Category!$B$26,'2021'!$N:$N,Category!AA$1,'2021'!$D:$D,Category!$C27)</f>
        <v>0</v>
      </c>
      <c r="AB27" s="321">
        <f>SUMIFS('2021'!$I:$I,'2021'!$E:$E,Category!$B$26,'2021'!$N:$N,Category!AB$1,'2021'!$D:$D,Category!$C27)</f>
        <v>5500000</v>
      </c>
      <c r="AC27" s="321">
        <f>SUMIFS('2021'!$I:$I,'2021'!$E:$E,Category!$B$26,'2021'!$N:$N,Category!AC$1,'2021'!$D:$D,Category!$C27)</f>
        <v>5481500</v>
      </c>
      <c r="AD27" s="321">
        <f>SUMIFS('2021'!$I:$I,'2021'!$E:$E,Category!$B$26,'2021'!$N:$N,Category!AD$1,'2021'!$D:$D,Category!$C27)</f>
        <v>5497504</v>
      </c>
      <c r="AE27" s="321">
        <f>SUMIFS('2021'!$I:$I,'2021'!$E:$E,Category!$B$26,'2021'!$N:$N,Category!AE$1,'2021'!$D:$D,Category!$C27)</f>
        <v>5467500</v>
      </c>
      <c r="AF27" s="321">
        <f>SUMIFS('2021'!$I:$I,'2021'!$E:$E,Category!$B$26,'2021'!$N:$N,Category!AF$1,'2021'!$D:$D,Category!$C27)</f>
        <v>0</v>
      </c>
      <c r="AG27" s="321">
        <f>SUMIFS('2021'!$I:$I,'2021'!$E:$E,Category!$B$26,'2021'!$N:$N,Category!AG$1,'2021'!$D:$D,Category!$C27)</f>
        <v>5998800</v>
      </c>
      <c r="AH27" s="321">
        <f>SUMIFS('2021'!$I:$I,'2021'!$E:$E,Category!$B$26,'2021'!$N:$N,Category!AH$1,'2021'!$D:$D,Category!$C27)</f>
        <v>0</v>
      </c>
      <c r="AI27" s="321">
        <f>SUMIFS('2021'!$I:$I,'2021'!$E:$E,Category!$B$26,'2021'!$N:$N,Category!AI$1,'2021'!$D:$D,Category!$C27)</f>
        <v>0</v>
      </c>
      <c r="AJ27" s="321">
        <f>SUMIFS('2021'!$I:$I,'2021'!$E:$E,Category!$B$26,'2021'!$N:$N,Category!AJ$1,'2021'!$D:$D,Category!$C27)</f>
        <v>12033600</v>
      </c>
      <c r="AK27" s="321">
        <f>SUMIFS('2021'!$I:$I,'2021'!$E:$E,Category!$B$26,'2021'!$N:$N,Category!AK$1,'2021'!$D:$D,Category!$C27)</f>
        <v>5999600</v>
      </c>
      <c r="AL27" s="322">
        <f>SUM(Z27:AK27)</f>
        <v>51478504</v>
      </c>
      <c r="AM27" s="500">
        <f>IFERROR(VLOOKUP(C27,'2022'!$D:$G,4,0),0)</f>
        <v>59</v>
      </c>
      <c r="AN27" s="321">
        <f>SUMIFS('2022'!$I:$I,'2022'!$E:$E,Category!$B$26,'2022'!$N:$N,Category!AN$1,'2022'!$D:$D,Category!$C27)</f>
        <v>6000600</v>
      </c>
      <c r="AO27" s="321">
        <f>SUMIFS('2022'!$I:$I,'2022'!$E:$E,Category!$B$26,'2022'!$N:$N,Category!AO$1,'2022'!$D:$D,Category!$C27)</f>
        <v>0</v>
      </c>
      <c r="AP27" s="321">
        <f>SUMIFS('2022'!$I:$I,'2022'!$E:$E,Category!$B$26,'2022'!$N:$N,Category!AP$1,'2022'!$D:$D,Category!$C27)</f>
        <v>11997300</v>
      </c>
      <c r="AQ27" s="321">
        <f>SUMIFS('2022'!$I:$I,'2022'!$E:$E,Category!$B$26,'2022'!$N:$N,Category!AQ$1,'2022'!$D:$D,Category!$C27)</f>
        <v>6214000</v>
      </c>
      <c r="AR27" s="321">
        <f>SUMIFS('2022'!$I:$I,'2022'!$E:$E,Category!$B$26,'2022'!$N:$N,Category!AR$1,'2022'!$D:$D,Category!$C27)</f>
        <v>6202600</v>
      </c>
      <c r="AS27" s="321">
        <f>SUMIFS('2022'!$I:$I,'2022'!$E:$E,Category!$B$26,'2022'!$N:$N,Category!AS$1,'2022'!$D:$D,Category!$C27)</f>
        <v>6004100</v>
      </c>
      <c r="AT27" s="321">
        <f>SUMIFS('2022'!$I:$I,'2022'!$E:$E,Category!$B$26,'2022'!$N:$N,Category!AT$1,'2022'!$D:$D,Category!$C27)</f>
        <v>6000000</v>
      </c>
      <c r="AU27" s="321">
        <f>SUMIFS('2022'!$I:$I,'2022'!$E:$E,Category!$B$26,'2022'!$N:$N,Category!AU$1,'2022'!$D:$D,Category!$C27)</f>
        <v>6250360</v>
      </c>
      <c r="AV27" s="321">
        <f>SUMIFS('2022'!$I:$I,'2022'!$E:$E,Category!$B$26,'2022'!$N:$N,Category!AV$1,'2022'!$D:$D,Category!$C27)</f>
        <v>6000000</v>
      </c>
      <c r="AW27" s="321">
        <f>SUMIFS('2022'!$I:$I,'2022'!$E:$E,Category!$B$26,'2022'!$N:$N,Category!AW$1,'2022'!$D:$D,Category!$C27)</f>
        <v>6000000</v>
      </c>
      <c r="AX27" s="321">
        <f>SUMIFS('2022'!$I:$I,'2022'!$E:$E,Category!$B$26,'2022'!$N:$N,Category!AX$1,'2022'!$D:$D,Category!$C27)</f>
        <v>6000000</v>
      </c>
      <c r="AY27" s="321">
        <f>SUMIFS('2022'!$I:$I,'2022'!$E:$E,Category!$B$26,'2022'!$N:$N,Category!AY$1,'2022'!$D:$D,Category!$C27)</f>
        <v>6963500</v>
      </c>
      <c r="AZ27" s="322">
        <f>SUM(AN27:AY27)</f>
        <v>73632460</v>
      </c>
      <c r="BA27" s="500">
        <f>IFERROR(VLOOKUP(C27,'2023'!$D:$G,4,0),0)</f>
        <v>59</v>
      </c>
      <c r="BB27" s="321">
        <f>SUMIFS('2023'!$I:$I,'2023'!$E:$E,Category!$B$26,'2023'!$N:$N,Category!BB$1,'2023'!$D:$D,Category!$C27)</f>
        <v>6000000</v>
      </c>
      <c r="BC27" s="321">
        <f>SUMIFS('2023'!$I:$I,'2023'!$E:$E,Category!$B$26,'2023'!$N:$N,Category!BC$1,'2023'!$D:$D,Category!$C27)</f>
        <v>6000000</v>
      </c>
      <c r="BD27" s="321">
        <f>SUMIFS('2023'!$I:$I,'2023'!$E:$E,Category!$B$26,'2023'!$N:$N,Category!BD$1,'2023'!$D:$D,Category!$C27)</f>
        <v>0</v>
      </c>
      <c r="BE27" s="321">
        <f>SUMIFS('2023'!$I:$I,'2023'!$E:$E,Category!$B$26,'2023'!$N:$N,Category!BE$1,'2023'!$D:$D,Category!$C27)</f>
        <v>0</v>
      </c>
      <c r="BF27" s="321">
        <f>SUMIFS('2023'!$I:$I,'2023'!$E:$E,Category!$B$26,'2023'!$N:$N,Category!BF$1,'2023'!$D:$D,Category!$C27)</f>
        <v>0</v>
      </c>
      <c r="BG27" s="321">
        <f>SUMIFS('2023'!$I:$I,'2023'!$E:$E,Category!$B$26,'2023'!$N:$N,Category!BG$1,'2023'!$D:$D,Category!$C27)</f>
        <v>0</v>
      </c>
      <c r="BH27" s="321">
        <f>SUMIFS('2023'!$I:$I,'2023'!$E:$E,Category!$B$26,'2023'!$N:$N,Category!BH$1,'2023'!$D:$D,Category!$C27)</f>
        <v>0</v>
      </c>
      <c r="BI27" s="321">
        <f>SUMIFS('2023'!$I:$I,'2023'!$E:$E,Category!$B$26,'2023'!$N:$N,Category!BI$1,'2023'!$D:$D,Category!$C27)</f>
        <v>0</v>
      </c>
      <c r="BJ27" s="321">
        <f>SUMIFS('2023'!$I:$I,'2023'!$E:$E,Category!$B$26,'2023'!$N:$N,Category!BJ$1,'2023'!$D:$D,Category!$C27)</f>
        <v>0</v>
      </c>
      <c r="BK27" s="321">
        <f>SUMIFS('2023'!$I:$I,'2023'!$E:$E,Category!$B$26,'2023'!$N:$N,Category!BK$1,'2023'!$D:$D,Category!$C27)</f>
        <v>0</v>
      </c>
      <c r="BL27" s="321">
        <f>SUMIFS('2023'!$I:$I,'2023'!$E:$E,Category!$B$26,'2023'!$N:$N,Category!BL$1,'2023'!$D:$D,Category!$C27)</f>
        <v>0</v>
      </c>
      <c r="BM27" s="321">
        <f>SUMIFS('2023'!$I:$I,'2023'!$E:$E,Category!$B$26,'2023'!$N:$N,Category!BM$1,'2023'!$D:$D,Category!$C27)</f>
        <v>0</v>
      </c>
      <c r="BN27" s="322">
        <f t="shared" ref="BN27:BN35" si="13">SUM(BB27:BM27)</f>
        <v>12000000</v>
      </c>
      <c r="BP27" s="247"/>
      <c r="BQ27" s="247"/>
      <c r="BR27" s="247"/>
      <c r="BS27" s="247"/>
      <c r="BT27" s="247"/>
      <c r="BU27" s="247"/>
      <c r="BV27" s="247"/>
      <c r="BW27" s="247"/>
    </row>
    <row r="28" spans="1:75" x14ac:dyDescent="0.25">
      <c r="A28" s="319"/>
      <c r="B28" s="320"/>
      <c r="C28" s="320" t="s">
        <v>871</v>
      </c>
      <c r="D28" s="513">
        <f>IFERROR(VLOOKUP($C28,'2019'!$D:$G,4,0),0)</f>
        <v>0</v>
      </c>
      <c r="E28" s="321">
        <f>SUMIFS('2019'!$I:$I,'2019'!$E:$E,Category!$B$26,'2019'!$N:$N,Category!E$1,'2019'!$D:$D,Category!$C28)</f>
        <v>0</v>
      </c>
      <c r="F28" s="321">
        <f>SUMIFS('2019'!$I:$I,'2019'!$E:$E,Category!$B$26,'2019'!$N:$N,Category!F$1,'2019'!$D:$D,Category!$C28)</f>
        <v>0</v>
      </c>
      <c r="G28" s="321">
        <f>SUMIFS('2019'!$I:$I,'2019'!$E:$E,Category!$B$26,'2019'!$N:$N,Category!G$1,'2019'!$D:$D,Category!$C28)</f>
        <v>0</v>
      </c>
      <c r="H28" s="321">
        <f>SUMIFS('2019'!$I:$I,'2019'!$E:$E,Category!$B$26,'2019'!$N:$N,Category!H$1,'2019'!$D:$D,Category!$C28)</f>
        <v>0</v>
      </c>
      <c r="I28" s="321">
        <f>SUMIFS('2019'!$I:$I,'2019'!$E:$E,Category!$B$26,'2019'!$N:$N,Category!I$1,'2019'!$D:$D,Category!$C28)</f>
        <v>0</v>
      </c>
      <c r="J28" s="322">
        <f t="shared" si="11"/>
        <v>0</v>
      </c>
      <c r="K28" s="500">
        <f>IFERROR(VLOOKUP($C28,'2020'!$D:$G,4,0),0)</f>
        <v>71</v>
      </c>
      <c r="L28" s="321">
        <f>SUMIFS('2020'!$I:$I,'2020'!$E:$E,Category!$B$26,'2020'!$N:$N,Category!L$1,'2020'!$D:$D,Category!$C28)</f>
        <v>0</v>
      </c>
      <c r="M28" s="321">
        <f>SUMIFS('2020'!$I:$I,'2020'!$E:$E,Category!$B$26,'2020'!$N:$N,Category!M$1,'2020'!$D:$D,Category!$C28)</f>
        <v>0</v>
      </c>
      <c r="N28" s="321">
        <f>SUMIFS('2020'!$I:$I,'2020'!$E:$E,Category!$B$26,'2020'!$N:$N,Category!N$1,'2020'!$D:$D,Category!$C28)</f>
        <v>0</v>
      </c>
      <c r="O28" s="321">
        <f>SUMIFS('2020'!$I:$I,'2020'!$E:$E,Category!$B$26,'2020'!$N:$N,Category!O$1,'2020'!$D:$D,Category!$C28)</f>
        <v>0</v>
      </c>
      <c r="P28" s="321">
        <f>SUMIFS('2020'!$I:$I,'2020'!$E:$E,Category!$B$26,'2020'!$N:$N,Category!P$1,'2020'!$D:$D,Category!$C28)</f>
        <v>0</v>
      </c>
      <c r="Q28" s="321">
        <f>SUMIFS('2020'!$I:$I,'2020'!$E:$E,Category!$B$26,'2020'!$N:$N,Category!Q$1,'2020'!$D:$D,Category!$C28)</f>
        <v>0</v>
      </c>
      <c r="R28" s="321">
        <f>SUMIFS('2020'!$I:$I,'2020'!$E:$E,Category!$B$26,'2020'!$N:$N,Category!R$1,'2020'!$D:$D,Category!$C28)</f>
        <v>0</v>
      </c>
      <c r="S28" s="321">
        <f>SUMIFS('2020'!$I:$I,'2020'!$E:$E,Category!$B$26,'2020'!$N:$N,Category!S$1,'2020'!$D:$D,Category!$C28)</f>
        <v>3000000</v>
      </c>
      <c r="T28" s="321">
        <f>SUMIFS('2020'!$I:$I,'2020'!$E:$E,Category!$B$26,'2020'!$N:$N,Category!T$1,'2020'!$D:$D,Category!$C28)</f>
        <v>5500000</v>
      </c>
      <c r="U28" s="321">
        <f>SUMIFS('2020'!$I:$I,'2020'!$E:$E,Category!$B$26,'2020'!$N:$N,Category!U$1,'2020'!$D:$D,Category!$C28)</f>
        <v>5500000</v>
      </c>
      <c r="V28" s="321">
        <f>SUMIFS('2020'!$I:$I,'2020'!$E:$E,Category!$B$26,'2020'!$N:$N,Category!V$1,'2020'!$D:$D,Category!$C28)</f>
        <v>5500000</v>
      </c>
      <c r="W28" s="321">
        <f>SUMIFS('2020'!$I:$I,'2020'!$E:$E,Category!$B$26,'2020'!$N:$N,Category!W$1,'2020'!$D:$D,Category!$C28)</f>
        <v>0</v>
      </c>
      <c r="X28" s="322">
        <f t="shared" si="12"/>
        <v>19500000</v>
      </c>
      <c r="Y28" s="500">
        <f>IFERROR(VLOOKUP(C28,'2021'!$D:$G,4,0),0)</f>
        <v>77</v>
      </c>
      <c r="Z28" s="321">
        <f>SUMIFS('2021'!$I:$I,'2021'!$E:$E,Category!$B$26,'2021'!$N:$N,Category!Z$1,'2021'!$D:$D,Category!$C28)</f>
        <v>5500000</v>
      </c>
      <c r="AA28" s="321">
        <f>SUMIFS('2021'!$I:$I,'2021'!$E:$E,Category!$B$26,'2021'!$N:$N,Category!AA$1,'2021'!$D:$D,Category!$C28)</f>
        <v>0</v>
      </c>
      <c r="AB28" s="321">
        <f>SUMIFS('2021'!$I:$I,'2021'!$E:$E,Category!$B$26,'2021'!$N:$N,Category!AB$1,'2021'!$D:$D,Category!$C28)</f>
        <v>5500000</v>
      </c>
      <c r="AC28" s="321">
        <f>SUMIFS('2021'!$I:$I,'2021'!$E:$E,Category!$B$26,'2021'!$N:$N,Category!AC$1,'2021'!$D:$D,Category!$C28)</f>
        <v>5485600</v>
      </c>
      <c r="AD28" s="321">
        <f>SUMIFS('2021'!$I:$I,'2021'!$E:$E,Category!$B$26,'2021'!$N:$N,Category!AD$1,'2021'!$D:$D,Category!$C28)</f>
        <v>5497660</v>
      </c>
      <c r="AE28" s="321">
        <f>SUMIFS('2021'!$I:$I,'2021'!$E:$E,Category!$B$26,'2021'!$N:$N,Category!AE$1,'2021'!$D:$D,Category!$C28)</f>
        <v>5165500</v>
      </c>
      <c r="AF28" s="321">
        <f>SUMIFS('2021'!$I:$I,'2021'!$E:$E,Category!$B$26,'2021'!$N:$N,Category!AF$1,'2021'!$D:$D,Category!$C28)</f>
        <v>0</v>
      </c>
      <c r="AG28" s="321">
        <f>SUMIFS('2021'!$I:$I,'2021'!$E:$E,Category!$B$26,'2021'!$N:$N,Category!AG$1,'2021'!$D:$D,Category!$C28)</f>
        <v>5999800</v>
      </c>
      <c r="AH28" s="321">
        <f>SUMIFS('2021'!$I:$I,'2021'!$E:$E,Category!$B$26,'2021'!$N:$N,Category!AH$1,'2021'!$D:$D,Category!$C28)</f>
        <v>0</v>
      </c>
      <c r="AI28" s="321">
        <f>SUMIFS('2021'!$I:$I,'2021'!$E:$E,Category!$B$26,'2021'!$N:$N,Category!AI$1,'2021'!$D:$D,Category!$C28)</f>
        <v>0</v>
      </c>
      <c r="AJ28" s="321">
        <f>SUMIFS('2021'!$I:$I,'2021'!$E:$E,Category!$B$26,'2021'!$N:$N,Category!AJ$1,'2021'!$D:$D,Category!$C28)</f>
        <v>12921200</v>
      </c>
      <c r="AK28" s="321">
        <f>SUMIFS('2021'!$I:$I,'2021'!$E:$E,Category!$B$26,'2021'!$N:$N,Category!AK$1,'2021'!$D:$D,Category!$C28)</f>
        <v>6000300</v>
      </c>
      <c r="AL28" s="322">
        <f t="shared" ref="AL28:AL65" si="14">SUM(Z28:AK28)</f>
        <v>52070060</v>
      </c>
      <c r="AM28" s="500">
        <f>IFERROR(VLOOKUP(C28,'2022'!$D:$G,4,0),0)</f>
        <v>68</v>
      </c>
      <c r="AN28" s="321">
        <f>SUMIFS('2022'!$I:$I,'2022'!$E:$E,Category!$B$26,'2022'!$N:$N,Category!AN$1,'2022'!$D:$D,Category!$C28)</f>
        <v>5999100</v>
      </c>
      <c r="AO28" s="321">
        <f>SUMIFS('2022'!$I:$I,'2022'!$E:$E,Category!$B$26,'2022'!$N:$N,Category!AO$1,'2022'!$D:$D,Category!$C28)</f>
        <v>0</v>
      </c>
      <c r="AP28" s="321">
        <f>SUMIFS('2022'!$I:$I,'2022'!$E:$E,Category!$B$26,'2022'!$N:$N,Category!AP$1,'2022'!$D:$D,Category!$C28)</f>
        <v>11998600</v>
      </c>
      <c r="AQ28" s="321">
        <f>SUMIFS('2022'!$I:$I,'2022'!$E:$E,Category!$B$26,'2022'!$N:$N,Category!AQ$1,'2022'!$D:$D,Category!$C28)</f>
        <v>6294600</v>
      </c>
      <c r="AR28" s="321">
        <f>SUMIFS('2022'!$I:$I,'2022'!$E:$E,Category!$B$26,'2022'!$N:$N,Category!AR$1,'2022'!$D:$D,Category!$C28)</f>
        <v>6243400</v>
      </c>
      <c r="AS28" s="321">
        <f>SUMIFS('2022'!$I:$I,'2022'!$E:$E,Category!$B$26,'2022'!$N:$N,Category!AS$1,'2022'!$D:$D,Category!$C28)</f>
        <v>6243400</v>
      </c>
      <c r="AT28" s="321">
        <f>SUMIFS('2022'!$I:$I,'2022'!$E:$E,Category!$B$26,'2022'!$N:$N,Category!AT$1,'2022'!$D:$D,Category!$C28)</f>
        <v>6000000</v>
      </c>
      <c r="AU28" s="321">
        <f>SUMIFS('2022'!$I:$I,'2022'!$E:$E,Category!$B$26,'2022'!$N:$N,Category!AU$1,'2022'!$D:$D,Category!$C28)</f>
        <v>6000000</v>
      </c>
      <c r="AV28" s="321">
        <f>SUMIFS('2022'!$I:$I,'2022'!$E:$E,Category!$B$26,'2022'!$N:$N,Category!AV$1,'2022'!$D:$D,Category!$C28)</f>
        <v>6000000</v>
      </c>
      <c r="AW28" s="321">
        <f>SUMIFS('2022'!$I:$I,'2022'!$E:$E,Category!$B$26,'2022'!$N:$N,Category!AW$1,'2022'!$D:$D,Category!$C28)</f>
        <v>6000000</v>
      </c>
      <c r="AX28" s="321">
        <f>SUMIFS('2022'!$I:$I,'2022'!$E:$E,Category!$B$26,'2022'!$N:$N,Category!AX$1,'2022'!$D:$D,Category!$C28)</f>
        <v>6000000</v>
      </c>
      <c r="AY28" s="321">
        <f>SUMIFS('2022'!$I:$I,'2022'!$E:$E,Category!$B$26,'2022'!$N:$N,Category!AY$1,'2022'!$D:$D,Category!$C28)</f>
        <v>6250750</v>
      </c>
      <c r="AZ28" s="322">
        <f>SUM(AN28:AY28)</f>
        <v>73029850</v>
      </c>
      <c r="BA28" s="500">
        <f>IFERROR(VLOOKUP(C28,'2023'!$D:$G,4,0),0)</f>
        <v>0</v>
      </c>
      <c r="BB28" s="321">
        <f>SUMIFS('2023'!$I:$I,'2023'!$E:$E,Category!$B$26,'2023'!$N:$N,Category!BB$1,'2023'!$D:$D,Category!$C28)</f>
        <v>6251540</v>
      </c>
      <c r="BC28" s="321">
        <f>SUMIFS('2023'!$I:$I,'2023'!$E:$E,Category!$B$26,'2023'!$N:$N,Category!BC$1,'2023'!$D:$D,Category!$C28)</f>
        <v>6000000</v>
      </c>
      <c r="BD28" s="321">
        <f>SUMIFS('2023'!$I:$I,'2023'!$E:$E,Category!$B$26,'2023'!$N:$N,Category!BD$1,'2023'!$D:$D,Category!$C28)</f>
        <v>0</v>
      </c>
      <c r="BE28" s="321">
        <f>SUMIFS('2023'!$I:$I,'2023'!$E:$E,Category!$B$26,'2023'!$N:$N,Category!BE$1,'2023'!$D:$D,Category!$C28)</f>
        <v>0</v>
      </c>
      <c r="BF28" s="321">
        <f>SUMIFS('2023'!$I:$I,'2023'!$E:$E,Category!$B$26,'2023'!$N:$N,Category!BF$1,'2023'!$D:$D,Category!$C28)</f>
        <v>0</v>
      </c>
      <c r="BG28" s="321">
        <f>SUMIFS('2023'!$I:$I,'2023'!$E:$E,Category!$B$26,'2023'!$N:$N,Category!BG$1,'2023'!$D:$D,Category!$C28)</f>
        <v>0</v>
      </c>
      <c r="BH28" s="321">
        <f>SUMIFS('2023'!$I:$I,'2023'!$E:$E,Category!$B$26,'2023'!$N:$N,Category!BH$1,'2023'!$D:$D,Category!$C28)</f>
        <v>0</v>
      </c>
      <c r="BI28" s="321">
        <f>SUMIFS('2023'!$I:$I,'2023'!$E:$E,Category!$B$26,'2023'!$N:$N,Category!BI$1,'2023'!$D:$D,Category!$C28)</f>
        <v>0</v>
      </c>
      <c r="BJ28" s="321">
        <f>SUMIFS('2023'!$I:$I,'2023'!$E:$E,Category!$B$26,'2023'!$N:$N,Category!BJ$1,'2023'!$D:$D,Category!$C28)</f>
        <v>0</v>
      </c>
      <c r="BK28" s="321">
        <f>SUMIFS('2023'!$I:$I,'2023'!$E:$E,Category!$B$26,'2023'!$N:$N,Category!BK$1,'2023'!$D:$D,Category!$C28)</f>
        <v>0</v>
      </c>
      <c r="BL28" s="321">
        <f>SUMIFS('2023'!$I:$I,'2023'!$E:$E,Category!$B$26,'2023'!$N:$N,Category!BL$1,'2023'!$D:$D,Category!$C28)</f>
        <v>0</v>
      </c>
      <c r="BM28" s="321">
        <f>SUMIFS('2023'!$I:$I,'2023'!$E:$E,Category!$B$26,'2023'!$N:$N,Category!BM$1,'2023'!$D:$D,Category!$C28)</f>
        <v>0</v>
      </c>
      <c r="BN28" s="322">
        <f t="shared" si="13"/>
        <v>12251540</v>
      </c>
      <c r="BP28" s="247"/>
      <c r="BQ28" s="247"/>
      <c r="BR28" s="247"/>
      <c r="BS28" s="247"/>
      <c r="BT28" s="247"/>
      <c r="BU28" s="247"/>
      <c r="BV28" s="247"/>
      <c r="BW28" s="247"/>
    </row>
    <row r="29" spans="1:75" x14ac:dyDescent="0.25">
      <c r="A29" s="319"/>
      <c r="B29" s="320"/>
      <c r="C29" s="320" t="s">
        <v>870</v>
      </c>
      <c r="D29" s="513">
        <f>IFERROR(VLOOKUP($C29,'2019'!$D:$G,4,0),0)</f>
        <v>0</v>
      </c>
      <c r="E29" s="321">
        <f>SUMIFS('2019'!$I:$I,'2019'!$E:$E,Category!$B$26,'2019'!$N:$N,Category!E$1,'2019'!$D:$D,Category!$C29)</f>
        <v>0</v>
      </c>
      <c r="F29" s="321">
        <f>SUMIFS('2019'!$I:$I,'2019'!$E:$E,Category!$B$26,'2019'!$N:$N,Category!F$1,'2019'!$D:$D,Category!$C29)</f>
        <v>0</v>
      </c>
      <c r="G29" s="321">
        <f>SUMIFS('2019'!$I:$I,'2019'!$E:$E,Category!$B$26,'2019'!$N:$N,Category!G$1,'2019'!$D:$D,Category!$C29)</f>
        <v>0</v>
      </c>
      <c r="H29" s="321">
        <f>SUMIFS('2019'!$I:$I,'2019'!$E:$E,Category!$B$26,'2019'!$N:$N,Category!H$1,'2019'!$D:$D,Category!$C29)</f>
        <v>0</v>
      </c>
      <c r="I29" s="321">
        <f>SUMIFS('2019'!$I:$I,'2019'!$E:$E,Category!$B$26,'2019'!$N:$N,Category!I$1,'2019'!$D:$D,Category!$C29)</f>
        <v>0</v>
      </c>
      <c r="J29" s="322">
        <f t="shared" si="11"/>
        <v>0</v>
      </c>
      <c r="K29" s="500">
        <f>IFERROR(VLOOKUP($C29,'2020'!$D:$G,4,0),0)</f>
        <v>19</v>
      </c>
      <c r="L29" s="321">
        <f>SUMIFS('2020'!$I:$I,'2020'!$E:$E,Category!$B$26,'2020'!$N:$N,Category!L$1,'2020'!$D:$D,Category!$C29)</f>
        <v>0</v>
      </c>
      <c r="M29" s="321">
        <f>SUMIFS('2020'!$I:$I,'2020'!$E:$E,Category!$B$26,'2020'!$N:$N,Category!M$1,'2020'!$D:$D,Category!$C29)</f>
        <v>0</v>
      </c>
      <c r="N29" s="321">
        <f>SUMIFS('2020'!$I:$I,'2020'!$E:$E,Category!$B$26,'2020'!$N:$N,Category!N$1,'2020'!$D:$D,Category!$C29)</f>
        <v>0</v>
      </c>
      <c r="O29" s="321">
        <f>SUMIFS('2020'!$I:$I,'2020'!$E:$E,Category!$B$26,'2020'!$N:$N,Category!O$1,'2020'!$D:$D,Category!$C29)</f>
        <v>0</v>
      </c>
      <c r="P29" s="321">
        <f>SUMIFS('2020'!$I:$I,'2020'!$E:$E,Category!$B$26,'2020'!$N:$N,Category!P$1,'2020'!$D:$D,Category!$C29)</f>
        <v>0</v>
      </c>
      <c r="Q29" s="321">
        <f>SUMIFS('2020'!$I:$I,'2020'!$E:$E,Category!$B$26,'2020'!$N:$N,Category!Q$1,'2020'!$D:$D,Category!$C29)</f>
        <v>0</v>
      </c>
      <c r="R29" s="321">
        <f>SUMIFS('2020'!$I:$I,'2020'!$E:$E,Category!$B$26,'2020'!$N:$N,Category!R$1,'2020'!$D:$D,Category!$C29)</f>
        <v>0</v>
      </c>
      <c r="S29" s="321">
        <f>SUMIFS('2020'!$I:$I,'2020'!$E:$E,Category!$B$26,'2020'!$N:$N,Category!S$1,'2020'!$D:$D,Category!$C29)</f>
        <v>0</v>
      </c>
      <c r="T29" s="321">
        <f>SUMIFS('2020'!$I:$I,'2020'!$E:$E,Category!$B$26,'2020'!$N:$N,Category!T$1,'2020'!$D:$D,Category!$C29)</f>
        <v>5500000</v>
      </c>
      <c r="U29" s="321">
        <f>SUMIFS('2020'!$I:$I,'2020'!$E:$E,Category!$B$26,'2020'!$N:$N,Category!U$1,'2020'!$D:$D,Category!$C29)</f>
        <v>5500000</v>
      </c>
      <c r="V29" s="321">
        <f>SUMIFS('2020'!$I:$I,'2020'!$E:$E,Category!$B$26,'2020'!$N:$N,Category!V$1,'2020'!$D:$D,Category!$C29)</f>
        <v>5500000</v>
      </c>
      <c r="W29" s="321">
        <f>SUMIFS('2020'!$I:$I,'2020'!$E:$E,Category!$B$26,'2020'!$N:$N,Category!W$1,'2020'!$D:$D,Category!$C29)</f>
        <v>0</v>
      </c>
      <c r="X29" s="322">
        <f t="shared" si="12"/>
        <v>16500000</v>
      </c>
      <c r="Y29" s="500">
        <f>IFERROR(VLOOKUP(C29,'2021'!$D:$G,4,0),0)</f>
        <v>19</v>
      </c>
      <c r="Z29" s="321">
        <f>SUMIFS('2021'!$I:$I,'2021'!$E:$E,Category!$B$26,'2021'!$N:$N,Category!Z$1,'2021'!$D:$D,Category!$C29)</f>
        <v>5500000</v>
      </c>
      <c r="AA29" s="321">
        <f>SUMIFS('2021'!$I:$I,'2021'!$E:$E,Category!$B$26,'2021'!$N:$N,Category!AA$1,'2021'!$D:$D,Category!$C29)</f>
        <v>0</v>
      </c>
      <c r="AB29" s="321">
        <f>SUMIFS('2021'!$I:$I,'2021'!$E:$E,Category!$B$26,'2021'!$N:$N,Category!AB$1,'2021'!$D:$D,Category!$C29)</f>
        <v>5500000</v>
      </c>
      <c r="AC29" s="321">
        <f>SUMIFS('2021'!$I:$I,'2021'!$E:$E,Category!$B$26,'2021'!$N:$N,Category!AC$1,'2021'!$D:$D,Category!$C29)</f>
        <v>5482200</v>
      </c>
      <c r="AD29" s="321">
        <f>SUMIFS('2021'!$I:$I,'2021'!$E:$E,Category!$B$26,'2021'!$N:$N,Category!AD$1,'2021'!$D:$D,Category!$C29)</f>
        <v>5493920</v>
      </c>
      <c r="AE29" s="321">
        <f>SUMIFS('2021'!$I:$I,'2021'!$E:$E,Category!$B$26,'2021'!$N:$N,Category!AE$1,'2021'!$D:$D,Category!$C29)</f>
        <v>5414000</v>
      </c>
      <c r="AF29" s="321">
        <f>SUMIFS('2021'!$I:$I,'2021'!$E:$E,Category!$B$26,'2021'!$N:$N,Category!AF$1,'2021'!$D:$D,Category!$C29)</f>
        <v>0</v>
      </c>
      <c r="AG29" s="321">
        <f>SUMIFS('2021'!$I:$I,'2021'!$E:$E,Category!$B$26,'2021'!$N:$N,Category!AG$1,'2021'!$D:$D,Category!$C29)</f>
        <v>5998300</v>
      </c>
      <c r="AH29" s="321">
        <f>SUMIFS('2021'!$I:$I,'2021'!$E:$E,Category!$B$26,'2021'!$N:$N,Category!AH$1,'2021'!$D:$D,Category!$C29)</f>
        <v>0</v>
      </c>
      <c r="AI29" s="321">
        <f>SUMIFS('2021'!$I:$I,'2021'!$E:$E,Category!$B$26,'2021'!$N:$N,Category!AI$1,'2021'!$D:$D,Category!$C29)</f>
        <v>0</v>
      </c>
      <c r="AJ29" s="321">
        <f>SUMIFS('2021'!$I:$I,'2021'!$E:$E,Category!$B$26,'2021'!$N:$N,Category!AJ$1,'2021'!$D:$D,Category!$C29)</f>
        <v>12290600</v>
      </c>
      <c r="AK29" s="321">
        <f>SUMIFS('2021'!$I:$I,'2021'!$E:$E,Category!$B$26,'2021'!$N:$N,Category!AK$1,'2021'!$D:$D,Category!$C29)</f>
        <v>5999600</v>
      </c>
      <c r="AL29" s="322">
        <f t="shared" si="14"/>
        <v>51678620</v>
      </c>
      <c r="AM29" s="500">
        <f>IFERROR(VLOOKUP(C29,'2022'!$D:$G,4,0),0)</f>
        <v>19</v>
      </c>
      <c r="AN29" s="321">
        <f>SUMIFS('2022'!$I:$I,'2022'!$E:$E,Category!$B$26,'2022'!$N:$N,Category!AN$1,'2022'!$D:$D,Category!$C29)</f>
        <v>6000400</v>
      </c>
      <c r="AO29" s="321">
        <f>SUMIFS('2022'!$I:$I,'2022'!$E:$E,Category!$B$26,'2022'!$N:$N,Category!AO$1,'2022'!$D:$D,Category!$C29)</f>
        <v>0</v>
      </c>
      <c r="AP29" s="321">
        <f>SUMIFS('2022'!$I:$I,'2022'!$E:$E,Category!$B$26,'2022'!$N:$N,Category!AP$1,'2022'!$D:$D,Category!$C29)</f>
        <v>11999500</v>
      </c>
      <c r="AQ29" s="321">
        <f>SUMIFS('2022'!$I:$I,'2022'!$E:$E,Category!$B$26,'2022'!$N:$N,Category!AQ$1,'2022'!$D:$D,Category!$C29)</f>
        <v>5595800</v>
      </c>
      <c r="AR29" s="321">
        <f>SUMIFS('2022'!$I:$I,'2022'!$E:$E,Category!$B$26,'2022'!$N:$N,Category!AR$1,'2022'!$D:$D,Category!$C29)</f>
        <v>5579800</v>
      </c>
      <c r="AS29" s="321">
        <f>SUMIFS('2022'!$I:$I,'2022'!$E:$E,Category!$B$26,'2022'!$N:$N,Category!AS$1,'2022'!$D:$D,Category!$C29)</f>
        <v>6002300</v>
      </c>
      <c r="AT29" s="321">
        <f>SUMIFS('2022'!$I:$I,'2022'!$E:$E,Category!$B$26,'2022'!$N:$N,Category!AT$1,'2022'!$D:$D,Category!$C29)</f>
        <v>6000000</v>
      </c>
      <c r="AU29" s="321">
        <f>SUMIFS('2022'!$I:$I,'2022'!$E:$E,Category!$B$26,'2022'!$N:$N,Category!AU$1,'2022'!$D:$D,Category!$C29)</f>
        <v>6000000</v>
      </c>
      <c r="AV29" s="321">
        <f>SUMIFS('2022'!$I:$I,'2022'!$E:$E,Category!$B$26,'2022'!$N:$N,Category!AV$1,'2022'!$D:$D,Category!$C29)</f>
        <v>6262540</v>
      </c>
      <c r="AW29" s="321">
        <f>SUMIFS('2022'!$I:$I,'2022'!$E:$E,Category!$B$26,'2022'!$N:$N,Category!AW$1,'2022'!$D:$D,Category!$C29)</f>
        <v>6000000</v>
      </c>
      <c r="AX29" s="321">
        <f>SUMIFS('2022'!$I:$I,'2022'!$E:$E,Category!$B$26,'2022'!$N:$N,Category!AX$1,'2022'!$D:$D,Category!$C29)</f>
        <v>6000000</v>
      </c>
      <c r="AY29" s="321">
        <f>SUMIFS('2022'!$I:$I,'2022'!$E:$E,Category!$B$26,'2022'!$N:$N,Category!AY$1,'2022'!$D:$D,Category!$C29)</f>
        <v>6142500</v>
      </c>
      <c r="AZ29" s="322">
        <f t="shared" ref="AZ29:AZ34" si="15">SUM(AN29:AY29)</f>
        <v>71582840</v>
      </c>
      <c r="BA29" s="500">
        <f>IFERROR(VLOOKUP(C29,'2023'!$D:$G,4,0),0)</f>
        <v>0</v>
      </c>
      <c r="BB29" s="321">
        <f>SUMIFS('2023'!$I:$I,'2023'!$E:$E,Category!$B$26,'2023'!$N:$N,Category!BB$1,'2023'!$D:$D,Category!$C29)</f>
        <v>6000000</v>
      </c>
      <c r="BC29" s="321">
        <f>SUMIFS('2023'!$I:$I,'2023'!$E:$E,Category!$B$26,'2023'!$N:$N,Category!BC$1,'2023'!$D:$D,Category!$C29)</f>
        <v>6000000</v>
      </c>
      <c r="BD29" s="321">
        <f>SUMIFS('2023'!$I:$I,'2023'!$E:$E,Category!$B$26,'2023'!$N:$N,Category!BD$1,'2023'!$D:$D,Category!$C29)</f>
        <v>0</v>
      </c>
      <c r="BE29" s="321">
        <f>SUMIFS('2023'!$I:$I,'2023'!$E:$E,Category!$B$26,'2023'!$N:$N,Category!BE$1,'2023'!$D:$D,Category!$C29)</f>
        <v>0</v>
      </c>
      <c r="BF29" s="321">
        <f>SUMIFS('2023'!$I:$I,'2023'!$E:$E,Category!$B$26,'2023'!$N:$N,Category!BF$1,'2023'!$D:$D,Category!$C29)</f>
        <v>0</v>
      </c>
      <c r="BG29" s="321">
        <f>SUMIFS('2023'!$I:$I,'2023'!$E:$E,Category!$B$26,'2023'!$N:$N,Category!BG$1,'2023'!$D:$D,Category!$C29)</f>
        <v>0</v>
      </c>
      <c r="BH29" s="321">
        <f>SUMIFS('2023'!$I:$I,'2023'!$E:$E,Category!$B$26,'2023'!$N:$N,Category!BH$1,'2023'!$D:$D,Category!$C29)</f>
        <v>0</v>
      </c>
      <c r="BI29" s="321">
        <f>SUMIFS('2023'!$I:$I,'2023'!$E:$E,Category!$B$26,'2023'!$N:$N,Category!BI$1,'2023'!$D:$D,Category!$C29)</f>
        <v>0</v>
      </c>
      <c r="BJ29" s="321">
        <f>SUMIFS('2023'!$I:$I,'2023'!$E:$E,Category!$B$26,'2023'!$N:$N,Category!BJ$1,'2023'!$D:$D,Category!$C29)</f>
        <v>0</v>
      </c>
      <c r="BK29" s="321">
        <f>SUMIFS('2023'!$I:$I,'2023'!$E:$E,Category!$B$26,'2023'!$N:$N,Category!BK$1,'2023'!$D:$D,Category!$C29)</f>
        <v>0</v>
      </c>
      <c r="BL29" s="321">
        <f>SUMIFS('2023'!$I:$I,'2023'!$E:$E,Category!$B$26,'2023'!$N:$N,Category!BL$1,'2023'!$D:$D,Category!$C29)</f>
        <v>0</v>
      </c>
      <c r="BM29" s="321">
        <f>SUMIFS('2023'!$I:$I,'2023'!$E:$E,Category!$B$26,'2023'!$N:$N,Category!BM$1,'2023'!$D:$D,Category!$C29)</f>
        <v>0</v>
      </c>
      <c r="BN29" s="322">
        <f t="shared" si="13"/>
        <v>12000000</v>
      </c>
      <c r="BP29" s="247"/>
      <c r="BQ29" s="247"/>
      <c r="BR29" s="247"/>
      <c r="BS29" s="247"/>
      <c r="BT29" s="247"/>
      <c r="BU29" s="247"/>
      <c r="BV29" s="247"/>
      <c r="BW29" s="247"/>
    </row>
    <row r="30" spans="1:75" x14ac:dyDescent="0.25">
      <c r="A30" s="319"/>
      <c r="B30" s="320"/>
      <c r="C30" s="323" t="s">
        <v>256</v>
      </c>
      <c r="D30" s="514">
        <f>IFERROR(VLOOKUP($C30,'2019'!$D:$G,4,0),0)</f>
        <v>16</v>
      </c>
      <c r="E30" s="321">
        <f>SUMIFS('2019'!$I:$I,'2019'!$E:$E,Category!$B$26,'2019'!$N:$N,Category!E$1,'2019'!$D:$D,Category!$C30)</f>
        <v>0</v>
      </c>
      <c r="F30" s="321">
        <f>SUMIFS('2019'!$I:$I,'2019'!$E:$E,Category!$B$26,'2019'!$N:$N,Category!F$1,'2019'!$D:$D,Category!$C30)</f>
        <v>0</v>
      </c>
      <c r="G30" s="321">
        <f>SUMIFS('2019'!$I:$I,'2019'!$E:$E,Category!$B$26,'2019'!$N:$N,Category!G$1,'2019'!$D:$D,Category!$C30)</f>
        <v>0</v>
      </c>
      <c r="H30" s="321">
        <f>SUMIFS('2019'!$I:$I,'2019'!$E:$E,Category!$B$26,'2019'!$N:$N,Category!H$1,'2019'!$D:$D,Category!$C30)</f>
        <v>5500000</v>
      </c>
      <c r="I30" s="321">
        <f>SUMIFS('2019'!$I:$I,'2019'!$E:$E,Category!$B$26,'2019'!$N:$N,Category!I$1,'2019'!$D:$D,Category!$C30)</f>
        <v>0</v>
      </c>
      <c r="J30" s="322">
        <f t="shared" si="11"/>
        <v>5500000</v>
      </c>
      <c r="K30" s="500">
        <f>IFERROR(VLOOKUP($C30,'2020'!$D:$G,4,0),0)</f>
        <v>16</v>
      </c>
      <c r="L30" s="321">
        <f>SUMIFS('2020'!$I:$I,'2020'!$E:$E,Category!$B$26,'2020'!$N:$N,Category!L$1,'2020'!$D:$D,Category!$C30)</f>
        <v>0</v>
      </c>
      <c r="M30" s="321">
        <f>SUMIFS('2020'!$I:$I,'2020'!$E:$E,Category!$B$26,'2020'!$N:$N,Category!M$1,'2020'!$D:$D,Category!$C30)</f>
        <v>0</v>
      </c>
      <c r="N30" s="321">
        <f>SUMIFS('2020'!$I:$I,'2020'!$E:$E,Category!$B$26,'2020'!$N:$N,Category!N$1,'2020'!$D:$D,Category!$C30)</f>
        <v>0</v>
      </c>
      <c r="O30" s="321">
        <f>SUMIFS('2020'!$I:$I,'2020'!$E:$E,Category!$B$26,'2020'!$N:$N,Category!O$1,'2020'!$D:$D,Category!$C30)</f>
        <v>0</v>
      </c>
      <c r="P30" s="321">
        <f>SUMIFS('2020'!$I:$I,'2020'!$E:$E,Category!$B$26,'2020'!$N:$N,Category!P$1,'2020'!$D:$D,Category!$C30)</f>
        <v>0</v>
      </c>
      <c r="Q30" s="321">
        <f>SUMIFS('2020'!$I:$I,'2020'!$E:$E,Category!$B$26,'2020'!$N:$N,Category!Q$1,'2020'!$D:$D,Category!$C30)</f>
        <v>0</v>
      </c>
      <c r="R30" s="321">
        <f>SUMIFS('2020'!$I:$I,'2020'!$E:$E,Category!$B$26,'2020'!$N:$N,Category!R$1,'2020'!$D:$D,Category!$C30)</f>
        <v>0</v>
      </c>
      <c r="S30" s="321">
        <f>SUMIFS('2020'!$I:$I,'2020'!$E:$E,Category!$B$26,'2020'!$N:$N,Category!S$1,'2020'!$D:$D,Category!$C30)</f>
        <v>0</v>
      </c>
      <c r="T30" s="321">
        <f>SUMIFS('2020'!$I:$I,'2020'!$E:$E,Category!$B$26,'2020'!$N:$N,Category!T$1,'2020'!$D:$D,Category!$C30)</f>
        <v>13704000</v>
      </c>
      <c r="U30" s="321">
        <f>SUMIFS('2020'!$I:$I,'2020'!$E:$E,Category!$B$26,'2020'!$N:$N,Category!U$1,'2020'!$D:$D,Category!$C30)</f>
        <v>0</v>
      </c>
      <c r="V30" s="321">
        <f>SUMIFS('2020'!$I:$I,'2020'!$E:$E,Category!$B$26,'2020'!$N:$N,Category!V$1,'2020'!$D:$D,Category!$C30)</f>
        <v>0</v>
      </c>
      <c r="W30" s="321">
        <f>SUMIFS('2020'!$I:$I,'2020'!$E:$E,Category!$B$26,'2020'!$N:$N,Category!W$1,'2020'!$D:$D,Category!$C30)</f>
        <v>19500000</v>
      </c>
      <c r="X30" s="322">
        <f t="shared" si="12"/>
        <v>33204000</v>
      </c>
      <c r="Y30" s="500">
        <f>IFERROR(VLOOKUP(C30,'2021'!$D:$G,4,0),0)</f>
        <v>86</v>
      </c>
      <c r="Z30" s="321">
        <f>SUMIFS('2021'!$I:$I,'2021'!$E:$E,Category!$B$26,'2021'!$N:$N,Category!Z$1,'2021'!$D:$D,Category!$C30)</f>
        <v>8500000</v>
      </c>
      <c r="AA30" s="321">
        <f>SUMIFS('2021'!$I:$I,'2021'!$E:$E,Category!$B$26,'2021'!$N:$N,Category!AA$1,'2021'!$D:$D,Category!$C30)</f>
        <v>0</v>
      </c>
      <c r="AB30" s="321">
        <f>SUMIFS('2021'!$I:$I,'2021'!$E:$E,Category!$B$26,'2021'!$N:$N,Category!AB$1,'2021'!$D:$D,Category!$C30)</f>
        <v>8500000</v>
      </c>
      <c r="AC30" s="321">
        <f>SUMIFS('2021'!$I:$I,'2021'!$E:$E,Category!$B$26,'2021'!$N:$N,Category!AC$1,'2021'!$D:$D,Category!$C30)</f>
        <v>8500000</v>
      </c>
      <c r="AD30" s="321">
        <f>SUMIFS('2021'!$I:$I,'2021'!$E:$E,Category!$B$26,'2021'!$N:$N,Category!AD$1,'2021'!$D:$D,Category!$C30)</f>
        <v>0</v>
      </c>
      <c r="AE30" s="321">
        <f>SUMIFS('2021'!$I:$I,'2021'!$E:$E,Category!$B$26,'2021'!$N:$N,Category!AE$1,'2021'!$D:$D,Category!$C30)</f>
        <v>8500000</v>
      </c>
      <c r="AF30" s="321">
        <f>SUMIFS('2021'!$I:$I,'2021'!$E:$E,Category!$B$26,'2021'!$N:$N,Category!AF$1,'2021'!$D:$D,Category!$C30)</f>
        <v>8500000</v>
      </c>
      <c r="AG30" s="321">
        <f>SUMIFS('2021'!$I:$I,'2021'!$E:$E,Category!$B$26,'2021'!$N:$N,Category!AG$1,'2021'!$D:$D,Category!$C30)</f>
        <v>0</v>
      </c>
      <c r="AH30" s="321">
        <f>SUMIFS('2021'!$I:$I,'2021'!$E:$E,Category!$B$26,'2021'!$N:$N,Category!AH$1,'2021'!$D:$D,Category!$C30)</f>
        <v>8500000</v>
      </c>
      <c r="AI30" s="321">
        <f>SUMIFS('2021'!$I:$I,'2021'!$E:$E,Category!$B$26,'2021'!$N:$N,Category!AI$1,'2021'!$D:$D,Category!$C30)</f>
        <v>8500000</v>
      </c>
      <c r="AJ30" s="321">
        <f>SUMIFS('2021'!$I:$I,'2021'!$E:$E,Category!$B$26,'2021'!$N:$N,Category!AJ$1,'2021'!$D:$D,Category!$C30)</f>
        <v>8500000</v>
      </c>
      <c r="AK30" s="321">
        <f>SUMIFS('2021'!$I:$I,'2021'!$E:$E,Category!$B$26,'2021'!$N:$N,Category!AK$1,'2021'!$D:$D,Category!$C30)</f>
        <v>8500000</v>
      </c>
      <c r="AL30" s="322">
        <f t="shared" si="14"/>
        <v>76500000</v>
      </c>
      <c r="AM30" s="500">
        <f>IFERROR(VLOOKUP(C30,'2022'!$D:$G,4,0),0)</f>
        <v>86</v>
      </c>
      <c r="AN30" s="321">
        <f>SUMIFS('2022'!$I:$I,'2022'!$E:$E,Category!$B$26,'2022'!$N:$N,Category!AN$1,'2022'!$D:$D,Category!$C30)</f>
        <v>8500000</v>
      </c>
      <c r="AO30" s="321">
        <f>SUMIFS('2022'!$I:$I,'2022'!$E:$E,Category!$B$26,'2022'!$N:$N,Category!AO$1,'2022'!$D:$D,Category!$C30)</f>
        <v>8500000</v>
      </c>
      <c r="AP30" s="321">
        <f>SUMIFS('2022'!$I:$I,'2022'!$E:$E,Category!$B$26,'2022'!$N:$N,Category!AP$1,'2022'!$D:$D,Category!$C30)</f>
        <v>8500000</v>
      </c>
      <c r="AQ30" s="321">
        <f>SUMIFS('2022'!$I:$I,'2022'!$E:$E,Category!$B$26,'2022'!$N:$N,Category!AQ$1,'2022'!$D:$D,Category!$C30)</f>
        <v>8500000</v>
      </c>
      <c r="AR30" s="321">
        <f>SUMIFS('2022'!$I:$I,'2022'!$E:$E,Category!$B$26,'2022'!$N:$N,Category!AR$1,'2022'!$D:$D,Category!$C30)</f>
        <v>8500000</v>
      </c>
      <c r="AS30" s="321">
        <f>SUMIFS('2022'!$I:$I,'2022'!$E:$E,Category!$B$26,'2022'!$N:$N,Category!AS$1,'2022'!$D:$D,Category!$C30)</f>
        <v>8500000</v>
      </c>
      <c r="AT30" s="321">
        <f>SUMIFS('2022'!$I:$I,'2022'!$E:$E,Category!$B$26,'2022'!$N:$N,Category!AT$1,'2022'!$D:$D,Category!$C30)</f>
        <v>8500000</v>
      </c>
      <c r="AU30" s="321">
        <f>SUMIFS('2022'!$I:$I,'2022'!$E:$E,Category!$B$26,'2022'!$N:$N,Category!AU$1,'2022'!$D:$D,Category!$C30)</f>
        <v>5500000</v>
      </c>
      <c r="AV30" s="321">
        <f>SUMIFS('2022'!$I:$I,'2022'!$E:$E,Category!$B$26,'2022'!$N:$N,Category!AV$1,'2022'!$D:$D,Category!$C30)</f>
        <v>5500000</v>
      </c>
      <c r="AW30" s="321">
        <f>SUMIFS('2022'!$I:$I,'2022'!$E:$E,Category!$B$26,'2022'!$N:$N,Category!AW$1,'2022'!$D:$D,Category!$C30)</f>
        <v>5500000</v>
      </c>
      <c r="AX30" s="321">
        <f>SUMIFS('2022'!$I:$I,'2022'!$E:$E,Category!$B$26,'2022'!$N:$N,Category!AX$1,'2022'!$D:$D,Category!$C30)</f>
        <v>5500000</v>
      </c>
      <c r="AY30" s="321">
        <f>SUMIFS('2022'!$I:$I,'2022'!$E:$E,Category!$B$26,'2022'!$N:$N,Category!AY$1,'2022'!$D:$D,Category!$C30)</f>
        <v>5500000</v>
      </c>
      <c r="AZ30" s="322">
        <f t="shared" si="15"/>
        <v>87000000</v>
      </c>
      <c r="BA30" s="500">
        <f>IFERROR(VLOOKUP(C30,'2023'!$D:$G,4,0),0)</f>
        <v>0</v>
      </c>
      <c r="BB30" s="321">
        <f>SUMIFS('2023'!$I:$I,'2023'!$E:$E,Category!$B$26,'2023'!$N:$N,Category!BB$1,'2023'!$D:$D,Category!$C30)</f>
        <v>5500000</v>
      </c>
      <c r="BC30" s="321">
        <f>SUMIFS('2023'!$I:$I,'2023'!$E:$E,Category!$B$26,'2023'!$N:$N,Category!BC$1,'2023'!$D:$D,Category!$C30)</f>
        <v>5500000</v>
      </c>
      <c r="BD30" s="321">
        <f>SUMIFS('2023'!$I:$I,'2023'!$E:$E,Category!$B$26,'2023'!$N:$N,Category!BD$1,'2023'!$D:$D,Category!$C30)</f>
        <v>0</v>
      </c>
      <c r="BE30" s="321">
        <f>SUMIFS('2023'!$I:$I,'2023'!$E:$E,Category!$B$26,'2023'!$N:$N,Category!BE$1,'2023'!$D:$D,Category!$C30)</f>
        <v>0</v>
      </c>
      <c r="BF30" s="321">
        <f>SUMIFS('2023'!$I:$I,'2023'!$E:$E,Category!$B$26,'2023'!$N:$N,Category!BF$1,'2023'!$D:$D,Category!$C30)</f>
        <v>0</v>
      </c>
      <c r="BG30" s="321">
        <f>SUMIFS('2023'!$I:$I,'2023'!$E:$E,Category!$B$26,'2023'!$N:$N,Category!BG$1,'2023'!$D:$D,Category!$C30)</f>
        <v>0</v>
      </c>
      <c r="BH30" s="321">
        <f>SUMIFS('2023'!$I:$I,'2023'!$E:$E,Category!$B$26,'2023'!$N:$N,Category!BH$1,'2023'!$D:$D,Category!$C30)</f>
        <v>0</v>
      </c>
      <c r="BI30" s="321">
        <f>SUMIFS('2023'!$I:$I,'2023'!$E:$E,Category!$B$26,'2023'!$N:$N,Category!BI$1,'2023'!$D:$D,Category!$C30)</f>
        <v>0</v>
      </c>
      <c r="BJ30" s="321">
        <f>SUMIFS('2023'!$I:$I,'2023'!$E:$E,Category!$B$26,'2023'!$N:$N,Category!BJ$1,'2023'!$D:$D,Category!$C30)</f>
        <v>0</v>
      </c>
      <c r="BK30" s="321">
        <f>SUMIFS('2023'!$I:$I,'2023'!$E:$E,Category!$B$26,'2023'!$N:$N,Category!BK$1,'2023'!$D:$D,Category!$C30)</f>
        <v>0</v>
      </c>
      <c r="BL30" s="321">
        <f>SUMIFS('2023'!$I:$I,'2023'!$E:$E,Category!$B$26,'2023'!$N:$N,Category!BL$1,'2023'!$D:$D,Category!$C30)</f>
        <v>0</v>
      </c>
      <c r="BM30" s="321">
        <f>SUMIFS('2023'!$I:$I,'2023'!$E:$E,Category!$B$26,'2023'!$N:$N,Category!BM$1,'2023'!$D:$D,Category!$C30)</f>
        <v>0</v>
      </c>
      <c r="BN30" s="322">
        <f t="shared" si="13"/>
        <v>11000000</v>
      </c>
      <c r="BP30" s="247"/>
      <c r="BQ30" s="247"/>
      <c r="BR30" s="247"/>
      <c r="BS30" s="247"/>
      <c r="BT30" s="247"/>
      <c r="BU30" s="247"/>
      <c r="BV30" s="247"/>
      <c r="BW30" s="247"/>
    </row>
    <row r="31" spans="1:75" x14ac:dyDescent="0.25">
      <c r="A31" s="319"/>
      <c r="B31" s="324"/>
      <c r="C31" s="320" t="s">
        <v>124</v>
      </c>
      <c r="D31" s="513">
        <f>IFERROR(VLOOKUP($C31,'2019'!$D:$G,4,0),0)</f>
        <v>0</v>
      </c>
      <c r="E31" s="321">
        <f>SUMIFS('2019'!$I:$I,'2019'!$E:$E,Category!$B$26,'2019'!$N:$N,Category!E$1,'2019'!$D:$D,Category!$C31)</f>
        <v>0</v>
      </c>
      <c r="F31" s="321">
        <f>SUMIFS('2019'!$I:$I,'2019'!$E:$E,Category!$B$26,'2019'!$N:$N,Category!F$1,'2019'!$D:$D,Category!$C31)</f>
        <v>0</v>
      </c>
      <c r="G31" s="321">
        <f>SUMIFS('2019'!$I:$I,'2019'!$E:$E,Category!$B$26,'2019'!$N:$N,Category!G$1,'2019'!$D:$D,Category!$C31)</f>
        <v>0</v>
      </c>
      <c r="H31" s="321">
        <f>SUMIFS('2019'!$I:$I,'2019'!$E:$E,Category!$B$26,'2019'!$N:$N,Category!H$1,'2019'!$D:$D,Category!$C31)</f>
        <v>0</v>
      </c>
      <c r="I31" s="321">
        <f>SUMIFS('2019'!$I:$I,'2019'!$E:$E,Category!$B$26,'2019'!$N:$N,Category!I$1,'2019'!$D:$D,Category!$C31)</f>
        <v>0</v>
      </c>
      <c r="J31" s="322">
        <f t="shared" si="11"/>
        <v>0</v>
      </c>
      <c r="K31" s="500">
        <f>IFERROR(VLOOKUP($C31,'2020'!$D:$G,4,0),0)</f>
        <v>119</v>
      </c>
      <c r="L31" s="321">
        <f>SUMIFS('2020'!$I:$I,'2020'!$E:$E,Category!$B$26,'2020'!$N:$N,Category!L$1,'2020'!$D:$D,Category!$C31)</f>
        <v>0</v>
      </c>
      <c r="M31" s="321">
        <f>SUMIFS('2020'!$I:$I,'2020'!$E:$E,Category!$B$26,'2020'!$N:$N,Category!M$1,'2020'!$D:$D,Category!$C31)</f>
        <v>0</v>
      </c>
      <c r="N31" s="321">
        <f>SUMIFS('2020'!$I:$I,'2020'!$E:$E,Category!$B$26,'2020'!$N:$N,Category!N$1,'2020'!$D:$D,Category!$C31)</f>
        <v>0</v>
      </c>
      <c r="O31" s="321">
        <f>SUMIFS('2020'!$I:$I,'2020'!$E:$E,Category!$B$26,'2020'!$N:$N,Category!O$1,'2020'!$D:$D,Category!$C31)</f>
        <v>0</v>
      </c>
      <c r="P31" s="321">
        <f>SUMIFS('2020'!$I:$I,'2020'!$E:$E,Category!$B$26,'2020'!$N:$N,Category!P$1,'2020'!$D:$D,Category!$C31)</f>
        <v>0</v>
      </c>
      <c r="Q31" s="321">
        <f>SUMIFS('2020'!$I:$I,'2020'!$E:$E,Category!$B$26,'2020'!$N:$N,Category!Q$1,'2020'!$D:$D,Category!$C31)</f>
        <v>0</v>
      </c>
      <c r="R31" s="321">
        <f>SUMIFS('2020'!$I:$I,'2020'!$E:$E,Category!$B$26,'2020'!$N:$N,Category!R$1,'2020'!$D:$D,Category!$C31)</f>
        <v>0</v>
      </c>
      <c r="S31" s="321">
        <f>SUMIFS('2020'!$I:$I,'2020'!$E:$E,Category!$B$26,'2020'!$N:$N,Category!S$1,'2020'!$D:$D,Category!$C31)</f>
        <v>0</v>
      </c>
      <c r="T31" s="321">
        <f>SUMIFS('2020'!$I:$I,'2020'!$E:$E,Category!$B$26,'2020'!$N:$N,Category!T$1,'2020'!$D:$D,Category!$C31)</f>
        <v>0</v>
      </c>
      <c r="U31" s="321">
        <f>SUMIFS('2020'!$I:$I,'2020'!$E:$E,Category!$B$26,'2020'!$N:$N,Category!U$1,'2020'!$D:$D,Category!$C31)</f>
        <v>0</v>
      </c>
      <c r="V31" s="321">
        <f>SUMIFS('2020'!$I:$I,'2020'!$E:$E,Category!$B$26,'2020'!$N:$N,Category!V$1,'2020'!$D:$D,Category!$C31)</f>
        <v>5500000</v>
      </c>
      <c r="W31" s="321">
        <f>SUMIFS('2020'!$I:$I,'2020'!$E:$E,Category!$B$26,'2020'!$N:$N,Category!W$1,'2020'!$D:$D,Category!$C31)</f>
        <v>0</v>
      </c>
      <c r="X31" s="322">
        <f t="shared" si="12"/>
        <v>5500000</v>
      </c>
      <c r="Y31" s="500">
        <f>IFERROR(VLOOKUP(C31,'2021'!$D:$G,4,0),0)</f>
        <v>119</v>
      </c>
      <c r="Z31" s="321">
        <f>SUMIFS('2021'!$I:$I,'2021'!$E:$E,Category!$B$26,'2021'!$N:$N,Category!Z$1,'2021'!$D:$D,Category!$C31)</f>
        <v>5500000</v>
      </c>
      <c r="AA31" s="321">
        <f>SUMIFS('2021'!$I:$I,'2021'!$E:$E,Category!$B$26,'2021'!$N:$N,Category!AA$1,'2021'!$D:$D,Category!$C31)</f>
        <v>0</v>
      </c>
      <c r="AB31" s="321">
        <f>SUMIFS('2021'!$I:$I,'2021'!$E:$E,Category!$B$26,'2021'!$N:$N,Category!AB$1,'2021'!$D:$D,Category!$C31)</f>
        <v>5500000</v>
      </c>
      <c r="AC31" s="321">
        <f>SUMIFS('2021'!$I:$I,'2021'!$E:$E,Category!$B$26,'2021'!$N:$N,Category!AC$1,'2021'!$D:$D,Category!$C31)</f>
        <v>5480800</v>
      </c>
      <c r="AD31" s="321">
        <f>SUMIFS('2021'!$I:$I,'2021'!$E:$E,Category!$B$26,'2021'!$N:$N,Category!AD$1,'2021'!$D:$D,Category!$C31)</f>
        <v>5499760</v>
      </c>
      <c r="AE31" s="321">
        <f>SUMIFS('2021'!$I:$I,'2021'!$E:$E,Category!$B$26,'2021'!$N:$N,Category!AE$1,'2021'!$D:$D,Category!$C31)</f>
        <v>5425300</v>
      </c>
      <c r="AF31" s="321">
        <f>SUMIFS('2021'!$I:$I,'2021'!$E:$E,Category!$B$26,'2021'!$N:$N,Category!AF$1,'2021'!$D:$D,Category!$C31)</f>
        <v>0</v>
      </c>
      <c r="AG31" s="321">
        <f>SUMIFS('2021'!$I:$I,'2021'!$E:$E,Category!$B$26,'2021'!$N:$N,Category!AG$1,'2021'!$D:$D,Category!$C31)</f>
        <v>5999800</v>
      </c>
      <c r="AH31" s="321">
        <f>SUMIFS('2021'!$I:$I,'2021'!$E:$E,Category!$B$26,'2021'!$N:$N,Category!AH$1,'2021'!$D:$D,Category!$C31)</f>
        <v>0</v>
      </c>
      <c r="AI31" s="321">
        <f>SUMIFS('2021'!$I:$I,'2021'!$E:$E,Category!$B$26,'2021'!$N:$N,Category!AI$1,'2021'!$D:$D,Category!$C31)</f>
        <v>0</v>
      </c>
      <c r="AJ31" s="321">
        <f>SUMIFS('2021'!$I:$I,'2021'!$E:$E,Category!$B$26,'2021'!$N:$N,Category!AJ$1,'2021'!$D:$D,Category!$C31)</f>
        <v>11999800</v>
      </c>
      <c r="AK31" s="321">
        <f>SUMIFS('2021'!$I:$I,'2021'!$E:$E,Category!$B$26,'2021'!$N:$N,Category!AK$1,'2021'!$D:$D,Category!$C31)</f>
        <v>6000600</v>
      </c>
      <c r="AL31" s="322">
        <f t="shared" si="14"/>
        <v>51406060</v>
      </c>
      <c r="AM31" s="500">
        <f>IFERROR(VLOOKUP(C31,'2022'!$D:$G,4,0),0)</f>
        <v>119</v>
      </c>
      <c r="AN31" s="321">
        <f>SUMIFS('2022'!$I:$I,'2022'!$E:$E,Category!$B$26,'2022'!$N:$N,Category!AN$1,'2022'!$D:$D,Category!$C31)</f>
        <v>5999600</v>
      </c>
      <c r="AO31" s="321">
        <f>SUMIFS('2022'!$I:$I,'2022'!$E:$E,Category!$B$26,'2022'!$N:$N,Category!AO$1,'2022'!$D:$D,Category!$C31)</f>
        <v>0</v>
      </c>
      <c r="AP31" s="321">
        <f>SUMIFS('2022'!$I:$I,'2022'!$E:$E,Category!$B$26,'2022'!$N:$N,Category!AP$1,'2022'!$D:$D,Category!$C31)</f>
        <v>11995600</v>
      </c>
      <c r="AQ31" s="321">
        <f>SUMIFS('2022'!$I:$I,'2022'!$E:$E,Category!$B$26,'2022'!$N:$N,Category!AQ$1,'2022'!$D:$D,Category!$C31)</f>
        <v>5756648</v>
      </c>
      <c r="AR31" s="321">
        <f>SUMIFS('2022'!$I:$I,'2022'!$E:$E,Category!$B$26,'2022'!$N:$N,Category!AR$1,'2022'!$D:$D,Category!$C31)</f>
        <v>6282900</v>
      </c>
      <c r="AS31" s="321">
        <f>SUMIFS('2022'!$I:$I,'2022'!$E:$E,Category!$B$26,'2022'!$N:$N,Category!AS$1,'2022'!$D:$D,Category!$C31)</f>
        <v>6000700</v>
      </c>
      <c r="AT31" s="321">
        <f>SUMIFS('2022'!$I:$I,'2022'!$E:$E,Category!$B$26,'2022'!$N:$N,Category!AT$1,'2022'!$D:$D,Category!$C31)</f>
        <v>6000000</v>
      </c>
      <c r="AU31" s="321">
        <f>SUMIFS('2022'!$I:$I,'2022'!$E:$E,Category!$B$26,'2022'!$N:$N,Category!AU$1,'2022'!$D:$D,Category!$C31)</f>
        <v>6000000</v>
      </c>
      <c r="AV31" s="321">
        <f>SUMIFS('2022'!$I:$I,'2022'!$E:$E,Category!$B$26,'2022'!$N:$N,Category!AV$1,'2022'!$D:$D,Category!$C31)</f>
        <v>6000000</v>
      </c>
      <c r="AW31" s="321">
        <f>SUMIFS('2022'!$I:$I,'2022'!$E:$E,Category!$B$26,'2022'!$N:$N,Category!AW$1,'2022'!$D:$D,Category!$C31)</f>
        <v>6000000</v>
      </c>
      <c r="AX31" s="321">
        <f>SUMIFS('2022'!$I:$I,'2022'!$E:$E,Category!$B$26,'2022'!$N:$N,Category!AX$1,'2022'!$D:$D,Category!$C31)</f>
        <v>6251400</v>
      </c>
      <c r="AY31" s="321">
        <f>SUMIFS('2022'!$I:$I,'2022'!$E:$E,Category!$B$26,'2022'!$N:$N,Category!AY$1,'2022'!$D:$D,Category!$C31)</f>
        <v>6142500</v>
      </c>
      <c r="AZ31" s="322">
        <f t="shared" si="15"/>
        <v>72429348</v>
      </c>
      <c r="BA31" s="500">
        <f>IFERROR(VLOOKUP(C31,'2023'!$D:$G,4,0),0)</f>
        <v>75</v>
      </c>
      <c r="BB31" s="321">
        <f>SUMIFS('2023'!$I:$I,'2023'!$E:$E,Category!$B$26,'2023'!$N:$N,Category!BB$1,'2023'!$D:$D,Category!$C31)</f>
        <v>6000000</v>
      </c>
      <c r="BC31" s="321">
        <f>SUMIFS('2023'!$I:$I,'2023'!$E:$E,Category!$B$26,'2023'!$N:$N,Category!BC$1,'2023'!$D:$D,Category!$C31)</f>
        <v>6000000</v>
      </c>
      <c r="BD31" s="321">
        <f>SUMIFS('2023'!$I:$I,'2023'!$E:$E,Category!$B$26,'2023'!$N:$N,Category!BD$1,'2023'!$D:$D,Category!$C31)</f>
        <v>0</v>
      </c>
      <c r="BE31" s="321">
        <f>SUMIFS('2023'!$I:$I,'2023'!$E:$E,Category!$B$26,'2023'!$N:$N,Category!BE$1,'2023'!$D:$D,Category!$C31)</f>
        <v>0</v>
      </c>
      <c r="BF31" s="321">
        <f>SUMIFS('2023'!$I:$I,'2023'!$E:$E,Category!$B$26,'2023'!$N:$N,Category!BF$1,'2023'!$D:$D,Category!$C31)</f>
        <v>0</v>
      </c>
      <c r="BG31" s="321">
        <f>SUMIFS('2023'!$I:$I,'2023'!$E:$E,Category!$B$26,'2023'!$N:$N,Category!BG$1,'2023'!$D:$D,Category!$C31)</f>
        <v>0</v>
      </c>
      <c r="BH31" s="321">
        <f>SUMIFS('2023'!$I:$I,'2023'!$E:$E,Category!$B$26,'2023'!$N:$N,Category!BH$1,'2023'!$D:$D,Category!$C31)</f>
        <v>0</v>
      </c>
      <c r="BI31" s="321">
        <f>SUMIFS('2023'!$I:$I,'2023'!$E:$E,Category!$B$26,'2023'!$N:$N,Category!BI$1,'2023'!$D:$D,Category!$C31)</f>
        <v>0</v>
      </c>
      <c r="BJ31" s="321">
        <f>SUMIFS('2023'!$I:$I,'2023'!$E:$E,Category!$B$26,'2023'!$N:$N,Category!BJ$1,'2023'!$D:$D,Category!$C31)</f>
        <v>0</v>
      </c>
      <c r="BK31" s="321">
        <f>SUMIFS('2023'!$I:$I,'2023'!$E:$E,Category!$B$26,'2023'!$N:$N,Category!BK$1,'2023'!$D:$D,Category!$C31)</f>
        <v>0</v>
      </c>
      <c r="BL31" s="321">
        <f>SUMIFS('2023'!$I:$I,'2023'!$E:$E,Category!$B$26,'2023'!$N:$N,Category!BL$1,'2023'!$D:$D,Category!$C31)</f>
        <v>0</v>
      </c>
      <c r="BM31" s="321">
        <f>SUMIFS('2023'!$I:$I,'2023'!$E:$E,Category!$B$26,'2023'!$N:$N,Category!BM$1,'2023'!$D:$D,Category!$C31)</f>
        <v>0</v>
      </c>
      <c r="BN31" s="322">
        <f t="shared" si="13"/>
        <v>12000000</v>
      </c>
      <c r="BP31" s="247"/>
      <c r="BQ31" s="247"/>
      <c r="BR31" s="247"/>
      <c r="BS31" s="247"/>
      <c r="BT31" s="247"/>
      <c r="BU31" s="247"/>
      <c r="BV31" s="247"/>
      <c r="BW31" s="247"/>
    </row>
    <row r="32" spans="1:75" x14ac:dyDescent="0.25">
      <c r="A32" s="319"/>
      <c r="B32" s="324"/>
      <c r="C32" s="320" t="s">
        <v>228</v>
      </c>
      <c r="D32" s="513">
        <f>IFERROR(VLOOKUP($C32,'2019'!$D:$G,4,0),0)</f>
        <v>0</v>
      </c>
      <c r="E32" s="321">
        <f>SUMIFS('2019'!$I:$I,'2019'!$E:$E,Category!$B$26,'2019'!$N:$N,Category!E$1,'2019'!$D:$D,Category!$C32)</f>
        <v>0</v>
      </c>
      <c r="F32" s="321">
        <f>SUMIFS('2019'!$I:$I,'2019'!$E:$E,Category!$B$26,'2019'!$N:$N,Category!F$1,'2019'!$D:$D,Category!$C32)</f>
        <v>0</v>
      </c>
      <c r="G32" s="321">
        <f>SUMIFS('2019'!$I:$I,'2019'!$E:$E,Category!$B$26,'2019'!$N:$N,Category!G$1,'2019'!$D:$D,Category!$C32)</f>
        <v>0</v>
      </c>
      <c r="H32" s="321">
        <f>SUMIFS('2019'!$I:$I,'2019'!$E:$E,Category!$B$26,'2019'!$N:$N,Category!H$1,'2019'!$D:$D,Category!$C32)</f>
        <v>0</v>
      </c>
      <c r="I32" s="321">
        <f>SUMIFS('2019'!$I:$I,'2019'!$E:$E,Category!$B$26,'2019'!$N:$N,Category!I$1,'2019'!$D:$D,Category!$C32)</f>
        <v>0</v>
      </c>
      <c r="J32" s="322">
        <f t="shared" si="11"/>
        <v>0</v>
      </c>
      <c r="K32" s="500">
        <f>IFERROR(VLOOKUP($C32,'2020'!$D:$G,4,0),0)</f>
        <v>64</v>
      </c>
      <c r="L32" s="321">
        <f>SUMIFS('2020'!$I:$I,'2020'!$E:$E,Category!$B$26,'2020'!$N:$N,Category!L$1,'2020'!$D:$D,Category!$C32)</f>
        <v>0</v>
      </c>
      <c r="M32" s="321">
        <f>SUMIFS('2020'!$I:$I,'2020'!$E:$E,Category!$B$26,'2020'!$N:$N,Category!M$1,'2020'!$D:$D,Category!$C32)</f>
        <v>0</v>
      </c>
      <c r="N32" s="321">
        <f>SUMIFS('2020'!$I:$I,'2020'!$E:$E,Category!$B$26,'2020'!$N:$N,Category!N$1,'2020'!$D:$D,Category!$C32)</f>
        <v>0</v>
      </c>
      <c r="O32" s="321">
        <f>SUMIFS('2020'!$I:$I,'2020'!$E:$E,Category!$B$26,'2020'!$N:$N,Category!O$1,'2020'!$D:$D,Category!$C32)</f>
        <v>0</v>
      </c>
      <c r="P32" s="321">
        <f>SUMIFS('2020'!$I:$I,'2020'!$E:$E,Category!$B$26,'2020'!$N:$N,Category!P$1,'2020'!$D:$D,Category!$C32)</f>
        <v>0</v>
      </c>
      <c r="Q32" s="321">
        <f>SUMIFS('2020'!$I:$I,'2020'!$E:$E,Category!$B$26,'2020'!$N:$N,Category!Q$1,'2020'!$D:$D,Category!$C32)</f>
        <v>0</v>
      </c>
      <c r="R32" s="321">
        <f>SUMIFS('2020'!$I:$I,'2020'!$E:$E,Category!$B$26,'2020'!$N:$N,Category!R$1,'2020'!$D:$D,Category!$C32)</f>
        <v>0</v>
      </c>
      <c r="S32" s="321">
        <f>SUMIFS('2020'!$I:$I,'2020'!$E:$E,Category!$B$26,'2020'!$N:$N,Category!S$1,'2020'!$D:$D,Category!$C32)</f>
        <v>0</v>
      </c>
      <c r="T32" s="321">
        <f>SUMIFS('2020'!$I:$I,'2020'!$E:$E,Category!$B$26,'2020'!$N:$N,Category!T$1,'2020'!$D:$D,Category!$C32)</f>
        <v>0</v>
      </c>
      <c r="U32" s="321">
        <f>SUMIFS('2020'!$I:$I,'2020'!$E:$E,Category!$B$26,'2020'!$N:$N,Category!U$1,'2020'!$D:$D,Category!$C32)</f>
        <v>0</v>
      </c>
      <c r="V32" s="321">
        <f>SUMIFS('2020'!$I:$I,'2020'!$E:$E,Category!$B$26,'2020'!$N:$N,Category!V$1,'2020'!$D:$D,Category!$C32)</f>
        <v>28571500</v>
      </c>
      <c r="W32" s="321">
        <f>SUMIFS('2020'!$I:$I,'2020'!$E:$E,Category!$B$26,'2020'!$N:$N,Category!W$1,'2020'!$D:$D,Category!$C32)</f>
        <v>0</v>
      </c>
      <c r="X32" s="322">
        <f t="shared" si="12"/>
        <v>28571500</v>
      </c>
      <c r="Y32" s="500">
        <f>IFERROR(VLOOKUP(C32,'2021'!$D:$G,4,0),0)</f>
        <v>64</v>
      </c>
      <c r="Z32" s="321">
        <f>SUMIFS('2021'!$I:$I,'2021'!$E:$E,Category!$B$26,'2021'!$N:$N,Category!Z$1,'2021'!$D:$D,Category!$C32)</f>
        <v>0</v>
      </c>
      <c r="AA32" s="321">
        <f>SUMIFS('2021'!$I:$I,'2021'!$E:$E,Category!$B$26,'2021'!$N:$N,Category!AA$1,'2021'!$D:$D,Category!$C32)</f>
        <v>0</v>
      </c>
      <c r="AB32" s="321">
        <f>SUMIFS('2021'!$I:$I,'2021'!$E:$E,Category!$B$26,'2021'!$N:$N,Category!AB$1,'2021'!$D:$D,Category!$C32)</f>
        <v>0</v>
      </c>
      <c r="AC32" s="321">
        <f>SUMIFS('2021'!$I:$I,'2021'!$E:$E,Category!$B$26,'2021'!$N:$N,Category!AC$1,'2021'!$D:$D,Category!$C32)</f>
        <v>10986650</v>
      </c>
      <c r="AD32" s="321">
        <f>SUMIFS('2021'!$I:$I,'2021'!$E:$E,Category!$B$26,'2021'!$N:$N,Category!AD$1,'2021'!$D:$D,Category!$C32)</f>
        <v>5496500</v>
      </c>
      <c r="AE32" s="321">
        <f>SUMIFS('2021'!$I:$I,'2021'!$E:$E,Category!$B$26,'2021'!$N:$N,Category!AE$1,'2021'!$D:$D,Category!$C32)</f>
        <v>5564000</v>
      </c>
      <c r="AF32" s="321">
        <f>SUMIFS('2021'!$I:$I,'2021'!$E:$E,Category!$B$26,'2021'!$N:$N,Category!AF$1,'2021'!$D:$D,Category!$C32)</f>
        <v>0</v>
      </c>
      <c r="AG32" s="321">
        <f>SUMIFS('2021'!$I:$I,'2021'!$E:$E,Category!$B$26,'2021'!$N:$N,Category!AG$1,'2021'!$D:$D,Category!$C32)</f>
        <v>5998200</v>
      </c>
      <c r="AH32" s="321">
        <f>SUMIFS('2021'!$I:$I,'2021'!$E:$E,Category!$B$26,'2021'!$N:$N,Category!AH$1,'2021'!$D:$D,Category!$C32)</f>
        <v>0</v>
      </c>
      <c r="AI32" s="321">
        <f>SUMIFS('2021'!$I:$I,'2021'!$E:$E,Category!$B$26,'2021'!$N:$N,Category!AI$1,'2021'!$D:$D,Category!$C32)</f>
        <v>0</v>
      </c>
      <c r="AJ32" s="321">
        <f>SUMIFS('2021'!$I:$I,'2021'!$E:$E,Category!$B$26,'2021'!$N:$N,Category!AJ$1,'2021'!$D:$D,Category!$C32)</f>
        <v>12013600</v>
      </c>
      <c r="AK32" s="321">
        <f>SUMIFS('2021'!$I:$I,'2021'!$E:$E,Category!$B$26,'2021'!$N:$N,Category!AK$1,'2021'!$D:$D,Category!$C32)</f>
        <v>5999500</v>
      </c>
      <c r="AL32" s="322">
        <f t="shared" si="14"/>
        <v>46058450</v>
      </c>
      <c r="AM32" s="500">
        <f>IFERROR(VLOOKUP(C32,'2022'!$D:$G,4,0),0)</f>
        <v>66</v>
      </c>
      <c r="AN32" s="321">
        <f>SUMIFS('2022'!$I:$I,'2022'!$E:$E,Category!$B$26,'2022'!$N:$N,Category!AN$1,'2022'!$D:$D,Category!$C32)</f>
        <v>5999100</v>
      </c>
      <c r="AO32" s="321">
        <f>SUMIFS('2022'!$I:$I,'2022'!$E:$E,Category!$B$26,'2022'!$N:$N,Category!AO$1,'2022'!$D:$D,Category!$C32)</f>
        <v>0</v>
      </c>
      <c r="AP32" s="321">
        <f>SUMIFS('2022'!$I:$I,'2022'!$E:$E,Category!$B$26,'2022'!$N:$N,Category!AP$1,'2022'!$D:$D,Category!$C32)</f>
        <v>11996800</v>
      </c>
      <c r="AQ32" s="321">
        <f>SUMIFS('2022'!$I:$I,'2022'!$E:$E,Category!$B$26,'2022'!$N:$N,Category!AQ$1,'2022'!$D:$D,Category!$C32)</f>
        <v>6159100</v>
      </c>
      <c r="AR32" s="321">
        <f>SUMIFS('2022'!$I:$I,'2022'!$E:$E,Category!$B$26,'2022'!$N:$N,Category!AR$1,'2022'!$D:$D,Category!$C32)</f>
        <v>6179900</v>
      </c>
      <c r="AS32" s="321">
        <f>SUMIFS('2022'!$I:$I,'2022'!$E:$E,Category!$B$26,'2022'!$N:$N,Category!AS$1,'2022'!$D:$D,Category!$C32)</f>
        <v>6008600</v>
      </c>
      <c r="AT32" s="321">
        <f>SUMIFS('2022'!$I:$I,'2022'!$E:$E,Category!$B$26,'2022'!$N:$N,Category!AT$1,'2022'!$D:$D,Category!$C32)</f>
        <v>6000000</v>
      </c>
      <c r="AU32" s="321">
        <f>SUMIFS('2022'!$I:$I,'2022'!$E:$E,Category!$B$26,'2022'!$N:$N,Category!AU$1,'2022'!$D:$D,Category!$C32)</f>
        <v>6000000</v>
      </c>
      <c r="AV32" s="321">
        <f>SUMIFS('2022'!$I:$I,'2022'!$E:$E,Category!$B$26,'2022'!$N:$N,Category!AV$1,'2022'!$D:$D,Category!$C32)</f>
        <v>6000000</v>
      </c>
      <c r="AW32" s="321">
        <f>SUMIFS('2022'!$I:$I,'2022'!$E:$E,Category!$B$26,'2022'!$N:$N,Category!AW$1,'2022'!$D:$D,Category!$C32)</f>
        <v>6251440</v>
      </c>
      <c r="AX32" s="321">
        <f>SUMIFS('2022'!$I:$I,'2022'!$E:$E,Category!$B$26,'2022'!$N:$N,Category!AX$1,'2022'!$D:$D,Category!$C32)</f>
        <v>6000000</v>
      </c>
      <c r="AY32" s="321">
        <f>SUMIFS('2022'!$I:$I,'2022'!$E:$E,Category!$B$26,'2022'!$N:$N,Category!AY$1,'2022'!$D:$D,Category!$C32)</f>
        <v>3492500</v>
      </c>
      <c r="AZ32" s="322">
        <f t="shared" si="15"/>
        <v>70087440</v>
      </c>
      <c r="BA32" s="500">
        <f>IFERROR(VLOOKUP(C32,'2023'!$D:$G,4,0),0)</f>
        <v>3</v>
      </c>
      <c r="BB32" s="321">
        <f>SUMIFS('2023'!$I:$I,'2023'!$E:$E,Category!$B$26,'2023'!$N:$N,Category!BB$1,'2023'!$D:$D,Category!$C32)</f>
        <v>6000000</v>
      </c>
      <c r="BC32" s="321">
        <f>SUMIFS('2023'!$I:$I,'2023'!$E:$E,Category!$B$26,'2023'!$N:$N,Category!BC$1,'2023'!$D:$D,Category!$C32)</f>
        <v>6000000</v>
      </c>
      <c r="BD32" s="321">
        <f>SUMIFS('2023'!$I:$I,'2023'!$E:$E,Category!$B$26,'2023'!$N:$N,Category!BD$1,'2023'!$D:$D,Category!$C32)</f>
        <v>0</v>
      </c>
      <c r="BE32" s="321">
        <f>SUMIFS('2023'!$I:$I,'2023'!$E:$E,Category!$B$26,'2023'!$N:$N,Category!BE$1,'2023'!$D:$D,Category!$C32)</f>
        <v>0</v>
      </c>
      <c r="BF32" s="321">
        <f>SUMIFS('2023'!$I:$I,'2023'!$E:$E,Category!$B$26,'2023'!$N:$N,Category!BF$1,'2023'!$D:$D,Category!$C32)</f>
        <v>0</v>
      </c>
      <c r="BG32" s="321">
        <f>SUMIFS('2023'!$I:$I,'2023'!$E:$E,Category!$B$26,'2023'!$N:$N,Category!BG$1,'2023'!$D:$D,Category!$C32)</f>
        <v>0</v>
      </c>
      <c r="BH32" s="321">
        <f>SUMIFS('2023'!$I:$I,'2023'!$E:$E,Category!$B$26,'2023'!$N:$N,Category!BH$1,'2023'!$D:$D,Category!$C32)</f>
        <v>0</v>
      </c>
      <c r="BI32" s="321">
        <f>SUMIFS('2023'!$I:$I,'2023'!$E:$E,Category!$B$26,'2023'!$N:$N,Category!BI$1,'2023'!$D:$D,Category!$C32)</f>
        <v>0</v>
      </c>
      <c r="BJ32" s="321">
        <f>SUMIFS('2023'!$I:$I,'2023'!$E:$E,Category!$B$26,'2023'!$N:$N,Category!BJ$1,'2023'!$D:$D,Category!$C32)</f>
        <v>0</v>
      </c>
      <c r="BK32" s="321">
        <f>SUMIFS('2023'!$I:$I,'2023'!$E:$E,Category!$B$26,'2023'!$N:$N,Category!BK$1,'2023'!$D:$D,Category!$C32)</f>
        <v>0</v>
      </c>
      <c r="BL32" s="321">
        <f>SUMIFS('2023'!$I:$I,'2023'!$E:$E,Category!$B$26,'2023'!$N:$N,Category!BL$1,'2023'!$D:$D,Category!$C32)</f>
        <v>0</v>
      </c>
      <c r="BM32" s="321">
        <f>SUMIFS('2023'!$I:$I,'2023'!$E:$E,Category!$B$26,'2023'!$N:$N,Category!BM$1,'2023'!$D:$D,Category!$C32)</f>
        <v>0</v>
      </c>
      <c r="BN32" s="322">
        <f t="shared" si="13"/>
        <v>12000000</v>
      </c>
      <c r="BP32" s="247"/>
      <c r="BQ32" s="247"/>
      <c r="BR32" s="247"/>
      <c r="BS32" s="247"/>
      <c r="BT32" s="247"/>
      <c r="BU32" s="247"/>
      <c r="BV32" s="247"/>
      <c r="BW32" s="247"/>
    </row>
    <row r="33" spans="1:75" x14ac:dyDescent="0.25">
      <c r="A33" s="319"/>
      <c r="B33" s="324"/>
      <c r="C33" s="320" t="s">
        <v>869</v>
      </c>
      <c r="D33" s="513">
        <f>IFERROR(VLOOKUP($C33,'2019'!$D:$G,4,0),0)</f>
        <v>0</v>
      </c>
      <c r="E33" s="321">
        <f>SUMIFS('2019'!$I:$I,'2019'!$E:$E,Category!$B$26,'2019'!$N:$N,Category!E$1,'2019'!$D:$D,Category!$C33)</f>
        <v>0</v>
      </c>
      <c r="F33" s="321">
        <f>SUMIFS('2019'!$I:$I,'2019'!$E:$E,Category!$B$26,'2019'!$N:$N,Category!F$1,'2019'!$D:$D,Category!$C33)</f>
        <v>0</v>
      </c>
      <c r="G33" s="321">
        <f>SUMIFS('2019'!$I:$I,'2019'!$E:$E,Category!$B$26,'2019'!$N:$N,Category!G$1,'2019'!$D:$D,Category!$C33)</f>
        <v>0</v>
      </c>
      <c r="H33" s="321">
        <f>SUMIFS('2019'!$I:$I,'2019'!$E:$E,Category!$B$26,'2019'!$N:$N,Category!H$1,'2019'!$D:$D,Category!$C33)</f>
        <v>0</v>
      </c>
      <c r="I33" s="321">
        <f>SUMIFS('2019'!$I:$I,'2019'!$E:$E,Category!$B$26,'2019'!$N:$N,Category!I$1,'2019'!$D:$D,Category!$C33)</f>
        <v>0</v>
      </c>
      <c r="J33" s="322">
        <f t="shared" si="11"/>
        <v>0</v>
      </c>
      <c r="K33" s="500">
        <f>IFERROR(VLOOKUP($C33,'2020'!$D:$G,4,0),0)</f>
        <v>98</v>
      </c>
      <c r="L33" s="321">
        <f>SUMIFS('2020'!$I:$I,'2020'!$E:$E,Category!$B$26,'2020'!$N:$N,Category!L$1,'2020'!$D:$D,Category!$C33)</f>
        <v>0</v>
      </c>
      <c r="M33" s="321">
        <f>SUMIFS('2020'!$I:$I,'2020'!$E:$E,Category!$B$26,'2020'!$N:$N,Category!M$1,'2020'!$D:$D,Category!$C33)</f>
        <v>0</v>
      </c>
      <c r="N33" s="321">
        <f>SUMIFS('2020'!$I:$I,'2020'!$E:$E,Category!$B$26,'2020'!$N:$N,Category!N$1,'2020'!$D:$D,Category!$C33)</f>
        <v>0</v>
      </c>
      <c r="O33" s="321">
        <f>SUMIFS('2020'!$I:$I,'2020'!$E:$E,Category!$B$26,'2020'!$N:$N,Category!O$1,'2020'!$D:$D,Category!$C33)</f>
        <v>0</v>
      </c>
      <c r="P33" s="321">
        <f>SUMIFS('2020'!$I:$I,'2020'!$E:$E,Category!$B$26,'2020'!$N:$N,Category!P$1,'2020'!$D:$D,Category!$C33)</f>
        <v>0</v>
      </c>
      <c r="Q33" s="321">
        <f>SUMIFS('2020'!$I:$I,'2020'!$E:$E,Category!$B$26,'2020'!$N:$N,Category!Q$1,'2020'!$D:$D,Category!$C33)</f>
        <v>0</v>
      </c>
      <c r="R33" s="321">
        <f>SUMIFS('2020'!$I:$I,'2020'!$E:$E,Category!$B$26,'2020'!$N:$N,Category!R$1,'2020'!$D:$D,Category!$C33)</f>
        <v>0</v>
      </c>
      <c r="S33" s="321">
        <f>SUMIFS('2020'!$I:$I,'2020'!$E:$E,Category!$B$26,'2020'!$N:$N,Category!S$1,'2020'!$D:$D,Category!$C33)</f>
        <v>0</v>
      </c>
      <c r="T33" s="321">
        <f>SUMIFS('2020'!$I:$I,'2020'!$E:$E,Category!$B$26,'2020'!$N:$N,Category!T$1,'2020'!$D:$D,Category!$C33)</f>
        <v>0</v>
      </c>
      <c r="U33" s="321">
        <f>SUMIFS('2020'!$I:$I,'2020'!$E:$E,Category!$B$26,'2020'!$N:$N,Category!U$1,'2020'!$D:$D,Category!$C33)</f>
        <v>0</v>
      </c>
      <c r="V33" s="321">
        <f>SUMIFS('2020'!$I:$I,'2020'!$E:$E,Category!$B$26,'2020'!$N:$N,Category!V$1,'2020'!$D:$D,Category!$C33)</f>
        <v>5500000</v>
      </c>
      <c r="W33" s="321">
        <f>SUMIFS('2020'!$I:$I,'2020'!$E:$E,Category!$B$26,'2020'!$N:$N,Category!W$1,'2020'!$D:$D,Category!$C33)</f>
        <v>0</v>
      </c>
      <c r="X33" s="322">
        <f t="shared" si="12"/>
        <v>5500000</v>
      </c>
      <c r="Y33" s="500">
        <f>IFERROR(VLOOKUP(C33,'2021'!$D:$G,4,0),0)</f>
        <v>98</v>
      </c>
      <c r="Z33" s="321">
        <f>SUMIFS('2021'!$I:$I,'2021'!$E:$E,Category!$B$26,'2021'!$N:$N,Category!Z$1,'2021'!$D:$D,Category!$C33)</f>
        <v>5500000</v>
      </c>
      <c r="AA33" s="321">
        <f>SUMIFS('2021'!$I:$I,'2021'!$E:$E,Category!$B$26,'2021'!$N:$N,Category!AA$1,'2021'!$D:$D,Category!$C33)</f>
        <v>0</v>
      </c>
      <c r="AB33" s="321">
        <f>SUMIFS('2021'!$I:$I,'2021'!$E:$E,Category!$B$26,'2021'!$N:$N,Category!AB$1,'2021'!$D:$D,Category!$C33)</f>
        <v>5500000</v>
      </c>
      <c r="AC33" s="321">
        <f>SUMIFS('2021'!$I:$I,'2021'!$E:$E,Category!$B$26,'2021'!$N:$N,Category!AC$1,'2021'!$D:$D,Category!$C33)</f>
        <v>5486400</v>
      </c>
      <c r="AD33" s="321">
        <f>SUMIFS('2021'!$I:$I,'2021'!$E:$E,Category!$B$26,'2021'!$N:$N,Category!AD$1,'2021'!$D:$D,Category!$C33)</f>
        <v>5497380</v>
      </c>
      <c r="AE33" s="321">
        <f>SUMIFS('2021'!$I:$I,'2021'!$E:$E,Category!$B$26,'2021'!$N:$N,Category!AE$1,'2021'!$D:$D,Category!$C33)</f>
        <v>5475600</v>
      </c>
      <c r="AF33" s="321">
        <f>SUMIFS('2021'!$I:$I,'2021'!$E:$E,Category!$B$26,'2021'!$N:$N,Category!AF$1,'2021'!$D:$D,Category!$C33)</f>
        <v>0</v>
      </c>
      <c r="AG33" s="321">
        <f>SUMIFS('2021'!$I:$I,'2021'!$E:$E,Category!$B$26,'2021'!$N:$N,Category!AG$1,'2021'!$D:$D,Category!$C33)</f>
        <v>5998900</v>
      </c>
      <c r="AH33" s="321">
        <f>SUMIFS('2021'!$I:$I,'2021'!$E:$E,Category!$B$26,'2021'!$N:$N,Category!AH$1,'2021'!$D:$D,Category!$C33)</f>
        <v>0</v>
      </c>
      <c r="AI33" s="321">
        <f>SUMIFS('2021'!$I:$I,'2021'!$E:$E,Category!$B$26,'2021'!$N:$N,Category!AI$1,'2021'!$D:$D,Category!$C33)</f>
        <v>0</v>
      </c>
      <c r="AJ33" s="321">
        <f>SUMIFS('2021'!$I:$I,'2021'!$E:$E,Category!$B$26,'2021'!$N:$N,Category!AJ$1,'2021'!$D:$D,Category!$C33)</f>
        <v>12168000</v>
      </c>
      <c r="AK33" s="321">
        <f>SUMIFS('2021'!$I:$I,'2021'!$E:$E,Category!$B$26,'2021'!$N:$N,Category!AK$1,'2021'!$D:$D,Category!$C33)</f>
        <v>5998900</v>
      </c>
      <c r="AL33" s="322">
        <f t="shared" si="14"/>
        <v>51625180</v>
      </c>
      <c r="AM33" s="500">
        <f>IFERROR(VLOOKUP(C33,'2022'!$D:$G,4,0),0)</f>
        <v>93</v>
      </c>
      <c r="AN33" s="321">
        <f>SUMIFS('2022'!$I:$I,'2022'!$E:$E,Category!$B$26,'2022'!$N:$N,Category!AN$1,'2022'!$D:$D,Category!$C33)</f>
        <v>6000800</v>
      </c>
      <c r="AO33" s="321">
        <f>SUMIFS('2022'!$I:$I,'2022'!$E:$E,Category!$B$26,'2022'!$N:$N,Category!AO$1,'2022'!$D:$D,Category!$C33)</f>
        <v>0</v>
      </c>
      <c r="AP33" s="321">
        <f>SUMIFS('2022'!$I:$I,'2022'!$E:$E,Category!$B$26,'2022'!$N:$N,Category!AP$1,'2022'!$D:$D,Category!$C33)</f>
        <v>11997500</v>
      </c>
      <c r="AQ33" s="321">
        <f>SUMIFS('2022'!$I:$I,'2022'!$E:$E,Category!$B$26,'2022'!$N:$N,Category!AQ$1,'2022'!$D:$D,Category!$C33)</f>
        <v>6320800</v>
      </c>
      <c r="AR33" s="321">
        <f>SUMIFS('2022'!$I:$I,'2022'!$E:$E,Category!$B$26,'2022'!$N:$N,Category!AR$1,'2022'!$D:$D,Category!$C33)</f>
        <v>6358600</v>
      </c>
      <c r="AS33" s="321">
        <f>SUMIFS('2022'!$I:$I,'2022'!$E:$E,Category!$B$26,'2022'!$N:$N,Category!AS$1,'2022'!$D:$D,Category!$C33)</f>
        <v>6004600</v>
      </c>
      <c r="AT33" s="321">
        <f>SUMIFS('2022'!$I:$I,'2022'!$E:$E,Category!$B$26,'2022'!$N:$N,Category!AT$1,'2022'!$D:$D,Category!$C33)</f>
        <v>6000000</v>
      </c>
      <c r="AU33" s="321">
        <f>SUMIFS('2022'!$I:$I,'2022'!$E:$E,Category!$B$26,'2022'!$N:$N,Category!AU$1,'2022'!$D:$D,Category!$C33)</f>
        <v>6000000</v>
      </c>
      <c r="AV33" s="321">
        <f>SUMIFS('2022'!$I:$I,'2022'!$E:$E,Category!$B$26,'2022'!$N:$N,Category!AV$1,'2022'!$D:$D,Category!$C33)</f>
        <v>6000000</v>
      </c>
      <c r="AW33" s="321">
        <f>SUMIFS('2022'!$I:$I,'2022'!$E:$E,Category!$B$26,'2022'!$N:$N,Category!AW$1,'2022'!$D:$D,Category!$C33)</f>
        <v>6250580</v>
      </c>
      <c r="AX33" s="321">
        <f>SUMIFS('2022'!$I:$I,'2022'!$E:$E,Category!$B$26,'2022'!$N:$N,Category!AX$1,'2022'!$D:$D,Category!$C33)</f>
        <v>6000000</v>
      </c>
      <c r="AY33" s="321">
        <f>SUMIFS('2022'!$I:$I,'2022'!$E:$E,Category!$B$26,'2022'!$N:$N,Category!AY$1,'2022'!$D:$D,Category!$C33)</f>
        <v>7926000.04</v>
      </c>
      <c r="AZ33" s="322">
        <f t="shared" si="15"/>
        <v>74858880.040000007</v>
      </c>
      <c r="BA33" s="500">
        <f>IFERROR(VLOOKUP(C33,'2023'!$D:$G,4,0),0)</f>
        <v>78</v>
      </c>
      <c r="BB33" s="321">
        <f>SUMIFS('2023'!$I:$I,'2023'!$E:$E,Category!$B$26,'2023'!$N:$N,Category!BB$1,'2023'!$D:$D,Category!$C33)</f>
        <v>6000000</v>
      </c>
      <c r="BC33" s="321">
        <f>SUMIFS('2023'!$I:$I,'2023'!$E:$E,Category!$B$26,'2023'!$N:$N,Category!BC$1,'2023'!$D:$D,Category!$C33)</f>
        <v>6000000</v>
      </c>
      <c r="BD33" s="321">
        <f>SUMIFS('2023'!$I:$I,'2023'!$E:$E,Category!$B$26,'2023'!$N:$N,Category!BD$1,'2023'!$D:$D,Category!$C33)</f>
        <v>0</v>
      </c>
      <c r="BE33" s="321">
        <f>SUMIFS('2023'!$I:$I,'2023'!$E:$E,Category!$B$26,'2023'!$N:$N,Category!BE$1,'2023'!$D:$D,Category!$C33)</f>
        <v>0</v>
      </c>
      <c r="BF33" s="321">
        <f>SUMIFS('2023'!$I:$I,'2023'!$E:$E,Category!$B$26,'2023'!$N:$N,Category!BF$1,'2023'!$D:$D,Category!$C33)</f>
        <v>0</v>
      </c>
      <c r="BG33" s="321">
        <f>SUMIFS('2023'!$I:$I,'2023'!$E:$E,Category!$B$26,'2023'!$N:$N,Category!BG$1,'2023'!$D:$D,Category!$C33)</f>
        <v>0</v>
      </c>
      <c r="BH33" s="321">
        <f>SUMIFS('2023'!$I:$I,'2023'!$E:$E,Category!$B$26,'2023'!$N:$N,Category!BH$1,'2023'!$D:$D,Category!$C33)</f>
        <v>0</v>
      </c>
      <c r="BI33" s="321">
        <f>SUMIFS('2023'!$I:$I,'2023'!$E:$E,Category!$B$26,'2023'!$N:$N,Category!BI$1,'2023'!$D:$D,Category!$C33)</f>
        <v>0</v>
      </c>
      <c r="BJ33" s="321">
        <f>SUMIFS('2023'!$I:$I,'2023'!$E:$E,Category!$B$26,'2023'!$N:$N,Category!BJ$1,'2023'!$D:$D,Category!$C33)</f>
        <v>0</v>
      </c>
      <c r="BK33" s="321">
        <f>SUMIFS('2023'!$I:$I,'2023'!$E:$E,Category!$B$26,'2023'!$N:$N,Category!BK$1,'2023'!$D:$D,Category!$C33)</f>
        <v>0</v>
      </c>
      <c r="BL33" s="321">
        <f>SUMIFS('2023'!$I:$I,'2023'!$E:$E,Category!$B$26,'2023'!$N:$N,Category!BL$1,'2023'!$D:$D,Category!$C33)</f>
        <v>0</v>
      </c>
      <c r="BM33" s="321">
        <f>SUMIFS('2023'!$I:$I,'2023'!$E:$E,Category!$B$26,'2023'!$N:$N,Category!BM$1,'2023'!$D:$D,Category!$C33)</f>
        <v>0</v>
      </c>
      <c r="BN33" s="322">
        <f t="shared" si="13"/>
        <v>12000000</v>
      </c>
      <c r="BP33" s="247"/>
      <c r="BQ33" s="247"/>
      <c r="BR33" s="247"/>
      <c r="BS33" s="247"/>
      <c r="BT33" s="247"/>
      <c r="BU33" s="247"/>
      <c r="BV33" s="247"/>
      <c r="BW33" s="247"/>
    </row>
    <row r="34" spans="1:75" x14ac:dyDescent="0.25">
      <c r="A34" s="319"/>
      <c r="B34" s="324"/>
      <c r="C34" s="320" t="s">
        <v>868</v>
      </c>
      <c r="D34" s="513">
        <f>IFERROR(VLOOKUP($C34,'2019'!$D:$G,4,0),0)</f>
        <v>0</v>
      </c>
      <c r="E34" s="321">
        <f>SUMIFS('2019'!$I:$I,'2019'!$E:$E,Category!$B$26,'2019'!$N:$N,Category!E$1,'2019'!$D:$D,Category!$C34)</f>
        <v>0</v>
      </c>
      <c r="F34" s="321">
        <f>SUMIFS('2019'!$I:$I,'2019'!$E:$E,Category!$B$26,'2019'!$N:$N,Category!F$1,'2019'!$D:$D,Category!$C34)</f>
        <v>0</v>
      </c>
      <c r="G34" s="321">
        <f>SUMIFS('2019'!$I:$I,'2019'!$E:$E,Category!$B$26,'2019'!$N:$N,Category!G$1,'2019'!$D:$D,Category!$C34)</f>
        <v>0</v>
      </c>
      <c r="H34" s="321">
        <f>SUMIFS('2019'!$I:$I,'2019'!$E:$E,Category!$B$26,'2019'!$N:$N,Category!H$1,'2019'!$D:$D,Category!$C34)</f>
        <v>0</v>
      </c>
      <c r="I34" s="321">
        <f>SUMIFS('2019'!$I:$I,'2019'!$E:$E,Category!$B$26,'2019'!$N:$N,Category!I$1,'2019'!$D:$D,Category!$C34)</f>
        <v>0</v>
      </c>
      <c r="J34" s="322">
        <f t="shared" si="11"/>
        <v>0</v>
      </c>
      <c r="K34" s="500">
        <f>IFERROR(VLOOKUP($C34,'2020'!$D:$G,4,0),0)</f>
        <v>28</v>
      </c>
      <c r="L34" s="321">
        <f>SUMIFS('2020'!$I:$I,'2020'!$E:$E,Category!$B$26,'2020'!$N:$N,Category!L$1,'2020'!$D:$D,Category!$C34)</f>
        <v>0</v>
      </c>
      <c r="M34" s="321">
        <f>SUMIFS('2020'!$I:$I,'2020'!$E:$E,Category!$B$26,'2020'!$N:$N,Category!M$1,'2020'!$D:$D,Category!$C34)</f>
        <v>0</v>
      </c>
      <c r="N34" s="321">
        <f>SUMIFS('2020'!$I:$I,'2020'!$E:$E,Category!$B$26,'2020'!$N:$N,Category!N$1,'2020'!$D:$D,Category!$C34)</f>
        <v>0</v>
      </c>
      <c r="O34" s="321">
        <f>SUMIFS('2020'!$I:$I,'2020'!$E:$E,Category!$B$26,'2020'!$N:$N,Category!O$1,'2020'!$D:$D,Category!$C34)</f>
        <v>0</v>
      </c>
      <c r="P34" s="321">
        <f>SUMIFS('2020'!$I:$I,'2020'!$E:$E,Category!$B$26,'2020'!$N:$N,Category!P$1,'2020'!$D:$D,Category!$C34)</f>
        <v>0</v>
      </c>
      <c r="Q34" s="321">
        <f>SUMIFS('2020'!$I:$I,'2020'!$E:$E,Category!$B$26,'2020'!$N:$N,Category!Q$1,'2020'!$D:$D,Category!$C34)</f>
        <v>0</v>
      </c>
      <c r="R34" s="321">
        <f>SUMIFS('2020'!$I:$I,'2020'!$E:$E,Category!$B$26,'2020'!$N:$N,Category!R$1,'2020'!$D:$D,Category!$C34)</f>
        <v>0</v>
      </c>
      <c r="S34" s="321">
        <f>SUMIFS('2020'!$I:$I,'2020'!$E:$E,Category!$B$26,'2020'!$N:$N,Category!S$1,'2020'!$D:$D,Category!$C34)</f>
        <v>0</v>
      </c>
      <c r="T34" s="321">
        <f>SUMIFS('2020'!$I:$I,'2020'!$E:$E,Category!$B$26,'2020'!$N:$N,Category!T$1,'2020'!$D:$D,Category!$C34)</f>
        <v>0</v>
      </c>
      <c r="U34" s="321">
        <f>SUMIFS('2020'!$I:$I,'2020'!$E:$E,Category!$B$26,'2020'!$N:$N,Category!U$1,'2020'!$D:$D,Category!$C34)</f>
        <v>0</v>
      </c>
      <c r="V34" s="321">
        <f>SUMIFS('2020'!$I:$I,'2020'!$E:$E,Category!$B$26,'2020'!$N:$N,Category!V$1,'2020'!$D:$D,Category!$C34)</f>
        <v>0</v>
      </c>
      <c r="W34" s="321">
        <f>SUMIFS('2020'!$I:$I,'2020'!$E:$E,Category!$B$26,'2020'!$N:$N,Category!W$1,'2020'!$D:$D,Category!$C34)</f>
        <v>5500000</v>
      </c>
      <c r="X34" s="322">
        <f t="shared" si="12"/>
        <v>5500000</v>
      </c>
      <c r="Y34" s="500">
        <f>IFERROR(VLOOKUP(C34,'2021'!$D:$G,4,0),0)</f>
        <v>28</v>
      </c>
      <c r="Z34" s="321">
        <f>SUMIFS('2021'!$I:$I,'2021'!$E:$E,Category!$B$26,'2021'!$N:$N,Category!Z$1,'2021'!$D:$D,Category!$C34)</f>
        <v>0</v>
      </c>
      <c r="AA34" s="321">
        <f>SUMIFS('2021'!$I:$I,'2021'!$E:$E,Category!$B$26,'2021'!$N:$N,Category!AA$1,'2021'!$D:$D,Category!$C34)</f>
        <v>0</v>
      </c>
      <c r="AB34" s="321">
        <f>SUMIFS('2021'!$I:$I,'2021'!$E:$E,Category!$B$26,'2021'!$N:$N,Category!AB$1,'2021'!$D:$D,Category!$C34)</f>
        <v>5500000</v>
      </c>
      <c r="AC34" s="321">
        <f>SUMIFS('2021'!$I:$I,'2021'!$E:$E,Category!$B$26,'2021'!$N:$N,Category!AC$1,'2021'!$D:$D,Category!$C34)</f>
        <v>5479900</v>
      </c>
      <c r="AD34" s="321">
        <f>SUMIFS('2021'!$I:$I,'2021'!$E:$E,Category!$B$26,'2021'!$N:$N,Category!AD$1,'2021'!$D:$D,Category!$C34)</f>
        <v>5498980</v>
      </c>
      <c r="AE34" s="321">
        <f>SUMIFS('2021'!$I:$I,'2021'!$E:$E,Category!$B$26,'2021'!$N:$N,Category!AE$1,'2021'!$D:$D,Category!$C34)</f>
        <v>5444000</v>
      </c>
      <c r="AF34" s="321">
        <f>SUMIFS('2021'!$I:$I,'2021'!$E:$E,Category!$B$26,'2021'!$N:$N,Category!AF$1,'2021'!$D:$D,Category!$C34)</f>
        <v>0</v>
      </c>
      <c r="AG34" s="321">
        <f>SUMIFS('2021'!$I:$I,'2021'!$E:$E,Category!$B$26,'2021'!$N:$N,Category!AG$1,'2021'!$D:$D,Category!$C34)</f>
        <v>5998800</v>
      </c>
      <c r="AH34" s="321">
        <f>SUMIFS('2021'!$I:$I,'2021'!$E:$E,Category!$B$26,'2021'!$N:$N,Category!AH$1,'2021'!$D:$D,Category!$C34)</f>
        <v>0</v>
      </c>
      <c r="AI34" s="321">
        <f>SUMIFS('2021'!$I:$I,'2021'!$E:$E,Category!$B$26,'2021'!$N:$N,Category!AI$1,'2021'!$D:$D,Category!$C34)</f>
        <v>0</v>
      </c>
      <c r="AJ34" s="321">
        <f>SUMIFS('2021'!$I:$I,'2021'!$E:$E,Category!$B$26,'2021'!$N:$N,Category!AJ$1,'2021'!$D:$D,Category!$C34)</f>
        <v>11999400</v>
      </c>
      <c r="AK34" s="321">
        <f>SUMIFS('2021'!$I:$I,'2021'!$E:$E,Category!$B$26,'2021'!$N:$N,Category!AK$1,'2021'!$D:$D,Category!$C34)</f>
        <v>5999100</v>
      </c>
      <c r="AL34" s="322">
        <f t="shared" si="14"/>
        <v>45920180</v>
      </c>
      <c r="AM34" s="500">
        <f>IFERROR(VLOOKUP(C34,'2022'!$D:$G,4,0),0)</f>
        <v>27</v>
      </c>
      <c r="AN34" s="321">
        <f>SUMIFS('2022'!$I:$I,'2022'!$E:$E,Category!$B$26,'2022'!$N:$N,Category!AN$1,'2022'!$D:$D,Category!$C34)</f>
        <v>6000500</v>
      </c>
      <c r="AO34" s="321">
        <f>SUMIFS('2022'!$I:$I,'2022'!$E:$E,Category!$B$26,'2022'!$N:$N,Category!AO$1,'2022'!$D:$D,Category!$C34)</f>
        <v>0</v>
      </c>
      <c r="AP34" s="321">
        <f>SUMIFS('2022'!$I:$I,'2022'!$E:$E,Category!$B$26,'2022'!$N:$N,Category!AP$1,'2022'!$D:$D,Category!$C34)</f>
        <v>11997300</v>
      </c>
      <c r="AQ34" s="321">
        <f>SUMIFS('2022'!$I:$I,'2022'!$E:$E,Category!$B$26,'2022'!$N:$N,Category!AQ$1,'2022'!$D:$D,Category!$C34)</f>
        <v>5752755</v>
      </c>
      <c r="AR34" s="321">
        <f>SUMIFS('2022'!$I:$I,'2022'!$E:$E,Category!$B$26,'2022'!$N:$N,Category!AR$1,'2022'!$D:$D,Category!$C34)</f>
        <v>6373100</v>
      </c>
      <c r="AS34" s="321">
        <f>SUMIFS('2022'!$I:$I,'2022'!$E:$E,Category!$B$26,'2022'!$N:$N,Category!AS$1,'2022'!$D:$D,Category!$C34)</f>
        <v>6002500</v>
      </c>
      <c r="AT34" s="321">
        <f>SUMIFS('2022'!$I:$I,'2022'!$E:$E,Category!$B$26,'2022'!$N:$N,Category!AT$1,'2022'!$D:$D,Category!$C34)</f>
        <v>6000000</v>
      </c>
      <c r="AU34" s="321">
        <f>SUMIFS('2022'!$I:$I,'2022'!$E:$E,Category!$B$26,'2022'!$N:$N,Category!AU$1,'2022'!$D:$D,Category!$C34)</f>
        <v>6250060</v>
      </c>
      <c r="AV34" s="321">
        <f>SUMIFS('2022'!$I:$I,'2022'!$E:$E,Category!$B$26,'2022'!$N:$N,Category!AV$1,'2022'!$D:$D,Category!$C34)</f>
        <v>6000000</v>
      </c>
      <c r="AW34" s="321">
        <f>SUMIFS('2022'!$I:$I,'2022'!$E:$E,Category!$B$26,'2022'!$N:$N,Category!AW$1,'2022'!$D:$D,Category!$C34)</f>
        <v>6000000</v>
      </c>
      <c r="AX34" s="321">
        <f>SUMIFS('2022'!$I:$I,'2022'!$E:$E,Category!$B$26,'2022'!$N:$N,Category!AX$1,'2022'!$D:$D,Category!$C34)</f>
        <v>6000000</v>
      </c>
      <c r="AY34" s="321">
        <f>SUMIFS('2022'!$I:$I,'2022'!$E:$E,Category!$B$26,'2022'!$N:$N,Category!AY$1,'2022'!$D:$D,Category!$C34)</f>
        <v>6520000</v>
      </c>
      <c r="AZ34" s="322">
        <f t="shared" si="15"/>
        <v>72896215</v>
      </c>
      <c r="BA34" s="500">
        <f>IFERROR(VLOOKUP(C34,'2023'!$D:$G,4,0),0)</f>
        <v>27</v>
      </c>
      <c r="BB34" s="321">
        <f>SUMIFS('2023'!$I:$I,'2023'!$E:$E,Category!$B$26,'2023'!$N:$N,Category!BB$1,'2023'!$D:$D,Category!$C34)</f>
        <v>6000000</v>
      </c>
      <c r="BC34" s="321">
        <f>SUMIFS('2023'!$I:$I,'2023'!$E:$E,Category!$B$26,'2023'!$N:$N,Category!BC$1,'2023'!$D:$D,Category!$C34)</f>
        <v>6000000</v>
      </c>
      <c r="BD34" s="321">
        <f>SUMIFS('2023'!$I:$I,'2023'!$E:$E,Category!$B$26,'2023'!$N:$N,Category!BD$1,'2023'!$D:$D,Category!$C34)</f>
        <v>0</v>
      </c>
      <c r="BE34" s="321">
        <f>SUMIFS('2023'!$I:$I,'2023'!$E:$E,Category!$B$26,'2023'!$N:$N,Category!BE$1,'2023'!$D:$D,Category!$C34)</f>
        <v>0</v>
      </c>
      <c r="BF34" s="321">
        <f>SUMIFS('2023'!$I:$I,'2023'!$E:$E,Category!$B$26,'2023'!$N:$N,Category!BF$1,'2023'!$D:$D,Category!$C34)</f>
        <v>0</v>
      </c>
      <c r="BG34" s="321">
        <f>SUMIFS('2023'!$I:$I,'2023'!$E:$E,Category!$B$26,'2023'!$N:$N,Category!BG$1,'2023'!$D:$D,Category!$C34)</f>
        <v>0</v>
      </c>
      <c r="BH34" s="321">
        <f>SUMIFS('2023'!$I:$I,'2023'!$E:$E,Category!$B$26,'2023'!$N:$N,Category!BH$1,'2023'!$D:$D,Category!$C34)</f>
        <v>0</v>
      </c>
      <c r="BI34" s="321">
        <f>SUMIFS('2023'!$I:$I,'2023'!$E:$E,Category!$B$26,'2023'!$N:$N,Category!BI$1,'2023'!$D:$D,Category!$C34)</f>
        <v>0</v>
      </c>
      <c r="BJ34" s="321">
        <f>SUMIFS('2023'!$I:$I,'2023'!$E:$E,Category!$B$26,'2023'!$N:$N,Category!BJ$1,'2023'!$D:$D,Category!$C34)</f>
        <v>0</v>
      </c>
      <c r="BK34" s="321">
        <f>SUMIFS('2023'!$I:$I,'2023'!$E:$E,Category!$B$26,'2023'!$N:$N,Category!BK$1,'2023'!$D:$D,Category!$C34)</f>
        <v>0</v>
      </c>
      <c r="BL34" s="321">
        <f>SUMIFS('2023'!$I:$I,'2023'!$E:$E,Category!$B$26,'2023'!$N:$N,Category!BL$1,'2023'!$D:$D,Category!$C34)</f>
        <v>0</v>
      </c>
      <c r="BM34" s="321">
        <f>SUMIFS('2023'!$I:$I,'2023'!$E:$E,Category!$B$26,'2023'!$N:$N,Category!BM$1,'2023'!$D:$D,Category!$C34)</f>
        <v>0</v>
      </c>
      <c r="BN34" s="322">
        <f t="shared" si="13"/>
        <v>12000000</v>
      </c>
      <c r="BP34" s="247"/>
      <c r="BQ34" s="247"/>
      <c r="BR34" s="247"/>
      <c r="BS34" s="247"/>
      <c r="BT34" s="247"/>
      <c r="BU34" s="247"/>
      <c r="BV34" s="247"/>
      <c r="BW34" s="247"/>
    </row>
    <row r="35" spans="1:75" ht="21.75" customHeight="1" x14ac:dyDescent="0.25">
      <c r="A35" s="319"/>
      <c r="B35" s="324"/>
      <c r="C35" s="320" t="s">
        <v>229</v>
      </c>
      <c r="D35" s="513">
        <f>IFERROR(VLOOKUP($C35,'2019'!$D:$G,4,0),0)</f>
        <v>0</v>
      </c>
      <c r="E35" s="321">
        <f>SUMIFS('2019'!$I:$I,'2019'!$E:$E,Category!$B$26,'2019'!$N:$N,Category!E$1,'2019'!$D:$D,Category!$C35)</f>
        <v>0</v>
      </c>
      <c r="F35" s="321">
        <f>SUMIFS('2019'!$I:$I,'2019'!$E:$E,Category!$B$26,'2019'!$N:$N,Category!F$1,'2019'!$D:$D,Category!$C35)</f>
        <v>0</v>
      </c>
      <c r="G35" s="321">
        <f>SUMIFS('2019'!$I:$I,'2019'!$E:$E,Category!$B$26,'2019'!$N:$N,Category!G$1,'2019'!$D:$D,Category!$C35)</f>
        <v>0</v>
      </c>
      <c r="H35" s="321">
        <f>SUMIFS('2019'!$I:$I,'2019'!$E:$E,Category!$B$26,'2019'!$N:$N,Category!H$1,'2019'!$D:$D,Category!$C35)</f>
        <v>0</v>
      </c>
      <c r="I35" s="321">
        <f>SUMIFS('2019'!$I:$I,'2019'!$E:$E,Category!$B$26,'2019'!$N:$N,Category!I$1,'2019'!$D:$D,Category!$C35)</f>
        <v>0</v>
      </c>
      <c r="J35" s="322">
        <f t="shared" si="11"/>
        <v>0</v>
      </c>
      <c r="K35" s="500">
        <f>IFERROR(VLOOKUP($C35,'2020'!$D:$G,4,0),0)</f>
        <v>40</v>
      </c>
      <c r="L35" s="321">
        <f>SUMIFS('2020'!$I:$I,'2020'!$E:$E,Category!$B$26,'2020'!$N:$N,Category!L$1,'2020'!$D:$D,Category!$C35)</f>
        <v>0</v>
      </c>
      <c r="M35" s="321">
        <f>SUMIFS('2020'!$I:$I,'2020'!$E:$E,Category!$B$26,'2020'!$N:$N,Category!M$1,'2020'!$D:$D,Category!$C35)</f>
        <v>0</v>
      </c>
      <c r="N35" s="321">
        <f>SUMIFS('2020'!$I:$I,'2020'!$E:$E,Category!$B$26,'2020'!$N:$N,Category!N$1,'2020'!$D:$D,Category!$C35)</f>
        <v>0</v>
      </c>
      <c r="O35" s="321">
        <f>SUMIFS('2020'!$I:$I,'2020'!$E:$E,Category!$B$26,'2020'!$N:$N,Category!O$1,'2020'!$D:$D,Category!$C35)</f>
        <v>0</v>
      </c>
      <c r="P35" s="321">
        <f>SUMIFS('2020'!$I:$I,'2020'!$E:$E,Category!$B$26,'2020'!$N:$N,Category!P$1,'2020'!$D:$D,Category!$C35)</f>
        <v>0</v>
      </c>
      <c r="Q35" s="321">
        <f>SUMIFS('2020'!$I:$I,'2020'!$E:$E,Category!$B$26,'2020'!$N:$N,Category!Q$1,'2020'!$D:$D,Category!$C35)</f>
        <v>0</v>
      </c>
      <c r="R35" s="321">
        <f>SUMIFS('2020'!$I:$I,'2020'!$E:$E,Category!$B$26,'2020'!$N:$N,Category!R$1,'2020'!$D:$D,Category!$C35)</f>
        <v>0</v>
      </c>
      <c r="S35" s="321">
        <f>SUMIFS('2020'!$I:$I,'2020'!$E:$E,Category!$B$26,'2020'!$N:$N,Category!S$1,'2020'!$D:$D,Category!$C35)</f>
        <v>0</v>
      </c>
      <c r="T35" s="321">
        <f>SUMIFS('2020'!$I:$I,'2020'!$E:$E,Category!$B$26,'2020'!$N:$N,Category!T$1,'2020'!$D:$D,Category!$C35)</f>
        <v>0</v>
      </c>
      <c r="U35" s="321">
        <f>SUMIFS('2020'!$I:$I,'2020'!$E:$E,Category!$B$26,'2020'!$N:$N,Category!U$1,'2020'!$D:$D,Category!$C35)</f>
        <v>0</v>
      </c>
      <c r="V35" s="321">
        <f>SUMIFS('2020'!$I:$I,'2020'!$E:$E,Category!$B$26,'2020'!$N:$N,Category!V$1,'2020'!$D:$D,Category!$C35)</f>
        <v>0</v>
      </c>
      <c r="W35" s="321">
        <f>SUMIFS('2020'!$I:$I,'2020'!$E:$E,Category!$B$26,'2020'!$N:$N,Category!W$1,'2020'!$D:$D,Category!$C35)</f>
        <v>5500000</v>
      </c>
      <c r="X35" s="322">
        <f t="shared" ref="X35:X65" si="16">SUM(L35:W35)</f>
        <v>5500000</v>
      </c>
      <c r="Y35" s="500">
        <f>IFERROR(VLOOKUP(C35,'2021'!$D:$G,4,0),0)</f>
        <v>40</v>
      </c>
      <c r="Z35" s="321">
        <f>SUMIFS('2021'!$I:$I,'2021'!$E:$E,Category!$B$26,'2021'!$N:$N,Category!Z$1,'2021'!$D:$D,Category!$C35)</f>
        <v>5500000</v>
      </c>
      <c r="AA35" s="321">
        <f>SUMIFS('2021'!$I:$I,'2021'!$E:$E,Category!$B$26,'2021'!$N:$N,Category!AA$1,'2021'!$D:$D,Category!$C35)</f>
        <v>0</v>
      </c>
      <c r="AB35" s="321">
        <f>SUMIFS('2021'!$I:$I,'2021'!$E:$E,Category!$B$26,'2021'!$N:$N,Category!AB$1,'2021'!$D:$D,Category!$C35)</f>
        <v>5500000</v>
      </c>
      <c r="AC35" s="321">
        <f>SUMIFS('2021'!$I:$I,'2021'!$E:$E,Category!$B$26,'2021'!$N:$N,Category!AC$1,'2021'!$D:$D,Category!$C35)</f>
        <v>5481700</v>
      </c>
      <c r="AD35" s="321">
        <f>SUMIFS('2021'!$I:$I,'2021'!$E:$E,Category!$B$26,'2021'!$N:$N,Category!AD$1,'2021'!$D:$D,Category!$C35)</f>
        <v>5495160</v>
      </c>
      <c r="AE35" s="321">
        <f>SUMIFS('2021'!$I:$I,'2021'!$E:$E,Category!$B$26,'2021'!$N:$N,Category!AE$1,'2021'!$D:$D,Category!$C35)</f>
        <v>5425300</v>
      </c>
      <c r="AF35" s="321">
        <f>SUMIFS('2021'!$I:$I,'2021'!$E:$E,Category!$B$26,'2021'!$N:$N,Category!AF$1,'2021'!$D:$D,Category!$C35)</f>
        <v>0</v>
      </c>
      <c r="AG35" s="321">
        <f>SUMIFS('2021'!$I:$I,'2021'!$E:$E,Category!$B$26,'2021'!$N:$N,Category!AG$1,'2021'!$D:$D,Category!$C35)</f>
        <v>5999700</v>
      </c>
      <c r="AH35" s="321">
        <f>SUMIFS('2021'!$I:$I,'2021'!$E:$E,Category!$B$26,'2021'!$N:$N,Category!AH$1,'2021'!$D:$D,Category!$C35)</f>
        <v>0</v>
      </c>
      <c r="AI35" s="321">
        <f>SUMIFS('2021'!$I:$I,'2021'!$E:$E,Category!$B$26,'2021'!$N:$N,Category!AI$1,'2021'!$D:$D,Category!$C35)</f>
        <v>0</v>
      </c>
      <c r="AJ35" s="321">
        <f>SUMIFS('2021'!$I:$I,'2021'!$E:$E,Category!$B$26,'2021'!$N:$N,Category!AJ$1,'2021'!$D:$D,Category!$C35)</f>
        <v>12076800</v>
      </c>
      <c r="AK35" s="321">
        <f>SUMIFS('2021'!$I:$I,'2021'!$E:$E,Category!$B$26,'2021'!$N:$N,Category!AK$1,'2021'!$D:$D,Category!$C35)</f>
        <v>6000441</v>
      </c>
      <c r="AL35" s="322">
        <f t="shared" si="14"/>
        <v>51479101</v>
      </c>
      <c r="AM35" s="500">
        <f>IFERROR(VLOOKUP(C35,'2022'!$D:$G,4,0),0)</f>
        <v>40</v>
      </c>
      <c r="AN35" s="321">
        <f>SUMIFS('2022'!$I:$I,'2022'!$E:$E,Category!$B$26,'2022'!$N:$N,Category!AN$1,'2022'!$D:$D,Category!$C35)</f>
        <v>5998900</v>
      </c>
      <c r="AO35" s="321">
        <f>SUMIFS('2022'!$I:$I,'2022'!$E:$E,Category!$B$26,'2022'!$N:$N,Category!AO$1,'2022'!$D:$D,Category!$C35)</f>
        <v>0</v>
      </c>
      <c r="AP35" s="321">
        <f>SUMIFS('2022'!$I:$I,'2022'!$E:$E,Category!$B$26,'2022'!$N:$N,Category!AP$1,'2022'!$D:$D,Category!$C35)</f>
        <v>11998000</v>
      </c>
      <c r="AQ35" s="321">
        <f>SUMIFS('2022'!$I:$I,'2022'!$E:$E,Category!$B$26,'2022'!$N:$N,Category!AQ$1,'2022'!$D:$D,Category!$C35)</f>
        <v>6281100</v>
      </c>
      <c r="AR35" s="321">
        <f>SUMIFS('2022'!$I:$I,'2022'!$E:$E,Category!$B$26,'2022'!$N:$N,Category!AR$1,'2022'!$D:$D,Category!$C35)</f>
        <v>6266100</v>
      </c>
      <c r="AS35" s="321">
        <f>SUMIFS('2022'!$I:$I,'2022'!$E:$E,Category!$B$26,'2022'!$N:$N,Category!AS$1,'2022'!$D:$D,Category!$C35)</f>
        <v>6008700</v>
      </c>
      <c r="AT35" s="321">
        <f>SUMIFS('2022'!$I:$I,'2022'!$E:$E,Category!$B$26,'2022'!$N:$N,Category!AT$1,'2022'!$D:$D,Category!$C35)</f>
        <v>6000000</v>
      </c>
      <c r="AU35" s="321">
        <f>SUMIFS('2022'!$I:$I,'2022'!$E:$E,Category!$B$26,'2022'!$N:$N,Category!AU$1,'2022'!$D:$D,Category!$C35)</f>
        <v>6000000</v>
      </c>
      <c r="AV35" s="321">
        <f>SUMIFS('2022'!$I:$I,'2022'!$E:$E,Category!$B$26,'2022'!$N:$N,Category!AV$1,'2022'!$D:$D,Category!$C35)</f>
        <v>6000000</v>
      </c>
      <c r="AW35" s="321">
        <f>SUMIFS('2022'!$I:$I,'2022'!$E:$E,Category!$B$26,'2022'!$N:$N,Category!AW$1,'2022'!$D:$D,Category!$C35)</f>
        <v>6249660</v>
      </c>
      <c r="AX35" s="321">
        <f>SUMIFS('2022'!$I:$I,'2022'!$E:$E,Category!$B$26,'2022'!$N:$N,Category!AX$1,'2022'!$D:$D,Category!$C35)</f>
        <v>6000000</v>
      </c>
      <c r="AY35" s="321">
        <f>SUMIFS('2022'!$I:$I,'2022'!$E:$E,Category!$B$26,'2022'!$N:$N,Category!AY$1,'2022'!$D:$D,Category!$C35)</f>
        <v>1063500</v>
      </c>
      <c r="AZ35" s="322">
        <f>SUM(AN35:AY35)</f>
        <v>67865960</v>
      </c>
      <c r="BA35" s="500">
        <f>IFERROR(VLOOKUP(C35,'2023'!$D:$G,4,0),0)</f>
        <v>48</v>
      </c>
      <c r="BB35" s="321">
        <f>SUMIFS('2023'!$I:$I,'2023'!$E:$E,Category!$B$26,'2023'!$N:$N,Category!BB$1,'2023'!$D:$D,Category!$C35)</f>
        <v>12690000</v>
      </c>
      <c r="BC35" s="321">
        <f>SUMIFS('2023'!$I:$I,'2023'!$E:$E,Category!$B$26,'2023'!$N:$N,Category!BC$1,'2023'!$D:$D,Category!$C35)</f>
        <v>6000000</v>
      </c>
      <c r="BD35" s="321">
        <f>SUMIFS('2023'!$I:$I,'2023'!$E:$E,Category!$B$26,'2023'!$N:$N,Category!BD$1,'2023'!$D:$D,Category!$C35)</f>
        <v>0</v>
      </c>
      <c r="BE35" s="321">
        <f>SUMIFS('2023'!$I:$I,'2023'!$E:$E,Category!$B$26,'2023'!$N:$N,Category!BE$1,'2023'!$D:$D,Category!$C35)</f>
        <v>0</v>
      </c>
      <c r="BF35" s="321">
        <f>SUMIFS('2023'!$I:$I,'2023'!$E:$E,Category!$B$26,'2023'!$N:$N,Category!BF$1,'2023'!$D:$D,Category!$C35)</f>
        <v>0</v>
      </c>
      <c r="BG35" s="321">
        <f>SUMIFS('2023'!$I:$I,'2023'!$E:$E,Category!$B$26,'2023'!$N:$N,Category!BG$1,'2023'!$D:$D,Category!$C35)</f>
        <v>0</v>
      </c>
      <c r="BH35" s="321">
        <f>SUMIFS('2023'!$I:$I,'2023'!$E:$E,Category!$B$26,'2023'!$N:$N,Category!BH$1,'2023'!$D:$D,Category!$C35)</f>
        <v>0</v>
      </c>
      <c r="BI35" s="321">
        <f>SUMIFS('2023'!$I:$I,'2023'!$E:$E,Category!$B$26,'2023'!$N:$N,Category!BI$1,'2023'!$D:$D,Category!$C35)</f>
        <v>0</v>
      </c>
      <c r="BJ35" s="321">
        <f>SUMIFS('2023'!$I:$I,'2023'!$E:$E,Category!$B$26,'2023'!$N:$N,Category!BJ$1,'2023'!$D:$D,Category!$C35)</f>
        <v>0</v>
      </c>
      <c r="BK35" s="321">
        <f>SUMIFS('2023'!$I:$I,'2023'!$E:$E,Category!$B$26,'2023'!$N:$N,Category!BK$1,'2023'!$D:$D,Category!$C35)</f>
        <v>0</v>
      </c>
      <c r="BL35" s="321">
        <f>SUMIFS('2023'!$I:$I,'2023'!$E:$E,Category!$B$26,'2023'!$N:$N,Category!BL$1,'2023'!$D:$D,Category!$C35)</f>
        <v>0</v>
      </c>
      <c r="BM35" s="321">
        <f>SUMIFS('2023'!$I:$I,'2023'!$E:$E,Category!$B$26,'2023'!$N:$N,Category!BM$1,'2023'!$D:$D,Category!$C35)</f>
        <v>0</v>
      </c>
      <c r="BN35" s="322">
        <f t="shared" si="13"/>
        <v>18690000</v>
      </c>
      <c r="BP35" s="1050">
        <v>6690000</v>
      </c>
      <c r="BQ35" s="1051" t="s">
        <v>1815</v>
      </c>
      <c r="BR35" s="247"/>
      <c r="BS35" s="247"/>
      <c r="BT35" s="247"/>
      <c r="BU35" s="247"/>
      <c r="BV35" s="247"/>
      <c r="BW35" s="247"/>
    </row>
    <row r="36" spans="1:75" x14ac:dyDescent="0.25">
      <c r="A36" s="319"/>
      <c r="B36" s="324"/>
      <c r="C36" s="323" t="s">
        <v>222</v>
      </c>
      <c r="D36" s="514">
        <f>IFERROR(VLOOKUP($C36,'2019'!$D:$G,4,0),0)</f>
        <v>0</v>
      </c>
      <c r="E36" s="321">
        <f>SUMIFS('2019'!$I:$I,'2019'!$E:$E,Category!$B$26,'2019'!$N:$N,Category!E$1,'2019'!$D:$D,Category!$C36)</f>
        <v>0</v>
      </c>
      <c r="F36" s="321">
        <f>SUMIFS('2019'!$I:$I,'2019'!$E:$E,Category!$B$26,'2019'!$N:$N,Category!F$1,'2019'!$D:$D,Category!$C36)</f>
        <v>0</v>
      </c>
      <c r="G36" s="321">
        <f>SUMIFS('2019'!$I:$I,'2019'!$E:$E,Category!$B$26,'2019'!$N:$N,Category!G$1,'2019'!$D:$D,Category!$C36)</f>
        <v>0</v>
      </c>
      <c r="H36" s="321">
        <f>SUMIFS('2019'!$I:$I,'2019'!$E:$E,Category!$B$26,'2019'!$N:$N,Category!H$1,'2019'!$D:$D,Category!$C36)</f>
        <v>0</v>
      </c>
      <c r="I36" s="321">
        <f>SUMIFS('2019'!$I:$I,'2019'!$E:$E,Category!$B$26,'2019'!$N:$N,Category!I$1,'2019'!$D:$D,Category!$C36)</f>
        <v>0</v>
      </c>
      <c r="J36" s="322">
        <f t="shared" si="11"/>
        <v>0</v>
      </c>
      <c r="K36" s="500">
        <f>IFERROR(VLOOKUP($C36,'2020'!$D:$G,4,0),0)</f>
        <v>0</v>
      </c>
      <c r="L36" s="321">
        <f>SUMIFS('2020'!$I:$I,'2020'!$E:$E,Category!$B$26,'2020'!$N:$N,Category!L$1,'2020'!$D:$D,Category!$C36)</f>
        <v>0</v>
      </c>
      <c r="M36" s="321">
        <f>SUMIFS('2020'!$I:$I,'2020'!$E:$E,Category!$B$26,'2020'!$N:$N,Category!M$1,'2020'!$D:$D,Category!$C36)</f>
        <v>0</v>
      </c>
      <c r="N36" s="321">
        <f>SUMIFS('2020'!$I:$I,'2020'!$E:$E,Category!$B$26,'2020'!$N:$N,Category!N$1,'2020'!$D:$D,Category!$C36)</f>
        <v>0</v>
      </c>
      <c r="O36" s="321">
        <f>SUMIFS('2020'!$I:$I,'2020'!$E:$E,Category!$B$26,'2020'!$N:$N,Category!O$1,'2020'!$D:$D,Category!$C36)</f>
        <v>0</v>
      </c>
      <c r="P36" s="321">
        <f>SUMIFS('2020'!$I:$I,'2020'!$E:$E,Category!$B$26,'2020'!$N:$N,Category!P$1,'2020'!$D:$D,Category!$C36)</f>
        <v>0</v>
      </c>
      <c r="Q36" s="321">
        <f>SUMIFS('2020'!$I:$I,'2020'!$E:$E,Category!$B$26,'2020'!$N:$N,Category!Q$1,'2020'!$D:$D,Category!$C36)</f>
        <v>0</v>
      </c>
      <c r="R36" s="321">
        <f>SUMIFS('2020'!$I:$I,'2020'!$E:$E,Category!$B$26,'2020'!$N:$N,Category!R$1,'2020'!$D:$D,Category!$C36)</f>
        <v>0</v>
      </c>
      <c r="S36" s="321">
        <f>SUMIFS('2020'!$I:$I,'2020'!$E:$E,Category!$B$26,'2020'!$N:$N,Category!S$1,'2020'!$D:$D,Category!$C36)</f>
        <v>0</v>
      </c>
      <c r="T36" s="321">
        <f>SUMIFS('2020'!$I:$I,'2020'!$E:$E,Category!$B$26,'2020'!$N:$N,Category!T$1,'2020'!$D:$D,Category!$C36)</f>
        <v>0</v>
      </c>
      <c r="U36" s="321">
        <f>SUMIFS('2020'!$I:$I,'2020'!$E:$E,Category!$B$26,'2020'!$N:$N,Category!U$1,'2020'!$D:$D,Category!$C36)</f>
        <v>0</v>
      </c>
      <c r="V36" s="321">
        <f>SUMIFS('2020'!$I:$I,'2020'!$E:$E,Category!$B$26,'2020'!$N:$N,Category!V$1,'2020'!$D:$D,Category!$C36)</f>
        <v>0</v>
      </c>
      <c r="W36" s="321">
        <f>SUMIFS('2020'!$I:$I,'2020'!$E:$E,Category!$B$26,'2020'!$N:$N,Category!W$1,'2020'!$D:$D,Category!$C36)</f>
        <v>0</v>
      </c>
      <c r="X36" s="322">
        <f t="shared" si="16"/>
        <v>0</v>
      </c>
      <c r="Y36" s="500">
        <f>IFERROR(VLOOKUP(C36,'2021'!$D:$G,4,0),0)</f>
        <v>34</v>
      </c>
      <c r="Z36" s="321">
        <f>SUMIFS('2021'!$I:$I,'2021'!$E:$E,Category!$B$26,'2021'!$N:$N,Category!Z$1,'2021'!$D:$D,Category!$C36)</f>
        <v>5500000</v>
      </c>
      <c r="AA36" s="321">
        <f>SUMIFS('2021'!$I:$I,'2021'!$E:$E,Category!$B$26,'2021'!$N:$N,Category!AA$1,'2021'!$D:$D,Category!$C36)</f>
        <v>0</v>
      </c>
      <c r="AB36" s="321">
        <f>SUMIFS('2021'!$I:$I,'2021'!$E:$E,Category!$B$26,'2021'!$N:$N,Category!AB$1,'2021'!$D:$D,Category!$C36)</f>
        <v>5500000</v>
      </c>
      <c r="AC36" s="321">
        <f>SUMIFS('2021'!$I:$I,'2021'!$E:$E,Category!$B$26,'2021'!$N:$N,Category!AC$1,'2021'!$D:$D,Category!$C36)</f>
        <v>5500000</v>
      </c>
      <c r="AD36" s="321">
        <f>SUMIFS('2021'!$I:$I,'2021'!$E:$E,Category!$B$26,'2021'!$N:$N,Category!AD$1,'2021'!$D:$D,Category!$C36)</f>
        <v>0</v>
      </c>
      <c r="AE36" s="321">
        <f>SUMIFS('2021'!$I:$I,'2021'!$E:$E,Category!$B$26,'2021'!$N:$N,Category!AE$1,'2021'!$D:$D,Category!$C36)</f>
        <v>5500000</v>
      </c>
      <c r="AF36" s="321">
        <f>SUMIFS('2021'!$I:$I,'2021'!$E:$E,Category!$B$26,'2021'!$N:$N,Category!AF$1,'2021'!$D:$D,Category!$C36)</f>
        <v>5500000</v>
      </c>
      <c r="AG36" s="321">
        <f>SUMIFS('2021'!$I:$I,'2021'!$E:$E,Category!$B$26,'2021'!$N:$N,Category!AG$1,'2021'!$D:$D,Category!$C36)</f>
        <v>0</v>
      </c>
      <c r="AH36" s="321">
        <f>SUMIFS('2021'!$I:$I,'2021'!$E:$E,Category!$B$26,'2021'!$N:$N,Category!AH$1,'2021'!$D:$D,Category!$C36)</f>
        <v>5500000</v>
      </c>
      <c r="AI36" s="321">
        <f>SUMIFS('2021'!$I:$I,'2021'!$E:$E,Category!$B$26,'2021'!$N:$N,Category!AI$1,'2021'!$D:$D,Category!$C36)</f>
        <v>5500000</v>
      </c>
      <c r="AJ36" s="321">
        <f>SUMIFS('2021'!$I:$I,'2021'!$E:$E,Category!$B$26,'2021'!$N:$N,Category!AJ$1,'2021'!$D:$D,Category!$C36)</f>
        <v>5500000</v>
      </c>
      <c r="AK36" s="321">
        <f>SUMIFS('2021'!$I:$I,'2021'!$E:$E,Category!$B$26,'2021'!$N:$N,Category!AK$1,'2021'!$D:$D,Category!$C36)</f>
        <v>5500000</v>
      </c>
      <c r="AL36" s="322">
        <f t="shared" si="14"/>
        <v>49500000</v>
      </c>
      <c r="AM36" s="500">
        <f>IFERROR(VLOOKUP(C36,'2022'!$D:$G,4,0),0)</f>
        <v>34</v>
      </c>
      <c r="AN36" s="321">
        <f>SUMIFS('2022'!$I:$I,'2022'!$E:$E,Category!$B$26,'2022'!$N:$N,Category!AN$1,'2022'!$D:$D,Category!$C36)</f>
        <v>5500000</v>
      </c>
      <c r="AO36" s="321">
        <f>SUMIFS('2022'!$I:$I,'2022'!$E:$E,Category!$B$26,'2022'!$N:$N,Category!AO$1,'2022'!$D:$D,Category!$C36)</f>
        <v>5500000</v>
      </c>
      <c r="AP36" s="321">
        <f>SUMIFS('2022'!$I:$I,'2022'!$E:$E,Category!$B$26,'2022'!$N:$N,Category!AP$1,'2022'!$D:$D,Category!$C36)</f>
        <v>5500000</v>
      </c>
      <c r="AQ36" s="321">
        <f>SUMIFS('2022'!$I:$I,'2022'!$E:$E,Category!$B$26,'2022'!$N:$N,Category!AQ$1,'2022'!$D:$D,Category!$C36)</f>
        <v>5500000</v>
      </c>
      <c r="AR36" s="321">
        <f>SUMIFS('2022'!$I:$I,'2022'!$E:$E,Category!$B$26,'2022'!$N:$N,Category!AR$1,'2022'!$D:$D,Category!$C36)</f>
        <v>5500000</v>
      </c>
      <c r="AS36" s="321">
        <f>SUMIFS('2022'!$I:$I,'2022'!$E:$E,Category!$B$26,'2022'!$N:$N,Category!AS$1,'2022'!$D:$D,Category!$C36)</f>
        <v>5500000</v>
      </c>
      <c r="AT36" s="321">
        <f>SUMIFS('2022'!$I:$I,'2022'!$E:$E,Category!$B$26,'2022'!$N:$N,Category!AT$1,'2022'!$D:$D,Category!$C36)</f>
        <v>5500000</v>
      </c>
      <c r="AU36" s="321">
        <f>SUMIFS('2022'!$I:$I,'2022'!$E:$E,Category!$B$26,'2022'!$N:$N,Category!AU$1,'2022'!$D:$D,Category!$C36)</f>
        <v>5500000</v>
      </c>
      <c r="AV36" s="321">
        <f>SUMIFS('2022'!$I:$I,'2022'!$E:$E,Category!$B$26,'2022'!$N:$N,Category!AV$1,'2022'!$D:$D,Category!$C36)</f>
        <v>5500000</v>
      </c>
      <c r="AW36" s="321">
        <f>SUMIFS('2022'!$I:$I,'2022'!$E:$E,Category!$B$26,'2022'!$N:$N,Category!AW$1,'2022'!$D:$D,Category!$C36)</f>
        <v>5500000</v>
      </c>
      <c r="AX36" s="321">
        <f>SUMIFS('2022'!$I:$I,'2022'!$E:$E,Category!$B$26,'2022'!$N:$N,Category!AX$1,'2022'!$D:$D,Category!$C36)</f>
        <v>5500000</v>
      </c>
      <c r="AY36" s="321">
        <f>SUMIFS('2022'!$I:$I,'2022'!$E:$E,Category!$B$26,'2022'!$N:$N,Category!AY$1,'2022'!$D:$D,Category!$C36)</f>
        <v>5500000</v>
      </c>
      <c r="AZ36" s="322">
        <f>SUM(AN36:AY36)</f>
        <v>66000000</v>
      </c>
      <c r="BA36" s="500">
        <f>IFERROR(VLOOKUP(C36,'2023'!$D:$G,4,0),0)</f>
        <v>40</v>
      </c>
      <c r="BB36" s="321">
        <f>SUMIFS('2023'!$I:$I,'2023'!$E:$E,Category!$B$26,'2023'!$N:$N,Category!BB$1,'2023'!$D:$D,Category!$C36)</f>
        <v>5500000</v>
      </c>
      <c r="BC36" s="321">
        <f>SUMIFS('2023'!$I:$I,'2023'!$E:$E,Category!$B$26,'2023'!$N:$N,Category!BC$1,'2023'!$D:$D,Category!$C36)</f>
        <v>5500000</v>
      </c>
      <c r="BD36" s="321">
        <f>SUMIFS('2023'!$I:$I,'2023'!$E:$E,Category!$B$26,'2023'!$N:$N,Category!BD$1,'2023'!$D:$D,Category!$C36)</f>
        <v>0</v>
      </c>
      <c r="BE36" s="321">
        <f>SUMIFS('2023'!$I:$I,'2023'!$E:$E,Category!$B$26,'2023'!$N:$N,Category!BE$1,'2023'!$D:$D,Category!$C36)</f>
        <v>0</v>
      </c>
      <c r="BF36" s="321">
        <f>SUMIFS('2023'!$I:$I,'2023'!$E:$E,Category!$B$26,'2023'!$N:$N,Category!BF$1,'2023'!$D:$D,Category!$C36)</f>
        <v>0</v>
      </c>
      <c r="BG36" s="321">
        <f>SUMIFS('2023'!$I:$I,'2023'!$E:$E,Category!$B$26,'2023'!$N:$N,Category!BG$1,'2023'!$D:$D,Category!$C36)</f>
        <v>0</v>
      </c>
      <c r="BH36" s="321">
        <f>SUMIFS('2023'!$I:$I,'2023'!$E:$E,Category!$B$26,'2023'!$N:$N,Category!BH$1,'2023'!$D:$D,Category!$C36)</f>
        <v>0</v>
      </c>
      <c r="BI36" s="321">
        <f>SUMIFS('2023'!$I:$I,'2023'!$E:$E,Category!$B$26,'2023'!$N:$N,Category!BI$1,'2023'!$D:$D,Category!$C36)</f>
        <v>0</v>
      </c>
      <c r="BJ36" s="321">
        <f>SUMIFS('2023'!$I:$I,'2023'!$E:$E,Category!$B$26,'2023'!$N:$N,Category!BJ$1,'2023'!$D:$D,Category!$C36)</f>
        <v>0</v>
      </c>
      <c r="BK36" s="321">
        <f>SUMIFS('2023'!$I:$I,'2023'!$E:$E,Category!$B$26,'2023'!$N:$N,Category!BK$1,'2023'!$D:$D,Category!$C36)</f>
        <v>0</v>
      </c>
      <c r="BL36" s="321">
        <f>SUMIFS('2023'!$I:$I,'2023'!$E:$E,Category!$B$26,'2023'!$N:$N,Category!BL$1,'2023'!$D:$D,Category!$C36)</f>
        <v>0</v>
      </c>
      <c r="BM36" s="321">
        <f>SUMIFS('2023'!$I:$I,'2023'!$E:$E,Category!$B$26,'2023'!$N:$N,Category!BM$1,'2023'!$D:$D,Category!$C36)</f>
        <v>0</v>
      </c>
      <c r="BN36" s="322">
        <f>SUM(BB36:BM36)</f>
        <v>11000000</v>
      </c>
      <c r="BP36" s="1050">
        <v>6000000</v>
      </c>
      <c r="BQ36" s="1051" t="s">
        <v>1967</v>
      </c>
      <c r="BR36" s="247"/>
      <c r="BS36" s="247"/>
      <c r="BT36" s="247"/>
      <c r="BU36" s="247"/>
      <c r="BV36" s="247"/>
      <c r="BW36" s="247"/>
    </row>
    <row r="37" spans="1:75" x14ac:dyDescent="0.25">
      <c r="A37" s="319"/>
      <c r="B37" s="324"/>
      <c r="C37" s="320" t="s">
        <v>848</v>
      </c>
      <c r="D37" s="513">
        <f>IFERROR(VLOOKUP($C37,'2019'!$D:$G,4,0),0)</f>
        <v>0</v>
      </c>
      <c r="E37" s="321">
        <f>SUMIFS('2019'!$I:$I,'2019'!$E:$E,Category!$B$26,'2019'!$N:$N,Category!E$1,'2019'!$D:$D,Category!$C37)</f>
        <v>0</v>
      </c>
      <c r="F37" s="321">
        <f>SUMIFS('2019'!$I:$I,'2019'!$E:$E,Category!$B$26,'2019'!$N:$N,Category!F$1,'2019'!$D:$D,Category!$C37)</f>
        <v>0</v>
      </c>
      <c r="G37" s="321">
        <f>SUMIFS('2019'!$I:$I,'2019'!$E:$E,Category!$B$26,'2019'!$N:$N,Category!G$1,'2019'!$D:$D,Category!$C37)</f>
        <v>0</v>
      </c>
      <c r="H37" s="321">
        <f>SUMIFS('2019'!$I:$I,'2019'!$E:$E,Category!$B$26,'2019'!$N:$N,Category!H$1,'2019'!$D:$D,Category!$C37)</f>
        <v>0</v>
      </c>
      <c r="I37" s="321">
        <f>SUMIFS('2019'!$I:$I,'2019'!$E:$E,Category!$B$26,'2019'!$N:$N,Category!I$1,'2019'!$D:$D,Category!$C37)</f>
        <v>0</v>
      </c>
      <c r="J37" s="322">
        <f t="shared" si="11"/>
        <v>0</v>
      </c>
      <c r="K37" s="500">
        <f>IFERROR(VLOOKUP($C37,'2020'!$D:$G,4,0),0)</f>
        <v>0</v>
      </c>
      <c r="L37" s="321">
        <f>SUMIFS('2020'!$I:$I,'2020'!$E:$E,Category!$B$26,'2020'!$N:$N,Category!L$1,'2020'!$D:$D,Category!$C37)</f>
        <v>0</v>
      </c>
      <c r="M37" s="321">
        <f>SUMIFS('2020'!$I:$I,'2020'!$E:$E,Category!$B$26,'2020'!$N:$N,Category!M$1,'2020'!$D:$D,Category!$C37)</f>
        <v>0</v>
      </c>
      <c r="N37" s="321">
        <f>SUMIFS('2020'!$I:$I,'2020'!$E:$E,Category!$B$26,'2020'!$N:$N,Category!N$1,'2020'!$D:$D,Category!$C37)</f>
        <v>0</v>
      </c>
      <c r="O37" s="321">
        <f>SUMIFS('2020'!$I:$I,'2020'!$E:$E,Category!$B$26,'2020'!$N:$N,Category!O$1,'2020'!$D:$D,Category!$C37)</f>
        <v>0</v>
      </c>
      <c r="P37" s="321">
        <f>SUMIFS('2020'!$I:$I,'2020'!$E:$E,Category!$B$26,'2020'!$N:$N,Category!P$1,'2020'!$D:$D,Category!$C37)</f>
        <v>0</v>
      </c>
      <c r="Q37" s="321">
        <f>SUMIFS('2020'!$I:$I,'2020'!$E:$E,Category!$B$26,'2020'!$N:$N,Category!Q$1,'2020'!$D:$D,Category!$C37)</f>
        <v>0</v>
      </c>
      <c r="R37" s="321">
        <f>SUMIFS('2020'!$I:$I,'2020'!$E:$E,Category!$B$26,'2020'!$N:$N,Category!R$1,'2020'!$D:$D,Category!$C37)</f>
        <v>0</v>
      </c>
      <c r="S37" s="321">
        <f>SUMIFS('2020'!$I:$I,'2020'!$E:$E,Category!$B$26,'2020'!$N:$N,Category!S$1,'2020'!$D:$D,Category!$C37)</f>
        <v>0</v>
      </c>
      <c r="T37" s="321">
        <f>SUMIFS('2020'!$I:$I,'2020'!$E:$E,Category!$B$26,'2020'!$N:$N,Category!T$1,'2020'!$D:$D,Category!$C37)</f>
        <v>0</v>
      </c>
      <c r="U37" s="321">
        <f>SUMIFS('2020'!$I:$I,'2020'!$E:$E,Category!$B$26,'2020'!$N:$N,Category!U$1,'2020'!$D:$D,Category!$C37)</f>
        <v>0</v>
      </c>
      <c r="V37" s="321">
        <f>SUMIFS('2020'!$I:$I,'2020'!$E:$E,Category!$B$26,'2020'!$N:$N,Category!V$1,'2020'!$D:$D,Category!$C37)</f>
        <v>0</v>
      </c>
      <c r="W37" s="321">
        <f>SUMIFS('2020'!$I:$I,'2020'!$E:$E,Category!$B$26,'2020'!$N:$N,Category!W$1,'2020'!$D:$D,Category!$C37)</f>
        <v>0</v>
      </c>
      <c r="X37" s="322">
        <f t="shared" si="16"/>
        <v>0</v>
      </c>
      <c r="Y37" s="500">
        <f>IFERROR(VLOOKUP(C37,'2021'!$D:$G,4,0),0)</f>
        <v>36</v>
      </c>
      <c r="Z37" s="321">
        <f>SUMIFS('2021'!$I:$I,'2021'!$E:$E,Category!$B$26,'2021'!$N:$N,Category!Z$1,'2021'!$D:$D,Category!$C37)</f>
        <v>5500000</v>
      </c>
      <c r="AA37" s="321">
        <f>SUMIFS('2021'!$I:$I,'2021'!$E:$E,Category!$B$26,'2021'!$N:$N,Category!AA$1,'2021'!$D:$D,Category!$C37)</f>
        <v>0</v>
      </c>
      <c r="AB37" s="321">
        <f>SUMIFS('2021'!$I:$I,'2021'!$E:$E,Category!$B$26,'2021'!$N:$N,Category!AB$1,'2021'!$D:$D,Category!$C37)</f>
        <v>5500000</v>
      </c>
      <c r="AC37" s="321">
        <f>SUMIFS('2021'!$I:$I,'2021'!$E:$E,Category!$B$26,'2021'!$N:$N,Category!AC$1,'2021'!$D:$D,Category!$C37)</f>
        <v>5483500</v>
      </c>
      <c r="AD37" s="321">
        <f>SUMIFS('2021'!$I:$I,'2021'!$E:$E,Category!$B$26,'2021'!$N:$N,Category!AD$1,'2021'!$D:$D,Category!$C37)</f>
        <v>5499170</v>
      </c>
      <c r="AE37" s="321">
        <f>SUMIFS('2021'!$I:$I,'2021'!$E:$E,Category!$B$26,'2021'!$N:$N,Category!AE$1,'2021'!$D:$D,Category!$C37)</f>
        <v>5424600</v>
      </c>
      <c r="AF37" s="321">
        <f>SUMIFS('2021'!$I:$I,'2021'!$E:$E,Category!$B$26,'2021'!$N:$N,Category!AF$1,'2021'!$D:$D,Category!$C37)</f>
        <v>0</v>
      </c>
      <c r="AG37" s="321">
        <f>SUMIFS('2021'!$I:$I,'2021'!$E:$E,Category!$B$26,'2021'!$N:$N,Category!AG$1,'2021'!$D:$D,Category!$C37)</f>
        <v>5999900</v>
      </c>
      <c r="AH37" s="321">
        <f>SUMIFS('2021'!$I:$I,'2021'!$E:$E,Category!$B$26,'2021'!$N:$N,Category!AH$1,'2021'!$D:$D,Category!$C37)</f>
        <v>0</v>
      </c>
      <c r="AI37" s="321">
        <f>SUMIFS('2021'!$I:$I,'2021'!$E:$E,Category!$B$26,'2021'!$N:$N,Category!AI$1,'2021'!$D:$D,Category!$C37)</f>
        <v>0</v>
      </c>
      <c r="AJ37" s="321">
        <f>SUMIFS('2021'!$I:$I,'2021'!$E:$E,Category!$B$26,'2021'!$N:$N,Category!AJ$1,'2021'!$D:$D,Category!$C37)</f>
        <v>12629800</v>
      </c>
      <c r="AK37" s="321">
        <f>SUMIFS('2021'!$I:$I,'2021'!$E:$E,Category!$B$26,'2021'!$N:$N,Category!AK$1,'2021'!$D:$D,Category!$C37)</f>
        <v>5999900</v>
      </c>
      <c r="AL37" s="322">
        <f t="shared" si="14"/>
        <v>52036870</v>
      </c>
      <c r="AM37" s="500">
        <f>IFERROR(VLOOKUP(C37,'2022'!$D:$G,4,0),0)</f>
        <v>36</v>
      </c>
      <c r="AN37" s="321">
        <f>SUMIFS('2022'!$I:$I,'2022'!$E:$E,Category!$B$26,'2022'!$N:$N,Category!AN$1,'2022'!$D:$D,Category!$C37)</f>
        <v>5999000</v>
      </c>
      <c r="AO37" s="321">
        <f>SUMIFS('2022'!$I:$I,'2022'!$E:$E,Category!$B$26,'2022'!$N:$N,Category!AO$1,'2022'!$D:$D,Category!$C37)</f>
        <v>0</v>
      </c>
      <c r="AP37" s="321">
        <f>SUMIFS('2022'!$I:$I,'2022'!$E:$E,Category!$B$26,'2022'!$N:$N,Category!AP$1,'2022'!$D:$D,Category!$C37)</f>
        <v>11997400</v>
      </c>
      <c r="AQ37" s="321">
        <f>SUMIFS('2022'!$I:$I,'2022'!$E:$E,Category!$B$26,'2022'!$N:$N,Category!AQ$1,'2022'!$D:$D,Category!$C37)</f>
        <v>6226400</v>
      </c>
      <c r="AR37" s="321">
        <f>SUMIFS('2022'!$I:$I,'2022'!$E:$E,Category!$B$26,'2022'!$N:$N,Category!AR$1,'2022'!$D:$D,Category!$C37)</f>
        <v>6310000</v>
      </c>
      <c r="AS37" s="321">
        <f>SUMIFS('2022'!$I:$I,'2022'!$E:$E,Category!$B$26,'2022'!$N:$N,Category!AS$1,'2022'!$D:$D,Category!$C37)</f>
        <v>6007000</v>
      </c>
      <c r="AT37" s="321">
        <f>SUMIFS('2022'!$I:$I,'2022'!$E:$E,Category!$B$26,'2022'!$N:$N,Category!AT$1,'2022'!$D:$D,Category!$C37)</f>
        <v>6400000</v>
      </c>
      <c r="AU37" s="321">
        <f>SUMIFS('2022'!$I:$I,'2022'!$E:$E,Category!$B$26,'2022'!$N:$N,Category!AU$1,'2022'!$D:$D,Category!$C37)</f>
        <v>6000000</v>
      </c>
      <c r="AV37" s="321">
        <f>SUMIFS('2022'!$I:$I,'2022'!$E:$E,Category!$B$26,'2022'!$N:$N,Category!AV$1,'2022'!$D:$D,Category!$C37)</f>
        <v>6000000</v>
      </c>
      <c r="AW37" s="321">
        <f>SUMIFS('2022'!$I:$I,'2022'!$E:$E,Category!$B$26,'2022'!$N:$N,Category!AW$1,'2022'!$D:$D,Category!$C37)</f>
        <v>6000000</v>
      </c>
      <c r="AX37" s="321">
        <f>SUMIFS('2022'!$I:$I,'2022'!$E:$E,Category!$B$26,'2022'!$N:$N,Category!AX$1,'2022'!$D:$D,Category!$C37)</f>
        <v>6000000</v>
      </c>
      <c r="AY37" s="321">
        <f>SUMIFS('2022'!$I:$I,'2022'!$E:$E,Category!$B$26,'2022'!$N:$N,Category!AY$1,'2022'!$D:$D,Category!$C37)</f>
        <v>5302000</v>
      </c>
      <c r="AZ37" s="322">
        <f>SUM(AN37:AY37)</f>
        <v>72241800</v>
      </c>
      <c r="BA37" s="500">
        <f>IFERROR(VLOOKUP(C37,'2023'!$D:$G,4,0),0)</f>
        <v>36</v>
      </c>
      <c r="BB37" s="321">
        <f>SUMIFS('2023'!$I:$I,'2023'!$E:$E,Category!$B$26,'2023'!$N:$N,Category!BB$1,'2023'!$D:$D,Category!$C37)</f>
        <v>7539500</v>
      </c>
      <c r="BC37" s="321">
        <f>SUMIFS('2023'!$I:$I,'2023'!$E:$E,Category!$B$26,'2023'!$N:$N,Category!BC$1,'2023'!$D:$D,Category!$C37)</f>
        <v>6000000</v>
      </c>
      <c r="BD37" s="321">
        <f>SUMIFS('2023'!$I:$I,'2023'!$E:$E,Category!$B$26,'2023'!$N:$N,Category!BD$1,'2023'!$D:$D,Category!$C37)</f>
        <v>0</v>
      </c>
      <c r="BE37" s="321">
        <f>SUMIFS('2023'!$I:$I,'2023'!$E:$E,Category!$B$26,'2023'!$N:$N,Category!BE$1,'2023'!$D:$D,Category!$C37)</f>
        <v>0</v>
      </c>
      <c r="BF37" s="321">
        <f>SUMIFS('2023'!$I:$I,'2023'!$E:$E,Category!$B$26,'2023'!$N:$N,Category!BF$1,'2023'!$D:$D,Category!$C37)</f>
        <v>0</v>
      </c>
      <c r="BG37" s="321">
        <f>SUMIFS('2023'!$I:$I,'2023'!$E:$E,Category!$B$26,'2023'!$N:$N,Category!BG$1,'2023'!$D:$D,Category!$C37)</f>
        <v>0</v>
      </c>
      <c r="BH37" s="321">
        <f>SUMIFS('2023'!$I:$I,'2023'!$E:$E,Category!$B$26,'2023'!$N:$N,Category!BH$1,'2023'!$D:$D,Category!$C37)</f>
        <v>0</v>
      </c>
      <c r="BI37" s="321">
        <f>SUMIFS('2023'!$I:$I,'2023'!$E:$E,Category!$B$26,'2023'!$N:$N,Category!BI$1,'2023'!$D:$D,Category!$C37)</f>
        <v>0</v>
      </c>
      <c r="BJ37" s="321">
        <f>SUMIFS('2023'!$I:$I,'2023'!$E:$E,Category!$B$26,'2023'!$N:$N,Category!BJ$1,'2023'!$D:$D,Category!$C37)</f>
        <v>0</v>
      </c>
      <c r="BK37" s="321">
        <f>SUMIFS('2023'!$I:$I,'2023'!$E:$E,Category!$B$26,'2023'!$N:$N,Category!BK$1,'2023'!$D:$D,Category!$C37)</f>
        <v>0</v>
      </c>
      <c r="BL37" s="321">
        <f>SUMIFS('2023'!$I:$I,'2023'!$E:$E,Category!$B$26,'2023'!$N:$N,Category!BL$1,'2023'!$D:$D,Category!$C37)</f>
        <v>0</v>
      </c>
      <c r="BM37" s="321">
        <f>SUMIFS('2023'!$I:$I,'2023'!$E:$E,Category!$B$26,'2023'!$N:$N,Category!BM$1,'2023'!$D:$D,Category!$C37)</f>
        <v>0</v>
      </c>
      <c r="BN37" s="322">
        <f t="shared" ref="BN37:BN62" si="17">SUM(BB37:BM37)</f>
        <v>13539500</v>
      </c>
      <c r="BP37" s="1050">
        <v>1539500</v>
      </c>
      <c r="BQ37" s="1051" t="s">
        <v>1814</v>
      </c>
      <c r="BR37" s="247"/>
      <c r="BS37" s="247"/>
      <c r="BT37" s="247"/>
      <c r="BU37" s="247"/>
      <c r="BV37" s="247"/>
      <c r="BW37" s="247"/>
    </row>
    <row r="38" spans="1:75" x14ac:dyDescent="0.25">
      <c r="A38" s="319"/>
      <c r="B38" s="324"/>
      <c r="C38" s="320" t="s">
        <v>867</v>
      </c>
      <c r="D38" s="513">
        <f>IFERROR(VLOOKUP($C38,'2019'!$D:$G,4,0),0)</f>
        <v>0</v>
      </c>
      <c r="E38" s="321">
        <f>SUMIFS('2019'!$I:$I,'2019'!$E:$E,Category!$B$26,'2019'!$N:$N,Category!E$1,'2019'!$D:$D,Category!$C38)</f>
        <v>0</v>
      </c>
      <c r="F38" s="321">
        <f>SUMIFS('2019'!$I:$I,'2019'!$E:$E,Category!$B$26,'2019'!$N:$N,Category!F$1,'2019'!$D:$D,Category!$C38)</f>
        <v>0</v>
      </c>
      <c r="G38" s="321">
        <f>SUMIFS('2019'!$I:$I,'2019'!$E:$E,Category!$B$26,'2019'!$N:$N,Category!G$1,'2019'!$D:$D,Category!$C38)</f>
        <v>0</v>
      </c>
      <c r="H38" s="321">
        <f>SUMIFS('2019'!$I:$I,'2019'!$E:$E,Category!$B$26,'2019'!$N:$N,Category!H$1,'2019'!$D:$D,Category!$C38)</f>
        <v>0</v>
      </c>
      <c r="I38" s="321">
        <f>SUMIFS('2019'!$I:$I,'2019'!$E:$E,Category!$B$26,'2019'!$N:$N,Category!I$1,'2019'!$D:$D,Category!$C38)</f>
        <v>0</v>
      </c>
      <c r="J38" s="322">
        <f t="shared" si="11"/>
        <v>0</v>
      </c>
      <c r="K38" s="500">
        <f>IFERROR(VLOOKUP($C38,'2020'!$D:$G,4,0),0)</f>
        <v>0</v>
      </c>
      <c r="L38" s="321">
        <f>SUMIFS('2020'!$I:$I,'2020'!$E:$E,Category!$B$26,'2020'!$N:$N,Category!L$1,'2020'!$D:$D,Category!$C38)</f>
        <v>0</v>
      </c>
      <c r="M38" s="321">
        <f>SUMIFS('2020'!$I:$I,'2020'!$E:$E,Category!$B$26,'2020'!$N:$N,Category!M$1,'2020'!$D:$D,Category!$C38)</f>
        <v>0</v>
      </c>
      <c r="N38" s="321">
        <f>SUMIFS('2020'!$I:$I,'2020'!$E:$E,Category!$B$26,'2020'!$N:$N,Category!N$1,'2020'!$D:$D,Category!$C38)</f>
        <v>0</v>
      </c>
      <c r="O38" s="321">
        <f>SUMIFS('2020'!$I:$I,'2020'!$E:$E,Category!$B$26,'2020'!$N:$N,Category!O$1,'2020'!$D:$D,Category!$C38)</f>
        <v>0</v>
      </c>
      <c r="P38" s="321">
        <f>SUMIFS('2020'!$I:$I,'2020'!$E:$E,Category!$B$26,'2020'!$N:$N,Category!P$1,'2020'!$D:$D,Category!$C38)</f>
        <v>0</v>
      </c>
      <c r="Q38" s="321">
        <f>SUMIFS('2020'!$I:$I,'2020'!$E:$E,Category!$B$26,'2020'!$N:$N,Category!Q$1,'2020'!$D:$D,Category!$C38)</f>
        <v>0</v>
      </c>
      <c r="R38" s="321">
        <f>SUMIFS('2020'!$I:$I,'2020'!$E:$E,Category!$B$26,'2020'!$N:$N,Category!R$1,'2020'!$D:$D,Category!$C38)</f>
        <v>0</v>
      </c>
      <c r="S38" s="321">
        <f>SUMIFS('2020'!$I:$I,'2020'!$E:$E,Category!$B$26,'2020'!$N:$N,Category!S$1,'2020'!$D:$D,Category!$C38)</f>
        <v>0</v>
      </c>
      <c r="T38" s="321">
        <f>SUMIFS('2020'!$I:$I,'2020'!$E:$E,Category!$B$26,'2020'!$N:$N,Category!T$1,'2020'!$D:$D,Category!$C38)</f>
        <v>0</v>
      </c>
      <c r="U38" s="321">
        <f>SUMIFS('2020'!$I:$I,'2020'!$E:$E,Category!$B$26,'2020'!$N:$N,Category!U$1,'2020'!$D:$D,Category!$C38)</f>
        <v>0</v>
      </c>
      <c r="V38" s="321">
        <f>SUMIFS('2020'!$I:$I,'2020'!$E:$E,Category!$B$26,'2020'!$N:$N,Category!V$1,'2020'!$D:$D,Category!$C38)</f>
        <v>0</v>
      </c>
      <c r="W38" s="321">
        <f>SUMIFS('2020'!$I:$I,'2020'!$E:$E,Category!$B$26,'2020'!$N:$N,Category!W$1,'2020'!$D:$D,Category!$C38)</f>
        <v>0</v>
      </c>
      <c r="X38" s="322">
        <f t="shared" si="16"/>
        <v>0</v>
      </c>
      <c r="Y38" s="500">
        <f>IFERROR(VLOOKUP(C38,'2021'!$D:$G,4,0),0)</f>
        <v>83</v>
      </c>
      <c r="Z38" s="321">
        <f>SUMIFS('2021'!$I:$I,'2021'!$E:$E,Category!$B$26,'2021'!$N:$N,Category!Z$1,'2021'!$D:$D,Category!$C38)</f>
        <v>5500000</v>
      </c>
      <c r="AA38" s="321">
        <f>SUMIFS('2021'!$I:$I,'2021'!$E:$E,Category!$B$26,'2021'!$N:$N,Category!AA$1,'2021'!$D:$D,Category!$C38)</f>
        <v>0</v>
      </c>
      <c r="AB38" s="321">
        <f>SUMIFS('2021'!$I:$I,'2021'!$E:$E,Category!$B$26,'2021'!$N:$N,Category!AB$1,'2021'!$D:$D,Category!$C38)</f>
        <v>5500000</v>
      </c>
      <c r="AC38" s="321">
        <f>SUMIFS('2021'!$I:$I,'2021'!$E:$E,Category!$B$26,'2021'!$N:$N,Category!AC$1,'2021'!$D:$D,Category!$C38)</f>
        <v>5481800</v>
      </c>
      <c r="AD38" s="321">
        <f>SUMIFS('2021'!$I:$I,'2021'!$E:$E,Category!$B$26,'2021'!$N:$N,Category!AD$1,'2021'!$D:$D,Category!$C38)</f>
        <v>5498790</v>
      </c>
      <c r="AE38" s="321">
        <f>SUMIFS('2021'!$I:$I,'2021'!$E:$E,Category!$B$26,'2021'!$N:$N,Category!AE$1,'2021'!$D:$D,Category!$C38)</f>
        <v>5449800</v>
      </c>
      <c r="AF38" s="321">
        <f>SUMIFS('2021'!$I:$I,'2021'!$E:$E,Category!$B$26,'2021'!$N:$N,Category!AF$1,'2021'!$D:$D,Category!$C38)</f>
        <v>0</v>
      </c>
      <c r="AG38" s="321">
        <f>SUMIFS('2021'!$I:$I,'2021'!$E:$E,Category!$B$26,'2021'!$N:$N,Category!AG$1,'2021'!$D:$D,Category!$C38)</f>
        <v>5998900</v>
      </c>
      <c r="AH38" s="321">
        <f>SUMIFS('2021'!$I:$I,'2021'!$E:$E,Category!$B$26,'2021'!$N:$N,Category!AH$1,'2021'!$D:$D,Category!$C38)</f>
        <v>0</v>
      </c>
      <c r="AI38" s="321">
        <f>SUMIFS('2021'!$I:$I,'2021'!$E:$E,Category!$B$26,'2021'!$N:$N,Category!AI$1,'2021'!$D:$D,Category!$C38)</f>
        <v>0</v>
      </c>
      <c r="AJ38" s="321">
        <f>SUMIFS('2021'!$I:$I,'2021'!$E:$E,Category!$B$26,'2021'!$N:$N,Category!AJ$1,'2021'!$D:$D,Category!$C38)</f>
        <v>11997600</v>
      </c>
      <c r="AK38" s="321">
        <f>SUMIFS('2021'!$I:$I,'2021'!$E:$E,Category!$B$26,'2021'!$N:$N,Category!AK$1,'2021'!$D:$D,Category!$C38)</f>
        <v>6000100</v>
      </c>
      <c r="AL38" s="322">
        <f t="shared" si="14"/>
        <v>51426990</v>
      </c>
      <c r="AM38" s="500">
        <f>IFERROR(VLOOKUP(C38,'2022'!$D:$G,4,0),0)</f>
        <v>129</v>
      </c>
      <c r="AN38" s="321">
        <f>SUMIFS('2022'!$I:$I,'2022'!$E:$E,Category!$B$26,'2022'!$N:$N,Category!AN$1,'2022'!$D:$D,Category!$C38)</f>
        <v>6000700</v>
      </c>
      <c r="AO38" s="321">
        <f>SUMIFS('2022'!$I:$I,'2022'!$E:$E,Category!$B$26,'2022'!$N:$N,Category!AO$1,'2022'!$D:$D,Category!$C38)</f>
        <v>0</v>
      </c>
      <c r="AP38" s="321">
        <f>SUMIFS('2022'!$I:$I,'2022'!$E:$E,Category!$B$26,'2022'!$N:$N,Category!AP$1,'2022'!$D:$D,Category!$C38)</f>
        <v>11999600</v>
      </c>
      <c r="AQ38" s="321">
        <f>SUMIFS('2022'!$I:$I,'2022'!$E:$E,Category!$B$26,'2022'!$N:$N,Category!AQ$1,'2022'!$D:$D,Category!$C38)</f>
        <v>6224600</v>
      </c>
      <c r="AR38" s="321">
        <f>SUMIFS('2022'!$I:$I,'2022'!$E:$E,Category!$B$26,'2022'!$N:$N,Category!AR$1,'2022'!$D:$D,Category!$C38)</f>
        <v>6386400</v>
      </c>
      <c r="AS38" s="321">
        <f>SUMIFS('2022'!$I:$I,'2022'!$E:$E,Category!$B$26,'2022'!$N:$N,Category!AS$1,'2022'!$D:$D,Category!$C38)</f>
        <v>6001500</v>
      </c>
      <c r="AT38" s="321">
        <f>SUMIFS('2022'!$I:$I,'2022'!$E:$E,Category!$B$26,'2022'!$N:$N,Category!AT$1,'2022'!$D:$D,Category!$C38)</f>
        <v>6000000</v>
      </c>
      <c r="AU38" s="321">
        <f>SUMIFS('2022'!$I:$I,'2022'!$E:$E,Category!$B$26,'2022'!$N:$N,Category!AU$1,'2022'!$D:$D,Category!$C38)</f>
        <v>6250560</v>
      </c>
      <c r="AV38" s="321">
        <f>SUMIFS('2022'!$I:$I,'2022'!$E:$E,Category!$B$26,'2022'!$N:$N,Category!AV$1,'2022'!$D:$D,Category!$C38)</f>
        <v>6000000</v>
      </c>
      <c r="AW38" s="321">
        <f>SUMIFS('2022'!$I:$I,'2022'!$E:$E,Category!$B$26,'2022'!$N:$N,Category!AW$1,'2022'!$D:$D,Category!$C38)</f>
        <v>6000000</v>
      </c>
      <c r="AX38" s="321">
        <f>SUMIFS('2022'!$I:$I,'2022'!$E:$E,Category!$B$26,'2022'!$N:$N,Category!AX$1,'2022'!$D:$D,Category!$C38)</f>
        <v>6000000</v>
      </c>
      <c r="AY38" s="321">
        <f>SUMIFS('2022'!$I:$I,'2022'!$E:$E,Category!$B$26,'2022'!$N:$N,Category!AY$1,'2022'!$D:$D,Category!$C38)</f>
        <v>6000000</v>
      </c>
      <c r="AZ38" s="322">
        <f t="shared" ref="AZ38:AZ53" si="18">SUM(AN38:AY38)</f>
        <v>72863360</v>
      </c>
      <c r="BA38" s="500">
        <f>IFERROR(VLOOKUP(C38,'2023'!$D:$G,4,0),0)</f>
        <v>129</v>
      </c>
      <c r="BB38" s="321">
        <f>SUMIFS('2023'!$I:$I,'2023'!$E:$E,Category!$B$26,'2023'!$N:$N,Category!BB$1,'2023'!$D:$D,Category!$C38)</f>
        <v>6000000</v>
      </c>
      <c r="BC38" s="321">
        <f>SUMIFS('2023'!$I:$I,'2023'!$E:$E,Category!$B$26,'2023'!$N:$N,Category!BC$1,'2023'!$D:$D,Category!$C38)</f>
        <v>6000000</v>
      </c>
      <c r="BD38" s="321">
        <f>SUMIFS('2023'!$I:$I,'2023'!$E:$E,Category!$B$26,'2023'!$N:$N,Category!BD$1,'2023'!$D:$D,Category!$C38)</f>
        <v>0</v>
      </c>
      <c r="BE38" s="321">
        <f>SUMIFS('2023'!$I:$I,'2023'!$E:$E,Category!$B$26,'2023'!$N:$N,Category!BE$1,'2023'!$D:$D,Category!$C38)</f>
        <v>0</v>
      </c>
      <c r="BF38" s="321">
        <f>SUMIFS('2023'!$I:$I,'2023'!$E:$E,Category!$B$26,'2023'!$N:$N,Category!BF$1,'2023'!$D:$D,Category!$C38)</f>
        <v>0</v>
      </c>
      <c r="BG38" s="321">
        <f>SUMIFS('2023'!$I:$I,'2023'!$E:$E,Category!$B$26,'2023'!$N:$N,Category!BG$1,'2023'!$D:$D,Category!$C38)</f>
        <v>0</v>
      </c>
      <c r="BH38" s="321">
        <f>SUMIFS('2023'!$I:$I,'2023'!$E:$E,Category!$B$26,'2023'!$N:$N,Category!BH$1,'2023'!$D:$D,Category!$C38)</f>
        <v>0</v>
      </c>
      <c r="BI38" s="321">
        <f>SUMIFS('2023'!$I:$I,'2023'!$E:$E,Category!$B$26,'2023'!$N:$N,Category!BI$1,'2023'!$D:$D,Category!$C38)</f>
        <v>0</v>
      </c>
      <c r="BJ38" s="321">
        <f>SUMIFS('2023'!$I:$I,'2023'!$E:$E,Category!$B$26,'2023'!$N:$N,Category!BJ$1,'2023'!$D:$D,Category!$C38)</f>
        <v>0</v>
      </c>
      <c r="BK38" s="321">
        <f>SUMIFS('2023'!$I:$I,'2023'!$E:$E,Category!$B$26,'2023'!$N:$N,Category!BK$1,'2023'!$D:$D,Category!$C38)</f>
        <v>0</v>
      </c>
      <c r="BL38" s="321">
        <f>SUMIFS('2023'!$I:$I,'2023'!$E:$E,Category!$B$26,'2023'!$N:$N,Category!BL$1,'2023'!$D:$D,Category!$C38)</f>
        <v>0</v>
      </c>
      <c r="BM38" s="321">
        <f>SUMIFS('2023'!$I:$I,'2023'!$E:$E,Category!$B$26,'2023'!$N:$N,Category!BM$1,'2023'!$D:$D,Category!$C38)</f>
        <v>0</v>
      </c>
      <c r="BN38" s="322">
        <f t="shared" si="17"/>
        <v>12000000</v>
      </c>
      <c r="BP38" s="1050">
        <v>6000000</v>
      </c>
      <c r="BQ38" s="1051" t="s">
        <v>1967</v>
      </c>
      <c r="BR38" s="247"/>
      <c r="BS38" s="247"/>
      <c r="BT38" s="247"/>
      <c r="BU38" s="247"/>
      <c r="BV38" s="247"/>
      <c r="BW38" s="247"/>
    </row>
    <row r="39" spans="1:75" x14ac:dyDescent="0.25">
      <c r="A39" s="319"/>
      <c r="B39" s="324"/>
      <c r="C39" s="320" t="s">
        <v>238</v>
      </c>
      <c r="D39" s="513">
        <f>IFERROR(VLOOKUP($C39,'2019'!$D:$G,4,0),0)</f>
        <v>0</v>
      </c>
      <c r="E39" s="321">
        <f>SUMIFS('2019'!$I:$I,'2019'!$E:$E,Category!$B$26,'2019'!$N:$N,Category!E$1,'2019'!$D:$D,Category!$C39)</f>
        <v>0</v>
      </c>
      <c r="F39" s="321">
        <f>SUMIFS('2019'!$I:$I,'2019'!$E:$E,Category!$B$26,'2019'!$N:$N,Category!F$1,'2019'!$D:$D,Category!$C39)</f>
        <v>0</v>
      </c>
      <c r="G39" s="321">
        <f>SUMIFS('2019'!$I:$I,'2019'!$E:$E,Category!$B$26,'2019'!$N:$N,Category!G$1,'2019'!$D:$D,Category!$C39)</f>
        <v>0</v>
      </c>
      <c r="H39" s="321">
        <f>SUMIFS('2019'!$I:$I,'2019'!$E:$E,Category!$B$26,'2019'!$N:$N,Category!H$1,'2019'!$D:$D,Category!$C39)</f>
        <v>0</v>
      </c>
      <c r="I39" s="321">
        <f>SUMIFS('2019'!$I:$I,'2019'!$E:$E,Category!$B$26,'2019'!$N:$N,Category!I$1,'2019'!$D:$D,Category!$C39)</f>
        <v>0</v>
      </c>
      <c r="J39" s="322">
        <f t="shared" si="11"/>
        <v>0</v>
      </c>
      <c r="K39" s="500">
        <f>IFERROR(VLOOKUP($C39,'2020'!$D:$G,4,0),0)</f>
        <v>0</v>
      </c>
      <c r="L39" s="321">
        <f>SUMIFS('2020'!$I:$I,'2020'!$E:$E,Category!$B$26,'2020'!$N:$N,Category!L$1,'2020'!$D:$D,Category!$C39)</f>
        <v>0</v>
      </c>
      <c r="M39" s="321">
        <f>SUMIFS('2020'!$I:$I,'2020'!$E:$E,Category!$B$26,'2020'!$N:$N,Category!M$1,'2020'!$D:$D,Category!$C39)</f>
        <v>0</v>
      </c>
      <c r="N39" s="321">
        <f>SUMIFS('2020'!$I:$I,'2020'!$E:$E,Category!$B$26,'2020'!$N:$N,Category!N$1,'2020'!$D:$D,Category!$C39)</f>
        <v>0</v>
      </c>
      <c r="O39" s="321">
        <f>SUMIFS('2020'!$I:$I,'2020'!$E:$E,Category!$B$26,'2020'!$N:$N,Category!O$1,'2020'!$D:$D,Category!$C39)</f>
        <v>0</v>
      </c>
      <c r="P39" s="321">
        <f>SUMIFS('2020'!$I:$I,'2020'!$E:$E,Category!$B$26,'2020'!$N:$N,Category!P$1,'2020'!$D:$D,Category!$C39)</f>
        <v>0</v>
      </c>
      <c r="Q39" s="321">
        <f>SUMIFS('2020'!$I:$I,'2020'!$E:$E,Category!$B$26,'2020'!$N:$N,Category!Q$1,'2020'!$D:$D,Category!$C39)</f>
        <v>0</v>
      </c>
      <c r="R39" s="321">
        <f>SUMIFS('2020'!$I:$I,'2020'!$E:$E,Category!$B$26,'2020'!$N:$N,Category!R$1,'2020'!$D:$D,Category!$C39)</f>
        <v>0</v>
      </c>
      <c r="S39" s="321">
        <f>SUMIFS('2020'!$I:$I,'2020'!$E:$E,Category!$B$26,'2020'!$N:$N,Category!S$1,'2020'!$D:$D,Category!$C39)</f>
        <v>0</v>
      </c>
      <c r="T39" s="321">
        <f>SUMIFS('2020'!$I:$I,'2020'!$E:$E,Category!$B$26,'2020'!$N:$N,Category!T$1,'2020'!$D:$D,Category!$C39)</f>
        <v>0</v>
      </c>
      <c r="U39" s="321">
        <f>SUMIFS('2020'!$I:$I,'2020'!$E:$E,Category!$B$26,'2020'!$N:$N,Category!U$1,'2020'!$D:$D,Category!$C39)</f>
        <v>0</v>
      </c>
      <c r="V39" s="321">
        <f>SUMIFS('2020'!$I:$I,'2020'!$E:$E,Category!$B$26,'2020'!$N:$N,Category!V$1,'2020'!$D:$D,Category!$C39)</f>
        <v>0</v>
      </c>
      <c r="W39" s="321">
        <f>SUMIFS('2020'!$I:$I,'2020'!$E:$E,Category!$B$26,'2020'!$N:$N,Category!W$1,'2020'!$D:$D,Category!$C39)</f>
        <v>0</v>
      </c>
      <c r="X39" s="322">
        <f t="shared" si="16"/>
        <v>0</v>
      </c>
      <c r="Y39" s="500">
        <f>IFERROR(VLOOKUP(C39,'2021'!$D:$G,4,0),0)</f>
        <v>40</v>
      </c>
      <c r="Z39" s="321">
        <f>SUMIFS('2021'!$I:$I,'2021'!$E:$E,Category!$B$26,'2021'!$N:$N,Category!Z$1,'2021'!$D:$D,Category!$C39)</f>
        <v>5500000</v>
      </c>
      <c r="AA39" s="321">
        <f>SUMIFS('2021'!$I:$I,'2021'!$E:$E,Category!$B$26,'2021'!$N:$N,Category!AA$1,'2021'!$D:$D,Category!$C39)</f>
        <v>0</v>
      </c>
      <c r="AB39" s="321">
        <f>SUMIFS('2021'!$I:$I,'2021'!$E:$E,Category!$B$26,'2021'!$N:$N,Category!AB$1,'2021'!$D:$D,Category!$C39)</f>
        <v>5500000</v>
      </c>
      <c r="AC39" s="321">
        <f>SUMIFS('2021'!$I:$I,'2021'!$E:$E,Category!$B$26,'2021'!$N:$N,Category!AC$1,'2021'!$D:$D,Category!$C39)</f>
        <v>5484400</v>
      </c>
      <c r="AD39" s="321">
        <f>SUMIFS('2021'!$I:$I,'2021'!$E:$E,Category!$B$26,'2021'!$N:$N,Category!AD$1,'2021'!$D:$D,Category!$C39)</f>
        <v>5499280</v>
      </c>
      <c r="AE39" s="321">
        <f>SUMIFS('2021'!$I:$I,'2021'!$E:$E,Category!$B$26,'2021'!$N:$N,Category!AE$1,'2021'!$D:$D,Category!$C39)</f>
        <v>5461300</v>
      </c>
      <c r="AF39" s="321">
        <f>SUMIFS('2021'!$I:$I,'2021'!$E:$E,Category!$B$26,'2021'!$N:$N,Category!AF$1,'2021'!$D:$D,Category!$C39)</f>
        <v>0</v>
      </c>
      <c r="AG39" s="321">
        <f>SUMIFS('2021'!$I:$I,'2021'!$E:$E,Category!$B$26,'2021'!$N:$N,Category!AG$1,'2021'!$D:$D,Category!$C39)</f>
        <v>5999900</v>
      </c>
      <c r="AH39" s="321">
        <f>SUMIFS('2021'!$I:$I,'2021'!$E:$E,Category!$B$26,'2021'!$N:$N,Category!AH$1,'2021'!$D:$D,Category!$C39)</f>
        <v>0</v>
      </c>
      <c r="AI39" s="321">
        <f>SUMIFS('2021'!$I:$I,'2021'!$E:$E,Category!$B$26,'2021'!$N:$N,Category!AI$1,'2021'!$D:$D,Category!$C39)</f>
        <v>0</v>
      </c>
      <c r="AJ39" s="321">
        <f>SUMIFS('2021'!$I:$I,'2021'!$E:$E,Category!$B$26,'2021'!$N:$N,Category!AJ$1,'2021'!$D:$D,Category!$C39)</f>
        <v>11997800</v>
      </c>
      <c r="AK39" s="321">
        <f>SUMIFS('2021'!$I:$I,'2021'!$E:$E,Category!$B$26,'2021'!$N:$N,Category!AK$1,'2021'!$D:$D,Category!$C39)</f>
        <v>5999800</v>
      </c>
      <c r="AL39" s="322">
        <f t="shared" si="14"/>
        <v>51442480</v>
      </c>
      <c r="AM39" s="500">
        <f>IFERROR(VLOOKUP(C39,'2022'!$D:$G,4,0),0)</f>
        <v>42</v>
      </c>
      <c r="AN39" s="321">
        <f>SUMIFS('2022'!$I:$I,'2022'!$E:$E,Category!$B$26,'2022'!$N:$N,Category!AN$1,'2022'!$D:$D,Category!$C39)</f>
        <v>6000300</v>
      </c>
      <c r="AO39" s="321">
        <f>SUMIFS('2022'!$I:$I,'2022'!$E:$E,Category!$B$26,'2022'!$N:$N,Category!AO$1,'2022'!$D:$D,Category!$C39)</f>
        <v>0</v>
      </c>
      <c r="AP39" s="321">
        <f>SUMIFS('2022'!$I:$I,'2022'!$E:$E,Category!$B$26,'2022'!$N:$N,Category!AP$1,'2022'!$D:$D,Category!$C39)</f>
        <v>11992800</v>
      </c>
      <c r="AQ39" s="321">
        <f>SUMIFS('2022'!$I:$I,'2022'!$E:$E,Category!$B$26,'2022'!$N:$N,Category!AQ$1,'2022'!$D:$D,Category!$C39)</f>
        <v>6256900</v>
      </c>
      <c r="AR39" s="321">
        <f>SUMIFS('2022'!$I:$I,'2022'!$E:$E,Category!$B$26,'2022'!$N:$N,Category!AR$1,'2022'!$D:$D,Category!$C39)</f>
        <v>6227200</v>
      </c>
      <c r="AS39" s="321">
        <f>SUMIFS('2022'!$I:$I,'2022'!$E:$E,Category!$B$26,'2022'!$N:$N,Category!AS$1,'2022'!$D:$D,Category!$C39)</f>
        <v>6019800</v>
      </c>
      <c r="AT39" s="321">
        <f>SUMIFS('2022'!$I:$I,'2022'!$E:$E,Category!$B$26,'2022'!$N:$N,Category!AT$1,'2022'!$D:$D,Category!$C39)</f>
        <v>6000000</v>
      </c>
      <c r="AU39" s="321">
        <f>SUMIFS('2022'!$I:$I,'2022'!$E:$E,Category!$B$26,'2022'!$N:$N,Category!AU$1,'2022'!$D:$D,Category!$C39)</f>
        <v>6000000</v>
      </c>
      <c r="AV39" s="321">
        <f>SUMIFS('2022'!$I:$I,'2022'!$E:$E,Category!$B$26,'2022'!$N:$N,Category!AV$1,'2022'!$D:$D,Category!$C39)</f>
        <v>6000000</v>
      </c>
      <c r="AW39" s="321">
        <f>SUMIFS('2022'!$I:$I,'2022'!$E:$E,Category!$B$26,'2022'!$N:$N,Category!AW$1,'2022'!$D:$D,Category!$C39)</f>
        <v>6251600</v>
      </c>
      <c r="AX39" s="321">
        <f>SUMIFS('2022'!$I:$I,'2022'!$E:$E,Category!$B$26,'2022'!$N:$N,Category!AX$1,'2022'!$D:$D,Category!$C39)</f>
        <v>6000000</v>
      </c>
      <c r="AY39" s="321">
        <f>SUMIFS('2022'!$I:$I,'2022'!$E:$E,Category!$B$26,'2022'!$N:$N,Category!AY$1,'2022'!$D:$D,Category!$C39)</f>
        <v>5610100</v>
      </c>
      <c r="AZ39" s="322">
        <f t="shared" si="18"/>
        <v>72358700</v>
      </c>
      <c r="BA39" s="500">
        <f>IFERROR(VLOOKUP(C39,'2023'!$D:$G,4,0),0)</f>
        <v>46</v>
      </c>
      <c r="BB39" s="321">
        <f>SUMIFS('2023'!$I:$I,'2023'!$E:$E,Category!$B$26,'2023'!$N:$N,Category!BB$1,'2023'!$D:$D,Category!$C39)</f>
        <v>6537000</v>
      </c>
      <c r="BC39" s="321">
        <f>SUMIFS('2023'!$I:$I,'2023'!$E:$E,Category!$B$26,'2023'!$N:$N,Category!BC$1,'2023'!$D:$D,Category!$C39)</f>
        <v>6000000</v>
      </c>
      <c r="BD39" s="321">
        <f>SUMIFS('2023'!$I:$I,'2023'!$E:$E,Category!$B$26,'2023'!$N:$N,Category!BD$1,'2023'!$D:$D,Category!$C39)</f>
        <v>0</v>
      </c>
      <c r="BE39" s="321">
        <f>SUMIFS('2023'!$I:$I,'2023'!$E:$E,Category!$B$26,'2023'!$N:$N,Category!BE$1,'2023'!$D:$D,Category!$C39)</f>
        <v>0</v>
      </c>
      <c r="BF39" s="321">
        <f>SUMIFS('2023'!$I:$I,'2023'!$E:$E,Category!$B$26,'2023'!$N:$N,Category!BF$1,'2023'!$D:$D,Category!$C39)</f>
        <v>0</v>
      </c>
      <c r="BG39" s="321">
        <f>SUMIFS('2023'!$I:$I,'2023'!$E:$E,Category!$B$26,'2023'!$N:$N,Category!BG$1,'2023'!$D:$D,Category!$C39)</f>
        <v>0</v>
      </c>
      <c r="BH39" s="321">
        <f>SUMIFS('2023'!$I:$I,'2023'!$E:$E,Category!$B$26,'2023'!$N:$N,Category!BH$1,'2023'!$D:$D,Category!$C39)</f>
        <v>0</v>
      </c>
      <c r="BI39" s="321">
        <f>SUMIFS('2023'!$I:$I,'2023'!$E:$E,Category!$B$26,'2023'!$N:$N,Category!BI$1,'2023'!$D:$D,Category!$C39)</f>
        <v>0</v>
      </c>
      <c r="BJ39" s="321">
        <f>SUMIFS('2023'!$I:$I,'2023'!$E:$E,Category!$B$26,'2023'!$N:$N,Category!BJ$1,'2023'!$D:$D,Category!$C39)</f>
        <v>0</v>
      </c>
      <c r="BK39" s="321">
        <f>SUMIFS('2023'!$I:$I,'2023'!$E:$E,Category!$B$26,'2023'!$N:$N,Category!BK$1,'2023'!$D:$D,Category!$C39)</f>
        <v>0</v>
      </c>
      <c r="BL39" s="321">
        <f>SUMIFS('2023'!$I:$I,'2023'!$E:$E,Category!$B$26,'2023'!$N:$N,Category!BL$1,'2023'!$D:$D,Category!$C39)</f>
        <v>0</v>
      </c>
      <c r="BM39" s="321">
        <f>SUMIFS('2023'!$I:$I,'2023'!$E:$E,Category!$B$26,'2023'!$N:$N,Category!BM$1,'2023'!$D:$D,Category!$C39)</f>
        <v>0</v>
      </c>
      <c r="BN39" s="322">
        <f t="shared" si="17"/>
        <v>12537000</v>
      </c>
      <c r="BP39" s="1050"/>
      <c r="BQ39" s="1051"/>
      <c r="BR39" s="247"/>
      <c r="BS39" s="247"/>
      <c r="BT39" s="247"/>
      <c r="BU39" s="247"/>
      <c r="BV39" s="247"/>
      <c r="BW39" s="247"/>
    </row>
    <row r="40" spans="1:75" x14ac:dyDescent="0.25">
      <c r="A40" s="319"/>
      <c r="B40" s="324"/>
      <c r="C40" s="320" t="s">
        <v>849</v>
      </c>
      <c r="D40" s="513">
        <f>IFERROR(VLOOKUP($C40,'2019'!$D:$G,4,0),0)</f>
        <v>0</v>
      </c>
      <c r="E40" s="321">
        <f>SUMIFS('2019'!$I:$I,'2019'!$E:$E,Category!$B$26,'2019'!$N:$N,Category!E$1,'2019'!$D:$D,Category!$C40)</f>
        <v>0</v>
      </c>
      <c r="F40" s="321">
        <f>SUMIFS('2019'!$I:$I,'2019'!$E:$E,Category!$B$26,'2019'!$N:$N,Category!F$1,'2019'!$D:$D,Category!$C40)</f>
        <v>0</v>
      </c>
      <c r="G40" s="321">
        <f>SUMIFS('2019'!$I:$I,'2019'!$E:$E,Category!$B$26,'2019'!$N:$N,Category!G$1,'2019'!$D:$D,Category!$C40)</f>
        <v>0</v>
      </c>
      <c r="H40" s="321">
        <f>SUMIFS('2019'!$I:$I,'2019'!$E:$E,Category!$B$26,'2019'!$N:$N,Category!H$1,'2019'!$D:$D,Category!$C40)</f>
        <v>0</v>
      </c>
      <c r="I40" s="321">
        <f>SUMIFS('2019'!$I:$I,'2019'!$E:$E,Category!$B$26,'2019'!$N:$N,Category!I$1,'2019'!$D:$D,Category!$C40)</f>
        <v>0</v>
      </c>
      <c r="J40" s="322">
        <f t="shared" si="11"/>
        <v>0</v>
      </c>
      <c r="K40" s="500">
        <f>IFERROR(VLOOKUP($C40,'2020'!$D:$G,4,0),0)</f>
        <v>0</v>
      </c>
      <c r="L40" s="321">
        <f>SUMIFS('2020'!$I:$I,'2020'!$E:$E,Category!$B$26,'2020'!$N:$N,Category!L$1,'2020'!$D:$D,Category!$C40)</f>
        <v>0</v>
      </c>
      <c r="M40" s="321">
        <f>SUMIFS('2020'!$I:$I,'2020'!$E:$E,Category!$B$26,'2020'!$N:$N,Category!M$1,'2020'!$D:$D,Category!$C40)</f>
        <v>0</v>
      </c>
      <c r="N40" s="321">
        <f>SUMIFS('2020'!$I:$I,'2020'!$E:$E,Category!$B$26,'2020'!$N:$N,Category!N$1,'2020'!$D:$D,Category!$C40)</f>
        <v>0</v>
      </c>
      <c r="O40" s="321">
        <f>SUMIFS('2020'!$I:$I,'2020'!$E:$E,Category!$B$26,'2020'!$N:$N,Category!O$1,'2020'!$D:$D,Category!$C40)</f>
        <v>0</v>
      </c>
      <c r="P40" s="321">
        <f>SUMIFS('2020'!$I:$I,'2020'!$E:$E,Category!$B$26,'2020'!$N:$N,Category!P$1,'2020'!$D:$D,Category!$C40)</f>
        <v>0</v>
      </c>
      <c r="Q40" s="321">
        <f>SUMIFS('2020'!$I:$I,'2020'!$E:$E,Category!$B$26,'2020'!$N:$N,Category!Q$1,'2020'!$D:$D,Category!$C40)</f>
        <v>0</v>
      </c>
      <c r="R40" s="321">
        <f>SUMIFS('2020'!$I:$I,'2020'!$E:$E,Category!$B$26,'2020'!$N:$N,Category!R$1,'2020'!$D:$D,Category!$C40)</f>
        <v>0</v>
      </c>
      <c r="S40" s="321">
        <f>SUMIFS('2020'!$I:$I,'2020'!$E:$E,Category!$B$26,'2020'!$N:$N,Category!S$1,'2020'!$D:$D,Category!$C40)</f>
        <v>0</v>
      </c>
      <c r="T40" s="321">
        <f>SUMIFS('2020'!$I:$I,'2020'!$E:$E,Category!$B$26,'2020'!$N:$N,Category!T$1,'2020'!$D:$D,Category!$C40)</f>
        <v>0</v>
      </c>
      <c r="U40" s="321">
        <f>SUMIFS('2020'!$I:$I,'2020'!$E:$E,Category!$B$26,'2020'!$N:$N,Category!U$1,'2020'!$D:$D,Category!$C40)</f>
        <v>0</v>
      </c>
      <c r="V40" s="321">
        <f>SUMIFS('2020'!$I:$I,'2020'!$E:$E,Category!$B$26,'2020'!$N:$N,Category!V$1,'2020'!$D:$D,Category!$C40)</f>
        <v>0</v>
      </c>
      <c r="W40" s="321">
        <f>SUMIFS('2020'!$I:$I,'2020'!$E:$E,Category!$B$26,'2020'!$N:$N,Category!W$1,'2020'!$D:$D,Category!$C40)</f>
        <v>0</v>
      </c>
      <c r="X40" s="322">
        <f t="shared" si="16"/>
        <v>0</v>
      </c>
      <c r="Y40" s="500">
        <f>IFERROR(VLOOKUP(C40,'2021'!$D:$G,4,0),0)</f>
        <v>63</v>
      </c>
      <c r="Z40" s="321">
        <f>SUMIFS('2021'!$I:$I,'2021'!$E:$E,Category!$B$26,'2021'!$N:$N,Category!Z$1,'2021'!$D:$D,Category!$C40)</f>
        <v>5500000</v>
      </c>
      <c r="AA40" s="321">
        <f>SUMIFS('2021'!$I:$I,'2021'!$E:$E,Category!$B$26,'2021'!$N:$N,Category!AA$1,'2021'!$D:$D,Category!$C40)</f>
        <v>0</v>
      </c>
      <c r="AB40" s="321">
        <f>SUMIFS('2021'!$I:$I,'2021'!$E:$E,Category!$B$26,'2021'!$N:$N,Category!AB$1,'2021'!$D:$D,Category!$C40)</f>
        <v>5500000</v>
      </c>
      <c r="AC40" s="321">
        <f>SUMIFS('2021'!$I:$I,'2021'!$E:$E,Category!$B$26,'2021'!$N:$N,Category!AC$1,'2021'!$D:$D,Category!$C40)</f>
        <v>5481700</v>
      </c>
      <c r="AD40" s="321">
        <f>SUMIFS('2021'!$I:$I,'2021'!$E:$E,Category!$B$26,'2021'!$N:$N,Category!AD$1,'2021'!$D:$D,Category!$C40)</f>
        <v>5497880</v>
      </c>
      <c r="AE40" s="321">
        <f>SUMIFS('2021'!$I:$I,'2021'!$E:$E,Category!$B$26,'2021'!$N:$N,Category!AE$1,'2021'!$D:$D,Category!$C40)</f>
        <v>5475900</v>
      </c>
      <c r="AF40" s="321">
        <f>SUMIFS('2021'!$I:$I,'2021'!$E:$E,Category!$B$26,'2021'!$N:$N,Category!AF$1,'2021'!$D:$D,Category!$C40)</f>
        <v>0</v>
      </c>
      <c r="AG40" s="321">
        <f>SUMIFS('2021'!$I:$I,'2021'!$E:$E,Category!$B$26,'2021'!$N:$N,Category!AG$1,'2021'!$D:$D,Category!$C40)</f>
        <v>5999800</v>
      </c>
      <c r="AH40" s="321">
        <f>SUMIFS('2021'!$I:$I,'2021'!$E:$E,Category!$B$26,'2021'!$N:$N,Category!AH$1,'2021'!$D:$D,Category!$C40)</f>
        <v>0</v>
      </c>
      <c r="AI40" s="321">
        <f>SUMIFS('2021'!$I:$I,'2021'!$E:$E,Category!$B$26,'2021'!$N:$N,Category!AI$1,'2021'!$D:$D,Category!$C40)</f>
        <v>0</v>
      </c>
      <c r="AJ40" s="321">
        <f>SUMIFS('2021'!$I:$I,'2021'!$E:$E,Category!$B$26,'2021'!$N:$N,Category!AJ$1,'2021'!$D:$D,Category!$C40)</f>
        <v>12078800</v>
      </c>
      <c r="AK40" s="321">
        <f>SUMIFS('2021'!$I:$I,'2021'!$E:$E,Category!$B$26,'2021'!$N:$N,Category!AK$1,'2021'!$D:$D,Category!$C40)</f>
        <v>6000100</v>
      </c>
      <c r="AL40" s="322">
        <f t="shared" si="14"/>
        <v>51534180</v>
      </c>
      <c r="AM40" s="500">
        <f>IFERROR(VLOOKUP(C40,'2022'!$D:$G,4,0),0)</f>
        <v>63</v>
      </c>
      <c r="AN40" s="321">
        <f>SUMIFS('2022'!$I:$I,'2022'!$E:$E,Category!$B$26,'2022'!$N:$N,Category!AN$1,'2022'!$D:$D,Category!$C40)</f>
        <v>5999200</v>
      </c>
      <c r="AO40" s="321">
        <f>SUMIFS('2022'!$I:$I,'2022'!$E:$E,Category!$B$26,'2022'!$N:$N,Category!AO$1,'2022'!$D:$D,Category!$C40)</f>
        <v>0</v>
      </c>
      <c r="AP40" s="321">
        <f>SUMIFS('2022'!$I:$I,'2022'!$E:$E,Category!$B$26,'2022'!$N:$N,Category!AP$1,'2022'!$D:$D,Category!$C40)</f>
        <v>11990900</v>
      </c>
      <c r="AQ40" s="321">
        <f>SUMIFS('2022'!$I:$I,'2022'!$E:$E,Category!$B$26,'2022'!$N:$N,Category!AQ$1,'2022'!$D:$D,Category!$C40)</f>
        <v>6146800</v>
      </c>
      <c r="AR40" s="321">
        <f>SUMIFS('2022'!$I:$I,'2022'!$E:$E,Category!$B$26,'2022'!$N:$N,Category!AR$1,'2022'!$D:$D,Category!$C40)</f>
        <v>6165700</v>
      </c>
      <c r="AS40" s="321">
        <f>SUMIFS('2022'!$I:$I,'2022'!$E:$E,Category!$B$26,'2022'!$N:$N,Category!AS$1,'2022'!$D:$D,Category!$C40)</f>
        <v>6119600</v>
      </c>
      <c r="AT40" s="321">
        <f>SUMIFS('2022'!$I:$I,'2022'!$E:$E,Category!$B$26,'2022'!$N:$N,Category!AT$1,'2022'!$D:$D,Category!$C40)</f>
        <v>6000000</v>
      </c>
      <c r="AU40" s="321">
        <f>SUMIFS('2022'!$I:$I,'2022'!$E:$E,Category!$B$26,'2022'!$N:$N,Category!AU$1,'2022'!$D:$D,Category!$C40)</f>
        <v>6000000</v>
      </c>
      <c r="AV40" s="321">
        <f>SUMIFS('2022'!$I:$I,'2022'!$E:$E,Category!$B$26,'2022'!$N:$N,Category!AV$1,'2022'!$D:$D,Category!$C40)</f>
        <v>6283440</v>
      </c>
      <c r="AW40" s="321">
        <f>SUMIFS('2022'!$I:$I,'2022'!$E:$E,Category!$B$26,'2022'!$N:$N,Category!AW$1,'2022'!$D:$D,Category!$C40)</f>
        <v>6000000</v>
      </c>
      <c r="AX40" s="321">
        <f>SUMIFS('2022'!$I:$I,'2022'!$E:$E,Category!$B$26,'2022'!$N:$N,Category!AX$1,'2022'!$D:$D,Category!$C40)</f>
        <v>6000000</v>
      </c>
      <c r="AY40" s="321">
        <f>SUMIFS('2022'!$I:$I,'2022'!$E:$E,Category!$B$26,'2022'!$N:$N,Category!AY$1,'2022'!$D:$D,Category!$C40)</f>
        <v>6623250</v>
      </c>
      <c r="AZ40" s="322">
        <f t="shared" si="18"/>
        <v>73328890</v>
      </c>
      <c r="BA40" s="500">
        <f>IFERROR(VLOOKUP(C40,'2023'!$D:$G,4,0),0)</f>
        <v>53</v>
      </c>
      <c r="BB40" s="321">
        <f>SUMIFS('2023'!$I:$I,'2023'!$E:$E,Category!$B$26,'2023'!$N:$N,Category!BB$1,'2023'!$D:$D,Category!$C40)</f>
        <v>6000000</v>
      </c>
      <c r="BC40" s="321">
        <f>SUMIFS('2023'!$I:$I,'2023'!$E:$E,Category!$B$26,'2023'!$N:$N,Category!BC$1,'2023'!$D:$D,Category!$C40)</f>
        <v>6000000</v>
      </c>
      <c r="BD40" s="321">
        <f>SUMIFS('2023'!$I:$I,'2023'!$E:$E,Category!$B$26,'2023'!$N:$N,Category!BD$1,'2023'!$D:$D,Category!$C40)</f>
        <v>0</v>
      </c>
      <c r="BE40" s="321">
        <f>SUMIFS('2023'!$I:$I,'2023'!$E:$E,Category!$B$26,'2023'!$N:$N,Category!BE$1,'2023'!$D:$D,Category!$C40)</f>
        <v>0</v>
      </c>
      <c r="BF40" s="321">
        <f>SUMIFS('2023'!$I:$I,'2023'!$E:$E,Category!$B$26,'2023'!$N:$N,Category!BF$1,'2023'!$D:$D,Category!$C40)</f>
        <v>0</v>
      </c>
      <c r="BG40" s="321">
        <f>SUMIFS('2023'!$I:$I,'2023'!$E:$E,Category!$B$26,'2023'!$N:$N,Category!BG$1,'2023'!$D:$D,Category!$C40)</f>
        <v>0</v>
      </c>
      <c r="BH40" s="321">
        <f>SUMIFS('2023'!$I:$I,'2023'!$E:$E,Category!$B$26,'2023'!$N:$N,Category!BH$1,'2023'!$D:$D,Category!$C40)</f>
        <v>0</v>
      </c>
      <c r="BI40" s="321">
        <f>SUMIFS('2023'!$I:$I,'2023'!$E:$E,Category!$B$26,'2023'!$N:$N,Category!BI$1,'2023'!$D:$D,Category!$C40)</f>
        <v>0</v>
      </c>
      <c r="BJ40" s="321">
        <f>SUMIFS('2023'!$I:$I,'2023'!$E:$E,Category!$B$26,'2023'!$N:$N,Category!BJ$1,'2023'!$D:$D,Category!$C40)</f>
        <v>0</v>
      </c>
      <c r="BK40" s="321">
        <f>SUMIFS('2023'!$I:$I,'2023'!$E:$E,Category!$B$26,'2023'!$N:$N,Category!BK$1,'2023'!$D:$D,Category!$C40)</f>
        <v>0</v>
      </c>
      <c r="BL40" s="321">
        <f>SUMIFS('2023'!$I:$I,'2023'!$E:$E,Category!$B$26,'2023'!$N:$N,Category!BL$1,'2023'!$D:$D,Category!$C40)</f>
        <v>0</v>
      </c>
      <c r="BM40" s="321">
        <f>SUMIFS('2023'!$I:$I,'2023'!$E:$E,Category!$B$26,'2023'!$N:$N,Category!BM$1,'2023'!$D:$D,Category!$C40)</f>
        <v>0</v>
      </c>
      <c r="BN40" s="322">
        <f t="shared" si="17"/>
        <v>12000000</v>
      </c>
      <c r="BP40" s="1050"/>
      <c r="BQ40" s="1051"/>
      <c r="BR40" s="247"/>
      <c r="BS40" s="247"/>
      <c r="BT40" s="247"/>
      <c r="BU40" s="247"/>
      <c r="BV40" s="247"/>
      <c r="BW40" s="247"/>
    </row>
    <row r="41" spans="1:75" x14ac:dyDescent="0.25">
      <c r="A41" s="319"/>
      <c r="B41" s="324"/>
      <c r="C41" s="320" t="s">
        <v>850</v>
      </c>
      <c r="D41" s="513">
        <f>IFERROR(VLOOKUP($C41,'2019'!$D:$G,4,0),0)</f>
        <v>0</v>
      </c>
      <c r="E41" s="321">
        <f>SUMIFS('2019'!$I:$I,'2019'!$E:$E,Category!$B$26,'2019'!$N:$N,Category!E$1,'2019'!$D:$D,Category!$C41)</f>
        <v>0</v>
      </c>
      <c r="F41" s="321">
        <f>SUMIFS('2019'!$I:$I,'2019'!$E:$E,Category!$B$26,'2019'!$N:$N,Category!F$1,'2019'!$D:$D,Category!$C41)</f>
        <v>0</v>
      </c>
      <c r="G41" s="321">
        <f>SUMIFS('2019'!$I:$I,'2019'!$E:$E,Category!$B$26,'2019'!$N:$N,Category!G$1,'2019'!$D:$D,Category!$C41)</f>
        <v>0</v>
      </c>
      <c r="H41" s="321">
        <f>SUMIFS('2019'!$I:$I,'2019'!$E:$E,Category!$B$26,'2019'!$N:$N,Category!H$1,'2019'!$D:$D,Category!$C41)</f>
        <v>0</v>
      </c>
      <c r="I41" s="321">
        <f>SUMIFS('2019'!$I:$I,'2019'!$E:$E,Category!$B$26,'2019'!$N:$N,Category!I$1,'2019'!$D:$D,Category!$C41)</f>
        <v>0</v>
      </c>
      <c r="J41" s="322">
        <f t="shared" si="11"/>
        <v>0</v>
      </c>
      <c r="K41" s="500">
        <f>IFERROR(VLOOKUP($C41,'2020'!$D:$G,4,0),0)</f>
        <v>0</v>
      </c>
      <c r="L41" s="321">
        <f>SUMIFS('2020'!$I:$I,'2020'!$E:$E,Category!$B$26,'2020'!$N:$N,Category!L$1,'2020'!$D:$D,Category!$C41)</f>
        <v>0</v>
      </c>
      <c r="M41" s="321">
        <f>SUMIFS('2020'!$I:$I,'2020'!$E:$E,Category!$B$26,'2020'!$N:$N,Category!M$1,'2020'!$D:$D,Category!$C41)</f>
        <v>0</v>
      </c>
      <c r="N41" s="321">
        <f>SUMIFS('2020'!$I:$I,'2020'!$E:$E,Category!$B$26,'2020'!$N:$N,Category!N$1,'2020'!$D:$D,Category!$C41)</f>
        <v>0</v>
      </c>
      <c r="O41" s="321">
        <f>SUMIFS('2020'!$I:$I,'2020'!$E:$E,Category!$B$26,'2020'!$N:$N,Category!O$1,'2020'!$D:$D,Category!$C41)</f>
        <v>0</v>
      </c>
      <c r="P41" s="321">
        <f>SUMIFS('2020'!$I:$I,'2020'!$E:$E,Category!$B$26,'2020'!$N:$N,Category!P$1,'2020'!$D:$D,Category!$C41)</f>
        <v>0</v>
      </c>
      <c r="Q41" s="321">
        <f>SUMIFS('2020'!$I:$I,'2020'!$E:$E,Category!$B$26,'2020'!$N:$N,Category!Q$1,'2020'!$D:$D,Category!$C41)</f>
        <v>0</v>
      </c>
      <c r="R41" s="321">
        <f>SUMIFS('2020'!$I:$I,'2020'!$E:$E,Category!$B$26,'2020'!$N:$N,Category!R$1,'2020'!$D:$D,Category!$C41)</f>
        <v>0</v>
      </c>
      <c r="S41" s="321">
        <f>SUMIFS('2020'!$I:$I,'2020'!$E:$E,Category!$B$26,'2020'!$N:$N,Category!S$1,'2020'!$D:$D,Category!$C41)</f>
        <v>0</v>
      </c>
      <c r="T41" s="321">
        <f>SUMIFS('2020'!$I:$I,'2020'!$E:$E,Category!$B$26,'2020'!$N:$N,Category!T$1,'2020'!$D:$D,Category!$C41)</f>
        <v>0</v>
      </c>
      <c r="U41" s="321">
        <f>SUMIFS('2020'!$I:$I,'2020'!$E:$E,Category!$B$26,'2020'!$N:$N,Category!U$1,'2020'!$D:$D,Category!$C41)</f>
        <v>0</v>
      </c>
      <c r="V41" s="321">
        <f>SUMIFS('2020'!$I:$I,'2020'!$E:$E,Category!$B$26,'2020'!$N:$N,Category!V$1,'2020'!$D:$D,Category!$C41)</f>
        <v>0</v>
      </c>
      <c r="W41" s="321">
        <f>SUMIFS('2020'!$I:$I,'2020'!$E:$E,Category!$B$26,'2020'!$N:$N,Category!W$1,'2020'!$D:$D,Category!$C41)</f>
        <v>0</v>
      </c>
      <c r="X41" s="322">
        <f t="shared" si="16"/>
        <v>0</v>
      </c>
      <c r="Y41" s="500">
        <f>IFERROR(VLOOKUP(C41,'2021'!$D:$G,4,0),0)</f>
        <v>57</v>
      </c>
      <c r="Z41" s="321">
        <f>SUMIFS('2021'!$I:$I,'2021'!$E:$E,Category!$B$26,'2021'!$N:$N,Category!Z$1,'2021'!$D:$D,Category!$C41)</f>
        <v>5500000</v>
      </c>
      <c r="AA41" s="321">
        <f>SUMIFS('2021'!$I:$I,'2021'!$E:$E,Category!$B$26,'2021'!$N:$N,Category!AA$1,'2021'!$D:$D,Category!$C41)</f>
        <v>0</v>
      </c>
      <c r="AB41" s="321">
        <f>SUMIFS('2021'!$I:$I,'2021'!$E:$E,Category!$B$26,'2021'!$N:$N,Category!AB$1,'2021'!$D:$D,Category!$C41)</f>
        <v>5500000</v>
      </c>
      <c r="AC41" s="321">
        <f>SUMIFS('2021'!$I:$I,'2021'!$E:$E,Category!$B$26,'2021'!$N:$N,Category!AC$1,'2021'!$D:$D,Category!$C41)</f>
        <v>5486200</v>
      </c>
      <c r="AD41" s="321">
        <f>SUMIFS('2021'!$I:$I,'2021'!$E:$E,Category!$B$26,'2021'!$N:$N,Category!AD$1,'2021'!$D:$D,Category!$C41)</f>
        <v>5499220</v>
      </c>
      <c r="AE41" s="321">
        <f>SUMIFS('2021'!$I:$I,'2021'!$E:$E,Category!$B$26,'2021'!$N:$N,Category!AE$1,'2021'!$D:$D,Category!$C41)</f>
        <v>5484400</v>
      </c>
      <c r="AF41" s="321">
        <f>SUMIFS('2021'!$I:$I,'2021'!$E:$E,Category!$B$26,'2021'!$N:$N,Category!AF$1,'2021'!$D:$D,Category!$C41)</f>
        <v>0</v>
      </c>
      <c r="AG41" s="321">
        <f>SUMIFS('2021'!$I:$I,'2021'!$E:$E,Category!$B$26,'2021'!$N:$N,Category!AG$1,'2021'!$D:$D,Category!$C41)</f>
        <v>5999900</v>
      </c>
      <c r="AH41" s="321">
        <f>SUMIFS('2021'!$I:$I,'2021'!$E:$E,Category!$B$26,'2021'!$N:$N,Category!AH$1,'2021'!$D:$D,Category!$C41)</f>
        <v>0</v>
      </c>
      <c r="AI41" s="321">
        <f>SUMIFS('2021'!$I:$I,'2021'!$E:$E,Category!$B$26,'2021'!$N:$N,Category!AI$1,'2021'!$D:$D,Category!$C41)</f>
        <v>0</v>
      </c>
      <c r="AJ41" s="321">
        <f>SUMIFS('2021'!$I:$I,'2021'!$E:$E,Category!$B$26,'2021'!$N:$N,Category!AJ$1,'2021'!$D:$D,Category!$C41)</f>
        <v>11997200</v>
      </c>
      <c r="AK41" s="321">
        <f>SUMIFS('2021'!$I:$I,'2021'!$E:$E,Category!$B$26,'2021'!$N:$N,Category!AK$1,'2021'!$D:$D,Category!$C41)</f>
        <v>5999500</v>
      </c>
      <c r="AL41" s="322">
        <f t="shared" si="14"/>
        <v>51466420</v>
      </c>
      <c r="AM41" s="500">
        <f>IFERROR(VLOOKUP(C41,'2022'!$D:$G,4,0),0)</f>
        <v>61</v>
      </c>
      <c r="AN41" s="321">
        <f>SUMIFS('2022'!$I:$I,'2022'!$E:$E,Category!$B$26,'2022'!$N:$N,Category!AN$1,'2022'!$D:$D,Category!$C41)</f>
        <v>6000600</v>
      </c>
      <c r="AO41" s="321">
        <f>SUMIFS('2022'!$I:$I,'2022'!$E:$E,Category!$B$26,'2022'!$N:$N,Category!AO$1,'2022'!$D:$D,Category!$C41)</f>
        <v>0</v>
      </c>
      <c r="AP41" s="321">
        <f>SUMIFS('2022'!$I:$I,'2022'!$E:$E,Category!$B$26,'2022'!$N:$N,Category!AP$1,'2022'!$D:$D,Category!$C41)</f>
        <v>11999000</v>
      </c>
      <c r="AQ41" s="321">
        <f>SUMIFS('2022'!$I:$I,'2022'!$E:$E,Category!$B$26,'2022'!$N:$N,Category!AQ$1,'2022'!$D:$D,Category!$C41)</f>
        <v>6285100</v>
      </c>
      <c r="AR41" s="321">
        <f>SUMIFS('2022'!$I:$I,'2022'!$E:$E,Category!$B$26,'2022'!$N:$N,Category!AR$1,'2022'!$D:$D,Category!$C41)</f>
        <v>6333300</v>
      </c>
      <c r="AS41" s="321">
        <f>SUMIFS('2022'!$I:$I,'2022'!$E:$E,Category!$B$26,'2022'!$N:$N,Category!AS$1,'2022'!$D:$D,Category!$C41)</f>
        <v>6333300</v>
      </c>
      <c r="AT41" s="321">
        <f>SUMIFS('2022'!$I:$I,'2022'!$E:$E,Category!$B$26,'2022'!$N:$N,Category!AT$1,'2022'!$D:$D,Category!$C41)</f>
        <v>6000000</v>
      </c>
      <c r="AU41" s="321">
        <f>SUMIFS('2022'!$I:$I,'2022'!$E:$E,Category!$B$26,'2022'!$N:$N,Category!AU$1,'2022'!$D:$D,Category!$C41)</f>
        <v>6000000</v>
      </c>
      <c r="AV41" s="321">
        <f>SUMIFS('2022'!$I:$I,'2022'!$E:$E,Category!$B$26,'2022'!$N:$N,Category!AV$1,'2022'!$D:$D,Category!$C41)</f>
        <v>6000000</v>
      </c>
      <c r="AW41" s="321">
        <f>SUMIFS('2022'!$I:$I,'2022'!$E:$E,Category!$B$26,'2022'!$N:$N,Category!AW$1,'2022'!$D:$D,Category!$C41)</f>
        <v>6000000</v>
      </c>
      <c r="AX41" s="321">
        <f>SUMIFS('2022'!$I:$I,'2022'!$E:$E,Category!$B$26,'2022'!$N:$N,Category!AX$1,'2022'!$D:$D,Category!$C41)</f>
        <v>6000000</v>
      </c>
      <c r="AY41" s="321">
        <f>SUMIFS('2022'!$I:$I,'2022'!$E:$E,Category!$B$26,'2022'!$N:$N,Category!AY$1,'2022'!$D:$D,Category!$C41)</f>
        <v>6026000</v>
      </c>
      <c r="AZ41" s="322">
        <f t="shared" si="18"/>
        <v>72977300</v>
      </c>
      <c r="BA41" s="500">
        <f>IFERROR(VLOOKUP(C41,'2023'!$D:$G,4,0),0)</f>
        <v>61</v>
      </c>
      <c r="BB41" s="321">
        <f>SUMIFS('2023'!$I:$I,'2023'!$E:$E,Category!$B$26,'2023'!$N:$N,Category!BB$1,'2023'!$D:$D,Category!$C41)</f>
        <v>6249760</v>
      </c>
      <c r="BC41" s="321">
        <f>SUMIFS('2023'!$I:$I,'2023'!$E:$E,Category!$B$26,'2023'!$N:$N,Category!BC$1,'2023'!$D:$D,Category!$C41)</f>
        <v>6000000</v>
      </c>
      <c r="BD41" s="321">
        <f>SUMIFS('2023'!$I:$I,'2023'!$E:$E,Category!$B$26,'2023'!$N:$N,Category!BD$1,'2023'!$D:$D,Category!$C41)</f>
        <v>0</v>
      </c>
      <c r="BE41" s="321">
        <f>SUMIFS('2023'!$I:$I,'2023'!$E:$E,Category!$B$26,'2023'!$N:$N,Category!BE$1,'2023'!$D:$D,Category!$C41)</f>
        <v>0</v>
      </c>
      <c r="BF41" s="321">
        <f>SUMIFS('2023'!$I:$I,'2023'!$E:$E,Category!$B$26,'2023'!$N:$N,Category!BF$1,'2023'!$D:$D,Category!$C41)</f>
        <v>0</v>
      </c>
      <c r="BG41" s="321">
        <f>SUMIFS('2023'!$I:$I,'2023'!$E:$E,Category!$B$26,'2023'!$N:$N,Category!BG$1,'2023'!$D:$D,Category!$C41)</f>
        <v>0</v>
      </c>
      <c r="BH41" s="321">
        <f>SUMIFS('2023'!$I:$I,'2023'!$E:$E,Category!$B$26,'2023'!$N:$N,Category!BH$1,'2023'!$D:$D,Category!$C41)</f>
        <v>0</v>
      </c>
      <c r="BI41" s="321">
        <f>SUMIFS('2023'!$I:$I,'2023'!$E:$E,Category!$B$26,'2023'!$N:$N,Category!BI$1,'2023'!$D:$D,Category!$C41)</f>
        <v>0</v>
      </c>
      <c r="BJ41" s="321">
        <f>SUMIFS('2023'!$I:$I,'2023'!$E:$E,Category!$B$26,'2023'!$N:$N,Category!BJ$1,'2023'!$D:$D,Category!$C41)</f>
        <v>0</v>
      </c>
      <c r="BK41" s="321">
        <f>SUMIFS('2023'!$I:$I,'2023'!$E:$E,Category!$B$26,'2023'!$N:$N,Category!BK$1,'2023'!$D:$D,Category!$C41)</f>
        <v>0</v>
      </c>
      <c r="BL41" s="321">
        <f>SUMIFS('2023'!$I:$I,'2023'!$E:$E,Category!$B$26,'2023'!$N:$N,Category!BL$1,'2023'!$D:$D,Category!$C41)</f>
        <v>0</v>
      </c>
      <c r="BM41" s="321">
        <f>SUMIFS('2023'!$I:$I,'2023'!$E:$E,Category!$B$26,'2023'!$N:$N,Category!BM$1,'2023'!$D:$D,Category!$C41)</f>
        <v>0</v>
      </c>
      <c r="BN41" s="322">
        <f t="shared" si="17"/>
        <v>12249760</v>
      </c>
      <c r="BP41" s="1050"/>
      <c r="BQ41" s="1051"/>
      <c r="BR41" s="247"/>
      <c r="BS41" s="247"/>
      <c r="BT41" s="247"/>
      <c r="BU41" s="247"/>
      <c r="BV41" s="247"/>
      <c r="BW41" s="247"/>
    </row>
    <row r="42" spans="1:75" x14ac:dyDescent="0.25">
      <c r="A42" s="319"/>
      <c r="B42" s="324"/>
      <c r="C42" s="320" t="s">
        <v>851</v>
      </c>
      <c r="D42" s="513">
        <f>IFERROR(VLOOKUP($C42,'2019'!$D:$G,4,0),0)</f>
        <v>0</v>
      </c>
      <c r="E42" s="321">
        <f>SUMIFS('2019'!$I:$I,'2019'!$E:$E,Category!$B$26,'2019'!$N:$N,Category!E$1,'2019'!$D:$D,Category!$C42)</f>
        <v>0</v>
      </c>
      <c r="F42" s="321">
        <f>SUMIFS('2019'!$I:$I,'2019'!$E:$E,Category!$B$26,'2019'!$N:$N,Category!F$1,'2019'!$D:$D,Category!$C42)</f>
        <v>0</v>
      </c>
      <c r="G42" s="321">
        <f>SUMIFS('2019'!$I:$I,'2019'!$E:$E,Category!$B$26,'2019'!$N:$N,Category!G$1,'2019'!$D:$D,Category!$C42)</f>
        <v>0</v>
      </c>
      <c r="H42" s="321">
        <f>SUMIFS('2019'!$I:$I,'2019'!$E:$E,Category!$B$26,'2019'!$N:$N,Category!H$1,'2019'!$D:$D,Category!$C42)</f>
        <v>0</v>
      </c>
      <c r="I42" s="321">
        <f>SUMIFS('2019'!$I:$I,'2019'!$E:$E,Category!$B$26,'2019'!$N:$N,Category!I$1,'2019'!$D:$D,Category!$C42)</f>
        <v>0</v>
      </c>
      <c r="J42" s="322">
        <f t="shared" si="11"/>
        <v>0</v>
      </c>
      <c r="K42" s="500">
        <f>IFERROR(VLOOKUP($C42,'2020'!$D:$G,4,0),0)</f>
        <v>0</v>
      </c>
      <c r="L42" s="321">
        <f>SUMIFS('2020'!$I:$I,'2020'!$E:$E,Category!$B$26,'2020'!$N:$N,Category!L$1,'2020'!$D:$D,Category!$C42)</f>
        <v>0</v>
      </c>
      <c r="M42" s="321">
        <f>SUMIFS('2020'!$I:$I,'2020'!$E:$E,Category!$B$26,'2020'!$N:$N,Category!M$1,'2020'!$D:$D,Category!$C42)</f>
        <v>0</v>
      </c>
      <c r="N42" s="321">
        <f>SUMIFS('2020'!$I:$I,'2020'!$E:$E,Category!$B$26,'2020'!$N:$N,Category!N$1,'2020'!$D:$D,Category!$C42)</f>
        <v>0</v>
      </c>
      <c r="O42" s="321">
        <f>SUMIFS('2020'!$I:$I,'2020'!$E:$E,Category!$B$26,'2020'!$N:$N,Category!O$1,'2020'!$D:$D,Category!$C42)</f>
        <v>0</v>
      </c>
      <c r="P42" s="321">
        <f>SUMIFS('2020'!$I:$I,'2020'!$E:$E,Category!$B$26,'2020'!$N:$N,Category!P$1,'2020'!$D:$D,Category!$C42)</f>
        <v>0</v>
      </c>
      <c r="Q42" s="321">
        <f>SUMIFS('2020'!$I:$I,'2020'!$E:$E,Category!$B$26,'2020'!$N:$N,Category!Q$1,'2020'!$D:$D,Category!$C42)</f>
        <v>0</v>
      </c>
      <c r="R42" s="321">
        <f>SUMIFS('2020'!$I:$I,'2020'!$E:$E,Category!$B$26,'2020'!$N:$N,Category!R$1,'2020'!$D:$D,Category!$C42)</f>
        <v>0</v>
      </c>
      <c r="S42" s="321">
        <f>SUMIFS('2020'!$I:$I,'2020'!$E:$E,Category!$B$26,'2020'!$N:$N,Category!S$1,'2020'!$D:$D,Category!$C42)</f>
        <v>0</v>
      </c>
      <c r="T42" s="321">
        <f>SUMIFS('2020'!$I:$I,'2020'!$E:$E,Category!$B$26,'2020'!$N:$N,Category!T$1,'2020'!$D:$D,Category!$C42)</f>
        <v>0</v>
      </c>
      <c r="U42" s="321">
        <f>SUMIFS('2020'!$I:$I,'2020'!$E:$E,Category!$B$26,'2020'!$N:$N,Category!U$1,'2020'!$D:$D,Category!$C42)</f>
        <v>0</v>
      </c>
      <c r="V42" s="321">
        <f>SUMIFS('2020'!$I:$I,'2020'!$E:$E,Category!$B$26,'2020'!$N:$N,Category!V$1,'2020'!$D:$D,Category!$C42)</f>
        <v>0</v>
      </c>
      <c r="W42" s="321">
        <f>SUMIFS('2020'!$I:$I,'2020'!$E:$E,Category!$B$26,'2020'!$N:$N,Category!W$1,'2020'!$D:$D,Category!$C42)</f>
        <v>0</v>
      </c>
      <c r="X42" s="322">
        <f t="shared" si="16"/>
        <v>0</v>
      </c>
      <c r="Y42" s="500">
        <f>IFERROR(VLOOKUP(C42,'2021'!$D:$G,4,0),0)</f>
        <v>22</v>
      </c>
      <c r="Z42" s="321">
        <f>SUMIFS('2021'!$I:$I,'2021'!$E:$E,Category!$B$26,'2021'!$N:$N,Category!Z$1,'2021'!$D:$D,Category!$C42)</f>
        <v>0</v>
      </c>
      <c r="AA42" s="321">
        <f>SUMIFS('2021'!$I:$I,'2021'!$E:$E,Category!$B$26,'2021'!$N:$N,Category!AA$1,'2021'!$D:$D,Category!$C42)</f>
        <v>5500000</v>
      </c>
      <c r="AB42" s="321">
        <f>SUMIFS('2021'!$I:$I,'2021'!$E:$E,Category!$B$26,'2021'!$N:$N,Category!AB$1,'2021'!$D:$D,Category!$C42)</f>
        <v>5500000</v>
      </c>
      <c r="AC42" s="321">
        <f>SUMIFS('2021'!$I:$I,'2021'!$E:$E,Category!$B$26,'2021'!$N:$N,Category!AC$1,'2021'!$D:$D,Category!$C42)</f>
        <v>5480100</v>
      </c>
      <c r="AD42" s="321">
        <f>SUMIFS('2021'!$I:$I,'2021'!$E:$E,Category!$B$26,'2021'!$N:$N,Category!AD$1,'2021'!$D:$D,Category!$C42)</f>
        <v>5495810</v>
      </c>
      <c r="AE42" s="321">
        <f>SUMIFS('2021'!$I:$I,'2021'!$E:$E,Category!$B$26,'2021'!$N:$N,Category!AE$1,'2021'!$D:$D,Category!$C42)</f>
        <v>5446300</v>
      </c>
      <c r="AF42" s="321">
        <f>SUMIFS('2021'!$I:$I,'2021'!$E:$E,Category!$B$26,'2021'!$N:$N,Category!AF$1,'2021'!$D:$D,Category!$C42)</f>
        <v>0</v>
      </c>
      <c r="AG42" s="321">
        <f>SUMIFS('2021'!$I:$I,'2021'!$E:$E,Category!$B$26,'2021'!$N:$N,Category!AG$1,'2021'!$D:$D,Category!$C42)</f>
        <v>5999100</v>
      </c>
      <c r="AH42" s="321">
        <f>SUMIFS('2021'!$I:$I,'2021'!$E:$E,Category!$B$26,'2021'!$N:$N,Category!AH$1,'2021'!$D:$D,Category!$C42)</f>
        <v>0</v>
      </c>
      <c r="AI42" s="321">
        <f>SUMIFS('2021'!$I:$I,'2021'!$E:$E,Category!$B$26,'2021'!$N:$N,Category!AI$1,'2021'!$D:$D,Category!$C42)</f>
        <v>0</v>
      </c>
      <c r="AJ42" s="321">
        <f>SUMIFS('2021'!$I:$I,'2021'!$E:$E,Category!$B$26,'2021'!$N:$N,Category!AJ$1,'2021'!$D:$D,Category!$C42)</f>
        <v>12001800</v>
      </c>
      <c r="AK42" s="321">
        <f>SUMIFS('2021'!$I:$I,'2021'!$E:$E,Category!$B$26,'2021'!$N:$N,Category!AK$1,'2021'!$D:$D,Category!$C42)</f>
        <v>6000000</v>
      </c>
      <c r="AL42" s="322">
        <f t="shared" si="14"/>
        <v>51423110</v>
      </c>
      <c r="AM42" s="500">
        <f>IFERROR(VLOOKUP(C42,'2022'!$D:$G,4,0),0)</f>
        <v>22</v>
      </c>
      <c r="AN42" s="321">
        <f>SUMIFS('2022'!$I:$I,'2022'!$E:$E,Category!$B$26,'2022'!$N:$N,Category!AN$1,'2022'!$D:$D,Category!$C42)</f>
        <v>6000400</v>
      </c>
      <c r="AO42" s="321">
        <f>SUMIFS('2022'!$I:$I,'2022'!$E:$E,Category!$B$26,'2022'!$N:$N,Category!AO$1,'2022'!$D:$D,Category!$C42)</f>
        <v>0</v>
      </c>
      <c r="AP42" s="321">
        <f>SUMIFS('2022'!$I:$I,'2022'!$E:$E,Category!$B$26,'2022'!$N:$N,Category!AP$1,'2022'!$D:$D,Category!$C42)</f>
        <v>11992100</v>
      </c>
      <c r="AQ42" s="321">
        <f>SUMIFS('2022'!$I:$I,'2022'!$E:$E,Category!$B$26,'2022'!$N:$N,Category!AQ$1,'2022'!$D:$D,Category!$C42)</f>
        <v>6190200</v>
      </c>
      <c r="AR42" s="321">
        <f>SUMIFS('2022'!$I:$I,'2022'!$E:$E,Category!$B$26,'2022'!$N:$N,Category!AR$1,'2022'!$D:$D,Category!$C42)</f>
        <v>6294800</v>
      </c>
      <c r="AS42" s="321">
        <f>SUMIFS('2022'!$I:$I,'2022'!$E:$E,Category!$B$26,'2022'!$N:$N,Category!AS$1,'2022'!$D:$D,Category!$C42)</f>
        <v>5999300</v>
      </c>
      <c r="AT42" s="321">
        <f>SUMIFS('2022'!$I:$I,'2022'!$E:$E,Category!$B$26,'2022'!$N:$N,Category!AT$1,'2022'!$D:$D,Category!$C42)</f>
        <v>6000000</v>
      </c>
      <c r="AU42" s="321">
        <f>SUMIFS('2022'!$I:$I,'2022'!$E:$E,Category!$B$26,'2022'!$N:$N,Category!AU$1,'2022'!$D:$D,Category!$C42)</f>
        <v>6000000</v>
      </c>
      <c r="AV42" s="321">
        <f>SUMIFS('2022'!$I:$I,'2022'!$E:$E,Category!$B$26,'2022'!$N:$N,Category!AV$1,'2022'!$D:$D,Category!$C42)</f>
        <v>6000000</v>
      </c>
      <c r="AW42" s="321">
        <f>SUMIFS('2022'!$I:$I,'2022'!$E:$E,Category!$B$26,'2022'!$N:$N,Category!AW$1,'2022'!$D:$D,Category!$C42)</f>
        <v>6249940</v>
      </c>
      <c r="AX42" s="321">
        <f>SUMIFS('2022'!$I:$I,'2022'!$E:$E,Category!$B$26,'2022'!$N:$N,Category!AX$1,'2022'!$D:$D,Category!$C42)</f>
        <v>6000000</v>
      </c>
      <c r="AY42" s="321">
        <f>SUMIFS('2022'!$I:$I,'2022'!$E:$E,Category!$B$26,'2022'!$N:$N,Category!AY$1,'2022'!$D:$D,Category!$C42)</f>
        <v>6000000</v>
      </c>
      <c r="AZ42" s="322">
        <f t="shared" si="18"/>
        <v>72726740</v>
      </c>
      <c r="BA42" s="500">
        <f>IFERROR(VLOOKUP(C42,'2023'!$D:$G,4,0),0)</f>
        <v>27</v>
      </c>
      <c r="BB42" s="321">
        <f>SUMIFS('2023'!$I:$I,'2023'!$E:$E,Category!$B$26,'2023'!$N:$N,Category!BB$1,'2023'!$D:$D,Category!$C42)</f>
        <v>6000000</v>
      </c>
      <c r="BC42" s="321">
        <f>SUMIFS('2023'!$I:$I,'2023'!$E:$E,Category!$B$26,'2023'!$N:$N,Category!BC$1,'2023'!$D:$D,Category!$C42)</f>
        <v>6000000</v>
      </c>
      <c r="BD42" s="321">
        <f>SUMIFS('2023'!$I:$I,'2023'!$E:$E,Category!$B$26,'2023'!$N:$N,Category!BD$1,'2023'!$D:$D,Category!$C42)</f>
        <v>0</v>
      </c>
      <c r="BE42" s="321">
        <f>SUMIFS('2023'!$I:$I,'2023'!$E:$E,Category!$B$26,'2023'!$N:$N,Category!BE$1,'2023'!$D:$D,Category!$C42)</f>
        <v>0</v>
      </c>
      <c r="BF42" s="321">
        <f>SUMIFS('2023'!$I:$I,'2023'!$E:$E,Category!$B$26,'2023'!$N:$N,Category!BF$1,'2023'!$D:$D,Category!$C42)</f>
        <v>0</v>
      </c>
      <c r="BG42" s="321">
        <f>SUMIFS('2023'!$I:$I,'2023'!$E:$E,Category!$B$26,'2023'!$N:$N,Category!BG$1,'2023'!$D:$D,Category!$C42)</f>
        <v>0</v>
      </c>
      <c r="BH42" s="321">
        <f>SUMIFS('2023'!$I:$I,'2023'!$E:$E,Category!$B$26,'2023'!$N:$N,Category!BH$1,'2023'!$D:$D,Category!$C42)</f>
        <v>0</v>
      </c>
      <c r="BI42" s="321">
        <f>SUMIFS('2023'!$I:$I,'2023'!$E:$E,Category!$B$26,'2023'!$N:$N,Category!BI$1,'2023'!$D:$D,Category!$C42)</f>
        <v>0</v>
      </c>
      <c r="BJ42" s="321">
        <f>SUMIFS('2023'!$I:$I,'2023'!$E:$E,Category!$B$26,'2023'!$N:$N,Category!BJ$1,'2023'!$D:$D,Category!$C42)</f>
        <v>0</v>
      </c>
      <c r="BK42" s="321">
        <f>SUMIFS('2023'!$I:$I,'2023'!$E:$E,Category!$B$26,'2023'!$N:$N,Category!BK$1,'2023'!$D:$D,Category!$C42)</f>
        <v>0</v>
      </c>
      <c r="BL42" s="321">
        <f>SUMIFS('2023'!$I:$I,'2023'!$E:$E,Category!$B$26,'2023'!$N:$N,Category!BL$1,'2023'!$D:$D,Category!$C42)</f>
        <v>0</v>
      </c>
      <c r="BM42" s="321">
        <f>SUMIFS('2023'!$I:$I,'2023'!$E:$E,Category!$B$26,'2023'!$N:$N,Category!BM$1,'2023'!$D:$D,Category!$C42)</f>
        <v>0</v>
      </c>
      <c r="BN42" s="322">
        <f t="shared" si="17"/>
        <v>12000000</v>
      </c>
      <c r="BP42" s="1050"/>
      <c r="BQ42" s="1051"/>
      <c r="BR42" s="247"/>
      <c r="BS42" s="247"/>
      <c r="BT42" s="247"/>
      <c r="BU42" s="247"/>
      <c r="BV42" s="247"/>
      <c r="BW42" s="247"/>
    </row>
    <row r="43" spans="1:75" x14ac:dyDescent="0.25">
      <c r="A43" s="319"/>
      <c r="B43" s="324"/>
      <c r="C43" s="323" t="s">
        <v>257</v>
      </c>
      <c r="D43" s="514">
        <f>IFERROR(VLOOKUP($C43,'2019'!$D:$G,4,0),0)</f>
        <v>0</v>
      </c>
      <c r="E43" s="321">
        <f>SUMIFS('2019'!$I:$I,'2019'!$E:$E,Category!$B$26,'2019'!$N:$N,Category!E$1,'2019'!$D:$D,Category!$C43)</f>
        <v>0</v>
      </c>
      <c r="F43" s="321">
        <f>SUMIFS('2019'!$I:$I,'2019'!$E:$E,Category!$B$26,'2019'!$N:$N,Category!F$1,'2019'!$D:$D,Category!$C43)</f>
        <v>0</v>
      </c>
      <c r="G43" s="321">
        <f>SUMIFS('2019'!$I:$I,'2019'!$E:$E,Category!$B$26,'2019'!$N:$N,Category!G$1,'2019'!$D:$D,Category!$C43)</f>
        <v>0</v>
      </c>
      <c r="H43" s="321">
        <f>SUMIFS('2019'!$I:$I,'2019'!$E:$E,Category!$B$26,'2019'!$N:$N,Category!H$1,'2019'!$D:$D,Category!$C43)</f>
        <v>0</v>
      </c>
      <c r="I43" s="321">
        <f>SUMIFS('2019'!$I:$I,'2019'!$E:$E,Category!$B$26,'2019'!$N:$N,Category!I$1,'2019'!$D:$D,Category!$C43)</f>
        <v>0</v>
      </c>
      <c r="J43" s="322">
        <f t="shared" si="11"/>
        <v>0</v>
      </c>
      <c r="K43" s="500">
        <f>IFERROR(VLOOKUP($C43,'2020'!$D:$G,4,0),0)</f>
        <v>0</v>
      </c>
      <c r="L43" s="321">
        <f>SUMIFS('2020'!$I:$I,'2020'!$E:$E,Category!$B$26,'2020'!$N:$N,Category!L$1,'2020'!$D:$D,Category!$C43)</f>
        <v>0</v>
      </c>
      <c r="M43" s="321">
        <f>SUMIFS('2020'!$I:$I,'2020'!$E:$E,Category!$B$26,'2020'!$N:$N,Category!M$1,'2020'!$D:$D,Category!$C43)</f>
        <v>0</v>
      </c>
      <c r="N43" s="321">
        <f>SUMIFS('2020'!$I:$I,'2020'!$E:$E,Category!$B$26,'2020'!$N:$N,Category!N$1,'2020'!$D:$D,Category!$C43)</f>
        <v>0</v>
      </c>
      <c r="O43" s="321">
        <f>SUMIFS('2020'!$I:$I,'2020'!$E:$E,Category!$B$26,'2020'!$N:$N,Category!O$1,'2020'!$D:$D,Category!$C43)</f>
        <v>0</v>
      </c>
      <c r="P43" s="321">
        <f>SUMIFS('2020'!$I:$I,'2020'!$E:$E,Category!$B$26,'2020'!$N:$N,Category!P$1,'2020'!$D:$D,Category!$C43)</f>
        <v>0</v>
      </c>
      <c r="Q43" s="321">
        <f>SUMIFS('2020'!$I:$I,'2020'!$E:$E,Category!$B$26,'2020'!$N:$N,Category!Q$1,'2020'!$D:$D,Category!$C43)</f>
        <v>0</v>
      </c>
      <c r="R43" s="321">
        <f>SUMIFS('2020'!$I:$I,'2020'!$E:$E,Category!$B$26,'2020'!$N:$N,Category!R$1,'2020'!$D:$D,Category!$C43)</f>
        <v>0</v>
      </c>
      <c r="S43" s="321">
        <f>SUMIFS('2020'!$I:$I,'2020'!$E:$E,Category!$B$26,'2020'!$N:$N,Category!S$1,'2020'!$D:$D,Category!$C43)</f>
        <v>0</v>
      </c>
      <c r="T43" s="321">
        <f>SUMIFS('2020'!$I:$I,'2020'!$E:$E,Category!$B$26,'2020'!$N:$N,Category!T$1,'2020'!$D:$D,Category!$C43)</f>
        <v>0</v>
      </c>
      <c r="U43" s="321">
        <f>SUMIFS('2020'!$I:$I,'2020'!$E:$E,Category!$B$26,'2020'!$N:$N,Category!U$1,'2020'!$D:$D,Category!$C43)</f>
        <v>0</v>
      </c>
      <c r="V43" s="321">
        <f>SUMIFS('2020'!$I:$I,'2020'!$E:$E,Category!$B$26,'2020'!$N:$N,Category!V$1,'2020'!$D:$D,Category!$C43)</f>
        <v>0</v>
      </c>
      <c r="W43" s="321">
        <f>SUMIFS('2020'!$I:$I,'2020'!$E:$E,Category!$B$26,'2020'!$N:$N,Category!W$1,'2020'!$D:$D,Category!$C43)</f>
        <v>0</v>
      </c>
      <c r="X43" s="322">
        <f t="shared" si="16"/>
        <v>0</v>
      </c>
      <c r="Y43" s="500">
        <f>IFERROR(VLOOKUP(C43,'2021'!$D:$G,4,0),0)</f>
        <v>134</v>
      </c>
      <c r="Z43" s="321">
        <f>SUMIFS('2021'!$I:$I,'2021'!$E:$E,Category!$B$26,'2021'!$N:$N,Category!Z$1,'2021'!$D:$D,Category!$C43)</f>
        <v>5500000</v>
      </c>
      <c r="AA43" s="321">
        <f>SUMIFS('2021'!$I:$I,'2021'!$E:$E,Category!$B$26,'2021'!$N:$N,Category!AA$1,'2021'!$D:$D,Category!$C43)</f>
        <v>0</v>
      </c>
      <c r="AB43" s="321">
        <f>SUMIFS('2021'!$I:$I,'2021'!$E:$E,Category!$B$26,'2021'!$N:$N,Category!AB$1,'2021'!$D:$D,Category!$C43)</f>
        <v>5500000</v>
      </c>
      <c r="AC43" s="321">
        <f>SUMIFS('2021'!$I:$I,'2021'!$E:$E,Category!$B$26,'2021'!$N:$N,Category!AC$1,'2021'!$D:$D,Category!$C43)</f>
        <v>5500000</v>
      </c>
      <c r="AD43" s="321">
        <f>SUMIFS('2021'!$I:$I,'2021'!$E:$E,Category!$B$26,'2021'!$N:$N,Category!AD$1,'2021'!$D:$D,Category!$C43)</f>
        <v>0</v>
      </c>
      <c r="AE43" s="321">
        <f>SUMIFS('2021'!$I:$I,'2021'!$E:$E,Category!$B$26,'2021'!$N:$N,Category!AE$1,'2021'!$D:$D,Category!$C43)</f>
        <v>5500000</v>
      </c>
      <c r="AF43" s="321">
        <f>SUMIFS('2021'!$I:$I,'2021'!$E:$E,Category!$B$26,'2021'!$N:$N,Category!AF$1,'2021'!$D:$D,Category!$C43)</f>
        <v>5500000</v>
      </c>
      <c r="AG43" s="321">
        <f>SUMIFS('2021'!$I:$I,'2021'!$E:$E,Category!$B$26,'2021'!$N:$N,Category!AG$1,'2021'!$D:$D,Category!$C43)</f>
        <v>0</v>
      </c>
      <c r="AH43" s="321">
        <f>SUMIFS('2021'!$I:$I,'2021'!$E:$E,Category!$B$26,'2021'!$N:$N,Category!AH$1,'2021'!$D:$D,Category!$C43)</f>
        <v>5500000</v>
      </c>
      <c r="AI43" s="321">
        <f>SUMIFS('2021'!$I:$I,'2021'!$E:$E,Category!$B$26,'2021'!$N:$N,Category!AI$1,'2021'!$D:$D,Category!$C43)</f>
        <v>5500000</v>
      </c>
      <c r="AJ43" s="321">
        <f>SUMIFS('2021'!$I:$I,'2021'!$E:$E,Category!$B$26,'2021'!$N:$N,Category!AJ$1,'2021'!$D:$D,Category!$C43)</f>
        <v>5500000</v>
      </c>
      <c r="AK43" s="321">
        <f>SUMIFS('2021'!$I:$I,'2021'!$E:$E,Category!$B$26,'2021'!$N:$N,Category!AK$1,'2021'!$D:$D,Category!$C43)</f>
        <v>5500000</v>
      </c>
      <c r="AL43" s="322">
        <f t="shared" si="14"/>
        <v>49500000</v>
      </c>
      <c r="AM43" s="500">
        <f>IFERROR(VLOOKUP(C43,'2022'!$D:$G,4,0),0)</f>
        <v>134</v>
      </c>
      <c r="AN43" s="321">
        <f>SUMIFS('2022'!$I:$I,'2022'!$E:$E,Category!$B$26,'2022'!$N:$N,Category!AN$1,'2022'!$D:$D,Category!$C43)</f>
        <v>5500000</v>
      </c>
      <c r="AO43" s="321">
        <f>SUMIFS('2022'!$I:$I,'2022'!$E:$E,Category!$B$26,'2022'!$N:$N,Category!AO$1,'2022'!$D:$D,Category!$C43)</f>
        <v>5500000</v>
      </c>
      <c r="AP43" s="321">
        <f>SUMIFS('2022'!$I:$I,'2022'!$E:$E,Category!$B$26,'2022'!$N:$N,Category!AP$1,'2022'!$D:$D,Category!$C43)</f>
        <v>5500000</v>
      </c>
      <c r="AQ43" s="321">
        <f>SUMIFS('2022'!$I:$I,'2022'!$E:$E,Category!$B$26,'2022'!$N:$N,Category!AQ$1,'2022'!$D:$D,Category!$C43)</f>
        <v>5500000</v>
      </c>
      <c r="AR43" s="321">
        <f>SUMIFS('2022'!$I:$I,'2022'!$E:$E,Category!$B$26,'2022'!$N:$N,Category!AR$1,'2022'!$D:$D,Category!$C43)</f>
        <v>5500000</v>
      </c>
      <c r="AS43" s="321">
        <f>SUMIFS('2022'!$I:$I,'2022'!$E:$E,Category!$B$26,'2022'!$N:$N,Category!AS$1,'2022'!$D:$D,Category!$C43)</f>
        <v>5500000</v>
      </c>
      <c r="AT43" s="321">
        <f>SUMIFS('2022'!$I:$I,'2022'!$E:$E,Category!$B$26,'2022'!$N:$N,Category!AT$1,'2022'!$D:$D,Category!$C43)</f>
        <v>5500000</v>
      </c>
      <c r="AU43" s="321">
        <f>SUMIFS('2022'!$I:$I,'2022'!$E:$E,Category!$B$26,'2022'!$N:$N,Category!AU$1,'2022'!$D:$D,Category!$C43)</f>
        <v>5500000</v>
      </c>
      <c r="AV43" s="321">
        <f>SUMIFS('2022'!$I:$I,'2022'!$E:$E,Category!$B$26,'2022'!$N:$N,Category!AV$1,'2022'!$D:$D,Category!$C43)</f>
        <v>5500000</v>
      </c>
      <c r="AW43" s="321">
        <f>SUMIFS('2022'!$I:$I,'2022'!$E:$E,Category!$B$26,'2022'!$N:$N,Category!AW$1,'2022'!$D:$D,Category!$C43)</f>
        <v>5500000</v>
      </c>
      <c r="AX43" s="321">
        <f>SUMIFS('2022'!$I:$I,'2022'!$E:$E,Category!$B$26,'2022'!$N:$N,Category!AX$1,'2022'!$D:$D,Category!$C43)</f>
        <v>5500000</v>
      </c>
      <c r="AY43" s="321">
        <f>SUMIFS('2022'!$I:$I,'2022'!$E:$E,Category!$B$26,'2022'!$N:$N,Category!AY$1,'2022'!$D:$D,Category!$C43)</f>
        <v>5500000</v>
      </c>
      <c r="AZ43" s="322">
        <f t="shared" si="18"/>
        <v>66000000</v>
      </c>
      <c r="BA43" s="500">
        <f>IFERROR(VLOOKUP(C43,'2023'!$D:$G,4,0),0)</f>
        <v>0</v>
      </c>
      <c r="BB43" s="321">
        <f>SUMIFS('2023'!$I:$I,'2023'!$E:$E,Category!$B$26,'2023'!$N:$N,Category!BB$1,'2023'!$D:$D,Category!$C43)</f>
        <v>5500000</v>
      </c>
      <c r="BC43" s="321">
        <f>SUMIFS('2023'!$I:$I,'2023'!$E:$E,Category!$B$26,'2023'!$N:$N,Category!BC$1,'2023'!$D:$D,Category!$C43)</f>
        <v>5500000</v>
      </c>
      <c r="BD43" s="321">
        <f>SUMIFS('2023'!$I:$I,'2023'!$E:$E,Category!$B$26,'2023'!$N:$N,Category!BD$1,'2023'!$D:$D,Category!$C43)</f>
        <v>0</v>
      </c>
      <c r="BE43" s="321">
        <f>SUMIFS('2023'!$I:$I,'2023'!$E:$E,Category!$B$26,'2023'!$N:$N,Category!BE$1,'2023'!$D:$D,Category!$C43)</f>
        <v>0</v>
      </c>
      <c r="BF43" s="321">
        <f>SUMIFS('2023'!$I:$I,'2023'!$E:$E,Category!$B$26,'2023'!$N:$N,Category!BF$1,'2023'!$D:$D,Category!$C43)</f>
        <v>0</v>
      </c>
      <c r="BG43" s="321">
        <f>SUMIFS('2023'!$I:$I,'2023'!$E:$E,Category!$B$26,'2023'!$N:$N,Category!BG$1,'2023'!$D:$D,Category!$C43)</f>
        <v>0</v>
      </c>
      <c r="BH43" s="321">
        <f>SUMIFS('2023'!$I:$I,'2023'!$E:$E,Category!$B$26,'2023'!$N:$N,Category!BH$1,'2023'!$D:$D,Category!$C43)</f>
        <v>0</v>
      </c>
      <c r="BI43" s="321">
        <f>SUMIFS('2023'!$I:$I,'2023'!$E:$E,Category!$B$26,'2023'!$N:$N,Category!BI$1,'2023'!$D:$D,Category!$C43)</f>
        <v>0</v>
      </c>
      <c r="BJ43" s="321">
        <f>SUMIFS('2023'!$I:$I,'2023'!$E:$E,Category!$B$26,'2023'!$N:$N,Category!BJ$1,'2023'!$D:$D,Category!$C43)</f>
        <v>0</v>
      </c>
      <c r="BK43" s="321">
        <f>SUMIFS('2023'!$I:$I,'2023'!$E:$E,Category!$B$26,'2023'!$N:$N,Category!BK$1,'2023'!$D:$D,Category!$C43)</f>
        <v>0</v>
      </c>
      <c r="BL43" s="321">
        <f>SUMIFS('2023'!$I:$I,'2023'!$E:$E,Category!$B$26,'2023'!$N:$N,Category!BL$1,'2023'!$D:$D,Category!$C43)</f>
        <v>0</v>
      </c>
      <c r="BM43" s="321">
        <f>SUMIFS('2023'!$I:$I,'2023'!$E:$E,Category!$B$26,'2023'!$N:$N,Category!BM$1,'2023'!$D:$D,Category!$C43)</f>
        <v>0</v>
      </c>
      <c r="BN43" s="322">
        <f t="shared" si="17"/>
        <v>11000000</v>
      </c>
      <c r="BP43" s="1050"/>
      <c r="BQ43" s="1051"/>
      <c r="BR43" s="247"/>
      <c r="BS43" s="247"/>
      <c r="BT43" s="247"/>
      <c r="BU43" s="247"/>
      <c r="BV43" s="247"/>
      <c r="BW43" s="247"/>
    </row>
    <row r="44" spans="1:75" x14ac:dyDescent="0.25">
      <c r="A44" s="319"/>
      <c r="B44" s="324"/>
      <c r="C44" s="325" t="s">
        <v>256</v>
      </c>
      <c r="D44" s="515">
        <v>0</v>
      </c>
      <c r="E44" s="321">
        <v>0</v>
      </c>
      <c r="F44" s="321">
        <v>0</v>
      </c>
      <c r="G44" s="321">
        <v>0</v>
      </c>
      <c r="H44" s="321">
        <v>0</v>
      </c>
      <c r="I44" s="321">
        <v>0</v>
      </c>
      <c r="J44" s="322">
        <f t="shared" si="11"/>
        <v>0</v>
      </c>
      <c r="K44" s="500" t="s">
        <v>960</v>
      </c>
      <c r="L44" s="321">
        <f>SUMIFS('2020'!$I:$I,'2020'!$E:$E,Category!$B$26,'2020'!$N:$N,Category!L$1,'2020'!$D:$D,Category!$C44)</f>
        <v>0</v>
      </c>
      <c r="M44" s="321">
        <f>SUMIFS('2020'!$I:$I,'2020'!$E:$E,Category!$B$26,'2020'!$N:$N,Category!M$1,'2020'!$D:$D,Category!$C44)</f>
        <v>0</v>
      </c>
      <c r="N44" s="321">
        <f>SUMIFS('2020'!$I:$I,'2020'!$E:$E,Category!$B$26,'2020'!$N:$N,Category!N$1,'2020'!$D:$D,Category!$C44)</f>
        <v>0</v>
      </c>
      <c r="O44" s="321">
        <f>SUMIFS('2020'!$I:$I,'2020'!$E:$E,Category!$B$26,'2020'!$N:$N,Category!O$1,'2020'!$D:$D,Category!$C44)</f>
        <v>0</v>
      </c>
      <c r="P44" s="321">
        <f>SUMIFS('2020'!$I:$I,'2020'!$E:$E,Category!$B$26,'2020'!$N:$N,Category!P$1,'2020'!$D:$D,Category!$C44)</f>
        <v>0</v>
      </c>
      <c r="Q44" s="321">
        <f>SUMIFS('2020'!$I:$I,'2020'!$E:$E,Category!$B$26,'2020'!$N:$N,Category!Q$1,'2020'!$D:$D,Category!$C44)</f>
        <v>0</v>
      </c>
      <c r="R44" s="321">
        <f>SUMIFS('2020'!$I:$I,'2020'!$E:$E,Category!$B$26,'2020'!$N:$N,Category!R$1,'2020'!$D:$D,Category!$C44)</f>
        <v>0</v>
      </c>
      <c r="S44" s="321">
        <f>SUMIFS('2020'!$I:$I,'2020'!$E:$E,Category!$B$26,'2020'!$N:$N,Category!S$1,'2020'!$D:$D,Category!$C44)</f>
        <v>0</v>
      </c>
      <c r="T44" s="321"/>
      <c r="U44" s="321">
        <f>SUMIFS('2020'!$I:$I,'2020'!$E:$E,Category!$B$26,'2020'!$N:$N,Category!U$1,'2020'!$D:$D,Category!$C44)</f>
        <v>0</v>
      </c>
      <c r="V44" s="321">
        <f>SUMIFS('2020'!$I:$I,'2020'!$E:$E,Category!$B$26,'2020'!$N:$N,Category!V$1,'2020'!$D:$D,Category!$C44)</f>
        <v>0</v>
      </c>
      <c r="W44" s="321">
        <v>0</v>
      </c>
      <c r="X44" s="322">
        <f t="shared" si="16"/>
        <v>0</v>
      </c>
      <c r="Y44" s="500" t="s">
        <v>960</v>
      </c>
      <c r="Z44" s="321">
        <v>0</v>
      </c>
      <c r="AA44" s="321">
        <f>SUMIFS('2021'!$I:$I,'2021'!$E:$E,Category!$B$26,'2021'!$N:$N,Category!AA$1,'2021'!$D:$D,Category!$C44)</f>
        <v>0</v>
      </c>
      <c r="AB44" s="321">
        <v>0</v>
      </c>
      <c r="AC44" s="321">
        <v>0</v>
      </c>
      <c r="AD44" s="321">
        <f>SUMIFS('2021'!$I:$I,'2021'!$E:$E,Category!$B$26,'2021'!$N:$N,Category!AD$1,'2021'!$D:$D,Category!$C44)</f>
        <v>0</v>
      </c>
      <c r="AE44" s="321">
        <v>0</v>
      </c>
      <c r="AF44" s="321">
        <v>0</v>
      </c>
      <c r="AG44" s="321">
        <f>SUMIFS('2021'!$I:$I,'2021'!$E:$E,Category!$B$26,'2021'!$N:$N,Category!AG$1,'2021'!$D:$D,Category!$C44)</f>
        <v>0</v>
      </c>
      <c r="AH44" s="326"/>
      <c r="AI44" s="326"/>
      <c r="AJ44" s="321">
        <v>0</v>
      </c>
      <c r="AK44" s="326">
        <v>0</v>
      </c>
      <c r="AL44" s="322">
        <f t="shared" si="14"/>
        <v>0</v>
      </c>
      <c r="AM44" s="500" t="s">
        <v>960</v>
      </c>
      <c r="AN44" s="321">
        <v>0</v>
      </c>
      <c r="AO44" s="321">
        <v>0</v>
      </c>
      <c r="AP44" s="321">
        <v>0</v>
      </c>
      <c r="AQ44" s="321">
        <v>0</v>
      </c>
      <c r="AR44" s="321">
        <v>0</v>
      </c>
      <c r="AS44" s="321">
        <v>0</v>
      </c>
      <c r="AT44" s="321">
        <v>0</v>
      </c>
      <c r="AU44" s="321">
        <v>0</v>
      </c>
      <c r="AV44" s="321">
        <v>0</v>
      </c>
      <c r="AW44" s="321">
        <v>0</v>
      </c>
      <c r="AX44" s="321">
        <v>0</v>
      </c>
      <c r="AY44" s="321">
        <v>0</v>
      </c>
      <c r="AZ44" s="322">
        <f t="shared" si="18"/>
        <v>0</v>
      </c>
      <c r="BA44" s="500">
        <f>IFERROR(VLOOKUP(C44,'2023'!$D:$G,4,0),0)</f>
        <v>0</v>
      </c>
      <c r="BB44" s="321">
        <v>0</v>
      </c>
      <c r="BC44" s="321">
        <v>0</v>
      </c>
      <c r="BD44" s="321">
        <v>0</v>
      </c>
      <c r="BE44" s="321">
        <v>0</v>
      </c>
      <c r="BF44" s="321">
        <v>0</v>
      </c>
      <c r="BG44" s="321">
        <v>0</v>
      </c>
      <c r="BH44" s="321">
        <v>0</v>
      </c>
      <c r="BI44" s="321">
        <v>0</v>
      </c>
      <c r="BJ44" s="321">
        <v>0</v>
      </c>
      <c r="BK44" s="321">
        <v>0</v>
      </c>
      <c r="BL44" s="321">
        <v>0</v>
      </c>
      <c r="BM44" s="321">
        <v>0</v>
      </c>
      <c r="BN44" s="322">
        <f t="shared" si="17"/>
        <v>0</v>
      </c>
      <c r="BP44" s="1050"/>
      <c r="BQ44" s="1051"/>
      <c r="BR44" s="247"/>
      <c r="BS44" s="247"/>
      <c r="BT44" s="247"/>
      <c r="BU44" s="247"/>
      <c r="BV44" s="247"/>
      <c r="BW44" s="247"/>
    </row>
    <row r="45" spans="1:75" x14ac:dyDescent="0.25">
      <c r="A45" s="319"/>
      <c r="B45" s="324"/>
      <c r="C45" s="320" t="s">
        <v>852</v>
      </c>
      <c r="D45" s="513">
        <f>IFERROR(VLOOKUP($C45,'2019'!$D:$G,4,0),0)</f>
        <v>0</v>
      </c>
      <c r="E45" s="321">
        <f>SUMIFS('2019'!$I:$I,'2019'!$E:$E,Category!$B$26,'2019'!$N:$N,Category!E$1,'2019'!$D:$D,Category!$C45)</f>
        <v>0</v>
      </c>
      <c r="F45" s="321">
        <f>SUMIFS('2019'!$I:$I,'2019'!$E:$E,Category!$B$26,'2019'!$N:$N,Category!F$1,'2019'!$D:$D,Category!$C45)</f>
        <v>0</v>
      </c>
      <c r="G45" s="321">
        <f>SUMIFS('2019'!$I:$I,'2019'!$E:$E,Category!$B$26,'2019'!$N:$N,Category!G$1,'2019'!$D:$D,Category!$C45)</f>
        <v>0</v>
      </c>
      <c r="H45" s="321">
        <f>SUMIFS('2019'!$I:$I,'2019'!$E:$E,Category!$B$26,'2019'!$N:$N,Category!H$1,'2019'!$D:$D,Category!$C45)</f>
        <v>0</v>
      </c>
      <c r="I45" s="321">
        <f>SUMIFS('2019'!$I:$I,'2019'!$E:$E,Category!$B$26,'2019'!$N:$N,Category!I$1,'2019'!$D:$D,Category!$C45)</f>
        <v>0</v>
      </c>
      <c r="J45" s="322">
        <f t="shared" si="11"/>
        <v>0</v>
      </c>
      <c r="K45" s="500">
        <f>IFERROR(VLOOKUP($C45,'2020'!$D:$G,4,0),0)</f>
        <v>0</v>
      </c>
      <c r="L45" s="321">
        <f>SUMIFS('2020'!$I:$I,'2020'!$E:$E,Category!$B$26,'2020'!$N:$N,Category!L$1,'2020'!$D:$D,Category!$C45)</f>
        <v>0</v>
      </c>
      <c r="M45" s="321">
        <f>SUMIFS('2020'!$I:$I,'2020'!$E:$E,Category!$B$26,'2020'!$N:$N,Category!M$1,'2020'!$D:$D,Category!$C45)</f>
        <v>0</v>
      </c>
      <c r="N45" s="321">
        <f>SUMIFS('2020'!$I:$I,'2020'!$E:$E,Category!$B$26,'2020'!$N:$N,Category!N$1,'2020'!$D:$D,Category!$C45)</f>
        <v>0</v>
      </c>
      <c r="O45" s="321">
        <f>SUMIFS('2020'!$I:$I,'2020'!$E:$E,Category!$B$26,'2020'!$N:$N,Category!O$1,'2020'!$D:$D,Category!$C45)</f>
        <v>0</v>
      </c>
      <c r="P45" s="321">
        <f>SUMIFS('2020'!$I:$I,'2020'!$E:$E,Category!$B$26,'2020'!$N:$N,Category!P$1,'2020'!$D:$D,Category!$C45)</f>
        <v>0</v>
      </c>
      <c r="Q45" s="321">
        <f>SUMIFS('2020'!$I:$I,'2020'!$E:$E,Category!$B$26,'2020'!$N:$N,Category!Q$1,'2020'!$D:$D,Category!$C45)</f>
        <v>0</v>
      </c>
      <c r="R45" s="321">
        <f>SUMIFS('2020'!$I:$I,'2020'!$E:$E,Category!$B$26,'2020'!$N:$N,Category!R$1,'2020'!$D:$D,Category!$C45)</f>
        <v>0</v>
      </c>
      <c r="S45" s="321">
        <f>SUMIFS('2020'!$I:$I,'2020'!$E:$E,Category!$B$26,'2020'!$N:$N,Category!S$1,'2020'!$D:$D,Category!$C45)</f>
        <v>0</v>
      </c>
      <c r="T45" s="321">
        <f>SUMIFS('2020'!$I:$I,'2020'!$E:$E,Category!$B$26,'2020'!$N:$N,Category!T$1,'2020'!$D:$D,Category!$C45)</f>
        <v>0</v>
      </c>
      <c r="U45" s="321">
        <f>SUMIFS('2020'!$I:$I,'2020'!$E:$E,Category!$B$26,'2020'!$N:$N,Category!U$1,'2020'!$D:$D,Category!$C45)</f>
        <v>0</v>
      </c>
      <c r="V45" s="321">
        <f>SUMIFS('2020'!$I:$I,'2020'!$E:$E,Category!$B$26,'2020'!$N:$N,Category!V$1,'2020'!$D:$D,Category!$C45)</f>
        <v>0</v>
      </c>
      <c r="W45" s="321">
        <f>SUMIFS('2020'!$I:$I,'2020'!$E:$E,Category!$B$26,'2020'!$N:$N,Category!W$1,'2020'!$D:$D,Category!$C45)</f>
        <v>0</v>
      </c>
      <c r="X45" s="322">
        <f t="shared" si="16"/>
        <v>0</v>
      </c>
      <c r="Y45" s="500">
        <f>IFERROR(VLOOKUP(C45,'2021'!$D:$G,4,0),0)</f>
        <v>42</v>
      </c>
      <c r="Z45" s="321">
        <f>SUMIFS('2021'!$I:$I,'2021'!$E:$E,Category!$B$26,'2021'!$N:$N,Category!Z$1,'2021'!$D:$D,Category!$C45)</f>
        <v>0</v>
      </c>
      <c r="AA45" s="321">
        <f>SUMIFS('2021'!$I:$I,'2021'!$E:$E,Category!$B$26,'2021'!$N:$N,Category!AA$1,'2021'!$D:$D,Category!$C45)</f>
        <v>5500000</v>
      </c>
      <c r="AB45" s="321">
        <f>SUMIFS('2021'!$I:$I,'2021'!$E:$E,Category!$B$26,'2021'!$N:$N,Category!AB$1,'2021'!$D:$D,Category!$C45)</f>
        <v>5500000</v>
      </c>
      <c r="AC45" s="321">
        <f>SUMIFS('2021'!$I:$I,'2021'!$E:$E,Category!$B$26,'2021'!$N:$N,Category!AC$1,'2021'!$D:$D,Category!$C45)</f>
        <v>5482300</v>
      </c>
      <c r="AD45" s="321">
        <f>SUMIFS('2021'!$I:$I,'2021'!$E:$E,Category!$B$26,'2021'!$N:$N,Category!AD$1,'2021'!$D:$D,Category!$C45)</f>
        <v>5497210</v>
      </c>
      <c r="AE45" s="321">
        <f>SUMIFS('2021'!$I:$I,'2021'!$E:$E,Category!$B$26,'2021'!$N:$N,Category!AE$1,'2021'!$D:$D,Category!$C45)</f>
        <v>5493800</v>
      </c>
      <c r="AF45" s="321">
        <f>SUMIFS('2021'!$I:$I,'2021'!$E:$E,Category!$B$26,'2021'!$N:$N,Category!AF$1,'2021'!$D:$D,Category!$C45)</f>
        <v>0</v>
      </c>
      <c r="AG45" s="321">
        <f>SUMIFS('2021'!$I:$I,'2021'!$E:$E,Category!$B$26,'2021'!$N:$N,Category!AG$1,'2021'!$D:$D,Category!$C45)</f>
        <v>5999700</v>
      </c>
      <c r="AH45" s="321">
        <f>SUMIFS('2021'!$I:$I,'2021'!$E:$E,Category!$B$26,'2021'!$N:$N,Category!AH$1,'2021'!$D:$D,Category!$C45)</f>
        <v>0</v>
      </c>
      <c r="AI45" s="321">
        <f>SUMIFS('2021'!$I:$I,'2021'!$E:$E,Category!$B$26,'2021'!$N:$N,Category!AI$1,'2021'!$D:$D,Category!$C45)</f>
        <v>0</v>
      </c>
      <c r="AJ45" s="321">
        <f>SUMIFS('2021'!$I:$I,'2021'!$E:$E,Category!$B$26,'2021'!$N:$N,Category!AJ$1,'2021'!$D:$D,Category!$C45)</f>
        <v>12011800</v>
      </c>
      <c r="AK45" s="321">
        <f>SUMIFS('2021'!$I:$I,'2021'!$E:$E,Category!$B$26,'2021'!$N:$N,Category!AK$1,'2021'!$D:$D,Category!$C45)</f>
        <v>5999700</v>
      </c>
      <c r="AL45" s="322">
        <f t="shared" si="14"/>
        <v>51484510</v>
      </c>
      <c r="AM45" s="500">
        <f>IFERROR(VLOOKUP(C45,'2022'!$D:$G,4,0),0)</f>
        <v>42</v>
      </c>
      <c r="AN45" s="321">
        <f>SUMIFS('2022'!$I:$I,'2022'!$E:$E,Category!$B$26,'2022'!$N:$N,Category!AN$1,'2022'!$D:$D,Category!$C45)</f>
        <v>5999300</v>
      </c>
      <c r="AO45" s="321">
        <f>SUMIFS('2022'!$I:$I,'2022'!$E:$E,Category!$B$26,'2022'!$N:$N,Category!AO$1,'2022'!$D:$D,Category!$C45)</f>
        <v>0</v>
      </c>
      <c r="AP45" s="321">
        <f>SUMIFS('2022'!$I:$I,'2022'!$E:$E,Category!$B$26,'2022'!$N:$N,Category!AP$1,'2022'!$D:$D,Category!$C45)</f>
        <v>11998100</v>
      </c>
      <c r="AQ45" s="321">
        <f>SUMIFS('2022'!$I:$I,'2022'!$E:$E,Category!$B$26,'2022'!$N:$N,Category!AQ$1,'2022'!$D:$D,Category!$C45)</f>
        <v>6165300</v>
      </c>
      <c r="AR45" s="321">
        <f>SUMIFS('2022'!$I:$I,'2022'!$E:$E,Category!$B$26,'2022'!$N:$N,Category!AR$1,'2022'!$D:$D,Category!$C45)</f>
        <v>6140200</v>
      </c>
      <c r="AS45" s="321">
        <f>SUMIFS('2022'!$I:$I,'2022'!$E:$E,Category!$B$26,'2022'!$N:$N,Category!AS$1,'2022'!$D:$D,Category!$C45)</f>
        <v>5999500</v>
      </c>
      <c r="AT45" s="321">
        <f>SUMIFS('2022'!$I:$I,'2022'!$E:$E,Category!$B$26,'2022'!$N:$N,Category!AT$1,'2022'!$D:$D,Category!$C45)</f>
        <v>6000000</v>
      </c>
      <c r="AU45" s="321">
        <f>SUMIFS('2022'!$I:$I,'2022'!$E:$E,Category!$B$26,'2022'!$N:$N,Category!AU$1,'2022'!$D:$D,Category!$C45)</f>
        <v>6000000</v>
      </c>
      <c r="AV45" s="321">
        <f>SUMIFS('2022'!$I:$I,'2022'!$E:$E,Category!$B$26,'2022'!$N:$N,Category!AV$1,'2022'!$D:$D,Category!$C45)</f>
        <v>6249770</v>
      </c>
      <c r="AW45" s="321">
        <f>SUMIFS('2022'!$I:$I,'2022'!$E:$E,Category!$B$26,'2022'!$N:$N,Category!AW$1,'2022'!$D:$D,Category!$C45)</f>
        <v>6000000</v>
      </c>
      <c r="AX45" s="321">
        <f>SUMIFS('2022'!$I:$I,'2022'!$E:$E,Category!$B$26,'2022'!$N:$N,Category!AX$1,'2022'!$D:$D,Category!$C45)</f>
        <v>6000000</v>
      </c>
      <c r="AY45" s="321">
        <f>SUMIFS('2022'!$I:$I,'2022'!$E:$E,Category!$B$26,'2022'!$N:$N,Category!AY$1,'2022'!$D:$D,Category!$C45)</f>
        <v>7600670</v>
      </c>
      <c r="AZ45" s="322">
        <f t="shared" si="18"/>
        <v>74152840</v>
      </c>
      <c r="BA45" s="500">
        <f>IFERROR(VLOOKUP(C45,'2023'!$D:$G,4,0),0)</f>
        <v>0</v>
      </c>
      <c r="BB45" s="321">
        <f>SUMIFS('2023'!$I:$I,'2023'!$E:$E,Category!$B$26,'2023'!$N:$N,Category!BB$1,'2023'!$D:$D,Category!$C45)</f>
        <v>6000000</v>
      </c>
      <c r="BC45" s="321">
        <f>SUMIFS('2023'!$I:$I,'2023'!$E:$E,Category!$B$26,'2023'!$N:$N,Category!BC$1,'2023'!$D:$D,Category!$C45)</f>
        <v>6000000</v>
      </c>
      <c r="BD45" s="321">
        <f>SUMIFS('2023'!$I:$I,'2023'!$E:$E,Category!$B$26,'2023'!$N:$N,Category!BD$1,'2023'!$D:$D,Category!$C45)</f>
        <v>0</v>
      </c>
      <c r="BE45" s="321">
        <f>SUMIFS('2023'!$I:$I,'2023'!$E:$E,Category!$B$26,'2023'!$N:$N,Category!BE$1,'2023'!$D:$D,Category!$C45)</f>
        <v>0</v>
      </c>
      <c r="BF45" s="321">
        <f>SUMIFS('2023'!$I:$I,'2023'!$E:$E,Category!$B$26,'2023'!$N:$N,Category!BF$1,'2023'!$D:$D,Category!$C45)</f>
        <v>0</v>
      </c>
      <c r="BG45" s="321">
        <f>SUMIFS('2023'!$I:$I,'2023'!$E:$E,Category!$B$26,'2023'!$N:$N,Category!BG$1,'2023'!$D:$D,Category!$C45)</f>
        <v>0</v>
      </c>
      <c r="BH45" s="321">
        <f>SUMIFS('2023'!$I:$I,'2023'!$E:$E,Category!$B$26,'2023'!$N:$N,Category!BH$1,'2023'!$D:$D,Category!$C45)</f>
        <v>0</v>
      </c>
      <c r="BI45" s="321">
        <f>SUMIFS('2023'!$I:$I,'2023'!$E:$E,Category!$B$26,'2023'!$N:$N,Category!BI$1,'2023'!$D:$D,Category!$C45)</f>
        <v>0</v>
      </c>
      <c r="BJ45" s="321">
        <f>SUMIFS('2023'!$I:$I,'2023'!$E:$E,Category!$B$26,'2023'!$N:$N,Category!BJ$1,'2023'!$D:$D,Category!$C45)</f>
        <v>0</v>
      </c>
      <c r="BK45" s="321">
        <f>SUMIFS('2023'!$I:$I,'2023'!$E:$E,Category!$B$26,'2023'!$N:$N,Category!BK$1,'2023'!$D:$D,Category!$C45)</f>
        <v>0</v>
      </c>
      <c r="BL45" s="321">
        <f>SUMIFS('2023'!$I:$I,'2023'!$E:$E,Category!$B$26,'2023'!$N:$N,Category!BL$1,'2023'!$D:$D,Category!$C45)</f>
        <v>0</v>
      </c>
      <c r="BM45" s="321">
        <f>SUMIFS('2023'!$I:$I,'2023'!$E:$E,Category!$B$26,'2023'!$N:$N,Category!BM$1,'2023'!$D:$D,Category!$C45)</f>
        <v>0</v>
      </c>
      <c r="BN45" s="322">
        <f t="shared" si="17"/>
        <v>12000000</v>
      </c>
      <c r="BP45" s="1050"/>
      <c r="BQ45" s="1051"/>
      <c r="BR45" s="247"/>
      <c r="BS45" s="247"/>
      <c r="BT45" s="247"/>
      <c r="BU45" s="247"/>
      <c r="BV45" s="247"/>
      <c r="BW45" s="247"/>
    </row>
    <row r="46" spans="1:75" x14ac:dyDescent="0.25">
      <c r="A46" s="319"/>
      <c r="B46" s="324"/>
      <c r="C46" s="320" t="s">
        <v>853</v>
      </c>
      <c r="D46" s="513">
        <f>IFERROR(VLOOKUP($C46,'2019'!$D:$G,4,0),0)</f>
        <v>0</v>
      </c>
      <c r="E46" s="321">
        <f>SUMIFS('2019'!$I:$I,'2019'!$E:$E,Category!$B$26,'2019'!$N:$N,Category!E$1,'2019'!$D:$D,Category!$C46)</f>
        <v>0</v>
      </c>
      <c r="F46" s="321">
        <f>SUMIFS('2019'!$I:$I,'2019'!$E:$E,Category!$B$26,'2019'!$N:$N,Category!F$1,'2019'!$D:$D,Category!$C46)</f>
        <v>0</v>
      </c>
      <c r="G46" s="321">
        <f>SUMIFS('2019'!$I:$I,'2019'!$E:$E,Category!$B$26,'2019'!$N:$N,Category!G$1,'2019'!$D:$D,Category!$C46)</f>
        <v>0</v>
      </c>
      <c r="H46" s="321">
        <f>SUMIFS('2019'!$I:$I,'2019'!$E:$E,Category!$B$26,'2019'!$N:$N,Category!H$1,'2019'!$D:$D,Category!$C46)</f>
        <v>0</v>
      </c>
      <c r="I46" s="321">
        <f>SUMIFS('2019'!$I:$I,'2019'!$E:$E,Category!$B$26,'2019'!$N:$N,Category!I$1,'2019'!$D:$D,Category!$C46)</f>
        <v>0</v>
      </c>
      <c r="J46" s="322">
        <f t="shared" si="11"/>
        <v>0</v>
      </c>
      <c r="K46" s="500">
        <f>IFERROR(VLOOKUP($C46,'2020'!$D:$G,4,0),0)</f>
        <v>0</v>
      </c>
      <c r="L46" s="321">
        <f>SUMIFS('2020'!$I:$I,'2020'!$E:$E,Category!$B$26,'2020'!$N:$N,Category!L$1,'2020'!$D:$D,Category!$C46)</f>
        <v>0</v>
      </c>
      <c r="M46" s="321">
        <f>SUMIFS('2020'!$I:$I,'2020'!$E:$E,Category!$B$26,'2020'!$N:$N,Category!M$1,'2020'!$D:$D,Category!$C46)</f>
        <v>0</v>
      </c>
      <c r="N46" s="321">
        <f>SUMIFS('2020'!$I:$I,'2020'!$E:$E,Category!$B$26,'2020'!$N:$N,Category!N$1,'2020'!$D:$D,Category!$C46)</f>
        <v>0</v>
      </c>
      <c r="O46" s="321">
        <f>SUMIFS('2020'!$I:$I,'2020'!$E:$E,Category!$B$26,'2020'!$N:$N,Category!O$1,'2020'!$D:$D,Category!$C46)</f>
        <v>0</v>
      </c>
      <c r="P46" s="321">
        <f>SUMIFS('2020'!$I:$I,'2020'!$E:$E,Category!$B$26,'2020'!$N:$N,Category!P$1,'2020'!$D:$D,Category!$C46)</f>
        <v>0</v>
      </c>
      <c r="Q46" s="321">
        <f>SUMIFS('2020'!$I:$I,'2020'!$E:$E,Category!$B$26,'2020'!$N:$N,Category!Q$1,'2020'!$D:$D,Category!$C46)</f>
        <v>0</v>
      </c>
      <c r="R46" s="321">
        <f>SUMIFS('2020'!$I:$I,'2020'!$E:$E,Category!$B$26,'2020'!$N:$N,Category!R$1,'2020'!$D:$D,Category!$C46)</f>
        <v>0</v>
      </c>
      <c r="S46" s="321">
        <f>SUMIFS('2020'!$I:$I,'2020'!$E:$E,Category!$B$26,'2020'!$N:$N,Category!S$1,'2020'!$D:$D,Category!$C46)</f>
        <v>0</v>
      </c>
      <c r="T46" s="321">
        <f>SUMIFS('2020'!$I:$I,'2020'!$E:$E,Category!$B$26,'2020'!$N:$N,Category!T$1,'2020'!$D:$D,Category!$C46)</f>
        <v>0</v>
      </c>
      <c r="U46" s="321">
        <f>SUMIFS('2020'!$I:$I,'2020'!$E:$E,Category!$B$26,'2020'!$N:$N,Category!U$1,'2020'!$D:$D,Category!$C46)</f>
        <v>0</v>
      </c>
      <c r="V46" s="321">
        <f>SUMIFS('2020'!$I:$I,'2020'!$E:$E,Category!$B$26,'2020'!$N:$N,Category!V$1,'2020'!$D:$D,Category!$C46)</f>
        <v>0</v>
      </c>
      <c r="W46" s="321">
        <f>SUMIFS('2020'!$I:$I,'2020'!$E:$E,Category!$B$26,'2020'!$N:$N,Category!W$1,'2020'!$D:$D,Category!$C46)</f>
        <v>0</v>
      </c>
      <c r="X46" s="322">
        <f t="shared" si="16"/>
        <v>0</v>
      </c>
      <c r="Y46" s="500">
        <f>IFERROR(VLOOKUP(C46,'2021'!$D:$G,4,0),0)</f>
        <v>26</v>
      </c>
      <c r="Z46" s="321">
        <f>SUMIFS('2021'!$I:$I,'2021'!$E:$E,Category!$B$26,'2021'!$N:$N,Category!Z$1,'2021'!$D:$D,Category!$C46)</f>
        <v>0</v>
      </c>
      <c r="AA46" s="321">
        <f>SUMIFS('2021'!$I:$I,'2021'!$E:$E,Category!$B$26,'2021'!$N:$N,Category!AA$1,'2021'!$D:$D,Category!$C46)</f>
        <v>5500000</v>
      </c>
      <c r="AB46" s="321">
        <f>SUMIFS('2021'!$I:$I,'2021'!$E:$E,Category!$B$26,'2021'!$N:$N,Category!AB$1,'2021'!$D:$D,Category!$C46)</f>
        <v>0</v>
      </c>
      <c r="AC46" s="321">
        <f>SUMIFS('2021'!$I:$I,'2021'!$E:$E,Category!$B$26,'2021'!$N:$N,Category!AC$1,'2021'!$D:$D,Category!$C46)</f>
        <v>0</v>
      </c>
      <c r="AD46" s="321">
        <f>SUMIFS('2021'!$I:$I,'2021'!$E:$E,Category!$B$26,'2021'!$N:$N,Category!AD$1,'2021'!$D:$D,Category!$C46)</f>
        <v>5499730</v>
      </c>
      <c r="AE46" s="321">
        <f>SUMIFS('2021'!$I:$I,'2021'!$E:$E,Category!$B$26,'2021'!$N:$N,Category!AE$1,'2021'!$D:$D,Category!$C46)</f>
        <v>5447600</v>
      </c>
      <c r="AF46" s="321">
        <f>SUMIFS('2021'!$I:$I,'2021'!$E:$E,Category!$B$26,'2021'!$N:$N,Category!AF$1,'2021'!$D:$D,Category!$C46)</f>
        <v>0</v>
      </c>
      <c r="AG46" s="321">
        <f>SUMIFS('2021'!$I:$I,'2021'!$E:$E,Category!$B$26,'2021'!$N:$N,Category!AG$1,'2021'!$D:$D,Category!$C46)</f>
        <v>5998400</v>
      </c>
      <c r="AH46" s="321">
        <f>SUMIFS('2021'!$I:$I,'2021'!$E:$E,Category!$B$26,'2021'!$N:$N,Category!AH$1,'2021'!$D:$D,Category!$C46)</f>
        <v>0</v>
      </c>
      <c r="AI46" s="321">
        <f>SUMIFS('2021'!$I:$I,'2021'!$E:$E,Category!$B$26,'2021'!$N:$N,Category!AI$1,'2021'!$D:$D,Category!$C46)</f>
        <v>0</v>
      </c>
      <c r="AJ46" s="321">
        <f>SUMIFS('2021'!$I:$I,'2021'!$E:$E,Category!$B$26,'2021'!$N:$N,Category!AJ$1,'2021'!$D:$D,Category!$C46)</f>
        <v>11997200</v>
      </c>
      <c r="AK46" s="321">
        <f>SUMIFS('2021'!$I:$I,'2021'!$E:$E,Category!$B$26,'2021'!$N:$N,Category!AK$1,'2021'!$D:$D,Category!$C46)</f>
        <v>6000200</v>
      </c>
      <c r="AL46" s="322">
        <f t="shared" si="14"/>
        <v>40443130</v>
      </c>
      <c r="AM46" s="500">
        <f>IFERROR(VLOOKUP(C46,'2022'!$D:$G,4,0),0)</f>
        <v>25</v>
      </c>
      <c r="AN46" s="321">
        <f>SUMIFS('2022'!$I:$I,'2022'!$E:$E,Category!$B$26,'2022'!$N:$N,Category!AN$1,'2022'!$D:$D,Category!$C46)</f>
        <v>5999100</v>
      </c>
      <c r="AO46" s="321">
        <f>SUMIFS('2022'!$I:$I,'2022'!$E:$E,Category!$B$26,'2022'!$N:$N,Category!AO$1,'2022'!$D:$D,Category!$C46)</f>
        <v>0</v>
      </c>
      <c r="AP46" s="321">
        <f>SUMIFS('2022'!$I:$I,'2022'!$E:$E,Category!$B$26,'2022'!$N:$N,Category!AP$1,'2022'!$D:$D,Category!$C46)</f>
        <v>11997900</v>
      </c>
      <c r="AQ46" s="321">
        <f>SUMIFS('2022'!$I:$I,'2022'!$E:$E,Category!$B$26,'2022'!$N:$N,Category!AQ$1,'2022'!$D:$D,Category!$C46)</f>
        <v>6212300</v>
      </c>
      <c r="AR46" s="321">
        <f>SUMIFS('2022'!$I:$I,'2022'!$E:$E,Category!$B$26,'2022'!$N:$N,Category!AR$1,'2022'!$D:$D,Category!$C46)</f>
        <v>6286400</v>
      </c>
      <c r="AS46" s="321">
        <f>SUMIFS('2022'!$I:$I,'2022'!$E:$E,Category!$B$26,'2022'!$N:$N,Category!AS$1,'2022'!$D:$D,Category!$C46)</f>
        <v>6286400</v>
      </c>
      <c r="AT46" s="321">
        <f>SUMIFS('2022'!$I:$I,'2022'!$E:$E,Category!$B$26,'2022'!$N:$N,Category!AT$1,'2022'!$D:$D,Category!$C46)</f>
        <v>6000000</v>
      </c>
      <c r="AU46" s="321">
        <f>SUMIFS('2022'!$I:$I,'2022'!$E:$E,Category!$B$26,'2022'!$N:$N,Category!AU$1,'2022'!$D:$D,Category!$C46)</f>
        <v>6000000</v>
      </c>
      <c r="AV46" s="321">
        <f>SUMIFS('2022'!$I:$I,'2022'!$E:$E,Category!$B$26,'2022'!$N:$N,Category!AV$1,'2022'!$D:$D,Category!$C46)</f>
        <v>6000000</v>
      </c>
      <c r="AW46" s="321">
        <f>SUMIFS('2022'!$I:$I,'2022'!$E:$E,Category!$B$26,'2022'!$N:$N,Category!AW$1,'2022'!$D:$D,Category!$C46)</f>
        <v>6000000</v>
      </c>
      <c r="AX46" s="321">
        <f>SUMIFS('2022'!$I:$I,'2022'!$E:$E,Category!$B$26,'2022'!$N:$N,Category!AX$1,'2022'!$D:$D,Category!$C46)</f>
        <v>6000000</v>
      </c>
      <c r="AY46" s="321">
        <f>SUMIFS('2022'!$I:$I,'2022'!$E:$E,Category!$B$26,'2022'!$N:$N,Category!AY$1,'2022'!$D:$D,Category!$C46)</f>
        <v>7902200</v>
      </c>
      <c r="AZ46" s="322">
        <f t="shared" si="18"/>
        <v>74684300</v>
      </c>
      <c r="BA46" s="500">
        <f>IFERROR(VLOOKUP(C46,'2023'!$D:$G,4,0),0)</f>
        <v>25</v>
      </c>
      <c r="BB46" s="321">
        <f>SUMIFS('2023'!$I:$I,'2023'!$E:$E,Category!$B$26,'2023'!$N:$N,Category!BB$1,'2023'!$D:$D,Category!$C46)</f>
        <v>8574780</v>
      </c>
      <c r="BC46" s="321">
        <f>SUMIFS('2023'!$I:$I,'2023'!$E:$E,Category!$B$26,'2023'!$N:$N,Category!BC$1,'2023'!$D:$D,Category!$C46)</f>
        <v>6000000</v>
      </c>
      <c r="BD46" s="321">
        <f>SUMIFS('2023'!$I:$I,'2023'!$E:$E,Category!$B$26,'2023'!$N:$N,Category!BD$1,'2023'!$D:$D,Category!$C46)</f>
        <v>0</v>
      </c>
      <c r="BE46" s="321">
        <f>SUMIFS('2023'!$I:$I,'2023'!$E:$E,Category!$B$26,'2023'!$N:$N,Category!BE$1,'2023'!$D:$D,Category!$C46)</f>
        <v>0</v>
      </c>
      <c r="BF46" s="321">
        <f>SUMIFS('2023'!$I:$I,'2023'!$E:$E,Category!$B$26,'2023'!$N:$N,Category!BF$1,'2023'!$D:$D,Category!$C46)</f>
        <v>0</v>
      </c>
      <c r="BG46" s="321">
        <f>SUMIFS('2023'!$I:$I,'2023'!$E:$E,Category!$B$26,'2023'!$N:$N,Category!BG$1,'2023'!$D:$D,Category!$C46)</f>
        <v>0</v>
      </c>
      <c r="BH46" s="321">
        <f>SUMIFS('2023'!$I:$I,'2023'!$E:$E,Category!$B$26,'2023'!$N:$N,Category!BH$1,'2023'!$D:$D,Category!$C46)</f>
        <v>0</v>
      </c>
      <c r="BI46" s="321">
        <f>SUMIFS('2023'!$I:$I,'2023'!$E:$E,Category!$B$26,'2023'!$N:$N,Category!BI$1,'2023'!$D:$D,Category!$C46)</f>
        <v>0</v>
      </c>
      <c r="BJ46" s="321">
        <f>SUMIFS('2023'!$I:$I,'2023'!$E:$E,Category!$B$26,'2023'!$N:$N,Category!BJ$1,'2023'!$D:$D,Category!$C46)</f>
        <v>0</v>
      </c>
      <c r="BK46" s="321">
        <f>SUMIFS('2023'!$I:$I,'2023'!$E:$E,Category!$B$26,'2023'!$N:$N,Category!BK$1,'2023'!$D:$D,Category!$C46)</f>
        <v>0</v>
      </c>
      <c r="BL46" s="321">
        <f>SUMIFS('2023'!$I:$I,'2023'!$E:$E,Category!$B$26,'2023'!$N:$N,Category!BL$1,'2023'!$D:$D,Category!$C46)</f>
        <v>0</v>
      </c>
      <c r="BM46" s="321">
        <f>SUMIFS('2023'!$I:$I,'2023'!$E:$E,Category!$B$26,'2023'!$N:$N,Category!BM$1,'2023'!$D:$D,Category!$C46)</f>
        <v>0</v>
      </c>
      <c r="BN46" s="322">
        <f t="shared" si="17"/>
        <v>14574780</v>
      </c>
      <c r="BP46" s="1050">
        <v>6249780</v>
      </c>
      <c r="BQ46" s="1051" t="s">
        <v>1968</v>
      </c>
      <c r="BR46" s="247"/>
      <c r="BS46" s="247"/>
      <c r="BT46" s="247"/>
      <c r="BU46" s="247"/>
      <c r="BV46" s="247"/>
      <c r="BW46" s="247"/>
    </row>
    <row r="47" spans="1:75" x14ac:dyDescent="0.25">
      <c r="A47" s="319"/>
      <c r="B47" s="324"/>
      <c r="C47" s="320" t="s">
        <v>854</v>
      </c>
      <c r="D47" s="513">
        <f>IFERROR(VLOOKUP($C47,'2019'!$D:$G,4,0),0)</f>
        <v>0</v>
      </c>
      <c r="E47" s="321">
        <f>SUMIFS('2019'!$I:$I,'2019'!$E:$E,Category!$B$26,'2019'!$N:$N,Category!E$1,'2019'!$D:$D,Category!$C47)</f>
        <v>0</v>
      </c>
      <c r="F47" s="321">
        <f>SUMIFS('2019'!$I:$I,'2019'!$E:$E,Category!$B$26,'2019'!$N:$N,Category!F$1,'2019'!$D:$D,Category!$C47)</f>
        <v>0</v>
      </c>
      <c r="G47" s="321">
        <f>SUMIFS('2019'!$I:$I,'2019'!$E:$E,Category!$B$26,'2019'!$N:$N,Category!G$1,'2019'!$D:$D,Category!$C47)</f>
        <v>0</v>
      </c>
      <c r="H47" s="321">
        <f>SUMIFS('2019'!$I:$I,'2019'!$E:$E,Category!$B$26,'2019'!$N:$N,Category!H$1,'2019'!$D:$D,Category!$C47)</f>
        <v>0</v>
      </c>
      <c r="I47" s="321">
        <f>SUMIFS('2019'!$I:$I,'2019'!$E:$E,Category!$B$26,'2019'!$N:$N,Category!I$1,'2019'!$D:$D,Category!$C47)</f>
        <v>0</v>
      </c>
      <c r="J47" s="322">
        <f t="shared" si="11"/>
        <v>0</v>
      </c>
      <c r="K47" s="500">
        <f>IFERROR(VLOOKUP($C47,'2020'!$D:$G,4,0),0)</f>
        <v>0</v>
      </c>
      <c r="L47" s="321">
        <f>SUMIFS('2020'!$I:$I,'2020'!$E:$E,Category!$B$26,'2020'!$N:$N,Category!L$1,'2020'!$D:$D,Category!$C47)</f>
        <v>0</v>
      </c>
      <c r="M47" s="321">
        <f>SUMIFS('2020'!$I:$I,'2020'!$E:$E,Category!$B$26,'2020'!$N:$N,Category!M$1,'2020'!$D:$D,Category!$C47)</f>
        <v>0</v>
      </c>
      <c r="N47" s="321">
        <f>SUMIFS('2020'!$I:$I,'2020'!$E:$E,Category!$B$26,'2020'!$N:$N,Category!N$1,'2020'!$D:$D,Category!$C47)</f>
        <v>0</v>
      </c>
      <c r="O47" s="321">
        <f>SUMIFS('2020'!$I:$I,'2020'!$E:$E,Category!$B$26,'2020'!$N:$N,Category!O$1,'2020'!$D:$D,Category!$C47)</f>
        <v>0</v>
      </c>
      <c r="P47" s="321">
        <f>SUMIFS('2020'!$I:$I,'2020'!$E:$E,Category!$B$26,'2020'!$N:$N,Category!P$1,'2020'!$D:$D,Category!$C47)</f>
        <v>0</v>
      </c>
      <c r="Q47" s="321">
        <f>SUMIFS('2020'!$I:$I,'2020'!$E:$E,Category!$B$26,'2020'!$N:$N,Category!Q$1,'2020'!$D:$D,Category!$C47)</f>
        <v>0</v>
      </c>
      <c r="R47" s="321">
        <f>SUMIFS('2020'!$I:$I,'2020'!$E:$E,Category!$B$26,'2020'!$N:$N,Category!R$1,'2020'!$D:$D,Category!$C47)</f>
        <v>0</v>
      </c>
      <c r="S47" s="321">
        <f>SUMIFS('2020'!$I:$I,'2020'!$E:$E,Category!$B$26,'2020'!$N:$N,Category!S$1,'2020'!$D:$D,Category!$C47)</f>
        <v>0</v>
      </c>
      <c r="T47" s="321">
        <f>SUMIFS('2020'!$I:$I,'2020'!$E:$E,Category!$B$26,'2020'!$N:$N,Category!T$1,'2020'!$D:$D,Category!$C47)</f>
        <v>0</v>
      </c>
      <c r="U47" s="321">
        <f>SUMIFS('2020'!$I:$I,'2020'!$E:$E,Category!$B$26,'2020'!$N:$N,Category!U$1,'2020'!$D:$D,Category!$C47)</f>
        <v>0</v>
      </c>
      <c r="V47" s="321">
        <f>SUMIFS('2020'!$I:$I,'2020'!$E:$E,Category!$B$26,'2020'!$N:$N,Category!V$1,'2020'!$D:$D,Category!$C47)</f>
        <v>0</v>
      </c>
      <c r="W47" s="321">
        <f>SUMIFS('2020'!$I:$I,'2020'!$E:$E,Category!$B$26,'2020'!$N:$N,Category!W$1,'2020'!$D:$D,Category!$C47)</f>
        <v>0</v>
      </c>
      <c r="X47" s="322">
        <f t="shared" si="16"/>
        <v>0</v>
      </c>
      <c r="Y47" s="500">
        <f>IFERROR(VLOOKUP(C47,'2021'!$D:$G,4,0),0)</f>
        <v>150</v>
      </c>
      <c r="Z47" s="321">
        <f>SUMIFS('2021'!$I:$I,'2021'!$E:$E,Category!$B$26,'2021'!$N:$N,Category!Z$1,'2021'!$D:$D,Category!$C47)</f>
        <v>0</v>
      </c>
      <c r="AA47" s="321">
        <f>SUMIFS('2021'!$I:$I,'2021'!$E:$E,Category!$B$26,'2021'!$N:$N,Category!AA$1,'2021'!$D:$D,Category!$C47)</f>
        <v>0</v>
      </c>
      <c r="AB47" s="321">
        <f>SUMIFS('2021'!$I:$I,'2021'!$E:$E,Category!$B$26,'2021'!$N:$N,Category!AB$1,'2021'!$D:$D,Category!$C47)</f>
        <v>5500000</v>
      </c>
      <c r="AC47" s="321">
        <f>SUMIFS('2021'!$I:$I,'2021'!$E:$E,Category!$B$26,'2021'!$N:$N,Category!AC$1,'2021'!$D:$D,Category!$C47)</f>
        <v>0</v>
      </c>
      <c r="AD47" s="321">
        <f>SUMIFS('2021'!$I:$I,'2021'!$E:$E,Category!$B$26,'2021'!$N:$N,Category!AD$1,'2021'!$D:$D,Category!$C47)</f>
        <v>5498600</v>
      </c>
      <c r="AE47" s="321">
        <f>SUMIFS('2021'!$I:$I,'2021'!$E:$E,Category!$B$26,'2021'!$N:$N,Category!AE$1,'2021'!$D:$D,Category!$C47)</f>
        <v>5438200</v>
      </c>
      <c r="AF47" s="321">
        <f>SUMIFS('2021'!$I:$I,'2021'!$E:$E,Category!$B$26,'2021'!$N:$N,Category!AF$1,'2021'!$D:$D,Category!$C47)</f>
        <v>0</v>
      </c>
      <c r="AG47" s="321">
        <f>SUMIFS('2021'!$I:$I,'2021'!$E:$E,Category!$B$26,'2021'!$N:$N,Category!AG$1,'2021'!$D:$D,Category!$C47)</f>
        <v>5999800</v>
      </c>
      <c r="AH47" s="321">
        <f>SUMIFS('2021'!$I:$I,'2021'!$E:$E,Category!$B$26,'2021'!$N:$N,Category!AH$1,'2021'!$D:$D,Category!$C47)</f>
        <v>0</v>
      </c>
      <c r="AI47" s="321">
        <f>SUMIFS('2021'!$I:$I,'2021'!$E:$E,Category!$B$26,'2021'!$N:$N,Category!AI$1,'2021'!$D:$D,Category!$C47)</f>
        <v>0</v>
      </c>
      <c r="AJ47" s="321">
        <f>SUMIFS('2021'!$I:$I,'2021'!$E:$E,Category!$B$26,'2021'!$N:$N,Category!AJ$1,'2021'!$D:$D,Category!$C47)</f>
        <v>12217600</v>
      </c>
      <c r="AK47" s="321">
        <f>SUMIFS('2021'!$I:$I,'2021'!$E:$E,Category!$B$26,'2021'!$N:$N,Category!AK$1,'2021'!$D:$D,Category!$C47)</f>
        <v>6000200</v>
      </c>
      <c r="AL47" s="322">
        <f t="shared" si="14"/>
        <v>40654400</v>
      </c>
      <c r="AM47" s="500">
        <f>IFERROR(VLOOKUP(C47,'2022'!$D:$G,4,0),0)</f>
        <v>118</v>
      </c>
      <c r="AN47" s="321">
        <f>SUMIFS('2022'!$I:$I,'2022'!$E:$E,Category!$B$26,'2022'!$N:$N,Category!AN$1,'2022'!$D:$D,Category!$C47)</f>
        <v>6000200</v>
      </c>
      <c r="AO47" s="321">
        <f>SUMIFS('2022'!$I:$I,'2022'!$E:$E,Category!$B$26,'2022'!$N:$N,Category!AO$1,'2022'!$D:$D,Category!$C47)</f>
        <v>0</v>
      </c>
      <c r="AP47" s="321">
        <f>SUMIFS('2022'!$I:$I,'2022'!$E:$E,Category!$B$26,'2022'!$N:$N,Category!AP$1,'2022'!$D:$D,Category!$C47)</f>
        <v>11998600</v>
      </c>
      <c r="AQ47" s="321">
        <f>SUMIFS('2022'!$I:$I,'2022'!$E:$E,Category!$B$26,'2022'!$N:$N,Category!AQ$1,'2022'!$D:$D,Category!$C47)</f>
        <v>6186600</v>
      </c>
      <c r="AR47" s="321">
        <f>SUMIFS('2022'!$I:$I,'2022'!$E:$E,Category!$B$26,'2022'!$N:$N,Category!AR$1,'2022'!$D:$D,Category!$C47)</f>
        <v>6226600</v>
      </c>
      <c r="AS47" s="321">
        <f>SUMIFS('2022'!$I:$I,'2022'!$E:$E,Category!$B$26,'2022'!$N:$N,Category!AS$1,'2022'!$D:$D,Category!$C47)</f>
        <v>6226600</v>
      </c>
      <c r="AT47" s="321">
        <f>SUMIFS('2022'!$I:$I,'2022'!$E:$E,Category!$B$26,'2022'!$N:$N,Category!AT$1,'2022'!$D:$D,Category!$C47)</f>
        <v>6000000</v>
      </c>
      <c r="AU47" s="321">
        <f>SUMIFS('2022'!$I:$I,'2022'!$E:$E,Category!$B$26,'2022'!$N:$N,Category!AU$1,'2022'!$D:$D,Category!$C47)</f>
        <v>6000000</v>
      </c>
      <c r="AV47" s="321">
        <f>SUMIFS('2022'!$I:$I,'2022'!$E:$E,Category!$B$26,'2022'!$N:$N,Category!AV$1,'2022'!$D:$D,Category!$C47)</f>
        <v>6000000</v>
      </c>
      <c r="AW47" s="321">
        <f>SUMIFS('2022'!$I:$I,'2022'!$E:$E,Category!$B$26,'2022'!$N:$N,Category!AW$1,'2022'!$D:$D,Category!$C47)</f>
        <v>6000000</v>
      </c>
      <c r="AX47" s="321">
        <f>SUMIFS('2022'!$I:$I,'2022'!$E:$E,Category!$B$26,'2022'!$N:$N,Category!AX$1,'2022'!$D:$D,Category!$C47)</f>
        <v>6000000</v>
      </c>
      <c r="AY47" s="321">
        <f>SUMIFS('2022'!$I:$I,'2022'!$E:$E,Category!$B$26,'2022'!$N:$N,Category!AY$1,'2022'!$D:$D,Category!$C47)</f>
        <v>6000000</v>
      </c>
      <c r="AZ47" s="322">
        <f t="shared" si="18"/>
        <v>72638600</v>
      </c>
      <c r="BA47" s="500">
        <f>IFERROR(VLOOKUP(C47,'2023'!$D:$G,4,0),0)</f>
        <v>118</v>
      </c>
      <c r="BB47" s="321">
        <f>SUMIFS('2023'!$I:$I,'2023'!$E:$E,Category!$B$26,'2023'!$N:$N,Category!BB$1,'2023'!$D:$D,Category!$C47)</f>
        <v>6250650</v>
      </c>
      <c r="BC47" s="321">
        <f>SUMIFS('2023'!$I:$I,'2023'!$E:$E,Category!$B$26,'2023'!$N:$N,Category!BC$1,'2023'!$D:$D,Category!$C47)</f>
        <v>6000000</v>
      </c>
      <c r="BD47" s="321">
        <f>SUMIFS('2023'!$I:$I,'2023'!$E:$E,Category!$B$26,'2023'!$N:$N,Category!BD$1,'2023'!$D:$D,Category!$C47)</f>
        <v>0</v>
      </c>
      <c r="BE47" s="321">
        <f>SUMIFS('2023'!$I:$I,'2023'!$E:$E,Category!$B$26,'2023'!$N:$N,Category!BE$1,'2023'!$D:$D,Category!$C47)</f>
        <v>0</v>
      </c>
      <c r="BF47" s="321">
        <f>SUMIFS('2023'!$I:$I,'2023'!$E:$E,Category!$B$26,'2023'!$N:$N,Category!BF$1,'2023'!$D:$D,Category!$C47)</f>
        <v>0</v>
      </c>
      <c r="BG47" s="321">
        <f>SUMIFS('2023'!$I:$I,'2023'!$E:$E,Category!$B$26,'2023'!$N:$N,Category!BG$1,'2023'!$D:$D,Category!$C47)</f>
        <v>0</v>
      </c>
      <c r="BH47" s="321">
        <f>SUMIFS('2023'!$I:$I,'2023'!$E:$E,Category!$B$26,'2023'!$N:$N,Category!BH$1,'2023'!$D:$D,Category!$C47)</f>
        <v>0</v>
      </c>
      <c r="BI47" s="321">
        <f>SUMIFS('2023'!$I:$I,'2023'!$E:$E,Category!$B$26,'2023'!$N:$N,Category!BI$1,'2023'!$D:$D,Category!$C47)</f>
        <v>0</v>
      </c>
      <c r="BJ47" s="321">
        <f>SUMIFS('2023'!$I:$I,'2023'!$E:$E,Category!$B$26,'2023'!$N:$N,Category!BJ$1,'2023'!$D:$D,Category!$C47)</f>
        <v>0</v>
      </c>
      <c r="BK47" s="321">
        <f>SUMIFS('2023'!$I:$I,'2023'!$E:$E,Category!$B$26,'2023'!$N:$N,Category!BK$1,'2023'!$D:$D,Category!$C47)</f>
        <v>0</v>
      </c>
      <c r="BL47" s="321">
        <f>SUMIFS('2023'!$I:$I,'2023'!$E:$E,Category!$B$26,'2023'!$N:$N,Category!BL$1,'2023'!$D:$D,Category!$C47)</f>
        <v>0</v>
      </c>
      <c r="BM47" s="321">
        <f>SUMIFS('2023'!$I:$I,'2023'!$E:$E,Category!$B$26,'2023'!$N:$N,Category!BM$1,'2023'!$D:$D,Category!$C47)</f>
        <v>0</v>
      </c>
      <c r="BN47" s="322">
        <f t="shared" si="17"/>
        <v>12250650</v>
      </c>
      <c r="BP47" s="1050">
        <v>2325000</v>
      </c>
      <c r="BQ47" s="1051" t="s">
        <v>2068</v>
      </c>
      <c r="BR47" s="247"/>
      <c r="BS47" s="247"/>
      <c r="BT47" s="247"/>
      <c r="BU47" s="247"/>
      <c r="BV47" s="247"/>
      <c r="BW47" s="247"/>
    </row>
    <row r="48" spans="1:75" x14ac:dyDescent="0.25">
      <c r="A48" s="319"/>
      <c r="B48" s="324"/>
      <c r="C48" s="320" t="s">
        <v>855</v>
      </c>
      <c r="D48" s="513">
        <f>IFERROR(VLOOKUP($C48,'2019'!$D:$G,4,0),0)</f>
        <v>0</v>
      </c>
      <c r="E48" s="321">
        <f>SUMIFS('2019'!$I:$I,'2019'!$E:$E,Category!$B$26,'2019'!$N:$N,Category!E$1,'2019'!$D:$D,Category!$C48)</f>
        <v>0</v>
      </c>
      <c r="F48" s="321">
        <f>SUMIFS('2019'!$I:$I,'2019'!$E:$E,Category!$B$26,'2019'!$N:$N,Category!F$1,'2019'!$D:$D,Category!$C48)</f>
        <v>0</v>
      </c>
      <c r="G48" s="321">
        <f>SUMIFS('2019'!$I:$I,'2019'!$E:$E,Category!$B$26,'2019'!$N:$N,Category!G$1,'2019'!$D:$D,Category!$C48)</f>
        <v>0</v>
      </c>
      <c r="H48" s="321">
        <f>SUMIFS('2019'!$I:$I,'2019'!$E:$E,Category!$B$26,'2019'!$N:$N,Category!H$1,'2019'!$D:$D,Category!$C48)</f>
        <v>0</v>
      </c>
      <c r="I48" s="321">
        <f>SUMIFS('2019'!$I:$I,'2019'!$E:$E,Category!$B$26,'2019'!$N:$N,Category!I$1,'2019'!$D:$D,Category!$C48)</f>
        <v>0</v>
      </c>
      <c r="J48" s="322">
        <f t="shared" si="11"/>
        <v>0</v>
      </c>
      <c r="K48" s="500">
        <f>IFERROR(VLOOKUP($C48,'2020'!$D:$G,4,0),0)</f>
        <v>0</v>
      </c>
      <c r="L48" s="321">
        <f>SUMIFS('2020'!$I:$I,'2020'!$E:$E,Category!$B$26,'2020'!$N:$N,Category!L$1,'2020'!$D:$D,Category!$C48)</f>
        <v>0</v>
      </c>
      <c r="M48" s="321">
        <f>SUMIFS('2020'!$I:$I,'2020'!$E:$E,Category!$B$26,'2020'!$N:$N,Category!M$1,'2020'!$D:$D,Category!$C48)</f>
        <v>0</v>
      </c>
      <c r="N48" s="321">
        <f>SUMIFS('2020'!$I:$I,'2020'!$E:$E,Category!$B$26,'2020'!$N:$N,Category!N$1,'2020'!$D:$D,Category!$C48)</f>
        <v>0</v>
      </c>
      <c r="O48" s="321">
        <f>SUMIFS('2020'!$I:$I,'2020'!$E:$E,Category!$B$26,'2020'!$N:$N,Category!O$1,'2020'!$D:$D,Category!$C48)</f>
        <v>0</v>
      </c>
      <c r="P48" s="321">
        <f>SUMIFS('2020'!$I:$I,'2020'!$E:$E,Category!$B$26,'2020'!$N:$N,Category!P$1,'2020'!$D:$D,Category!$C48)</f>
        <v>0</v>
      </c>
      <c r="Q48" s="321">
        <f>SUMIFS('2020'!$I:$I,'2020'!$E:$E,Category!$B$26,'2020'!$N:$N,Category!Q$1,'2020'!$D:$D,Category!$C48)</f>
        <v>0</v>
      </c>
      <c r="R48" s="321">
        <f>SUMIFS('2020'!$I:$I,'2020'!$E:$E,Category!$B$26,'2020'!$N:$N,Category!R$1,'2020'!$D:$D,Category!$C48)</f>
        <v>0</v>
      </c>
      <c r="S48" s="321">
        <f>SUMIFS('2020'!$I:$I,'2020'!$E:$E,Category!$B$26,'2020'!$N:$N,Category!S$1,'2020'!$D:$D,Category!$C48)</f>
        <v>0</v>
      </c>
      <c r="T48" s="321">
        <f>SUMIFS('2020'!$I:$I,'2020'!$E:$E,Category!$B$26,'2020'!$N:$N,Category!T$1,'2020'!$D:$D,Category!$C48)</f>
        <v>0</v>
      </c>
      <c r="U48" s="321">
        <f>SUMIFS('2020'!$I:$I,'2020'!$E:$E,Category!$B$26,'2020'!$N:$N,Category!U$1,'2020'!$D:$D,Category!$C48)</f>
        <v>0</v>
      </c>
      <c r="V48" s="321">
        <f>SUMIFS('2020'!$I:$I,'2020'!$E:$E,Category!$B$26,'2020'!$N:$N,Category!V$1,'2020'!$D:$D,Category!$C48)</f>
        <v>0</v>
      </c>
      <c r="W48" s="321">
        <f>SUMIFS('2020'!$I:$I,'2020'!$E:$E,Category!$B$26,'2020'!$N:$N,Category!W$1,'2020'!$D:$D,Category!$C48)</f>
        <v>0</v>
      </c>
      <c r="X48" s="322">
        <f t="shared" si="16"/>
        <v>0</v>
      </c>
      <c r="Y48" s="500">
        <f>IFERROR(VLOOKUP(C48,'2021'!$D:$G,4,0),0)</f>
        <v>91</v>
      </c>
      <c r="Z48" s="321">
        <f>SUMIFS('2021'!$I:$I,'2021'!$E:$E,Category!$B$26,'2021'!$N:$N,Category!Z$1,'2021'!$D:$D,Category!$C48)</f>
        <v>5500000</v>
      </c>
      <c r="AA48" s="321">
        <f>SUMIFS('2021'!$I:$I,'2021'!$E:$E,Category!$B$26,'2021'!$N:$N,Category!AA$1,'2021'!$D:$D,Category!$C48)</f>
        <v>0</v>
      </c>
      <c r="AB48" s="321">
        <f>SUMIFS('2021'!$I:$I,'2021'!$E:$E,Category!$B$26,'2021'!$N:$N,Category!AB$1,'2021'!$D:$D,Category!$C48)</f>
        <v>5500000</v>
      </c>
      <c r="AC48" s="321">
        <f>SUMIFS('2021'!$I:$I,'2021'!$E:$E,Category!$B$26,'2021'!$N:$N,Category!AC$1,'2021'!$D:$D,Category!$C48)</f>
        <v>5485700</v>
      </c>
      <c r="AD48" s="321">
        <f>SUMIFS('2021'!$I:$I,'2021'!$E:$E,Category!$B$26,'2021'!$N:$N,Category!AD$1,'2021'!$D:$D,Category!$C48)</f>
        <v>5497480</v>
      </c>
      <c r="AE48" s="321">
        <f>SUMIFS('2021'!$I:$I,'2021'!$E:$E,Category!$B$26,'2021'!$N:$N,Category!AE$1,'2021'!$D:$D,Category!$C48)</f>
        <v>5484400</v>
      </c>
      <c r="AF48" s="321">
        <f>SUMIFS('2021'!$I:$I,'2021'!$E:$E,Category!$B$26,'2021'!$N:$N,Category!AF$1,'2021'!$D:$D,Category!$C48)</f>
        <v>0</v>
      </c>
      <c r="AG48" s="321">
        <f>SUMIFS('2021'!$I:$I,'2021'!$E:$E,Category!$B$26,'2021'!$N:$N,Category!AG$1,'2021'!$D:$D,Category!$C48)</f>
        <v>5999000</v>
      </c>
      <c r="AH48" s="321">
        <f>SUMIFS('2021'!$I:$I,'2021'!$E:$E,Category!$B$26,'2021'!$N:$N,Category!AH$1,'2021'!$D:$D,Category!$C48)</f>
        <v>0</v>
      </c>
      <c r="AI48" s="321">
        <f>SUMIFS('2021'!$I:$I,'2021'!$E:$E,Category!$B$26,'2021'!$N:$N,Category!AI$1,'2021'!$D:$D,Category!$C48)</f>
        <v>0</v>
      </c>
      <c r="AJ48" s="321">
        <f>SUMIFS('2021'!$I:$I,'2021'!$E:$E,Category!$B$26,'2021'!$N:$N,Category!AJ$1,'2021'!$D:$D,Category!$C48)</f>
        <v>12573800</v>
      </c>
      <c r="AK48" s="321">
        <f>SUMIFS('2021'!$I:$I,'2021'!$E:$E,Category!$B$26,'2021'!$N:$N,Category!AK$1,'2021'!$D:$D,Category!$C48)</f>
        <v>6000800</v>
      </c>
      <c r="AL48" s="322">
        <f t="shared" si="14"/>
        <v>52041180</v>
      </c>
      <c r="AM48" s="500">
        <f>IFERROR(VLOOKUP(C48,'2022'!$D:$G,4,0),0)</f>
        <v>91</v>
      </c>
      <c r="AN48" s="321">
        <f>SUMIFS('2022'!$I:$I,'2022'!$E:$E,Category!$B$26,'2022'!$N:$N,Category!AN$1,'2022'!$D:$D,Category!$C48)</f>
        <v>6000500</v>
      </c>
      <c r="AO48" s="321">
        <f>SUMIFS('2022'!$I:$I,'2022'!$E:$E,Category!$B$26,'2022'!$N:$N,Category!AO$1,'2022'!$D:$D,Category!$C48)</f>
        <v>0</v>
      </c>
      <c r="AP48" s="321">
        <f>SUMIFS('2022'!$I:$I,'2022'!$E:$E,Category!$B$26,'2022'!$N:$N,Category!AP$1,'2022'!$D:$D,Category!$C48)</f>
        <v>11997600</v>
      </c>
      <c r="AQ48" s="321">
        <f>SUMIFS('2022'!$I:$I,'2022'!$E:$E,Category!$B$26,'2022'!$N:$N,Category!AQ$1,'2022'!$D:$D,Category!$C48)</f>
        <v>6235000</v>
      </c>
      <c r="AR48" s="321">
        <f>SUMIFS('2022'!$I:$I,'2022'!$E:$E,Category!$B$26,'2022'!$N:$N,Category!AR$1,'2022'!$D:$D,Category!$C48)</f>
        <v>6280500</v>
      </c>
      <c r="AS48" s="321">
        <f>SUMIFS('2022'!$I:$I,'2022'!$E:$E,Category!$B$26,'2022'!$N:$N,Category!AS$1,'2022'!$D:$D,Category!$C48)</f>
        <v>6004200</v>
      </c>
      <c r="AT48" s="321">
        <f>SUMIFS('2022'!$I:$I,'2022'!$E:$E,Category!$B$26,'2022'!$N:$N,Category!AT$1,'2022'!$D:$D,Category!$C48)</f>
        <v>6000000</v>
      </c>
      <c r="AU48" s="321">
        <f>SUMIFS('2022'!$I:$I,'2022'!$E:$E,Category!$B$26,'2022'!$N:$N,Category!AU$1,'2022'!$D:$D,Category!$C48)</f>
        <v>6000000</v>
      </c>
      <c r="AV48" s="321">
        <f>SUMIFS('2022'!$I:$I,'2022'!$E:$E,Category!$B$26,'2022'!$N:$N,Category!AV$1,'2022'!$D:$D,Category!$C48)</f>
        <v>6000000</v>
      </c>
      <c r="AW48" s="321">
        <f>SUMIFS('2022'!$I:$I,'2022'!$E:$E,Category!$B$26,'2022'!$N:$N,Category!AW$1,'2022'!$D:$D,Category!$C48)</f>
        <v>6000000</v>
      </c>
      <c r="AX48" s="321">
        <f>SUMIFS('2022'!$I:$I,'2022'!$E:$E,Category!$B$26,'2022'!$N:$N,Category!AX$1,'2022'!$D:$D,Category!$C48)</f>
        <v>6249500</v>
      </c>
      <c r="AY48" s="321">
        <f>SUMIFS('2022'!$I:$I,'2022'!$E:$E,Category!$B$26,'2022'!$N:$N,Category!AY$1,'2022'!$D:$D,Category!$C48)</f>
        <v>6000000</v>
      </c>
      <c r="AZ48" s="322">
        <f t="shared" si="18"/>
        <v>72767300</v>
      </c>
      <c r="BA48" s="500">
        <f>IFERROR(VLOOKUP(C48,'2023'!$D:$G,4,0),0)</f>
        <v>91</v>
      </c>
      <c r="BB48" s="321">
        <f>SUMIFS('2023'!$I:$I,'2023'!$E:$E,Category!$B$26,'2023'!$N:$N,Category!BB$1,'2023'!$D:$D,Category!$C48)</f>
        <v>6000000</v>
      </c>
      <c r="BC48" s="321">
        <f>SUMIFS('2023'!$I:$I,'2023'!$E:$E,Category!$B$26,'2023'!$N:$N,Category!BC$1,'2023'!$D:$D,Category!$C48)</f>
        <v>6000000</v>
      </c>
      <c r="BD48" s="321">
        <f>SUMIFS('2023'!$I:$I,'2023'!$E:$E,Category!$B$26,'2023'!$N:$N,Category!BD$1,'2023'!$D:$D,Category!$C48)</f>
        <v>0</v>
      </c>
      <c r="BE48" s="321">
        <f>SUMIFS('2023'!$I:$I,'2023'!$E:$E,Category!$B$26,'2023'!$N:$N,Category!BE$1,'2023'!$D:$D,Category!$C48)</f>
        <v>0</v>
      </c>
      <c r="BF48" s="321">
        <f>SUMIFS('2023'!$I:$I,'2023'!$E:$E,Category!$B$26,'2023'!$N:$N,Category!BF$1,'2023'!$D:$D,Category!$C48)</f>
        <v>0</v>
      </c>
      <c r="BG48" s="321">
        <f>SUMIFS('2023'!$I:$I,'2023'!$E:$E,Category!$B$26,'2023'!$N:$N,Category!BG$1,'2023'!$D:$D,Category!$C48)</f>
        <v>0</v>
      </c>
      <c r="BH48" s="321">
        <f>SUMIFS('2023'!$I:$I,'2023'!$E:$E,Category!$B$26,'2023'!$N:$N,Category!BH$1,'2023'!$D:$D,Category!$C48)</f>
        <v>0</v>
      </c>
      <c r="BI48" s="321">
        <f>SUMIFS('2023'!$I:$I,'2023'!$E:$E,Category!$B$26,'2023'!$N:$N,Category!BI$1,'2023'!$D:$D,Category!$C48)</f>
        <v>0</v>
      </c>
      <c r="BJ48" s="321">
        <f>SUMIFS('2023'!$I:$I,'2023'!$E:$E,Category!$B$26,'2023'!$N:$N,Category!BJ$1,'2023'!$D:$D,Category!$C48)</f>
        <v>0</v>
      </c>
      <c r="BK48" s="321">
        <f>SUMIFS('2023'!$I:$I,'2023'!$E:$E,Category!$B$26,'2023'!$N:$N,Category!BK$1,'2023'!$D:$D,Category!$C48)</f>
        <v>0</v>
      </c>
      <c r="BL48" s="321">
        <f>SUMIFS('2023'!$I:$I,'2023'!$E:$E,Category!$B$26,'2023'!$N:$N,Category!BL$1,'2023'!$D:$D,Category!$C48)</f>
        <v>0</v>
      </c>
      <c r="BM48" s="321">
        <f>SUMIFS('2023'!$I:$I,'2023'!$E:$E,Category!$B$26,'2023'!$N:$N,Category!BM$1,'2023'!$D:$D,Category!$C48)</f>
        <v>0</v>
      </c>
      <c r="BN48" s="322">
        <f t="shared" si="17"/>
        <v>12000000</v>
      </c>
      <c r="BP48" s="1050"/>
      <c r="BQ48" s="1051"/>
      <c r="BR48" s="247"/>
      <c r="BS48" s="247"/>
      <c r="BT48" s="247"/>
      <c r="BU48" s="247"/>
      <c r="BV48" s="247"/>
      <c r="BW48" s="247"/>
    </row>
    <row r="49" spans="1:75" x14ac:dyDescent="0.25">
      <c r="A49" s="319"/>
      <c r="B49" s="324"/>
      <c r="C49" s="320" t="s">
        <v>856</v>
      </c>
      <c r="D49" s="513">
        <f>IFERROR(VLOOKUP($C49,'2019'!$D:$G,4,0),0)</f>
        <v>0</v>
      </c>
      <c r="E49" s="321">
        <f>SUMIFS('2019'!$I:$I,'2019'!$E:$E,Category!$B$26,'2019'!$N:$N,Category!E$1,'2019'!$D:$D,Category!$C49)</f>
        <v>0</v>
      </c>
      <c r="F49" s="321">
        <f>SUMIFS('2019'!$I:$I,'2019'!$E:$E,Category!$B$26,'2019'!$N:$N,Category!F$1,'2019'!$D:$D,Category!$C49)</f>
        <v>0</v>
      </c>
      <c r="G49" s="321">
        <f>SUMIFS('2019'!$I:$I,'2019'!$E:$E,Category!$B$26,'2019'!$N:$N,Category!G$1,'2019'!$D:$D,Category!$C49)</f>
        <v>0</v>
      </c>
      <c r="H49" s="321">
        <f>SUMIFS('2019'!$I:$I,'2019'!$E:$E,Category!$B$26,'2019'!$N:$N,Category!H$1,'2019'!$D:$D,Category!$C49)</f>
        <v>0</v>
      </c>
      <c r="I49" s="321">
        <f>SUMIFS('2019'!$I:$I,'2019'!$E:$E,Category!$B$26,'2019'!$N:$N,Category!I$1,'2019'!$D:$D,Category!$C49)</f>
        <v>0</v>
      </c>
      <c r="J49" s="322">
        <f t="shared" si="11"/>
        <v>0</v>
      </c>
      <c r="K49" s="500">
        <f>IFERROR(VLOOKUP($C49,'2020'!$D:$G,4,0),0)</f>
        <v>0</v>
      </c>
      <c r="L49" s="321">
        <f>SUMIFS('2020'!$I:$I,'2020'!$E:$E,Category!$B$26,'2020'!$N:$N,Category!L$1,'2020'!$D:$D,Category!$C49)</f>
        <v>0</v>
      </c>
      <c r="M49" s="321">
        <f>SUMIFS('2020'!$I:$I,'2020'!$E:$E,Category!$B$26,'2020'!$N:$N,Category!M$1,'2020'!$D:$D,Category!$C49)</f>
        <v>0</v>
      </c>
      <c r="N49" s="321">
        <f>SUMIFS('2020'!$I:$I,'2020'!$E:$E,Category!$B$26,'2020'!$N:$N,Category!N$1,'2020'!$D:$D,Category!$C49)</f>
        <v>0</v>
      </c>
      <c r="O49" s="321">
        <f>SUMIFS('2020'!$I:$I,'2020'!$E:$E,Category!$B$26,'2020'!$N:$N,Category!O$1,'2020'!$D:$D,Category!$C49)</f>
        <v>0</v>
      </c>
      <c r="P49" s="321">
        <f>SUMIFS('2020'!$I:$I,'2020'!$E:$E,Category!$B$26,'2020'!$N:$N,Category!P$1,'2020'!$D:$D,Category!$C49)</f>
        <v>0</v>
      </c>
      <c r="Q49" s="321">
        <f>SUMIFS('2020'!$I:$I,'2020'!$E:$E,Category!$B$26,'2020'!$N:$N,Category!Q$1,'2020'!$D:$D,Category!$C49)</f>
        <v>0</v>
      </c>
      <c r="R49" s="321">
        <f>SUMIFS('2020'!$I:$I,'2020'!$E:$E,Category!$B$26,'2020'!$N:$N,Category!R$1,'2020'!$D:$D,Category!$C49)</f>
        <v>0</v>
      </c>
      <c r="S49" s="321">
        <f>SUMIFS('2020'!$I:$I,'2020'!$E:$E,Category!$B$26,'2020'!$N:$N,Category!S$1,'2020'!$D:$D,Category!$C49)</f>
        <v>0</v>
      </c>
      <c r="T49" s="321">
        <f>SUMIFS('2020'!$I:$I,'2020'!$E:$E,Category!$B$26,'2020'!$N:$N,Category!T$1,'2020'!$D:$D,Category!$C49)</f>
        <v>0</v>
      </c>
      <c r="U49" s="321">
        <f>SUMIFS('2020'!$I:$I,'2020'!$E:$E,Category!$B$26,'2020'!$N:$N,Category!U$1,'2020'!$D:$D,Category!$C49)</f>
        <v>0</v>
      </c>
      <c r="V49" s="321">
        <f>SUMIFS('2020'!$I:$I,'2020'!$E:$E,Category!$B$26,'2020'!$N:$N,Category!V$1,'2020'!$D:$D,Category!$C49)</f>
        <v>0</v>
      </c>
      <c r="W49" s="321">
        <f>SUMIFS('2020'!$I:$I,'2020'!$E:$E,Category!$B$26,'2020'!$N:$N,Category!W$1,'2020'!$D:$D,Category!$C49)</f>
        <v>0</v>
      </c>
      <c r="X49" s="322">
        <f t="shared" si="16"/>
        <v>0</v>
      </c>
      <c r="Y49" s="500">
        <f>IFERROR(VLOOKUP(C49,'2021'!$D:$G,4,0),0)</f>
        <v>52</v>
      </c>
      <c r="Z49" s="321">
        <f>SUMIFS('2021'!$I:$I,'2021'!$E:$E,Category!$B$26,'2021'!$N:$N,Category!Z$1,'2021'!$D:$D,Category!$C49)</f>
        <v>0</v>
      </c>
      <c r="AA49" s="321">
        <f>SUMIFS('2021'!$I:$I,'2021'!$E:$E,Category!$B$26,'2021'!$N:$N,Category!AA$1,'2021'!$D:$D,Category!$C49)</f>
        <v>0</v>
      </c>
      <c r="AB49" s="321">
        <f>SUMIFS('2021'!$I:$I,'2021'!$E:$E,Category!$B$26,'2021'!$N:$N,Category!AB$1,'2021'!$D:$D,Category!$C49)</f>
        <v>5500000</v>
      </c>
      <c r="AC49" s="321">
        <f>SUMIFS('2021'!$I:$I,'2021'!$E:$E,Category!$B$26,'2021'!$N:$N,Category!AC$1,'2021'!$D:$D,Category!$C49)</f>
        <v>0</v>
      </c>
      <c r="AD49" s="321">
        <f>SUMIFS('2021'!$I:$I,'2021'!$E:$E,Category!$B$26,'2021'!$N:$N,Category!AD$1,'2021'!$D:$D,Category!$C49)</f>
        <v>5499120</v>
      </c>
      <c r="AE49" s="321">
        <f>SUMIFS('2021'!$I:$I,'2021'!$E:$E,Category!$B$26,'2021'!$N:$N,Category!AE$1,'2021'!$D:$D,Category!$C49)</f>
        <v>5438100</v>
      </c>
      <c r="AF49" s="321">
        <f>SUMIFS('2021'!$I:$I,'2021'!$E:$E,Category!$B$26,'2021'!$N:$N,Category!AF$1,'2021'!$D:$D,Category!$C49)</f>
        <v>0</v>
      </c>
      <c r="AG49" s="321">
        <f>SUMIFS('2021'!$I:$I,'2021'!$E:$E,Category!$B$26,'2021'!$N:$N,Category!AG$1,'2021'!$D:$D,Category!$C49)</f>
        <v>5999400</v>
      </c>
      <c r="AH49" s="321">
        <f>SUMIFS('2021'!$I:$I,'2021'!$E:$E,Category!$B$26,'2021'!$N:$N,Category!AH$1,'2021'!$D:$D,Category!$C49)</f>
        <v>0</v>
      </c>
      <c r="AI49" s="321">
        <f>SUMIFS('2021'!$I:$I,'2021'!$E:$E,Category!$B$26,'2021'!$N:$N,Category!AI$1,'2021'!$D:$D,Category!$C49)</f>
        <v>0</v>
      </c>
      <c r="AJ49" s="321">
        <f>SUMIFS('2021'!$I:$I,'2021'!$E:$E,Category!$B$26,'2021'!$N:$N,Category!AJ$1,'2021'!$D:$D,Category!$C49)</f>
        <v>12899600</v>
      </c>
      <c r="AK49" s="321">
        <f>SUMIFS('2021'!$I:$I,'2021'!$E:$E,Category!$B$26,'2021'!$N:$N,Category!AK$1,'2021'!$D:$D,Category!$C49)</f>
        <v>6000000</v>
      </c>
      <c r="AL49" s="322">
        <f t="shared" si="14"/>
        <v>41336220</v>
      </c>
      <c r="AM49" s="500">
        <f>IFERROR(VLOOKUP(C49,'2022'!$D:$G,4,0),0)</f>
        <v>32</v>
      </c>
      <c r="AN49" s="321">
        <f>SUMIFS('2022'!$I:$I,'2022'!$E:$E,Category!$B$26,'2022'!$N:$N,Category!AN$1,'2022'!$D:$D,Category!$C49)</f>
        <v>5999000</v>
      </c>
      <c r="AO49" s="321">
        <f>SUMIFS('2022'!$I:$I,'2022'!$E:$E,Category!$B$26,'2022'!$N:$N,Category!AO$1,'2022'!$D:$D,Category!$C49)</f>
        <v>0</v>
      </c>
      <c r="AP49" s="321">
        <f>SUMIFS('2022'!$I:$I,'2022'!$E:$E,Category!$B$26,'2022'!$N:$N,Category!AP$1,'2022'!$D:$D,Category!$C49)</f>
        <v>11997100</v>
      </c>
      <c r="AQ49" s="321">
        <f>SUMIFS('2022'!$I:$I,'2022'!$E:$E,Category!$B$26,'2022'!$N:$N,Category!AQ$1,'2022'!$D:$D,Category!$C49)</f>
        <v>6235900</v>
      </c>
      <c r="AR49" s="321">
        <f>SUMIFS('2022'!$I:$I,'2022'!$E:$E,Category!$B$26,'2022'!$N:$N,Category!AR$1,'2022'!$D:$D,Category!$C49)</f>
        <v>6282000</v>
      </c>
      <c r="AS49" s="321">
        <f>SUMIFS('2022'!$I:$I,'2022'!$E:$E,Category!$B$26,'2022'!$N:$N,Category!AS$1,'2022'!$D:$D,Category!$C49)</f>
        <v>6282000</v>
      </c>
      <c r="AT49" s="321">
        <f>SUMIFS('2022'!$I:$I,'2022'!$E:$E,Category!$B$26,'2022'!$N:$N,Category!AT$1,'2022'!$D:$D,Category!$C49)</f>
        <v>6000000</v>
      </c>
      <c r="AU49" s="321">
        <f>SUMIFS('2022'!$I:$I,'2022'!$E:$E,Category!$B$26,'2022'!$N:$N,Category!AU$1,'2022'!$D:$D,Category!$C49)</f>
        <v>6000000</v>
      </c>
      <c r="AV49" s="321">
        <f>SUMIFS('2022'!$I:$I,'2022'!$E:$E,Category!$B$26,'2022'!$N:$N,Category!AV$1,'2022'!$D:$D,Category!$C49)</f>
        <v>6000000</v>
      </c>
      <c r="AW49" s="321">
        <f>SUMIFS('2022'!$I:$I,'2022'!$E:$E,Category!$B$26,'2022'!$N:$N,Category!AW$1,'2022'!$D:$D,Category!$C49)</f>
        <v>6000000</v>
      </c>
      <c r="AX49" s="321">
        <f>SUMIFS('2022'!$I:$I,'2022'!$E:$E,Category!$B$26,'2022'!$N:$N,Category!AX$1,'2022'!$D:$D,Category!$C49)</f>
        <v>6000000</v>
      </c>
      <c r="AY49" s="321">
        <f>SUMIFS('2022'!$I:$I,'2022'!$E:$E,Category!$B$26,'2022'!$N:$N,Category!AY$1,'2022'!$D:$D,Category!$C49)</f>
        <v>7116850</v>
      </c>
      <c r="AZ49" s="322">
        <f t="shared" si="18"/>
        <v>73912850</v>
      </c>
      <c r="BA49" s="500">
        <f>IFERROR(VLOOKUP(C49,'2023'!$D:$G,4,0),0)</f>
        <v>32</v>
      </c>
      <c r="BB49" s="321">
        <f>SUMIFS('2023'!$I:$I,'2023'!$E:$E,Category!$B$26,'2023'!$N:$N,Category!BB$1,'2023'!$D:$D,Category!$C49)</f>
        <v>7517860</v>
      </c>
      <c r="BC49" s="321">
        <f>SUMIFS('2023'!$I:$I,'2023'!$E:$E,Category!$B$26,'2023'!$N:$N,Category!BC$1,'2023'!$D:$D,Category!$C49)</f>
        <v>6000000</v>
      </c>
      <c r="BD49" s="321">
        <f>SUMIFS('2023'!$I:$I,'2023'!$E:$E,Category!$B$26,'2023'!$N:$N,Category!BD$1,'2023'!$D:$D,Category!$C49)</f>
        <v>0</v>
      </c>
      <c r="BE49" s="321">
        <f>SUMIFS('2023'!$I:$I,'2023'!$E:$E,Category!$B$26,'2023'!$N:$N,Category!BE$1,'2023'!$D:$D,Category!$C49)</f>
        <v>0</v>
      </c>
      <c r="BF49" s="321">
        <f>SUMIFS('2023'!$I:$I,'2023'!$E:$E,Category!$B$26,'2023'!$N:$N,Category!BF$1,'2023'!$D:$D,Category!$C49)</f>
        <v>0</v>
      </c>
      <c r="BG49" s="321">
        <f>SUMIFS('2023'!$I:$I,'2023'!$E:$E,Category!$B$26,'2023'!$N:$N,Category!BG$1,'2023'!$D:$D,Category!$C49)</f>
        <v>0</v>
      </c>
      <c r="BH49" s="321">
        <f>SUMIFS('2023'!$I:$I,'2023'!$E:$E,Category!$B$26,'2023'!$N:$N,Category!BH$1,'2023'!$D:$D,Category!$C49)</f>
        <v>0</v>
      </c>
      <c r="BI49" s="321">
        <f>SUMIFS('2023'!$I:$I,'2023'!$E:$E,Category!$B$26,'2023'!$N:$N,Category!BI$1,'2023'!$D:$D,Category!$C49)</f>
        <v>0</v>
      </c>
      <c r="BJ49" s="321">
        <f>SUMIFS('2023'!$I:$I,'2023'!$E:$E,Category!$B$26,'2023'!$N:$N,Category!BJ$1,'2023'!$D:$D,Category!$C49)</f>
        <v>0</v>
      </c>
      <c r="BK49" s="321">
        <f>SUMIFS('2023'!$I:$I,'2023'!$E:$E,Category!$B$26,'2023'!$N:$N,Category!BK$1,'2023'!$D:$D,Category!$C49)</f>
        <v>0</v>
      </c>
      <c r="BL49" s="321">
        <f>SUMIFS('2023'!$I:$I,'2023'!$E:$E,Category!$B$26,'2023'!$N:$N,Category!BL$1,'2023'!$D:$D,Category!$C49)</f>
        <v>0</v>
      </c>
      <c r="BM49" s="321">
        <f>SUMIFS('2023'!$I:$I,'2023'!$E:$E,Category!$B$26,'2023'!$N:$N,Category!BM$1,'2023'!$D:$D,Category!$C49)</f>
        <v>0</v>
      </c>
      <c r="BN49" s="322">
        <f t="shared" si="17"/>
        <v>13517860</v>
      </c>
      <c r="BP49" s="1050">
        <v>1267500</v>
      </c>
      <c r="BQ49" s="1051" t="s">
        <v>1814</v>
      </c>
      <c r="BR49" s="247"/>
      <c r="BS49" s="247"/>
      <c r="BT49" s="247"/>
      <c r="BU49" s="247"/>
      <c r="BV49" s="247"/>
      <c r="BW49" s="247"/>
    </row>
    <row r="50" spans="1:75" x14ac:dyDescent="0.25">
      <c r="A50" s="319"/>
      <c r="B50" s="324"/>
      <c r="C50" s="320" t="s">
        <v>857</v>
      </c>
      <c r="D50" s="513">
        <f>IFERROR(VLOOKUP($C50,'2019'!$D:$G,4,0),0)</f>
        <v>0</v>
      </c>
      <c r="E50" s="321">
        <f>SUMIFS('2019'!$I:$I,'2019'!$E:$E,Category!$B$26,'2019'!$N:$N,Category!E$1,'2019'!$D:$D,Category!$C50)</f>
        <v>0</v>
      </c>
      <c r="F50" s="321">
        <f>SUMIFS('2019'!$I:$I,'2019'!$E:$E,Category!$B$26,'2019'!$N:$N,Category!F$1,'2019'!$D:$D,Category!$C50)</f>
        <v>0</v>
      </c>
      <c r="G50" s="321">
        <f>SUMIFS('2019'!$I:$I,'2019'!$E:$E,Category!$B$26,'2019'!$N:$N,Category!G$1,'2019'!$D:$D,Category!$C50)</f>
        <v>0</v>
      </c>
      <c r="H50" s="321">
        <f>SUMIFS('2019'!$I:$I,'2019'!$E:$E,Category!$B$26,'2019'!$N:$N,Category!H$1,'2019'!$D:$D,Category!$C50)</f>
        <v>0</v>
      </c>
      <c r="I50" s="321">
        <f>SUMIFS('2019'!$I:$I,'2019'!$E:$E,Category!$B$26,'2019'!$N:$N,Category!I$1,'2019'!$D:$D,Category!$C50)</f>
        <v>0</v>
      </c>
      <c r="J50" s="322">
        <f t="shared" si="11"/>
        <v>0</v>
      </c>
      <c r="K50" s="500">
        <f>IFERROR(VLOOKUP($C50,'2020'!$D:$G,4,0),0)</f>
        <v>0</v>
      </c>
      <c r="L50" s="321">
        <f>SUMIFS('2020'!$I:$I,'2020'!$E:$E,Category!$B$26,'2020'!$N:$N,Category!L$1,'2020'!$D:$D,Category!$C50)</f>
        <v>0</v>
      </c>
      <c r="M50" s="321">
        <f>SUMIFS('2020'!$I:$I,'2020'!$E:$E,Category!$B$26,'2020'!$N:$N,Category!M$1,'2020'!$D:$D,Category!$C50)</f>
        <v>0</v>
      </c>
      <c r="N50" s="321">
        <f>SUMIFS('2020'!$I:$I,'2020'!$E:$E,Category!$B$26,'2020'!$N:$N,Category!N$1,'2020'!$D:$D,Category!$C50)</f>
        <v>0</v>
      </c>
      <c r="O50" s="321">
        <f>SUMIFS('2020'!$I:$I,'2020'!$E:$E,Category!$B$26,'2020'!$N:$N,Category!O$1,'2020'!$D:$D,Category!$C50)</f>
        <v>0</v>
      </c>
      <c r="P50" s="321">
        <f>SUMIFS('2020'!$I:$I,'2020'!$E:$E,Category!$B$26,'2020'!$N:$N,Category!P$1,'2020'!$D:$D,Category!$C50)</f>
        <v>0</v>
      </c>
      <c r="Q50" s="321">
        <f>SUMIFS('2020'!$I:$I,'2020'!$E:$E,Category!$B$26,'2020'!$N:$N,Category!Q$1,'2020'!$D:$D,Category!$C50)</f>
        <v>0</v>
      </c>
      <c r="R50" s="321">
        <f>SUMIFS('2020'!$I:$I,'2020'!$E:$E,Category!$B$26,'2020'!$N:$N,Category!R$1,'2020'!$D:$D,Category!$C50)</f>
        <v>0</v>
      </c>
      <c r="S50" s="321">
        <f>SUMIFS('2020'!$I:$I,'2020'!$E:$E,Category!$B$26,'2020'!$N:$N,Category!S$1,'2020'!$D:$D,Category!$C50)</f>
        <v>0</v>
      </c>
      <c r="T50" s="321">
        <f>SUMIFS('2020'!$I:$I,'2020'!$E:$E,Category!$B$26,'2020'!$N:$N,Category!T$1,'2020'!$D:$D,Category!$C50)</f>
        <v>0</v>
      </c>
      <c r="U50" s="321">
        <f>SUMIFS('2020'!$I:$I,'2020'!$E:$E,Category!$B$26,'2020'!$N:$N,Category!U$1,'2020'!$D:$D,Category!$C50)</f>
        <v>0</v>
      </c>
      <c r="V50" s="321">
        <f>SUMIFS('2020'!$I:$I,'2020'!$E:$E,Category!$B$26,'2020'!$N:$N,Category!V$1,'2020'!$D:$D,Category!$C50)</f>
        <v>0</v>
      </c>
      <c r="W50" s="321">
        <f>SUMIFS('2020'!$I:$I,'2020'!$E:$E,Category!$B$26,'2020'!$N:$N,Category!W$1,'2020'!$D:$D,Category!$C50)</f>
        <v>0</v>
      </c>
      <c r="X50" s="322">
        <f t="shared" si="16"/>
        <v>0</v>
      </c>
      <c r="Y50" s="500">
        <f>IFERROR(VLOOKUP(C50,'2021'!$D:$G,4,0),0)</f>
        <v>52</v>
      </c>
      <c r="Z50" s="321">
        <f>SUMIFS('2021'!$I:$I,'2021'!$E:$E,Category!$B$26,'2021'!$N:$N,Category!Z$1,'2021'!$D:$D,Category!$C50)</f>
        <v>0</v>
      </c>
      <c r="AA50" s="321">
        <f>SUMIFS('2021'!$I:$I,'2021'!$E:$E,Category!$B$26,'2021'!$N:$N,Category!AA$1,'2021'!$D:$D,Category!$C50)</f>
        <v>0</v>
      </c>
      <c r="AB50" s="321">
        <f>SUMIFS('2021'!$I:$I,'2021'!$E:$E,Category!$B$26,'2021'!$N:$N,Category!AB$1,'2021'!$D:$D,Category!$C50)</f>
        <v>5500000</v>
      </c>
      <c r="AC50" s="321">
        <f>SUMIFS('2021'!$I:$I,'2021'!$E:$E,Category!$B$26,'2021'!$N:$N,Category!AC$1,'2021'!$D:$D,Category!$C50)</f>
        <v>0</v>
      </c>
      <c r="AD50" s="321">
        <f>SUMIFS('2021'!$I:$I,'2021'!$E:$E,Category!$B$26,'2021'!$N:$N,Category!AD$1,'2021'!$D:$D,Category!$C50)</f>
        <v>5499550</v>
      </c>
      <c r="AE50" s="321">
        <f>SUMIFS('2021'!$I:$I,'2021'!$E:$E,Category!$B$26,'2021'!$N:$N,Category!AE$1,'2021'!$D:$D,Category!$C50)</f>
        <v>5440600</v>
      </c>
      <c r="AF50" s="321">
        <f>SUMIFS('2021'!$I:$I,'2021'!$E:$E,Category!$B$26,'2021'!$N:$N,Category!AF$1,'2021'!$D:$D,Category!$C50)</f>
        <v>0</v>
      </c>
      <c r="AG50" s="321">
        <f>SUMIFS('2021'!$I:$I,'2021'!$E:$E,Category!$B$26,'2021'!$N:$N,Category!AG$1,'2021'!$D:$D,Category!$C50)</f>
        <v>5999100</v>
      </c>
      <c r="AH50" s="321">
        <f>SUMIFS('2021'!$I:$I,'2021'!$E:$E,Category!$B$26,'2021'!$N:$N,Category!AH$1,'2021'!$D:$D,Category!$C50)</f>
        <v>0</v>
      </c>
      <c r="AI50" s="321">
        <f>SUMIFS('2021'!$I:$I,'2021'!$E:$E,Category!$B$26,'2021'!$N:$N,Category!AI$1,'2021'!$D:$D,Category!$C50)</f>
        <v>0</v>
      </c>
      <c r="AJ50" s="321">
        <f>SUMIFS('2021'!$I:$I,'2021'!$E:$E,Category!$B$26,'2021'!$N:$N,Category!AJ$1,'2021'!$D:$D,Category!$C50)</f>
        <v>12264200</v>
      </c>
      <c r="AK50" s="321">
        <f>SUMIFS('2021'!$I:$I,'2021'!$E:$E,Category!$B$26,'2021'!$N:$N,Category!AK$1,'2021'!$D:$D,Category!$C50)</f>
        <v>5999100</v>
      </c>
      <c r="AL50" s="322">
        <f t="shared" si="14"/>
        <v>40702550</v>
      </c>
      <c r="AM50" s="500">
        <f>IFERROR(VLOOKUP(C50,'2022'!$D:$G,4,0),0)</f>
        <v>78</v>
      </c>
      <c r="AN50" s="321">
        <f>SUMIFS('2022'!$I:$I,'2022'!$E:$E,Category!$B$26,'2022'!$N:$N,Category!AN$1,'2022'!$D:$D,Category!$C50)</f>
        <v>6000800</v>
      </c>
      <c r="AO50" s="321">
        <f>SUMIFS('2022'!$I:$I,'2022'!$E:$E,Category!$B$26,'2022'!$N:$N,Category!AO$1,'2022'!$D:$D,Category!$C50)</f>
        <v>0</v>
      </c>
      <c r="AP50" s="321">
        <f>SUMIFS('2022'!$I:$I,'2022'!$E:$E,Category!$B$26,'2022'!$N:$N,Category!AP$1,'2022'!$D:$D,Category!$C50)</f>
        <v>11996900</v>
      </c>
      <c r="AQ50" s="321">
        <f>SUMIFS('2022'!$I:$I,'2022'!$E:$E,Category!$B$26,'2022'!$N:$N,Category!AQ$1,'2022'!$D:$D,Category!$C50)</f>
        <v>6368400</v>
      </c>
      <c r="AR50" s="321">
        <f>SUMIFS('2022'!$I:$I,'2022'!$E:$E,Category!$B$26,'2022'!$N:$N,Category!AR$1,'2022'!$D:$D,Category!$C50)</f>
        <v>6406500</v>
      </c>
      <c r="AS50" s="321">
        <f>SUMIFS('2022'!$I:$I,'2022'!$E:$E,Category!$B$26,'2022'!$N:$N,Category!AS$1,'2022'!$D:$D,Category!$C50)</f>
        <v>6002100</v>
      </c>
      <c r="AT50" s="321">
        <f>SUMIFS('2022'!$I:$I,'2022'!$E:$E,Category!$B$26,'2022'!$N:$N,Category!AT$1,'2022'!$D:$D,Category!$C50)</f>
        <v>6000000</v>
      </c>
      <c r="AU50" s="321">
        <f>SUMIFS('2022'!$I:$I,'2022'!$E:$E,Category!$B$26,'2022'!$N:$N,Category!AU$1,'2022'!$D:$D,Category!$C50)</f>
        <v>6251860</v>
      </c>
      <c r="AV50" s="321">
        <f>SUMIFS('2022'!$I:$I,'2022'!$E:$E,Category!$B$26,'2022'!$N:$N,Category!AV$1,'2022'!$D:$D,Category!$C50)</f>
        <v>6000000</v>
      </c>
      <c r="AW50" s="321">
        <f>SUMIFS('2022'!$I:$I,'2022'!$E:$E,Category!$B$26,'2022'!$N:$N,Category!AW$1,'2022'!$D:$D,Category!$C50)</f>
        <v>6000000</v>
      </c>
      <c r="AX50" s="321">
        <f>SUMIFS('2022'!$I:$I,'2022'!$E:$E,Category!$B$26,'2022'!$N:$N,Category!AX$1,'2022'!$D:$D,Category!$C50)</f>
        <v>6000000</v>
      </c>
      <c r="AY50" s="321">
        <f>SUMIFS('2022'!$I:$I,'2022'!$E:$E,Category!$B$26,'2022'!$N:$N,Category!AY$1,'2022'!$D:$D,Category!$C50)</f>
        <v>6142500</v>
      </c>
      <c r="AZ50" s="322">
        <f t="shared" si="18"/>
        <v>73169060</v>
      </c>
      <c r="BA50" s="500">
        <f>IFERROR(VLOOKUP(C50,'2023'!$D:$G,4,0),0)</f>
        <v>38</v>
      </c>
      <c r="BB50" s="321">
        <f>SUMIFS('2023'!$I:$I,'2023'!$E:$E,Category!$B$26,'2023'!$N:$N,Category!BB$1,'2023'!$D:$D,Category!$C50)</f>
        <v>6000000</v>
      </c>
      <c r="BC50" s="321">
        <f>SUMIFS('2023'!$I:$I,'2023'!$E:$E,Category!$B$26,'2023'!$N:$N,Category!BC$1,'2023'!$D:$D,Category!$C50)</f>
        <v>6000000</v>
      </c>
      <c r="BD50" s="321">
        <f>SUMIFS('2023'!$I:$I,'2023'!$E:$E,Category!$B$26,'2023'!$N:$N,Category!BD$1,'2023'!$D:$D,Category!$C50)</f>
        <v>0</v>
      </c>
      <c r="BE50" s="321">
        <f>SUMIFS('2023'!$I:$I,'2023'!$E:$E,Category!$B$26,'2023'!$N:$N,Category!BE$1,'2023'!$D:$D,Category!$C50)</f>
        <v>0</v>
      </c>
      <c r="BF50" s="321">
        <f>SUMIFS('2023'!$I:$I,'2023'!$E:$E,Category!$B$26,'2023'!$N:$N,Category!BF$1,'2023'!$D:$D,Category!$C50)</f>
        <v>0</v>
      </c>
      <c r="BG50" s="321">
        <f>SUMIFS('2023'!$I:$I,'2023'!$E:$E,Category!$B$26,'2023'!$N:$N,Category!BG$1,'2023'!$D:$D,Category!$C50)</f>
        <v>0</v>
      </c>
      <c r="BH50" s="321">
        <f>SUMIFS('2023'!$I:$I,'2023'!$E:$E,Category!$B$26,'2023'!$N:$N,Category!BH$1,'2023'!$D:$D,Category!$C50)</f>
        <v>0</v>
      </c>
      <c r="BI50" s="321">
        <f>SUMIFS('2023'!$I:$I,'2023'!$E:$E,Category!$B$26,'2023'!$N:$N,Category!BI$1,'2023'!$D:$D,Category!$C50)</f>
        <v>0</v>
      </c>
      <c r="BJ50" s="321">
        <f>SUMIFS('2023'!$I:$I,'2023'!$E:$E,Category!$B$26,'2023'!$N:$N,Category!BJ$1,'2023'!$D:$D,Category!$C50)</f>
        <v>0</v>
      </c>
      <c r="BK50" s="321">
        <f>SUMIFS('2023'!$I:$I,'2023'!$E:$E,Category!$B$26,'2023'!$N:$N,Category!BK$1,'2023'!$D:$D,Category!$C50)</f>
        <v>0</v>
      </c>
      <c r="BL50" s="321">
        <f>SUMIFS('2023'!$I:$I,'2023'!$E:$E,Category!$B$26,'2023'!$N:$N,Category!BL$1,'2023'!$D:$D,Category!$C50)</f>
        <v>0</v>
      </c>
      <c r="BM50" s="321">
        <f>SUMIFS('2023'!$I:$I,'2023'!$E:$E,Category!$B$26,'2023'!$N:$N,Category!BM$1,'2023'!$D:$D,Category!$C50)</f>
        <v>0</v>
      </c>
      <c r="BN50" s="322">
        <f t="shared" si="17"/>
        <v>12000000</v>
      </c>
      <c r="BP50" s="1050">
        <v>6250360</v>
      </c>
      <c r="BQ50" s="1051" t="s">
        <v>1968</v>
      </c>
      <c r="BR50" s="247"/>
      <c r="BS50" s="247"/>
      <c r="BT50" s="247"/>
      <c r="BU50" s="247"/>
      <c r="BV50" s="247"/>
      <c r="BW50" s="247"/>
    </row>
    <row r="51" spans="1:75" x14ac:dyDescent="0.25">
      <c r="A51" s="327"/>
      <c r="B51" s="324"/>
      <c r="C51" s="320" t="s">
        <v>328</v>
      </c>
      <c r="D51" s="513">
        <f>IFERROR(VLOOKUP($C51,'2019'!$D:$G,4,0),0)</f>
        <v>0</v>
      </c>
      <c r="E51" s="321">
        <f>SUMIFS('2019'!$I:$I,'2019'!$E:$E,Category!$B$26,'2019'!$N:$N,Category!E$1,'2019'!$D:$D,Category!$C51)</f>
        <v>0</v>
      </c>
      <c r="F51" s="321">
        <f>SUMIFS('2019'!$I:$I,'2019'!$E:$E,Category!$B$26,'2019'!$N:$N,Category!F$1,'2019'!$D:$D,Category!$C51)</f>
        <v>0</v>
      </c>
      <c r="G51" s="321">
        <f>SUMIFS('2019'!$I:$I,'2019'!$E:$E,Category!$B$26,'2019'!$N:$N,Category!G$1,'2019'!$D:$D,Category!$C51)</f>
        <v>0</v>
      </c>
      <c r="H51" s="321">
        <f>SUMIFS('2019'!$I:$I,'2019'!$E:$E,Category!$B$26,'2019'!$N:$N,Category!H$1,'2019'!$D:$D,Category!$C51)</f>
        <v>0</v>
      </c>
      <c r="I51" s="321">
        <f>SUMIFS('2019'!$I:$I,'2019'!$E:$E,Category!$B$26,'2019'!$N:$N,Category!I$1,'2019'!$D:$D,Category!$C51)</f>
        <v>0</v>
      </c>
      <c r="J51" s="322">
        <f t="shared" si="11"/>
        <v>0</v>
      </c>
      <c r="K51" s="500">
        <f>IFERROR(VLOOKUP($C51,'2020'!$D:$G,4,0),0)</f>
        <v>0</v>
      </c>
      <c r="L51" s="321">
        <f>SUMIFS('2020'!$I:$I,'2020'!$E:$E,Category!$B$26,'2020'!$N:$N,Category!L$1,'2020'!$D:$D,Category!$C51)</f>
        <v>0</v>
      </c>
      <c r="M51" s="321">
        <f>SUMIFS('2020'!$I:$I,'2020'!$E:$E,Category!$B$26,'2020'!$N:$N,Category!M$1,'2020'!$D:$D,Category!$C51)</f>
        <v>0</v>
      </c>
      <c r="N51" s="321">
        <f>SUMIFS('2020'!$I:$I,'2020'!$E:$E,Category!$B$26,'2020'!$N:$N,Category!N$1,'2020'!$D:$D,Category!$C51)</f>
        <v>0</v>
      </c>
      <c r="O51" s="321">
        <f>SUMIFS('2020'!$I:$I,'2020'!$E:$E,Category!$B$26,'2020'!$N:$N,Category!O$1,'2020'!$D:$D,Category!$C51)</f>
        <v>0</v>
      </c>
      <c r="P51" s="321">
        <f>SUMIFS('2020'!$I:$I,'2020'!$E:$E,Category!$B$26,'2020'!$N:$N,Category!P$1,'2020'!$D:$D,Category!$C51)</f>
        <v>0</v>
      </c>
      <c r="Q51" s="321">
        <f>SUMIFS('2020'!$I:$I,'2020'!$E:$E,Category!$B$26,'2020'!$N:$N,Category!Q$1,'2020'!$D:$D,Category!$C51)</f>
        <v>0</v>
      </c>
      <c r="R51" s="321">
        <f>SUMIFS('2020'!$I:$I,'2020'!$E:$E,Category!$B$26,'2020'!$N:$N,Category!R$1,'2020'!$D:$D,Category!$C51)</f>
        <v>0</v>
      </c>
      <c r="S51" s="321">
        <f>SUMIFS('2020'!$I:$I,'2020'!$E:$E,Category!$B$26,'2020'!$N:$N,Category!S$1,'2020'!$D:$D,Category!$C51)</f>
        <v>0</v>
      </c>
      <c r="T51" s="321">
        <f>SUMIFS('2020'!$I:$I,'2020'!$E:$E,Category!$B$26,'2020'!$N:$N,Category!T$1,'2020'!$D:$D,Category!$C51)</f>
        <v>0</v>
      </c>
      <c r="U51" s="321">
        <f>SUMIFS('2020'!$I:$I,'2020'!$E:$E,Category!$B$26,'2020'!$N:$N,Category!U$1,'2020'!$D:$D,Category!$C51)</f>
        <v>0</v>
      </c>
      <c r="V51" s="321">
        <f>SUMIFS('2020'!$I:$I,'2020'!$E:$E,Category!$B$26,'2020'!$N:$N,Category!V$1,'2020'!$D:$D,Category!$C51)</f>
        <v>0</v>
      </c>
      <c r="W51" s="321">
        <f>SUMIFS('2020'!$I:$I,'2020'!$E:$E,Category!$B$26,'2020'!$N:$N,Category!W$1,'2020'!$D:$D,Category!$C51)</f>
        <v>0</v>
      </c>
      <c r="X51" s="322">
        <f t="shared" si="16"/>
        <v>0</v>
      </c>
      <c r="Y51" s="500">
        <f>IFERROR(VLOOKUP(C51,'2021'!$D:$G,4,0),0)</f>
        <v>14</v>
      </c>
      <c r="Z51" s="321">
        <f>SUMIFS('2021'!$I:$I,'2021'!$E:$E,Category!$B$26,'2021'!$N:$N,Category!Z$1,'2021'!$D:$D,Category!$C51)</f>
        <v>0</v>
      </c>
      <c r="AA51" s="321">
        <f>SUMIFS('2021'!$I:$I,'2021'!$E:$E,Category!$B$26,'2021'!$N:$N,Category!AA$1,'2021'!$D:$D,Category!$C51)</f>
        <v>0</v>
      </c>
      <c r="AB51" s="321">
        <f>SUMIFS('2021'!$I:$I,'2021'!$E:$E,Category!$B$26,'2021'!$N:$N,Category!AB$1,'2021'!$D:$D,Category!$C51)</f>
        <v>5500000</v>
      </c>
      <c r="AC51" s="321">
        <f>SUMIFS('2021'!$I:$I,'2021'!$E:$E,Category!$B$26,'2021'!$N:$N,Category!AC$1,'2021'!$D:$D,Category!$C51)</f>
        <v>0</v>
      </c>
      <c r="AD51" s="321">
        <f>SUMIFS('2021'!$I:$I,'2021'!$E:$E,Category!$B$26,'2021'!$N:$N,Category!AD$1,'2021'!$D:$D,Category!$C51)</f>
        <v>5497990</v>
      </c>
      <c r="AE51" s="321">
        <f>SUMIFS('2021'!$I:$I,'2021'!$E:$E,Category!$B$26,'2021'!$N:$N,Category!AE$1,'2021'!$D:$D,Category!$C51)</f>
        <v>5396300</v>
      </c>
      <c r="AF51" s="321">
        <f>SUMIFS('2021'!$I:$I,'2021'!$E:$E,Category!$B$26,'2021'!$N:$N,Category!AF$1,'2021'!$D:$D,Category!$C51)</f>
        <v>0</v>
      </c>
      <c r="AG51" s="321">
        <f>SUMIFS('2021'!$I:$I,'2021'!$E:$E,Category!$B$26,'2021'!$N:$N,Category!AG$1,'2021'!$D:$D,Category!$C51)</f>
        <v>5998900</v>
      </c>
      <c r="AH51" s="321">
        <f>SUMIFS('2021'!$I:$I,'2021'!$E:$E,Category!$B$26,'2021'!$N:$N,Category!AH$1,'2021'!$D:$D,Category!$C51)</f>
        <v>0</v>
      </c>
      <c r="AI51" s="321">
        <f>SUMIFS('2021'!$I:$I,'2021'!$E:$E,Category!$B$26,'2021'!$N:$N,Category!AI$1,'2021'!$D:$D,Category!$C51)</f>
        <v>0</v>
      </c>
      <c r="AJ51" s="321">
        <f>SUMIFS('2021'!$I:$I,'2021'!$E:$E,Category!$B$26,'2021'!$N:$N,Category!AJ$1,'2021'!$D:$D,Category!$C51)</f>
        <v>11998200</v>
      </c>
      <c r="AK51" s="321">
        <f>SUMIFS('2021'!$I:$I,'2021'!$E:$E,Category!$B$26,'2021'!$N:$N,Category!AK$1,'2021'!$D:$D,Category!$C51)</f>
        <v>6001600</v>
      </c>
      <c r="AL51" s="322">
        <f>SUM(Z51:AK51)</f>
        <v>40392990</v>
      </c>
      <c r="AM51" s="500">
        <f>IFERROR(VLOOKUP(C51,'2022'!$D:$G,4,0),0)</f>
        <v>14</v>
      </c>
      <c r="AN51" s="321">
        <f>SUMIFS('2022'!$I:$I,'2022'!$E:$E,Category!$B$26,'2022'!$N:$N,Category!AN$1,'2022'!$D:$D,Category!$C51)</f>
        <v>5999000</v>
      </c>
      <c r="AO51" s="321">
        <f>SUMIFS('2022'!$I:$I,'2022'!$E:$E,Category!$B$26,'2022'!$N:$N,Category!AO$1,'2022'!$D:$D,Category!$C51)</f>
        <v>0</v>
      </c>
      <c r="AP51" s="321">
        <f>SUMIFS('2022'!$I:$I,'2022'!$E:$E,Category!$B$26,'2022'!$N:$N,Category!AP$1,'2022'!$D:$D,Category!$C51)</f>
        <v>11999000</v>
      </c>
      <c r="AQ51" s="321">
        <f>SUMIFS('2022'!$I:$I,'2022'!$E:$E,Category!$B$26,'2022'!$N:$N,Category!AQ$1,'2022'!$D:$D,Category!$C51)</f>
        <v>5023500</v>
      </c>
      <c r="AR51" s="321">
        <f>SUMIFS('2022'!$I:$I,'2022'!$E:$E,Category!$B$26,'2022'!$N:$N,Category!AR$1,'2022'!$D:$D,Category!$C51)</f>
        <v>4998500</v>
      </c>
      <c r="AS51" s="321">
        <f>SUMIFS('2022'!$I:$I,'2022'!$E:$E,Category!$B$26,'2022'!$N:$N,Category!AS$1,'2022'!$D:$D,Category!$C51)</f>
        <v>5507900</v>
      </c>
      <c r="AT51" s="321">
        <f>SUMIFS('2022'!$I:$I,'2022'!$E:$E,Category!$B$26,'2022'!$N:$N,Category!AT$1,'2022'!$D:$D,Category!$C51)</f>
        <v>6000000</v>
      </c>
      <c r="AU51" s="321">
        <f>SUMIFS('2022'!$I:$I,'2022'!$E:$E,Category!$B$26,'2022'!$N:$N,Category!AU$1,'2022'!$D:$D,Category!$C51)</f>
        <v>6000000</v>
      </c>
      <c r="AV51" s="321">
        <f>SUMIFS('2022'!$I:$I,'2022'!$E:$E,Category!$B$26,'2022'!$N:$N,Category!AV$1,'2022'!$D:$D,Category!$C51)</f>
        <v>6249360</v>
      </c>
      <c r="AW51" s="321">
        <f>SUMIFS('2022'!$I:$I,'2022'!$E:$E,Category!$B$26,'2022'!$N:$N,Category!AW$1,'2022'!$D:$D,Category!$C51)</f>
        <v>6000000</v>
      </c>
      <c r="AX51" s="321">
        <f>SUMIFS('2022'!$I:$I,'2022'!$E:$E,Category!$B$26,'2022'!$N:$N,Category!AX$1,'2022'!$D:$D,Category!$C51)</f>
        <v>6000000</v>
      </c>
      <c r="AY51" s="321">
        <f>SUMIFS('2022'!$I:$I,'2022'!$E:$E,Category!$B$26,'2022'!$N:$N,Category!AY$1,'2022'!$D:$D,Category!$C51)</f>
        <v>6553750</v>
      </c>
      <c r="AZ51" s="322">
        <f t="shared" si="18"/>
        <v>70331010</v>
      </c>
      <c r="BA51" s="500">
        <f>IFERROR(VLOOKUP(C51,'2023'!$D:$G,4,0),0)</f>
        <v>0</v>
      </c>
      <c r="BB51" s="321">
        <f>SUMIFS('2023'!$I:$I,'2023'!$E:$E,Category!$B$26,'2023'!$N:$N,Category!BB$1,'2023'!$D:$D,Category!$C51)</f>
        <v>10403000</v>
      </c>
      <c r="BC51" s="321">
        <f>SUMIFS('2023'!$I:$I,'2023'!$E:$E,Category!$B$26,'2023'!$N:$N,Category!BC$1,'2023'!$D:$D,Category!$C51)</f>
        <v>6000000</v>
      </c>
      <c r="BD51" s="321">
        <f>SUMIFS('2023'!$I:$I,'2023'!$E:$E,Category!$B$26,'2023'!$N:$N,Category!BD$1,'2023'!$D:$D,Category!$C51)</f>
        <v>0</v>
      </c>
      <c r="BE51" s="321">
        <f>SUMIFS('2023'!$I:$I,'2023'!$E:$E,Category!$B$26,'2023'!$N:$N,Category!BE$1,'2023'!$D:$D,Category!$C51)</f>
        <v>0</v>
      </c>
      <c r="BF51" s="321">
        <f>SUMIFS('2023'!$I:$I,'2023'!$E:$E,Category!$B$26,'2023'!$N:$N,Category!BF$1,'2023'!$D:$D,Category!$C51)</f>
        <v>0</v>
      </c>
      <c r="BG51" s="321">
        <f>SUMIFS('2023'!$I:$I,'2023'!$E:$E,Category!$B$26,'2023'!$N:$N,Category!BG$1,'2023'!$D:$D,Category!$C51)</f>
        <v>0</v>
      </c>
      <c r="BH51" s="321">
        <f>SUMIFS('2023'!$I:$I,'2023'!$E:$E,Category!$B$26,'2023'!$N:$N,Category!BH$1,'2023'!$D:$D,Category!$C51)</f>
        <v>0</v>
      </c>
      <c r="BI51" s="321">
        <f>SUMIFS('2023'!$I:$I,'2023'!$E:$E,Category!$B$26,'2023'!$N:$N,Category!BI$1,'2023'!$D:$D,Category!$C51)</f>
        <v>0</v>
      </c>
      <c r="BJ51" s="321">
        <f>SUMIFS('2023'!$I:$I,'2023'!$E:$E,Category!$B$26,'2023'!$N:$N,Category!BJ$1,'2023'!$D:$D,Category!$C51)</f>
        <v>0</v>
      </c>
      <c r="BK51" s="321">
        <f>SUMIFS('2023'!$I:$I,'2023'!$E:$E,Category!$B$26,'2023'!$N:$N,Category!BK$1,'2023'!$D:$D,Category!$C51)</f>
        <v>0</v>
      </c>
      <c r="BL51" s="321">
        <f>SUMIFS('2023'!$I:$I,'2023'!$E:$E,Category!$B$26,'2023'!$N:$N,Category!BL$1,'2023'!$D:$D,Category!$C51)</f>
        <v>0</v>
      </c>
      <c r="BM51" s="321">
        <f>SUMIFS('2023'!$I:$I,'2023'!$E:$E,Category!$B$26,'2023'!$N:$N,Category!BM$1,'2023'!$D:$D,Category!$C51)</f>
        <v>0</v>
      </c>
      <c r="BN51" s="322">
        <f t="shared" si="17"/>
        <v>16403000</v>
      </c>
      <c r="BP51" s="1050">
        <v>2078000</v>
      </c>
      <c r="BQ51" s="1051" t="s">
        <v>1815</v>
      </c>
      <c r="BR51" s="247"/>
      <c r="BS51" s="247"/>
      <c r="BT51" s="247"/>
      <c r="BU51" s="247"/>
      <c r="BV51" s="247"/>
      <c r="BW51" s="247"/>
    </row>
    <row r="52" spans="1:75" x14ac:dyDescent="0.25">
      <c r="A52" s="327"/>
      <c r="B52" s="324"/>
      <c r="C52" s="325" t="s">
        <v>361</v>
      </c>
      <c r="D52" s="515">
        <f>IFERROR(VLOOKUP($C52,'2019'!$D:$G,4,0),0)</f>
        <v>0</v>
      </c>
      <c r="E52" s="321">
        <f>SUMIFS('2019'!$I:$I,'2019'!$E:$E,Category!$B$26,'2019'!$N:$N,Category!E$1,'2019'!$D:$D,Category!$C52)</f>
        <v>0</v>
      </c>
      <c r="F52" s="321">
        <f>SUMIFS('2019'!$I:$I,'2019'!$E:$E,Category!$B$26,'2019'!$N:$N,Category!F$1,'2019'!$D:$D,Category!$C52)</f>
        <v>0</v>
      </c>
      <c r="G52" s="321">
        <f>SUMIFS('2019'!$I:$I,'2019'!$E:$E,Category!$B$26,'2019'!$N:$N,Category!G$1,'2019'!$D:$D,Category!$C52)</f>
        <v>0</v>
      </c>
      <c r="H52" s="321">
        <f>SUMIFS('2019'!$I:$I,'2019'!$E:$E,Category!$B$26,'2019'!$N:$N,Category!H$1,'2019'!$D:$D,Category!$C52)</f>
        <v>0</v>
      </c>
      <c r="I52" s="321">
        <f>SUMIFS('2019'!$I:$I,'2019'!$E:$E,Category!$B$26,'2019'!$N:$N,Category!I$1,'2019'!$D:$D,Category!$C52)</f>
        <v>0</v>
      </c>
      <c r="J52" s="322">
        <f t="shared" si="11"/>
        <v>0</v>
      </c>
      <c r="K52" s="500">
        <f>IFERROR(VLOOKUP($C52,'2020'!$D:$G,4,0),0)</f>
        <v>0</v>
      </c>
      <c r="L52" s="321">
        <f>SUMIFS('2020'!$I:$I,'2020'!$E:$E,Category!$B$26,'2020'!$N:$N,Category!L$1,'2020'!$D:$D,Category!$C52)</f>
        <v>0</v>
      </c>
      <c r="M52" s="321">
        <f>SUMIFS('2020'!$I:$I,'2020'!$E:$E,Category!$B$26,'2020'!$N:$N,Category!M$1,'2020'!$D:$D,Category!$C52)</f>
        <v>0</v>
      </c>
      <c r="N52" s="321">
        <f>SUMIFS('2020'!$I:$I,'2020'!$E:$E,Category!$B$26,'2020'!$N:$N,Category!N$1,'2020'!$D:$D,Category!$C52)</f>
        <v>0</v>
      </c>
      <c r="O52" s="321">
        <f>SUMIFS('2020'!$I:$I,'2020'!$E:$E,Category!$B$26,'2020'!$N:$N,Category!O$1,'2020'!$D:$D,Category!$C52)</f>
        <v>0</v>
      </c>
      <c r="P52" s="321">
        <f>SUMIFS('2020'!$I:$I,'2020'!$E:$E,Category!$B$26,'2020'!$N:$N,Category!P$1,'2020'!$D:$D,Category!$C52)</f>
        <v>0</v>
      </c>
      <c r="Q52" s="321">
        <f>SUMIFS('2020'!$I:$I,'2020'!$E:$E,Category!$B$26,'2020'!$N:$N,Category!Q$1,'2020'!$D:$D,Category!$C52)</f>
        <v>0</v>
      </c>
      <c r="R52" s="321">
        <f>SUMIFS('2020'!$I:$I,'2020'!$E:$E,Category!$B$26,'2020'!$N:$N,Category!R$1,'2020'!$D:$D,Category!$C52)</f>
        <v>0</v>
      </c>
      <c r="S52" s="321">
        <f>SUMIFS('2020'!$I:$I,'2020'!$E:$E,Category!$B$26,'2020'!$N:$N,Category!S$1,'2020'!$D:$D,Category!$C52)</f>
        <v>0</v>
      </c>
      <c r="T52" s="321">
        <f>SUMIFS('2020'!$I:$I,'2020'!$E:$E,Category!$B$26,'2020'!$N:$N,Category!T$1,'2020'!$D:$D,Category!$C52)</f>
        <v>0</v>
      </c>
      <c r="U52" s="321">
        <f>SUMIFS('2020'!$I:$I,'2020'!$E:$E,Category!$B$26,'2020'!$N:$N,Category!U$1,'2020'!$D:$D,Category!$C52)</f>
        <v>0</v>
      </c>
      <c r="V52" s="321">
        <f>SUMIFS('2020'!$I:$I,'2020'!$E:$E,Category!$B$26,'2020'!$N:$N,Category!V$1,'2020'!$D:$D,Category!$C52)</f>
        <v>0</v>
      </c>
      <c r="W52" s="321">
        <f>SUMIFS('2020'!$I:$I,'2020'!$E:$E,Category!$B$26,'2020'!$N:$N,Category!W$1,'2020'!$D:$D,Category!$C52)</f>
        <v>0</v>
      </c>
      <c r="X52" s="322">
        <f t="shared" si="16"/>
        <v>0</v>
      </c>
      <c r="Y52" s="500">
        <f>IFERROR(VLOOKUP(C52,'2021'!$D:$G,4,0),0)</f>
        <v>150</v>
      </c>
      <c r="Z52" s="321">
        <f>SUMIFS('2021'!$I:$I,'2021'!$E:$E,Category!$B$26,'2021'!$N:$N,Category!Z$1,'2021'!$D:$D,Category!$C52)</f>
        <v>0</v>
      </c>
      <c r="AA52" s="321">
        <f>SUMIFS('2021'!$I:$I,'2021'!$E:$E,Category!$B$26,'2021'!$N:$N,Category!AA$1,'2021'!$D:$D,Category!$C52)</f>
        <v>0</v>
      </c>
      <c r="AB52" s="321">
        <f>SUMIFS('2021'!$I:$I,'2021'!$E:$E,Category!$B$26,'2021'!$N:$N,Category!AB$1,'2021'!$D:$D,Category!$C52)</f>
        <v>0</v>
      </c>
      <c r="AC52" s="321">
        <f>SUMIFS('2021'!$I:$I,'2021'!$E:$E,Category!$B$26,'2021'!$N:$N,Category!AC$1,'2021'!$D:$D,Category!$C52)</f>
        <v>0</v>
      </c>
      <c r="AD52" s="321">
        <f>SUMIFS('2021'!$I:$I,'2021'!$E:$E,Category!$B$26,'2021'!$N:$N,Category!AD$1,'2021'!$D:$D,Category!$C52)</f>
        <v>5500000</v>
      </c>
      <c r="AE52" s="321">
        <f>SUMIFS('2021'!$I:$I,'2021'!$E:$E,Category!$B$26,'2021'!$N:$N,Category!AE$1,'2021'!$D:$D,Category!$C52)</f>
        <v>0</v>
      </c>
      <c r="AF52" s="321">
        <f>SUMIFS('2021'!$I:$I,'2021'!$E:$E,Category!$B$26,'2021'!$N:$N,Category!AF$1,'2021'!$D:$D,Category!$C52)</f>
        <v>0</v>
      </c>
      <c r="AG52" s="321">
        <f>SUMIFS('2021'!$I:$I,'2021'!$E:$E,Category!$B$26,'2021'!$N:$N,Category!AG$1,'2021'!$D:$D,Category!$C52)</f>
        <v>0</v>
      </c>
      <c r="AH52" s="321">
        <f>SUMIFS('2021'!$I:$I,'2021'!$E:$E,Category!$B$26,'2021'!$N:$N,Category!AH$1,'2021'!$D:$D,Category!$C52)</f>
        <v>0</v>
      </c>
      <c r="AI52" s="321">
        <f>SUMIFS('2021'!$I:$I,'2021'!$E:$E,Category!$B$26,'2021'!$N:$N,Category!AI$1,'2021'!$D:$D,Category!$C52)</f>
        <v>0</v>
      </c>
      <c r="AJ52" s="321">
        <f>SUMIFS('2021'!$I:$I,'2021'!$E:$E,Category!$B$26,'2021'!$N:$N,Category!AJ$1,'2021'!$D:$D,Category!$C52)</f>
        <v>0</v>
      </c>
      <c r="AK52" s="321">
        <f>SUMIFS('2021'!$I:$I,'2021'!$E:$E,Category!$B$26,'2021'!$N:$N,Category!AK$1,'2021'!$D:$D,Category!$C52)</f>
        <v>0</v>
      </c>
      <c r="AL52" s="322">
        <f t="shared" si="14"/>
        <v>5500000</v>
      </c>
      <c r="AM52" s="500">
        <f>IFERROR(VLOOKUP(C52,'2022'!$D:$G,4,0),0)</f>
        <v>0</v>
      </c>
      <c r="AN52" s="321">
        <f>SUMIFS('2022'!$I:$I,'2022'!$E:$E,Category!$B$26,'2022'!$N:$N,Category!AN$1,'2022'!$D:$D,Category!$C52)</f>
        <v>0</v>
      </c>
      <c r="AO52" s="321">
        <f>SUMIFS('2022'!$I:$I,'2022'!$E:$E,Category!$B$26,'2022'!$N:$N,Category!AO$1,'2022'!$D:$D,Category!$C52)</f>
        <v>0</v>
      </c>
      <c r="AP52" s="321">
        <f>SUMIFS('2022'!$I:$I,'2022'!$E:$E,Category!$B$26,'2022'!$N:$N,Category!AP$1,'2022'!$D:$D,Category!$C52)</f>
        <v>0</v>
      </c>
      <c r="AQ52" s="321">
        <f>SUMIFS('2022'!$I:$I,'2022'!$E:$E,Category!$B$26,'2022'!$N:$N,Category!AQ$1,'2022'!$D:$D,Category!$C52)</f>
        <v>0</v>
      </c>
      <c r="AR52" s="321">
        <f>SUMIFS('2022'!$I:$I,'2022'!$E:$E,Category!$B$26,'2022'!$N:$N,Category!AR$1,'2022'!$D:$D,Category!$C52)</f>
        <v>0</v>
      </c>
      <c r="AS52" s="321">
        <f>SUMIFS('2022'!$I:$I,'2022'!$E:$E,Category!$B$26,'2022'!$N:$N,Category!AS$1,'2022'!$D:$D,Category!$C52)</f>
        <v>0</v>
      </c>
      <c r="AT52" s="321">
        <f>SUMIFS('2022'!$I:$I,'2022'!$E:$E,Category!$B$26,'2022'!$N:$N,Category!AT$1,'2022'!$D:$D,Category!$C52)</f>
        <v>0</v>
      </c>
      <c r="AU52" s="321">
        <f>SUMIFS('2022'!$I:$I,'2022'!$E:$E,Category!$B$26,'2022'!$N:$N,Category!AU$1,'2022'!$D:$D,Category!$C52)</f>
        <v>0</v>
      </c>
      <c r="AV52" s="321">
        <f>SUMIFS('2022'!$I:$I,'2022'!$E:$E,Category!$B$26,'2022'!$N:$N,Category!AV$1,'2022'!$D:$D,Category!$C52)</f>
        <v>0</v>
      </c>
      <c r="AW52" s="321">
        <f>SUMIFS('2022'!$I:$I,'2022'!$E:$E,Category!$B$26,'2022'!$N:$N,Category!AW$1,'2022'!$D:$D,Category!$C52)</f>
        <v>0</v>
      </c>
      <c r="AX52" s="321">
        <f>SUMIFS('2022'!$I:$I,'2022'!$E:$E,Category!$B$26,'2022'!$N:$N,Category!AX$1,'2022'!$D:$D,Category!$C52)</f>
        <v>0</v>
      </c>
      <c r="AY52" s="321">
        <f>SUMIFS('2022'!$I:$I,'2022'!$E:$E,Category!$B$26,'2022'!$N:$N,Category!AY$1,'2022'!$D:$D,Category!$C52)</f>
        <v>0</v>
      </c>
      <c r="AZ52" s="322">
        <f t="shared" si="18"/>
        <v>0</v>
      </c>
      <c r="BA52" s="500">
        <f>IFERROR(VLOOKUP(C52,'2023'!$D:$G,4,0),0)</f>
        <v>0</v>
      </c>
      <c r="BB52" s="321">
        <f>SUMIFS('2023'!$I:$I,'2023'!$E:$E,Category!$B$26,'2023'!$N:$N,Category!BB$1,'2023'!$D:$D,Category!$C52)</f>
        <v>0</v>
      </c>
      <c r="BC52" s="321">
        <f>SUMIFS('2023'!$I:$I,'2023'!$E:$E,Category!$B$26,'2023'!$N:$N,Category!BC$1,'2023'!$D:$D,Category!$C52)</f>
        <v>0</v>
      </c>
      <c r="BD52" s="321">
        <f>SUMIFS('2023'!$I:$I,'2023'!$E:$E,Category!$B$26,'2023'!$N:$N,Category!BD$1,'2023'!$D:$D,Category!$C52)</f>
        <v>0</v>
      </c>
      <c r="BE52" s="321">
        <f>SUMIFS('2023'!$I:$I,'2023'!$E:$E,Category!$B$26,'2023'!$N:$N,Category!BE$1,'2023'!$D:$D,Category!$C52)</f>
        <v>0</v>
      </c>
      <c r="BF52" s="321">
        <f>SUMIFS('2023'!$I:$I,'2023'!$E:$E,Category!$B$26,'2023'!$N:$N,Category!BF$1,'2023'!$D:$D,Category!$C52)</f>
        <v>0</v>
      </c>
      <c r="BG52" s="321">
        <f>SUMIFS('2023'!$I:$I,'2023'!$E:$E,Category!$B$26,'2023'!$N:$N,Category!BG$1,'2023'!$D:$D,Category!$C52)</f>
        <v>0</v>
      </c>
      <c r="BH52" s="321">
        <f>SUMIFS('2023'!$I:$I,'2023'!$E:$E,Category!$B$26,'2023'!$N:$N,Category!BH$1,'2023'!$D:$D,Category!$C52)</f>
        <v>0</v>
      </c>
      <c r="BI52" s="321">
        <f>SUMIFS('2023'!$I:$I,'2023'!$E:$E,Category!$B$26,'2023'!$N:$N,Category!BI$1,'2023'!$D:$D,Category!$C52)</f>
        <v>0</v>
      </c>
      <c r="BJ52" s="321">
        <f>SUMIFS('2023'!$I:$I,'2023'!$E:$E,Category!$B$26,'2023'!$N:$N,Category!BJ$1,'2023'!$D:$D,Category!$C52)</f>
        <v>0</v>
      </c>
      <c r="BK52" s="321">
        <f>SUMIFS('2023'!$I:$I,'2023'!$E:$E,Category!$B$26,'2023'!$N:$N,Category!BK$1,'2023'!$D:$D,Category!$C52)</f>
        <v>0</v>
      </c>
      <c r="BL52" s="321">
        <f>SUMIFS('2023'!$I:$I,'2023'!$E:$E,Category!$B$26,'2023'!$N:$N,Category!BL$1,'2023'!$D:$D,Category!$C52)</f>
        <v>0</v>
      </c>
      <c r="BM52" s="321">
        <f>SUMIFS('2023'!$I:$I,'2023'!$E:$E,Category!$B$26,'2023'!$N:$N,Category!BM$1,'2023'!$D:$D,Category!$C52)</f>
        <v>0</v>
      </c>
      <c r="BN52" s="322">
        <f t="shared" si="17"/>
        <v>0</v>
      </c>
      <c r="BP52" s="1050">
        <v>6000000</v>
      </c>
      <c r="BQ52" s="1051" t="s">
        <v>1967</v>
      </c>
      <c r="BR52" s="247"/>
      <c r="BS52" s="247"/>
      <c r="BT52" s="247"/>
      <c r="BU52" s="247"/>
      <c r="BV52" s="247"/>
      <c r="BW52" s="247"/>
    </row>
    <row r="53" spans="1:75" x14ac:dyDescent="0.25">
      <c r="A53" s="327"/>
      <c r="B53" s="324"/>
      <c r="C53" s="320" t="s">
        <v>362</v>
      </c>
      <c r="D53" s="513">
        <f>IFERROR(VLOOKUP($C53,'2019'!$D:$G,4,0),0)</f>
        <v>0</v>
      </c>
      <c r="E53" s="321">
        <f>SUMIFS('2019'!$I:$I,'2019'!$E:$E,Category!$B$26,'2019'!$N:$N,Category!E$1,'2019'!$D:$D,Category!$C53)</f>
        <v>0</v>
      </c>
      <c r="F53" s="321">
        <f>SUMIFS('2019'!$I:$I,'2019'!$E:$E,Category!$B$26,'2019'!$N:$N,Category!F$1,'2019'!$D:$D,Category!$C53)</f>
        <v>0</v>
      </c>
      <c r="G53" s="321">
        <f>SUMIFS('2019'!$I:$I,'2019'!$E:$E,Category!$B$26,'2019'!$N:$N,Category!G$1,'2019'!$D:$D,Category!$C53)</f>
        <v>0</v>
      </c>
      <c r="H53" s="321">
        <f>SUMIFS('2019'!$I:$I,'2019'!$E:$E,Category!$B$26,'2019'!$N:$N,Category!H$1,'2019'!$D:$D,Category!$C53)</f>
        <v>0</v>
      </c>
      <c r="I53" s="321">
        <f>SUMIFS('2019'!$I:$I,'2019'!$E:$E,Category!$B$26,'2019'!$N:$N,Category!I$1,'2019'!$D:$D,Category!$C53)</f>
        <v>0</v>
      </c>
      <c r="J53" s="322">
        <f t="shared" si="11"/>
        <v>0</v>
      </c>
      <c r="K53" s="500">
        <f>IFERROR(VLOOKUP($C53,'2020'!$D:$G,4,0),0)</f>
        <v>0</v>
      </c>
      <c r="L53" s="321">
        <f>SUMIFS('2020'!$I:$I,'2020'!$E:$E,Category!$B$26,'2020'!$N:$N,Category!L$1,'2020'!$D:$D,Category!$C53)</f>
        <v>0</v>
      </c>
      <c r="M53" s="321">
        <f>SUMIFS('2020'!$I:$I,'2020'!$E:$E,Category!$B$26,'2020'!$N:$N,Category!M$1,'2020'!$D:$D,Category!$C53)</f>
        <v>0</v>
      </c>
      <c r="N53" s="321">
        <f>SUMIFS('2020'!$I:$I,'2020'!$E:$E,Category!$B$26,'2020'!$N:$N,Category!N$1,'2020'!$D:$D,Category!$C53)</f>
        <v>0</v>
      </c>
      <c r="O53" s="321">
        <f>SUMIFS('2020'!$I:$I,'2020'!$E:$E,Category!$B$26,'2020'!$N:$N,Category!O$1,'2020'!$D:$D,Category!$C53)</f>
        <v>0</v>
      </c>
      <c r="P53" s="321">
        <f>SUMIFS('2020'!$I:$I,'2020'!$E:$E,Category!$B$26,'2020'!$N:$N,Category!P$1,'2020'!$D:$D,Category!$C53)</f>
        <v>0</v>
      </c>
      <c r="Q53" s="321">
        <f>SUMIFS('2020'!$I:$I,'2020'!$E:$E,Category!$B$26,'2020'!$N:$N,Category!Q$1,'2020'!$D:$D,Category!$C53)</f>
        <v>0</v>
      </c>
      <c r="R53" s="321">
        <f>SUMIFS('2020'!$I:$I,'2020'!$E:$E,Category!$B$26,'2020'!$N:$N,Category!R$1,'2020'!$D:$D,Category!$C53)</f>
        <v>0</v>
      </c>
      <c r="S53" s="321">
        <f>SUMIFS('2020'!$I:$I,'2020'!$E:$E,Category!$B$26,'2020'!$N:$N,Category!S$1,'2020'!$D:$D,Category!$C53)</f>
        <v>0</v>
      </c>
      <c r="T53" s="321">
        <f>SUMIFS('2020'!$I:$I,'2020'!$E:$E,Category!$B$26,'2020'!$N:$N,Category!T$1,'2020'!$D:$D,Category!$C53)</f>
        <v>0</v>
      </c>
      <c r="U53" s="321">
        <f>SUMIFS('2020'!$I:$I,'2020'!$E:$E,Category!$B$26,'2020'!$N:$N,Category!U$1,'2020'!$D:$D,Category!$C53)</f>
        <v>0</v>
      </c>
      <c r="V53" s="321">
        <f>SUMIFS('2020'!$I:$I,'2020'!$E:$E,Category!$B$26,'2020'!$N:$N,Category!V$1,'2020'!$D:$D,Category!$C53)</f>
        <v>0</v>
      </c>
      <c r="W53" s="321">
        <f>SUMIFS('2020'!$I:$I,'2020'!$E:$E,Category!$B$26,'2020'!$N:$N,Category!W$1,'2020'!$D:$D,Category!$C53)</f>
        <v>0</v>
      </c>
      <c r="X53" s="322">
        <f t="shared" si="16"/>
        <v>0</v>
      </c>
      <c r="Y53" s="500">
        <f>IFERROR(VLOOKUP(C53,'2021'!$D:$G,4,0),0)</f>
        <v>128</v>
      </c>
      <c r="Z53" s="321">
        <f>SUMIFS('2021'!$I:$I,'2021'!$E:$E,Category!$B$26,'2021'!$N:$N,Category!Z$1,'2021'!$D:$D,Category!$C53)</f>
        <v>0</v>
      </c>
      <c r="AA53" s="321">
        <f>SUMIFS('2021'!$I:$I,'2021'!$E:$E,Category!$B$26,'2021'!$N:$N,Category!AA$1,'2021'!$D:$D,Category!$C53)</f>
        <v>0</v>
      </c>
      <c r="AB53" s="321">
        <f>SUMIFS('2021'!$I:$I,'2021'!$E:$E,Category!$B$26,'2021'!$N:$N,Category!AB$1,'2021'!$D:$D,Category!$C53)</f>
        <v>0</v>
      </c>
      <c r="AC53" s="321">
        <f>SUMIFS('2021'!$I:$I,'2021'!$E:$E,Category!$B$26,'2021'!$N:$N,Category!AC$1,'2021'!$D:$D,Category!$C53)</f>
        <v>0</v>
      </c>
      <c r="AD53" s="321">
        <f>SUMIFS('2021'!$I:$I,'2021'!$E:$E,Category!$B$26,'2021'!$N:$N,Category!AD$1,'2021'!$D:$D,Category!$C53)</f>
        <v>5499100</v>
      </c>
      <c r="AE53" s="321">
        <f>SUMIFS('2021'!$I:$I,'2021'!$E:$E,Category!$B$26,'2021'!$N:$N,Category!AE$1,'2021'!$D:$D,Category!$C53)</f>
        <v>7416200</v>
      </c>
      <c r="AF53" s="321">
        <f>SUMIFS('2021'!$I:$I,'2021'!$E:$E,Category!$B$26,'2021'!$N:$N,Category!AF$1,'2021'!$D:$D,Category!$C53)</f>
        <v>0</v>
      </c>
      <c r="AG53" s="321">
        <f>SUMIFS('2021'!$I:$I,'2021'!$E:$E,Category!$B$26,'2021'!$N:$N,Category!AG$1,'2021'!$D:$D,Category!$C53)</f>
        <v>5998600</v>
      </c>
      <c r="AH53" s="321">
        <f>SUMIFS('2021'!$I:$I,'2021'!$E:$E,Category!$B$26,'2021'!$N:$N,Category!AH$1,'2021'!$D:$D,Category!$C53)</f>
        <v>0</v>
      </c>
      <c r="AI53" s="321">
        <f>SUMIFS('2021'!$I:$I,'2021'!$E:$E,Category!$B$26,'2021'!$N:$N,Category!AI$1,'2021'!$D:$D,Category!$C53)</f>
        <v>0</v>
      </c>
      <c r="AJ53" s="321">
        <f>SUMIFS('2021'!$I:$I,'2021'!$E:$E,Category!$B$26,'2021'!$N:$N,Category!AJ$1,'2021'!$D:$D,Category!$C53)</f>
        <v>12060800</v>
      </c>
      <c r="AK53" s="321">
        <f>SUMIFS('2021'!$I:$I,'2021'!$E:$E,Category!$B$26,'2021'!$N:$N,Category!AK$1,'2021'!$D:$D,Category!$C53)</f>
        <v>6000200</v>
      </c>
      <c r="AL53" s="322">
        <f t="shared" si="14"/>
        <v>36974900</v>
      </c>
      <c r="AM53" s="500">
        <f>IFERROR(VLOOKUP(C53,'2022'!$D:$G,4,0),0)</f>
        <v>137</v>
      </c>
      <c r="AN53" s="321">
        <f>SUMIFS('2022'!$I:$I,'2022'!$E:$E,Category!$B$26,'2022'!$N:$N,Category!AN$1,'2022'!$D:$D,Category!$C53)</f>
        <v>6000200</v>
      </c>
      <c r="AO53" s="321">
        <f>SUMIFS('2022'!$I:$I,'2022'!$E:$E,Category!$B$26,'2022'!$N:$N,Category!AO$1,'2022'!$D:$D,Category!$C53)</f>
        <v>0</v>
      </c>
      <c r="AP53" s="321">
        <f>SUMIFS('2022'!$I:$I,'2022'!$E:$E,Category!$B$26,'2022'!$N:$N,Category!AP$1,'2022'!$D:$D,Category!$C53)</f>
        <v>11989900</v>
      </c>
      <c r="AQ53" s="321">
        <f>SUMIFS('2022'!$I:$I,'2022'!$E:$E,Category!$B$26,'2022'!$N:$N,Category!AQ$1,'2022'!$D:$D,Category!$C53)</f>
        <v>6059700</v>
      </c>
      <c r="AR53" s="321">
        <f>SUMIFS('2022'!$I:$I,'2022'!$E:$E,Category!$B$26,'2022'!$N:$N,Category!AR$1,'2022'!$D:$D,Category!$C53)</f>
        <v>6076100</v>
      </c>
      <c r="AS53" s="321">
        <f>SUMIFS('2022'!$I:$I,'2022'!$E:$E,Category!$B$26,'2022'!$N:$N,Category!AS$1,'2022'!$D:$D,Category!$C53)</f>
        <v>5997500</v>
      </c>
      <c r="AT53" s="321">
        <f>SUMIFS('2022'!$I:$I,'2022'!$E:$E,Category!$B$26,'2022'!$N:$N,Category!AT$1,'2022'!$D:$D,Category!$C53)</f>
        <v>6000000</v>
      </c>
      <c r="AU53" s="321">
        <f>SUMIFS('2022'!$I:$I,'2022'!$E:$E,Category!$B$26,'2022'!$N:$N,Category!AU$1,'2022'!$D:$D,Category!$C53)</f>
        <v>6000000</v>
      </c>
      <c r="AV53" s="321">
        <f>SUMIFS('2022'!$I:$I,'2022'!$E:$E,Category!$B$26,'2022'!$N:$N,Category!AV$1,'2022'!$D:$D,Category!$C53)</f>
        <v>6000000</v>
      </c>
      <c r="AW53" s="321">
        <f>SUMIFS('2022'!$I:$I,'2022'!$E:$E,Category!$B$26,'2022'!$N:$N,Category!AW$1,'2022'!$D:$D,Category!$C53)</f>
        <v>6000000</v>
      </c>
      <c r="AX53" s="321">
        <f>SUMIFS('2022'!$I:$I,'2022'!$E:$E,Category!$B$26,'2022'!$N:$N,Category!AX$1,'2022'!$D:$D,Category!$C53)</f>
        <v>6000000</v>
      </c>
      <c r="AY53" s="321">
        <f>SUMIFS('2022'!$I:$I,'2022'!$E:$E,Category!$B$26,'2022'!$N:$N,Category!AY$1,'2022'!$D:$D,Category!$C53)</f>
        <v>6354000</v>
      </c>
      <c r="AZ53" s="322">
        <f t="shared" si="18"/>
        <v>72477400</v>
      </c>
      <c r="BA53" s="500">
        <f>IFERROR(VLOOKUP(C53,'2023'!$D:$G,4,0),0)</f>
        <v>137</v>
      </c>
      <c r="BB53" s="321">
        <f>SUMIFS('2023'!$I:$I,'2023'!$E:$E,Category!$B$26,'2023'!$N:$N,Category!BB$1,'2023'!$D:$D,Category!$C53)</f>
        <v>6000000</v>
      </c>
      <c r="BC53" s="321">
        <f>SUMIFS('2023'!$I:$I,'2023'!$E:$E,Category!$B$26,'2023'!$N:$N,Category!BC$1,'2023'!$D:$D,Category!$C53)</f>
        <v>6251190</v>
      </c>
      <c r="BD53" s="321">
        <f>SUMIFS('2023'!$I:$I,'2023'!$E:$E,Category!$B$26,'2023'!$N:$N,Category!BD$1,'2023'!$D:$D,Category!$C53)</f>
        <v>0</v>
      </c>
      <c r="BE53" s="321">
        <f>SUMIFS('2023'!$I:$I,'2023'!$E:$E,Category!$B$26,'2023'!$N:$N,Category!BE$1,'2023'!$D:$D,Category!$C53)</f>
        <v>0</v>
      </c>
      <c r="BF53" s="321">
        <f>SUMIFS('2023'!$I:$I,'2023'!$E:$E,Category!$B$26,'2023'!$N:$N,Category!BF$1,'2023'!$D:$D,Category!$C53)</f>
        <v>0</v>
      </c>
      <c r="BG53" s="321">
        <f>SUMIFS('2023'!$I:$I,'2023'!$E:$E,Category!$B$26,'2023'!$N:$N,Category!BG$1,'2023'!$D:$D,Category!$C53)</f>
        <v>0</v>
      </c>
      <c r="BH53" s="321">
        <f>SUMIFS('2023'!$I:$I,'2023'!$E:$E,Category!$B$26,'2023'!$N:$N,Category!BH$1,'2023'!$D:$D,Category!$C53)</f>
        <v>0</v>
      </c>
      <c r="BI53" s="321">
        <f>SUMIFS('2023'!$I:$I,'2023'!$E:$E,Category!$B$26,'2023'!$N:$N,Category!BI$1,'2023'!$D:$D,Category!$C53)</f>
        <v>0</v>
      </c>
      <c r="BJ53" s="321">
        <f>SUMIFS('2023'!$I:$I,'2023'!$E:$E,Category!$B$26,'2023'!$N:$N,Category!BJ$1,'2023'!$D:$D,Category!$C53)</f>
        <v>0</v>
      </c>
      <c r="BK53" s="321">
        <f>SUMIFS('2023'!$I:$I,'2023'!$E:$E,Category!$B$26,'2023'!$N:$N,Category!BK$1,'2023'!$D:$D,Category!$C53)</f>
        <v>0</v>
      </c>
      <c r="BL53" s="321">
        <f>SUMIFS('2023'!$I:$I,'2023'!$E:$E,Category!$B$26,'2023'!$N:$N,Category!BL$1,'2023'!$D:$D,Category!$C53)</f>
        <v>0</v>
      </c>
      <c r="BM53" s="321">
        <f>SUMIFS('2023'!$I:$I,'2023'!$E:$E,Category!$B$26,'2023'!$N:$N,Category!BM$1,'2023'!$D:$D,Category!$C53)</f>
        <v>0</v>
      </c>
      <c r="BN53" s="322">
        <f t="shared" si="17"/>
        <v>12251190</v>
      </c>
      <c r="BP53" s="1050">
        <v>2325000</v>
      </c>
      <c r="BQ53" s="1051" t="s">
        <v>2068</v>
      </c>
      <c r="BR53" s="247"/>
      <c r="BS53" s="247"/>
      <c r="BT53" s="247"/>
      <c r="BU53" s="247"/>
      <c r="BV53" s="247"/>
      <c r="BW53" s="247"/>
    </row>
    <row r="54" spans="1:75" x14ac:dyDescent="0.3">
      <c r="A54" s="327"/>
      <c r="B54" s="324"/>
      <c r="C54" s="324" t="s">
        <v>858</v>
      </c>
      <c r="D54" s="516">
        <f>IFERROR(VLOOKUP($C54,'2019'!$D:$G,4,0),0)</f>
        <v>0</v>
      </c>
      <c r="E54" s="321">
        <f>SUMIFS('2019'!$I:$I,'2019'!$E:$E,Category!$B$26,'2019'!$N:$N,Category!E$1,'2019'!$D:$D,Category!$C54)</f>
        <v>0</v>
      </c>
      <c r="F54" s="321">
        <f>SUMIFS('2019'!$I:$I,'2019'!$E:$E,Category!$B$26,'2019'!$N:$N,Category!F$1,'2019'!$D:$D,Category!$C54)</f>
        <v>0</v>
      </c>
      <c r="G54" s="321">
        <f>SUMIFS('2019'!$I:$I,'2019'!$E:$E,Category!$B$26,'2019'!$N:$N,Category!G$1,'2019'!$D:$D,Category!$C54)</f>
        <v>0</v>
      </c>
      <c r="H54" s="321">
        <f>SUMIFS('2019'!$I:$I,'2019'!$E:$E,Category!$B$26,'2019'!$N:$N,Category!H$1,'2019'!$D:$D,Category!$C54)</f>
        <v>0</v>
      </c>
      <c r="I54" s="321">
        <f>SUMIFS('2019'!$I:$I,'2019'!$E:$E,Category!$B$26,'2019'!$N:$N,Category!I$1,'2019'!$D:$D,Category!$C54)</f>
        <v>0</v>
      </c>
      <c r="J54" s="322">
        <f t="shared" si="11"/>
        <v>0</v>
      </c>
      <c r="K54" s="500">
        <f>IFERROR(VLOOKUP($C54,'2020'!$D:$G,4,0),0)</f>
        <v>0</v>
      </c>
      <c r="L54" s="321">
        <f>SUMIFS('2020'!$I:$I,'2020'!$E:$E,Category!$B$26,'2020'!$N:$N,Category!L$1,'2020'!$D:$D,Category!$C54)</f>
        <v>0</v>
      </c>
      <c r="M54" s="321">
        <f>SUMIFS('2020'!$I:$I,'2020'!$E:$E,Category!$B$26,'2020'!$N:$N,Category!M$1,'2020'!$D:$D,Category!$C54)</f>
        <v>0</v>
      </c>
      <c r="N54" s="321">
        <f>SUMIFS('2020'!$I:$I,'2020'!$E:$E,Category!$B$26,'2020'!$N:$N,Category!N$1,'2020'!$D:$D,Category!$C54)</f>
        <v>0</v>
      </c>
      <c r="O54" s="321">
        <f>SUMIFS('2020'!$I:$I,'2020'!$E:$E,Category!$B$26,'2020'!$N:$N,Category!O$1,'2020'!$D:$D,Category!$C54)</f>
        <v>0</v>
      </c>
      <c r="P54" s="321">
        <f>SUMIFS('2020'!$I:$I,'2020'!$E:$E,Category!$B$26,'2020'!$N:$N,Category!P$1,'2020'!$D:$D,Category!$C54)</f>
        <v>0</v>
      </c>
      <c r="Q54" s="321">
        <f>SUMIFS('2020'!$I:$I,'2020'!$E:$E,Category!$B$26,'2020'!$N:$N,Category!Q$1,'2020'!$D:$D,Category!$C54)</f>
        <v>0</v>
      </c>
      <c r="R54" s="321">
        <f>SUMIFS('2020'!$I:$I,'2020'!$E:$E,Category!$B$26,'2020'!$N:$N,Category!R$1,'2020'!$D:$D,Category!$C54)</f>
        <v>0</v>
      </c>
      <c r="S54" s="321">
        <f>SUMIFS('2020'!$I:$I,'2020'!$E:$E,Category!$B$26,'2020'!$N:$N,Category!S$1,'2020'!$D:$D,Category!$C54)</f>
        <v>0</v>
      </c>
      <c r="T54" s="321">
        <f>SUMIFS('2020'!$I:$I,'2020'!$E:$E,Category!$B$26,'2020'!$N:$N,Category!T$1,'2020'!$D:$D,Category!$C54)</f>
        <v>0</v>
      </c>
      <c r="U54" s="321">
        <f>SUMIFS('2020'!$I:$I,'2020'!$E:$E,Category!$B$26,'2020'!$N:$N,Category!U$1,'2020'!$D:$D,Category!$C54)</f>
        <v>0</v>
      </c>
      <c r="V54" s="321">
        <f>SUMIFS('2020'!$I:$I,'2020'!$E:$E,Category!$B$26,'2020'!$N:$N,Category!V$1,'2020'!$D:$D,Category!$C54)</f>
        <v>0</v>
      </c>
      <c r="W54" s="321">
        <f>SUMIFS('2020'!$I:$I,'2020'!$E:$E,Category!$B$26,'2020'!$N:$N,Category!W$1,'2020'!$D:$D,Category!$C54)</f>
        <v>0</v>
      </c>
      <c r="X54" s="322">
        <f t="shared" si="16"/>
        <v>0</v>
      </c>
      <c r="Y54" s="500">
        <f>IFERROR(VLOOKUP(C54,'2021'!$D:$G,4,0),0)</f>
        <v>12</v>
      </c>
      <c r="Z54" s="321">
        <f>SUMIFS('2021'!$I:$I,'2021'!$E:$E,Category!$B$26,'2021'!$N:$N,Category!Z$1,'2021'!$D:$D,Category!$C54)</f>
        <v>0</v>
      </c>
      <c r="AA54" s="321">
        <f>SUMIFS('2021'!$I:$I,'2021'!$E:$E,Category!$B$26,'2021'!$N:$N,Category!AA$1,'2021'!$D:$D,Category!$C54)</f>
        <v>0</v>
      </c>
      <c r="AB54" s="321">
        <f>SUMIFS('2021'!$I:$I,'2021'!$E:$E,Category!$B$26,'2021'!$N:$N,Category!AB$1,'2021'!$D:$D,Category!$C54)</f>
        <v>0</v>
      </c>
      <c r="AC54" s="321">
        <f>SUMIFS('2021'!$I:$I,'2021'!$E:$E,Category!$B$26,'2021'!$N:$N,Category!AC$1,'2021'!$D:$D,Category!$C54)</f>
        <v>0</v>
      </c>
      <c r="AD54" s="321">
        <f>SUMIFS('2021'!$I:$I,'2021'!$E:$E,Category!$B$26,'2021'!$N:$N,Category!AD$1,'2021'!$D:$D,Category!$C54)</f>
        <v>5499160</v>
      </c>
      <c r="AE54" s="321">
        <f>SUMIFS('2021'!$I:$I,'2021'!$E:$E,Category!$B$26,'2021'!$N:$N,Category!AE$1,'2021'!$D:$D,Category!$C54)</f>
        <v>5392900</v>
      </c>
      <c r="AF54" s="321">
        <f>SUMIFS('2021'!$I:$I,'2021'!$E:$E,Category!$B$26,'2021'!$N:$N,Category!AF$1,'2021'!$D:$D,Category!$C54)</f>
        <v>0</v>
      </c>
      <c r="AG54" s="321">
        <f>SUMIFS('2021'!$I:$I,'2021'!$E:$E,Category!$B$26,'2021'!$N:$N,Category!AG$1,'2021'!$D:$D,Category!$C54)</f>
        <v>5998900</v>
      </c>
      <c r="AH54" s="321">
        <f>SUMIFS('2021'!$I:$I,'2021'!$E:$E,Category!$B$26,'2021'!$N:$N,Category!AH$1,'2021'!$D:$D,Category!$C54)</f>
        <v>0</v>
      </c>
      <c r="AI54" s="321">
        <f>SUMIFS('2021'!$I:$I,'2021'!$E:$E,Category!$B$26,'2021'!$N:$N,Category!AI$1,'2021'!$D:$D,Category!$C54)</f>
        <v>0</v>
      </c>
      <c r="AJ54" s="321">
        <f>SUMIFS('2021'!$I:$I,'2021'!$E:$E,Category!$B$26,'2021'!$N:$N,Category!AJ$1,'2021'!$D:$D,Category!$C54)</f>
        <v>12362000</v>
      </c>
      <c r="AK54" s="321">
        <f>SUMIFS('2021'!$I:$I,'2021'!$E:$E,Category!$B$26,'2021'!$N:$N,Category!AK$1,'2021'!$D:$D,Category!$C54)</f>
        <v>5998400</v>
      </c>
      <c r="AL54" s="322">
        <f t="shared" si="14"/>
        <v>35251360</v>
      </c>
      <c r="AM54" s="500">
        <f>IFERROR(VLOOKUP(C54,'2022'!$D:$G,4,0),0)</f>
        <v>12</v>
      </c>
      <c r="AN54" s="321">
        <f>SUMIFS('2022'!$I:$I,'2022'!$E:$E,Category!$B$26,'2022'!$N:$N,Category!AN$1,'2022'!$D:$D,Category!$C54)</f>
        <v>6000700</v>
      </c>
      <c r="AO54" s="321">
        <f>SUMIFS('2022'!$I:$I,'2022'!$E:$E,Category!$B$26,'2022'!$N:$N,Category!AO$1,'2022'!$D:$D,Category!$C54)</f>
        <v>0</v>
      </c>
      <c r="AP54" s="321">
        <f>SUMIFS('2022'!$I:$I,'2022'!$E:$E,Category!$B$26,'2022'!$N:$N,Category!AP$1,'2022'!$D:$D,Category!$C54)</f>
        <v>11999300</v>
      </c>
      <c r="AQ54" s="321">
        <f>SUMIFS('2022'!$I:$I,'2022'!$E:$E,Category!$B$26,'2022'!$N:$N,Category!AQ$1,'2022'!$D:$D,Category!$C54)</f>
        <v>6166300</v>
      </c>
      <c r="AR54" s="321">
        <f>SUMIFS('2022'!$I:$I,'2022'!$E:$E,Category!$B$26,'2022'!$N:$N,Category!AR$1,'2022'!$D:$D,Category!$C54)</f>
        <v>6142800</v>
      </c>
      <c r="AS54" s="321">
        <f>SUMIFS('2022'!$I:$I,'2022'!$E:$E,Category!$B$26,'2022'!$N:$N,Category!AS$1,'2022'!$D:$D,Category!$C54)</f>
        <v>6005700</v>
      </c>
      <c r="AT54" s="321">
        <f>SUMIFS('2022'!$I:$I,'2022'!$E:$E,Category!$B$26,'2022'!$N:$N,Category!AT$1,'2022'!$D:$D,Category!$C54)</f>
        <v>6000000</v>
      </c>
      <c r="AU54" s="321">
        <f>SUMIFS('2022'!$I:$I,'2022'!$E:$E,Category!$B$26,'2022'!$N:$N,Category!AU$1,'2022'!$D:$D,Category!$C54)</f>
        <v>6000000</v>
      </c>
      <c r="AV54" s="321">
        <f>SUMIFS('2022'!$I:$I,'2022'!$E:$E,Category!$B$26,'2022'!$N:$N,Category!AV$1,'2022'!$D:$D,Category!$C54)</f>
        <v>6531860</v>
      </c>
      <c r="AW54" s="321">
        <f>SUMIFS('2022'!$I:$I,'2022'!$E:$E,Category!$B$26,'2022'!$N:$N,Category!AW$1,'2022'!$D:$D,Category!$C54)</f>
        <v>6000000</v>
      </c>
      <c r="AX54" s="321">
        <f>SUMIFS('2022'!$I:$I,'2022'!$E:$E,Category!$B$26,'2022'!$N:$N,Category!AX$1,'2022'!$D:$D,Category!$C54)</f>
        <v>6000000</v>
      </c>
      <c r="AY54" s="321">
        <f>SUMIFS('2022'!$I:$I,'2022'!$E:$E,Category!$B$26,'2022'!$N:$N,Category!AY$1,'2022'!$D:$D,Category!$C54)</f>
        <v>6000000</v>
      </c>
      <c r="AZ54" s="322">
        <f>SUM(AN54:AY54)</f>
        <v>72846660</v>
      </c>
      <c r="BA54" s="500">
        <f>IFERROR(VLOOKUP(C54,'2023'!$D:$G,4,0),0)</f>
        <v>320</v>
      </c>
      <c r="BB54" s="321">
        <f>SUMIFS('2023'!$I:$I,'2023'!$E:$E,Category!$B$26,'2023'!$N:$N,Category!BB$1,'2023'!$D:$D,Category!$C54)</f>
        <v>6000000</v>
      </c>
      <c r="BC54" s="321">
        <f>SUMIFS('2023'!$I:$I,'2023'!$E:$E,Category!$B$26,'2023'!$N:$N,Category!BC$1,'2023'!$D:$D,Category!$C54)</f>
        <v>6000000</v>
      </c>
      <c r="BD54" s="321">
        <f>SUMIFS('2023'!$I:$I,'2023'!$E:$E,Category!$B$26,'2023'!$N:$N,Category!BD$1,'2023'!$D:$D,Category!$C54)</f>
        <v>0</v>
      </c>
      <c r="BE54" s="321">
        <f>SUMIFS('2023'!$I:$I,'2023'!$E:$E,Category!$B$26,'2023'!$N:$N,Category!BE$1,'2023'!$D:$D,Category!$C54)</f>
        <v>0</v>
      </c>
      <c r="BF54" s="321">
        <f>SUMIFS('2023'!$I:$I,'2023'!$E:$E,Category!$B$26,'2023'!$N:$N,Category!BF$1,'2023'!$D:$D,Category!$C54)</f>
        <v>0</v>
      </c>
      <c r="BG54" s="321">
        <f>SUMIFS('2023'!$I:$I,'2023'!$E:$E,Category!$B$26,'2023'!$N:$N,Category!BG$1,'2023'!$D:$D,Category!$C54)</f>
        <v>0</v>
      </c>
      <c r="BH54" s="321">
        <f>SUMIFS('2023'!$I:$I,'2023'!$E:$E,Category!$B$26,'2023'!$N:$N,Category!BH$1,'2023'!$D:$D,Category!$C54)</f>
        <v>0</v>
      </c>
      <c r="BI54" s="321">
        <f>SUMIFS('2023'!$I:$I,'2023'!$E:$E,Category!$B$26,'2023'!$N:$N,Category!BI$1,'2023'!$D:$D,Category!$C54)</f>
        <v>0</v>
      </c>
      <c r="BJ54" s="321">
        <f>SUMIFS('2023'!$I:$I,'2023'!$E:$E,Category!$B$26,'2023'!$N:$N,Category!BJ$1,'2023'!$D:$D,Category!$C54)</f>
        <v>0</v>
      </c>
      <c r="BK54" s="321">
        <f>SUMIFS('2023'!$I:$I,'2023'!$E:$E,Category!$B$26,'2023'!$N:$N,Category!BK$1,'2023'!$D:$D,Category!$C54)</f>
        <v>0</v>
      </c>
      <c r="BL54" s="321">
        <f>SUMIFS('2023'!$I:$I,'2023'!$E:$E,Category!$B$26,'2023'!$N:$N,Category!BL$1,'2023'!$D:$D,Category!$C54)</f>
        <v>0</v>
      </c>
      <c r="BM54" s="321">
        <f>SUMIFS('2023'!$I:$I,'2023'!$E:$E,Category!$B$26,'2023'!$N:$N,Category!BM$1,'2023'!$D:$D,Category!$C54)</f>
        <v>0</v>
      </c>
      <c r="BN54" s="322">
        <f t="shared" si="17"/>
        <v>12000000</v>
      </c>
      <c r="BP54" s="1050"/>
      <c r="BQ54" s="1051"/>
      <c r="BR54" s="247"/>
      <c r="BS54" s="247"/>
      <c r="BT54" s="247"/>
      <c r="BU54" s="247"/>
      <c r="BV54" s="247"/>
      <c r="BW54" s="247"/>
    </row>
    <row r="55" spans="1:75" x14ac:dyDescent="0.3">
      <c r="A55" s="327"/>
      <c r="B55" s="324"/>
      <c r="C55" s="328" t="s">
        <v>859</v>
      </c>
      <c r="D55" s="517">
        <f>IFERROR(VLOOKUP($C55,'2019'!$D:$G,4,0),0)</f>
        <v>0</v>
      </c>
      <c r="E55" s="321">
        <f>SUMIFS('2019'!$I:$I,'2019'!$E:$E,Category!$B$26,'2019'!$N:$N,Category!E$1,'2019'!$D:$D,Category!$C55)</f>
        <v>0</v>
      </c>
      <c r="F55" s="321">
        <f>SUMIFS('2019'!$I:$I,'2019'!$E:$E,Category!$B$26,'2019'!$N:$N,Category!F$1,'2019'!$D:$D,Category!$C55)</f>
        <v>0</v>
      </c>
      <c r="G55" s="321">
        <f>SUMIFS('2019'!$I:$I,'2019'!$E:$E,Category!$B$26,'2019'!$N:$N,Category!G$1,'2019'!$D:$D,Category!$C55)</f>
        <v>0</v>
      </c>
      <c r="H55" s="321">
        <f>SUMIFS('2019'!$I:$I,'2019'!$E:$E,Category!$B$26,'2019'!$N:$N,Category!H$1,'2019'!$D:$D,Category!$C55)</f>
        <v>0</v>
      </c>
      <c r="I55" s="321">
        <f>SUMIFS('2019'!$I:$I,'2019'!$E:$E,Category!$B$26,'2019'!$N:$N,Category!I$1,'2019'!$D:$D,Category!$C55)</f>
        <v>0</v>
      </c>
      <c r="J55" s="322">
        <f t="shared" si="11"/>
        <v>0</v>
      </c>
      <c r="K55" s="500">
        <f>IFERROR(VLOOKUP($C55,'2020'!$D:$G,4,0),0)</f>
        <v>0</v>
      </c>
      <c r="L55" s="321">
        <f>SUMIFS('2020'!$I:$I,'2020'!$E:$E,Category!$B$26,'2020'!$N:$N,Category!L$1,'2020'!$D:$D,Category!$C55)</f>
        <v>0</v>
      </c>
      <c r="M55" s="321">
        <f>SUMIFS('2020'!$I:$I,'2020'!$E:$E,Category!$B$26,'2020'!$N:$N,Category!M$1,'2020'!$D:$D,Category!$C55)</f>
        <v>0</v>
      </c>
      <c r="N55" s="321">
        <f>SUMIFS('2020'!$I:$I,'2020'!$E:$E,Category!$B$26,'2020'!$N:$N,Category!N$1,'2020'!$D:$D,Category!$C55)</f>
        <v>0</v>
      </c>
      <c r="O55" s="321">
        <f>SUMIFS('2020'!$I:$I,'2020'!$E:$E,Category!$B$26,'2020'!$N:$N,Category!O$1,'2020'!$D:$D,Category!$C55)</f>
        <v>0</v>
      </c>
      <c r="P55" s="321">
        <f>SUMIFS('2020'!$I:$I,'2020'!$E:$E,Category!$B$26,'2020'!$N:$N,Category!P$1,'2020'!$D:$D,Category!$C55)</f>
        <v>0</v>
      </c>
      <c r="Q55" s="321">
        <f>SUMIFS('2020'!$I:$I,'2020'!$E:$E,Category!$B$26,'2020'!$N:$N,Category!Q$1,'2020'!$D:$D,Category!$C55)</f>
        <v>0</v>
      </c>
      <c r="R55" s="321">
        <f>SUMIFS('2020'!$I:$I,'2020'!$E:$E,Category!$B$26,'2020'!$N:$N,Category!R$1,'2020'!$D:$D,Category!$C55)</f>
        <v>0</v>
      </c>
      <c r="S55" s="321">
        <f>SUMIFS('2020'!$I:$I,'2020'!$E:$E,Category!$B$26,'2020'!$N:$N,Category!S$1,'2020'!$D:$D,Category!$C55)</f>
        <v>0</v>
      </c>
      <c r="T55" s="321">
        <f>SUMIFS('2020'!$I:$I,'2020'!$E:$E,Category!$B$26,'2020'!$N:$N,Category!T$1,'2020'!$D:$D,Category!$C55)</f>
        <v>0</v>
      </c>
      <c r="U55" s="321">
        <f>SUMIFS('2020'!$I:$I,'2020'!$E:$E,Category!$B$26,'2020'!$N:$N,Category!U$1,'2020'!$D:$D,Category!$C55)</f>
        <v>0</v>
      </c>
      <c r="V55" s="321">
        <f>SUMIFS('2020'!$I:$I,'2020'!$E:$E,Category!$B$26,'2020'!$N:$N,Category!V$1,'2020'!$D:$D,Category!$C55)</f>
        <v>0</v>
      </c>
      <c r="W55" s="321">
        <f>SUMIFS('2020'!$I:$I,'2020'!$E:$E,Category!$B$26,'2020'!$N:$N,Category!W$1,'2020'!$D:$D,Category!$C55)</f>
        <v>0</v>
      </c>
      <c r="X55" s="322">
        <f t="shared" si="16"/>
        <v>0</v>
      </c>
      <c r="Y55" s="500">
        <f>IFERROR(VLOOKUP(C55,'2021'!$D:$G,4,0),0)</f>
        <v>23</v>
      </c>
      <c r="Z55" s="321">
        <f>SUMIFS('2021'!$I:$I,'2021'!$E:$E,Category!$B$26,'2021'!$N:$N,Category!Z$1,'2021'!$D:$D,Category!$C55)</f>
        <v>0</v>
      </c>
      <c r="AA55" s="321">
        <f>SUMIFS('2021'!$I:$I,'2021'!$E:$E,Category!$B$26,'2021'!$N:$N,Category!AA$1,'2021'!$D:$D,Category!$C55)</f>
        <v>0</v>
      </c>
      <c r="AB55" s="321">
        <f>SUMIFS('2021'!$I:$I,'2021'!$E:$E,Category!$B$26,'2021'!$N:$N,Category!AB$1,'2021'!$D:$D,Category!$C55)</f>
        <v>0</v>
      </c>
      <c r="AC55" s="321">
        <f>SUMIFS('2021'!$I:$I,'2021'!$E:$E,Category!$B$26,'2021'!$N:$N,Category!AC$1,'2021'!$D:$D,Category!$C55)</f>
        <v>0</v>
      </c>
      <c r="AD55" s="321">
        <f>SUMIFS('2021'!$I:$I,'2021'!$E:$E,Category!$B$26,'2021'!$N:$N,Category!AD$1,'2021'!$D:$D,Category!$C55)</f>
        <v>0</v>
      </c>
      <c r="AE55" s="321">
        <f>SUMIFS('2021'!$I:$I,'2021'!$E:$E,Category!$B$26,'2021'!$N:$N,Category!AE$1,'2021'!$D:$D,Category!$C55)</f>
        <v>0</v>
      </c>
      <c r="AF55" s="321">
        <f>SUMIFS('2021'!$I:$I,'2021'!$E:$E,Category!$B$26,'2021'!$N:$N,Category!AF$1,'2021'!$D:$D,Category!$C55)</f>
        <v>6000000</v>
      </c>
      <c r="AG55" s="321">
        <f>SUMIFS('2021'!$I:$I,'2021'!$E:$E,Category!$B$26,'2021'!$N:$N,Category!AG$1,'2021'!$D:$D,Category!$C55)</f>
        <v>6000000</v>
      </c>
      <c r="AH55" s="321">
        <f>'2021'!$I$227</f>
        <v>6000000</v>
      </c>
      <c r="AI55" s="321">
        <f>'2021'!$I$241</f>
        <v>6000000</v>
      </c>
      <c r="AJ55" s="321">
        <f>SUMIFS('2021'!$I:$I,'2021'!$E:$E,Category!$B$26,'2021'!$N:$N,Category!AJ$1,'2021'!$D:$D,Category!$C55)</f>
        <v>6000000</v>
      </c>
      <c r="AK55" s="321">
        <f>'2021'!$I$374</f>
        <v>6000000</v>
      </c>
      <c r="AL55" s="322">
        <f t="shared" si="14"/>
        <v>36000000</v>
      </c>
      <c r="AM55" s="500">
        <f>IFERROR(VLOOKUP(C55,'2022'!$D:$G,4,0),0)</f>
        <v>23</v>
      </c>
      <c r="AN55" s="321">
        <f>SUMIFS('2022'!$I:$I,'2022'!$E:$E,Category!$B$26,'2022'!$N:$N,Category!AN$1,'2022'!$D:$D,Category!$C55)</f>
        <v>6000000</v>
      </c>
      <c r="AO55" s="321">
        <f>SUMIFS('2022'!$I:$I,'2022'!$E:$E,Category!$B$26,'2022'!$N:$N,Category!AO$1,'2022'!$D:$D,Category!$C55)</f>
        <v>6000000</v>
      </c>
      <c r="AP55" s="321">
        <f>SUMIFS('2022'!$I:$I,'2022'!$E:$E,Category!$B$26,'2022'!$N:$N,Category!AP$1,'2022'!$D:$D,Category!$C55)</f>
        <v>6000000</v>
      </c>
      <c r="AQ55" s="321">
        <f>SUMIFS('2022'!$I:$I,'2022'!$E:$E,Category!$B$26,'2022'!$N:$N,Category!AQ$1,'2022'!$D:$D,Category!$C55)</f>
        <v>6000000</v>
      </c>
      <c r="AR55" s="321">
        <f>SUMIFS('2022'!$I:$I,'2022'!$E:$E,Category!$B$26,'2022'!$N:$N,Category!AR$1,'2022'!$D:$D,Category!$C55)</f>
        <v>6000000</v>
      </c>
      <c r="AS55" s="321">
        <f>SUMIFS('2022'!$I:$I,'2022'!$E:$E,Category!$B$26,'2022'!$N:$N,Category!AS$1,'2022'!$D:$D,Category!$C55)</f>
        <v>6000000</v>
      </c>
      <c r="AT55" s="321">
        <f>SUMIFS('2022'!$I:$I,'2022'!$E:$E,Category!$B$26,'2022'!$N:$N,Category!AT$1,'2022'!$D:$D,Category!$C55)</f>
        <v>6000000</v>
      </c>
      <c r="AU55" s="321">
        <f>SUMIFS('2022'!$I:$I,'2022'!$E:$E,Category!$B$26,'2022'!$N:$N,Category!AU$1,'2022'!$D:$D,Category!$C55)</f>
        <v>6000000</v>
      </c>
      <c r="AV55" s="321">
        <f>SUMIFS('2022'!$I:$I,'2022'!$E:$E,Category!$B$26,'2022'!$N:$N,Category!AV$1,'2022'!$D:$D,Category!$C55)</f>
        <v>6000000</v>
      </c>
      <c r="AW55" s="321">
        <f>SUMIFS('2022'!$I:$I,'2022'!$E:$E,Category!$B$26,'2022'!$N:$N,Category!AW$1,'2022'!$D:$D,Category!$C55)</f>
        <v>6000000</v>
      </c>
      <c r="AX55" s="321">
        <f>SUMIFS('2022'!$I:$I,'2022'!$E:$E,Category!$B$26,'2022'!$N:$N,Category!AX$1,'2022'!$D:$D,Category!$C55)</f>
        <v>6000000</v>
      </c>
      <c r="AY55" s="321">
        <f>SUMIFS('2022'!$I:$I,'2022'!$E:$E,Category!$B$26,'2022'!$N:$N,Category!AY$1,'2022'!$D:$D,Category!$C55)</f>
        <v>6000000</v>
      </c>
      <c r="AZ55" s="322">
        <f t="shared" ref="AZ55:AZ60" si="19">SUM(AN55:AY55)</f>
        <v>72000000</v>
      </c>
      <c r="BA55" s="500">
        <f>IFERROR(VLOOKUP(C55,'2023'!$D:$G,4,0),0)</f>
        <v>25</v>
      </c>
      <c r="BB55" s="321">
        <f>SUMIFS('2023'!$I:$I,'2023'!$E:$E,Category!$B$26,'2023'!$N:$N,Category!BB$1,'2023'!$D:$D,Category!$C55)</f>
        <v>6000000</v>
      </c>
      <c r="BC55" s="321">
        <f>SUMIFS('2023'!$I:$I,'2023'!$E:$E,Category!$B$26,'2023'!$N:$N,Category!BC$1,'2023'!$D:$D,Category!$C55)</f>
        <v>6000000</v>
      </c>
      <c r="BD55" s="321">
        <f>SUMIFS('2023'!$I:$I,'2023'!$E:$E,Category!$B$26,'2023'!$N:$N,Category!BD$1,'2023'!$D:$D,Category!$C55)</f>
        <v>0</v>
      </c>
      <c r="BE55" s="321">
        <f>SUMIFS('2023'!$I:$I,'2023'!$E:$E,Category!$B$26,'2023'!$N:$N,Category!BE$1,'2023'!$D:$D,Category!$C55)</f>
        <v>0</v>
      </c>
      <c r="BF55" s="321">
        <f>SUMIFS('2023'!$I:$I,'2023'!$E:$E,Category!$B$26,'2023'!$N:$N,Category!BF$1,'2023'!$D:$D,Category!$C55)</f>
        <v>0</v>
      </c>
      <c r="BG55" s="321">
        <f>SUMIFS('2023'!$I:$I,'2023'!$E:$E,Category!$B$26,'2023'!$N:$N,Category!BG$1,'2023'!$D:$D,Category!$C55)</f>
        <v>0</v>
      </c>
      <c r="BH55" s="321">
        <f>SUMIFS('2023'!$I:$I,'2023'!$E:$E,Category!$B$26,'2023'!$N:$N,Category!BH$1,'2023'!$D:$D,Category!$C55)</f>
        <v>0</v>
      </c>
      <c r="BI55" s="321">
        <f>SUMIFS('2023'!$I:$I,'2023'!$E:$E,Category!$B$26,'2023'!$N:$N,Category!BI$1,'2023'!$D:$D,Category!$C55)</f>
        <v>0</v>
      </c>
      <c r="BJ55" s="321">
        <f>SUMIFS('2023'!$I:$I,'2023'!$E:$E,Category!$B$26,'2023'!$N:$N,Category!BJ$1,'2023'!$D:$D,Category!$C55)</f>
        <v>0</v>
      </c>
      <c r="BK55" s="321">
        <f>SUMIFS('2023'!$I:$I,'2023'!$E:$E,Category!$B$26,'2023'!$N:$N,Category!BK$1,'2023'!$D:$D,Category!$C55)</f>
        <v>0</v>
      </c>
      <c r="BL55" s="321">
        <f>SUMIFS('2023'!$I:$I,'2023'!$E:$E,Category!$B$26,'2023'!$N:$N,Category!BL$1,'2023'!$D:$D,Category!$C55)</f>
        <v>0</v>
      </c>
      <c r="BM55" s="321">
        <f>SUMIFS('2023'!$I:$I,'2023'!$E:$E,Category!$B$26,'2023'!$N:$N,Category!BM$1,'2023'!$D:$D,Category!$C55)</f>
        <v>0</v>
      </c>
      <c r="BN55" s="322">
        <f t="shared" si="17"/>
        <v>12000000</v>
      </c>
      <c r="BP55" s="1050"/>
      <c r="BQ55" s="1051"/>
      <c r="BR55" s="247"/>
      <c r="BS55" s="247"/>
      <c r="BT55" s="247"/>
      <c r="BU55" s="247"/>
      <c r="BV55" s="247"/>
      <c r="BW55" s="247"/>
    </row>
    <row r="56" spans="1:75" x14ac:dyDescent="0.3">
      <c r="A56" s="327"/>
      <c r="B56" s="324"/>
      <c r="C56" s="324" t="s">
        <v>391</v>
      </c>
      <c r="D56" s="516">
        <f>IFERROR(VLOOKUP($C56,'2019'!$D:$G,4,0),0)</f>
        <v>0</v>
      </c>
      <c r="E56" s="321">
        <f>SUMIFS('2019'!$I:$I,'2019'!$E:$E,Category!$B$26,'2019'!$N:$N,Category!E$1,'2019'!$D:$D,Category!$C56)</f>
        <v>0</v>
      </c>
      <c r="F56" s="321">
        <f>SUMIFS('2019'!$I:$I,'2019'!$E:$E,Category!$B$26,'2019'!$N:$N,Category!F$1,'2019'!$D:$D,Category!$C56)</f>
        <v>0</v>
      </c>
      <c r="G56" s="321">
        <f>SUMIFS('2019'!$I:$I,'2019'!$E:$E,Category!$B$26,'2019'!$N:$N,Category!G$1,'2019'!$D:$D,Category!$C56)</f>
        <v>0</v>
      </c>
      <c r="H56" s="321">
        <f>SUMIFS('2019'!$I:$I,'2019'!$E:$E,Category!$B$26,'2019'!$N:$N,Category!H$1,'2019'!$D:$D,Category!$C56)</f>
        <v>0</v>
      </c>
      <c r="I56" s="321">
        <f>SUMIFS('2019'!$I:$I,'2019'!$E:$E,Category!$B$26,'2019'!$N:$N,Category!I$1,'2019'!$D:$D,Category!$C56)</f>
        <v>0</v>
      </c>
      <c r="J56" s="322">
        <f t="shared" si="11"/>
        <v>0</v>
      </c>
      <c r="K56" s="500">
        <f>IFERROR(VLOOKUP($C56,'2020'!$D:$G,4,0),0)</f>
        <v>0</v>
      </c>
      <c r="L56" s="321">
        <f>SUMIFS('2020'!$I:$I,'2020'!$E:$E,Category!$B$26,'2020'!$N:$N,Category!L$1,'2020'!$D:$D,Category!$C56)</f>
        <v>0</v>
      </c>
      <c r="M56" s="321">
        <f>SUMIFS('2020'!$I:$I,'2020'!$E:$E,Category!$B$26,'2020'!$N:$N,Category!M$1,'2020'!$D:$D,Category!$C56)</f>
        <v>0</v>
      </c>
      <c r="N56" s="321">
        <f>SUMIFS('2020'!$I:$I,'2020'!$E:$E,Category!$B$26,'2020'!$N:$N,Category!N$1,'2020'!$D:$D,Category!$C56)</f>
        <v>0</v>
      </c>
      <c r="O56" s="321">
        <f>SUMIFS('2020'!$I:$I,'2020'!$E:$E,Category!$B$26,'2020'!$N:$N,Category!O$1,'2020'!$D:$D,Category!$C56)</f>
        <v>0</v>
      </c>
      <c r="P56" s="321">
        <f>SUMIFS('2020'!$I:$I,'2020'!$E:$E,Category!$B$26,'2020'!$N:$N,Category!P$1,'2020'!$D:$D,Category!$C56)</f>
        <v>0</v>
      </c>
      <c r="Q56" s="321">
        <f>SUMIFS('2020'!$I:$I,'2020'!$E:$E,Category!$B$26,'2020'!$N:$N,Category!Q$1,'2020'!$D:$D,Category!$C56)</f>
        <v>0</v>
      </c>
      <c r="R56" s="321">
        <f>SUMIFS('2020'!$I:$I,'2020'!$E:$E,Category!$B$26,'2020'!$N:$N,Category!R$1,'2020'!$D:$D,Category!$C56)</f>
        <v>0</v>
      </c>
      <c r="S56" s="321">
        <f>SUMIFS('2020'!$I:$I,'2020'!$E:$E,Category!$B$26,'2020'!$N:$N,Category!S$1,'2020'!$D:$D,Category!$C56)</f>
        <v>0</v>
      </c>
      <c r="T56" s="321">
        <f>SUMIFS('2020'!$I:$I,'2020'!$E:$E,Category!$B$26,'2020'!$N:$N,Category!T$1,'2020'!$D:$D,Category!$C56)</f>
        <v>0</v>
      </c>
      <c r="U56" s="321">
        <f>SUMIFS('2020'!$I:$I,'2020'!$E:$E,Category!$B$26,'2020'!$N:$N,Category!U$1,'2020'!$D:$D,Category!$C56)</f>
        <v>0</v>
      </c>
      <c r="V56" s="321">
        <f>SUMIFS('2020'!$I:$I,'2020'!$E:$E,Category!$B$26,'2020'!$N:$N,Category!V$1,'2020'!$D:$D,Category!$C56)</f>
        <v>0</v>
      </c>
      <c r="W56" s="321">
        <f>SUMIFS('2020'!$I:$I,'2020'!$E:$E,Category!$B$26,'2020'!$N:$N,Category!W$1,'2020'!$D:$D,Category!$C56)</f>
        <v>0</v>
      </c>
      <c r="X56" s="322">
        <f t="shared" si="16"/>
        <v>0</v>
      </c>
      <c r="Y56" s="500">
        <f>IFERROR(VLOOKUP(C56,'2021'!$D:$G,4,0),0)</f>
        <v>40</v>
      </c>
      <c r="Z56" s="321">
        <f>SUMIFS('2021'!$I:$I,'2021'!$E:$E,Category!$B$26,'2021'!$N:$N,Category!Z$1,'2021'!$D:$D,Category!$C56)</f>
        <v>0</v>
      </c>
      <c r="AA56" s="321">
        <f>SUMIFS('2021'!$I:$I,'2021'!$E:$E,Category!$B$26,'2021'!$N:$N,Category!AA$1,'2021'!$D:$D,Category!$C56)</f>
        <v>0</v>
      </c>
      <c r="AB56" s="321">
        <f>SUMIFS('2021'!$I:$I,'2021'!$E:$E,Category!$B$26,'2021'!$N:$N,Category!AB$1,'2021'!$D:$D,Category!$C56)</f>
        <v>0</v>
      </c>
      <c r="AC56" s="321">
        <f>SUMIFS('2021'!$I:$I,'2021'!$E:$E,Category!$B$26,'2021'!$N:$N,Category!AC$1,'2021'!$D:$D,Category!$C56)</f>
        <v>0</v>
      </c>
      <c r="AD56" s="321">
        <f>SUMIFS('2021'!$I:$I,'2021'!$E:$E,Category!$B$26,'2021'!$N:$N,Category!AD$1,'2021'!$D:$D,Category!$C56)</f>
        <v>0</v>
      </c>
      <c r="AE56" s="321">
        <f>SUMIFS('2021'!$I:$I,'2021'!$E:$E,Category!$B$26,'2021'!$N:$N,Category!AE$1,'2021'!$D:$D,Category!$C56)</f>
        <v>5366474</v>
      </c>
      <c r="AF56" s="321">
        <f>SUMIFS('2021'!$I:$I,'2021'!$E:$E,Category!$B$26,'2021'!$N:$N,Category!AF$1,'2021'!$D:$D,Category!$C56)</f>
        <v>0</v>
      </c>
      <c r="AG56" s="321">
        <f>SUMIFS('2021'!$I:$I,'2021'!$E:$E,Category!$B$26,'2021'!$N:$N,Category!AG$1,'2021'!$D:$D,Category!$C56)</f>
        <v>6000200</v>
      </c>
      <c r="AH56" s="321">
        <f>SUMIFS('2021'!$I:$I,'2021'!$E:$E,Category!$B$26,'2021'!$N:$N,Category!AH$1,'2021'!$D:$D,Category!$C56)</f>
        <v>0</v>
      </c>
      <c r="AI56" s="321">
        <f>SUMIFS('2021'!$I:$I,'2021'!$E:$E,Category!$B$26,'2021'!$N:$N,Category!AI$1,'2021'!$D:$D,Category!$C56)</f>
        <v>0</v>
      </c>
      <c r="AJ56" s="321">
        <f>SUMIFS('2021'!$I:$I,'2021'!$E:$E,Category!$B$26,'2021'!$N:$N,Category!AJ$1,'2021'!$D:$D,Category!$C56)</f>
        <v>12001000</v>
      </c>
      <c r="AK56" s="321">
        <f>SUMIFS('2021'!$I:$I,'2021'!$E:$E,Category!$B$26,'2021'!$N:$N,Category!AK$1,'2021'!$D:$D,Category!$C56)</f>
        <v>5999200</v>
      </c>
      <c r="AL56" s="322">
        <f t="shared" si="14"/>
        <v>29366874</v>
      </c>
      <c r="AM56" s="500">
        <f>IFERROR(VLOOKUP(C56,'2022'!$D:$G,4,0),0)</f>
        <v>40</v>
      </c>
      <c r="AN56" s="321">
        <f>SUMIFS('2022'!$I:$I,'2022'!$E:$E,Category!$B$26,'2022'!$N:$N,Category!AN$1,'2022'!$D:$D,Category!$C56)</f>
        <v>5998600</v>
      </c>
      <c r="AO56" s="321">
        <f>SUMIFS('2022'!$I:$I,'2022'!$E:$E,Category!$B$26,'2022'!$N:$N,Category!AO$1,'2022'!$D:$D,Category!$C56)</f>
        <v>0</v>
      </c>
      <c r="AP56" s="321">
        <f>SUMIFS('2022'!$I:$I,'2022'!$E:$E,Category!$B$26,'2022'!$N:$N,Category!AP$1,'2022'!$D:$D,Category!$C56)</f>
        <v>11998800</v>
      </c>
      <c r="AQ56" s="321">
        <f>SUMIFS('2022'!$I:$I,'2022'!$E:$E,Category!$B$26,'2022'!$N:$N,Category!AQ$1,'2022'!$D:$D,Category!$C56)</f>
        <v>6240400</v>
      </c>
      <c r="AR56" s="321">
        <f>SUMIFS('2022'!$I:$I,'2022'!$E:$E,Category!$B$26,'2022'!$N:$N,Category!AR$1,'2022'!$D:$D,Category!$C56)</f>
        <v>6413000</v>
      </c>
      <c r="AS56" s="321">
        <f>SUMIFS('2022'!$I:$I,'2022'!$E:$E,Category!$B$26,'2022'!$N:$N,Category!AS$1,'2022'!$D:$D,Category!$C56)</f>
        <v>6007200</v>
      </c>
      <c r="AT56" s="321">
        <f>SUMIFS('2022'!$I:$I,'2022'!$E:$E,Category!$B$26,'2022'!$N:$N,Category!AT$1,'2022'!$D:$D,Category!$C56)</f>
        <v>6007200</v>
      </c>
      <c r="AU56" s="321">
        <f>SUMIFS('2022'!$I:$I,'2022'!$E:$E,Category!$B$26,'2022'!$N:$N,Category!AU$1,'2022'!$D:$D,Category!$C56)</f>
        <v>6000000</v>
      </c>
      <c r="AV56" s="321">
        <f>SUMIFS('2022'!$I:$I,'2022'!$E:$E,Category!$B$26,'2022'!$N:$N,Category!AV$1,'2022'!$D:$D,Category!$C56)</f>
        <v>6000000</v>
      </c>
      <c r="AW56" s="321">
        <f>SUMIFS('2022'!$I:$I,'2022'!$E:$E,Category!$B$26,'2022'!$N:$N,Category!AW$1,'2022'!$D:$D,Category!$C56)</f>
        <v>6000000</v>
      </c>
      <c r="AX56" s="321">
        <f>SUMIFS('2022'!$I:$I,'2022'!$E:$E,Category!$B$26,'2022'!$N:$N,Category!AX$1,'2022'!$D:$D,Category!$C56)</f>
        <v>6000000</v>
      </c>
      <c r="AY56" s="321">
        <f>SUMIFS('2022'!$I:$I,'2022'!$E:$E,Category!$B$26,'2022'!$N:$N,Category!AY$1,'2022'!$D:$D,Category!$C56)</f>
        <v>6000000</v>
      </c>
      <c r="AZ56" s="322">
        <f t="shared" si="19"/>
        <v>72665200</v>
      </c>
      <c r="BA56" s="500">
        <f>IFERROR(VLOOKUP(C56,'2023'!$D:$G,4,0),0)</f>
        <v>40</v>
      </c>
      <c r="BB56" s="321">
        <f>SUMIFS('2023'!$I:$I,'2023'!$E:$E,Category!$B$26,'2023'!$N:$N,Category!BB$1,'2023'!$D:$D,Category!$C56)</f>
        <v>6000000</v>
      </c>
      <c r="BC56" s="321">
        <f>SUMIFS('2023'!$I:$I,'2023'!$E:$E,Category!$B$26,'2023'!$N:$N,Category!BC$1,'2023'!$D:$D,Category!$C56)</f>
        <v>6251030</v>
      </c>
      <c r="BD56" s="321">
        <f>SUMIFS('2023'!$I:$I,'2023'!$E:$E,Category!$B$26,'2023'!$N:$N,Category!BD$1,'2023'!$D:$D,Category!$C56)</f>
        <v>0</v>
      </c>
      <c r="BE56" s="321">
        <f>SUMIFS('2023'!$I:$I,'2023'!$E:$E,Category!$B$26,'2023'!$N:$N,Category!BE$1,'2023'!$D:$D,Category!$C56)</f>
        <v>0</v>
      </c>
      <c r="BF56" s="321">
        <f>SUMIFS('2023'!$I:$I,'2023'!$E:$E,Category!$B$26,'2023'!$N:$N,Category!BF$1,'2023'!$D:$D,Category!$C56)</f>
        <v>0</v>
      </c>
      <c r="BG56" s="321">
        <f>SUMIFS('2023'!$I:$I,'2023'!$E:$E,Category!$B$26,'2023'!$N:$N,Category!BG$1,'2023'!$D:$D,Category!$C56)</f>
        <v>0</v>
      </c>
      <c r="BH56" s="321">
        <f>SUMIFS('2023'!$I:$I,'2023'!$E:$E,Category!$B$26,'2023'!$N:$N,Category!BH$1,'2023'!$D:$D,Category!$C56)</f>
        <v>0</v>
      </c>
      <c r="BI56" s="321">
        <f>SUMIFS('2023'!$I:$I,'2023'!$E:$E,Category!$B$26,'2023'!$N:$N,Category!BI$1,'2023'!$D:$D,Category!$C56)</f>
        <v>0</v>
      </c>
      <c r="BJ56" s="321">
        <f>SUMIFS('2023'!$I:$I,'2023'!$E:$E,Category!$B$26,'2023'!$N:$N,Category!BJ$1,'2023'!$D:$D,Category!$C56)</f>
        <v>0</v>
      </c>
      <c r="BK56" s="321">
        <f>SUMIFS('2023'!$I:$I,'2023'!$E:$E,Category!$B$26,'2023'!$N:$N,Category!BK$1,'2023'!$D:$D,Category!$C56)</f>
        <v>0</v>
      </c>
      <c r="BL56" s="321">
        <f>SUMIFS('2023'!$I:$I,'2023'!$E:$E,Category!$B$26,'2023'!$N:$N,Category!BL$1,'2023'!$D:$D,Category!$C56)</f>
        <v>0</v>
      </c>
      <c r="BM56" s="321">
        <f>SUMIFS('2023'!$I:$I,'2023'!$E:$E,Category!$B$26,'2023'!$N:$N,Category!BM$1,'2023'!$D:$D,Category!$C56)</f>
        <v>0</v>
      </c>
      <c r="BN56" s="322">
        <f t="shared" si="17"/>
        <v>12251030</v>
      </c>
      <c r="BP56" s="1050"/>
      <c r="BQ56" s="1051"/>
      <c r="BR56" s="247"/>
      <c r="BS56" s="247"/>
      <c r="BT56" s="247"/>
      <c r="BU56" s="247"/>
      <c r="BV56" s="247"/>
      <c r="BW56" s="247"/>
    </row>
    <row r="57" spans="1:75" x14ac:dyDescent="0.3">
      <c r="A57" s="327"/>
      <c r="B57" s="324"/>
      <c r="C57" s="324" t="s">
        <v>860</v>
      </c>
      <c r="D57" s="516">
        <f>IFERROR(VLOOKUP($C57,'2019'!$D:$G,4,0),0)</f>
        <v>0</v>
      </c>
      <c r="E57" s="321">
        <f>SUMIFS('2019'!$I:$I,'2019'!$E:$E,Category!$B$26,'2019'!$N:$N,Category!E$1,'2019'!$D:$D,Category!$C57)</f>
        <v>0</v>
      </c>
      <c r="F57" s="321">
        <f>SUMIFS('2019'!$I:$I,'2019'!$E:$E,Category!$B$26,'2019'!$N:$N,Category!F$1,'2019'!$D:$D,Category!$C57)</f>
        <v>0</v>
      </c>
      <c r="G57" s="321">
        <f>SUMIFS('2019'!$I:$I,'2019'!$E:$E,Category!$B$26,'2019'!$N:$N,Category!G$1,'2019'!$D:$D,Category!$C57)</f>
        <v>0</v>
      </c>
      <c r="H57" s="321">
        <f>SUMIFS('2019'!$I:$I,'2019'!$E:$E,Category!$B$26,'2019'!$N:$N,Category!H$1,'2019'!$D:$D,Category!$C57)</f>
        <v>0</v>
      </c>
      <c r="I57" s="321">
        <f>SUMIFS('2019'!$I:$I,'2019'!$E:$E,Category!$B$26,'2019'!$N:$N,Category!I$1,'2019'!$D:$D,Category!$C57)</f>
        <v>0</v>
      </c>
      <c r="J57" s="322">
        <f t="shared" si="11"/>
        <v>0</v>
      </c>
      <c r="K57" s="500">
        <f>IFERROR(VLOOKUP($C57,'2020'!$D:$G,4,0),0)</f>
        <v>0</v>
      </c>
      <c r="L57" s="321">
        <f>SUMIFS('2020'!$I:$I,'2020'!$E:$E,Category!$B$26,'2020'!$N:$N,Category!L$1,'2020'!$D:$D,Category!$C57)</f>
        <v>0</v>
      </c>
      <c r="M57" s="321">
        <f>SUMIFS('2020'!$I:$I,'2020'!$E:$E,Category!$B$26,'2020'!$N:$N,Category!M$1,'2020'!$D:$D,Category!$C57)</f>
        <v>0</v>
      </c>
      <c r="N57" s="321">
        <f>SUMIFS('2020'!$I:$I,'2020'!$E:$E,Category!$B$26,'2020'!$N:$N,Category!N$1,'2020'!$D:$D,Category!$C57)</f>
        <v>0</v>
      </c>
      <c r="O57" s="321">
        <f>SUMIFS('2020'!$I:$I,'2020'!$E:$E,Category!$B$26,'2020'!$N:$N,Category!O$1,'2020'!$D:$D,Category!$C57)</f>
        <v>0</v>
      </c>
      <c r="P57" s="321">
        <f>SUMIFS('2020'!$I:$I,'2020'!$E:$E,Category!$B$26,'2020'!$N:$N,Category!P$1,'2020'!$D:$D,Category!$C57)</f>
        <v>0</v>
      </c>
      <c r="Q57" s="321">
        <f>SUMIFS('2020'!$I:$I,'2020'!$E:$E,Category!$B$26,'2020'!$N:$N,Category!Q$1,'2020'!$D:$D,Category!$C57)</f>
        <v>0</v>
      </c>
      <c r="R57" s="321">
        <f>SUMIFS('2020'!$I:$I,'2020'!$E:$E,Category!$B$26,'2020'!$N:$N,Category!R$1,'2020'!$D:$D,Category!$C57)</f>
        <v>0</v>
      </c>
      <c r="S57" s="321">
        <f>SUMIFS('2020'!$I:$I,'2020'!$E:$E,Category!$B$26,'2020'!$N:$N,Category!S$1,'2020'!$D:$D,Category!$C57)</f>
        <v>0</v>
      </c>
      <c r="T57" s="321">
        <f>SUMIFS('2020'!$I:$I,'2020'!$E:$E,Category!$B$26,'2020'!$N:$N,Category!T$1,'2020'!$D:$D,Category!$C57)</f>
        <v>0</v>
      </c>
      <c r="U57" s="321">
        <f>SUMIFS('2020'!$I:$I,'2020'!$E:$E,Category!$B$26,'2020'!$N:$N,Category!U$1,'2020'!$D:$D,Category!$C57)</f>
        <v>0</v>
      </c>
      <c r="V57" s="321">
        <f>SUMIFS('2020'!$I:$I,'2020'!$E:$E,Category!$B$26,'2020'!$N:$N,Category!V$1,'2020'!$D:$D,Category!$C57)</f>
        <v>0</v>
      </c>
      <c r="W57" s="321">
        <f>SUMIFS('2020'!$I:$I,'2020'!$E:$E,Category!$B$26,'2020'!$N:$N,Category!W$1,'2020'!$D:$D,Category!$C57)</f>
        <v>0</v>
      </c>
      <c r="X57" s="322">
        <f t="shared" si="16"/>
        <v>0</v>
      </c>
      <c r="Y57" s="500">
        <f>IFERROR(VLOOKUP(C57,'2021'!$D:$G,4,0),0)</f>
        <v>69</v>
      </c>
      <c r="Z57" s="321">
        <f>SUMIFS('2021'!$I:$I,'2021'!$E:$E,Category!$B$26,'2021'!$N:$N,Category!Z$1,'2021'!$D:$D,Category!$C57)</f>
        <v>0</v>
      </c>
      <c r="AA57" s="321">
        <f>SUMIFS('2021'!$I:$I,'2021'!$E:$E,Category!$B$26,'2021'!$N:$N,Category!AA$1,'2021'!$D:$D,Category!$C57)</f>
        <v>0</v>
      </c>
      <c r="AB57" s="321">
        <f>SUMIFS('2021'!$I:$I,'2021'!$E:$E,Category!$B$26,'2021'!$N:$N,Category!AB$1,'2021'!$D:$D,Category!$C57)</f>
        <v>0</v>
      </c>
      <c r="AC57" s="321">
        <f>SUMIFS('2021'!$I:$I,'2021'!$E:$E,Category!$B$26,'2021'!$N:$N,Category!AC$1,'2021'!$D:$D,Category!$C57)</f>
        <v>0</v>
      </c>
      <c r="AD57" s="321">
        <f>SUMIFS('2021'!$I:$I,'2021'!$E:$E,Category!$B$26,'2021'!$N:$N,Category!AD$1,'2021'!$D:$D,Category!$C57)</f>
        <v>0</v>
      </c>
      <c r="AE57" s="321">
        <f>SUMIFS('2021'!$I:$I,'2021'!$E:$E,Category!$B$26,'2021'!$N:$N,Category!AE$1,'2021'!$D:$D,Category!$C57)</f>
        <v>0</v>
      </c>
      <c r="AF57" s="321">
        <f>SUMIFS('2021'!$I:$I,'2021'!$E:$E,Category!$B$26,'2021'!$N:$N,Category!AF$1,'2021'!$D:$D,Category!$C57)</f>
        <v>0</v>
      </c>
      <c r="AG57" s="321">
        <f>SUMIFS('2021'!$I:$I,'2021'!$E:$E,Category!$B$26,'2021'!$N:$N,Category!AG$1,'2021'!$D:$D,Category!$C57)</f>
        <v>6000700</v>
      </c>
      <c r="AH57" s="321">
        <f>SUMIFS('2021'!$I:$I,'2021'!$E:$E,Category!$B$26,'2021'!$N:$N,Category!AH$1,'2021'!$D:$D,Category!$C57)</f>
        <v>0</v>
      </c>
      <c r="AI57" s="321">
        <f>SUMIFS('2021'!$I:$I,'2021'!$E:$E,Category!$B$26,'2021'!$N:$N,Category!AI$1,'2021'!$D:$D,Category!$C57)</f>
        <v>0</v>
      </c>
      <c r="AJ57" s="321">
        <f>SUMIFS('2021'!$I:$I,'2021'!$E:$E,Category!$B$26,'2021'!$N:$N,Category!AJ$1,'2021'!$D:$D,Category!$C57)</f>
        <v>12001400</v>
      </c>
      <c r="AK57" s="321">
        <f>SUMIFS('2021'!$I:$I,'2021'!$E:$E,Category!$B$26,'2021'!$N:$N,Category!AK$1,'2021'!$D:$D,Category!$C57)</f>
        <v>6000700</v>
      </c>
      <c r="AL57" s="322">
        <f t="shared" si="14"/>
        <v>24002800</v>
      </c>
      <c r="AM57" s="500">
        <f>IFERROR(VLOOKUP(C57,'2022'!$D:$G,4,0),0)</f>
        <v>45</v>
      </c>
      <c r="AN57" s="321">
        <f>SUMIFS('2022'!$I:$I,'2022'!$E:$E,Category!$B$26,'2022'!$N:$N,Category!AN$1,'2022'!$D:$D,Category!$C57)</f>
        <v>5999900</v>
      </c>
      <c r="AO57" s="321">
        <f>SUMIFS('2022'!$I:$I,'2022'!$E:$E,Category!$B$26,'2022'!$N:$N,Category!AO$1,'2022'!$D:$D,Category!$C57)</f>
        <v>0</v>
      </c>
      <c r="AP57" s="321">
        <f>SUMIFS('2022'!$I:$I,'2022'!$E:$E,Category!$B$26,'2022'!$N:$N,Category!AP$1,'2022'!$D:$D,Category!$C57)</f>
        <v>11992600</v>
      </c>
      <c r="AQ57" s="321">
        <f>SUMIFS('2022'!$I:$I,'2022'!$E:$E,Category!$B$26,'2022'!$N:$N,Category!AQ$1,'2022'!$D:$D,Category!$C57)</f>
        <v>6292500</v>
      </c>
      <c r="AR57" s="321">
        <f>SUMIFS('2022'!$I:$I,'2022'!$E:$E,Category!$B$26,'2022'!$N:$N,Category!AR$1,'2022'!$D:$D,Category!$C57)</f>
        <v>6299500</v>
      </c>
      <c r="AS57" s="321">
        <f>SUMIFS('2022'!$I:$I,'2022'!$E:$E,Category!$B$26,'2022'!$N:$N,Category!AS$1,'2022'!$D:$D,Category!$C57)</f>
        <v>6006700</v>
      </c>
      <c r="AT57" s="321">
        <f>SUMIFS('2022'!$I:$I,'2022'!$E:$E,Category!$B$26,'2022'!$N:$N,Category!AT$1,'2022'!$D:$D,Category!$C57)</f>
        <v>6000000</v>
      </c>
      <c r="AU57" s="321">
        <f>SUMIFS('2022'!$I:$I,'2022'!$E:$E,Category!$B$26,'2022'!$N:$N,Category!AU$1,'2022'!$D:$D,Category!$C57)</f>
        <v>6250560</v>
      </c>
      <c r="AV57" s="321">
        <f>SUMIFS('2022'!$I:$I,'2022'!$E:$E,Category!$B$26,'2022'!$N:$N,Category!AV$1,'2022'!$D:$D,Category!$C57)</f>
        <v>6000000</v>
      </c>
      <c r="AW57" s="321">
        <f>SUMIFS('2022'!$I:$I,'2022'!$E:$E,Category!$B$26,'2022'!$N:$N,Category!AW$1,'2022'!$D:$D,Category!$C57)</f>
        <v>6000000</v>
      </c>
      <c r="AX57" s="321">
        <f>SUMIFS('2022'!$I:$I,'2022'!$E:$E,Category!$B$26,'2022'!$N:$N,Category!AX$1,'2022'!$D:$D,Category!$C57)</f>
        <v>6000000</v>
      </c>
      <c r="AY57" s="321">
        <f>SUMIFS('2022'!$I:$I,'2022'!$E:$E,Category!$B$26,'2022'!$N:$N,Category!AY$1,'2022'!$D:$D,Category!$C57)</f>
        <v>5210600</v>
      </c>
      <c r="AZ57" s="322">
        <f t="shared" si="19"/>
        <v>72052360</v>
      </c>
      <c r="BA57" s="500">
        <f>IFERROR(VLOOKUP(C57,'2023'!$D:$G,4,0),0)</f>
        <v>45</v>
      </c>
      <c r="BB57" s="321">
        <f>SUMIFS('2023'!$I:$I,'2023'!$E:$E,Category!$B$26,'2023'!$N:$N,Category!BB$1,'2023'!$D:$D,Category!$C57)</f>
        <v>6000000</v>
      </c>
      <c r="BC57" s="321">
        <f>SUMIFS('2023'!$I:$I,'2023'!$E:$E,Category!$B$26,'2023'!$N:$N,Category!BC$1,'2023'!$D:$D,Category!$C57)</f>
        <v>6000000</v>
      </c>
      <c r="BD57" s="321">
        <f>SUMIFS('2023'!$I:$I,'2023'!$E:$E,Category!$B$26,'2023'!$N:$N,Category!BD$1,'2023'!$D:$D,Category!$C57)</f>
        <v>0</v>
      </c>
      <c r="BE57" s="321">
        <f>SUMIFS('2023'!$I:$I,'2023'!$E:$E,Category!$B$26,'2023'!$N:$N,Category!BE$1,'2023'!$D:$D,Category!$C57)</f>
        <v>0</v>
      </c>
      <c r="BF57" s="321">
        <f>SUMIFS('2023'!$I:$I,'2023'!$E:$E,Category!$B$26,'2023'!$N:$N,Category!BF$1,'2023'!$D:$D,Category!$C57)</f>
        <v>0</v>
      </c>
      <c r="BG57" s="321">
        <f>SUMIFS('2023'!$I:$I,'2023'!$E:$E,Category!$B$26,'2023'!$N:$N,Category!BG$1,'2023'!$D:$D,Category!$C57)</f>
        <v>0</v>
      </c>
      <c r="BH57" s="321">
        <f>SUMIFS('2023'!$I:$I,'2023'!$E:$E,Category!$B$26,'2023'!$N:$N,Category!BH$1,'2023'!$D:$D,Category!$C57)</f>
        <v>0</v>
      </c>
      <c r="BI57" s="321">
        <f>SUMIFS('2023'!$I:$I,'2023'!$E:$E,Category!$B$26,'2023'!$N:$N,Category!BI$1,'2023'!$D:$D,Category!$C57)</f>
        <v>0</v>
      </c>
      <c r="BJ57" s="321">
        <f>SUMIFS('2023'!$I:$I,'2023'!$E:$E,Category!$B$26,'2023'!$N:$N,Category!BJ$1,'2023'!$D:$D,Category!$C57)</f>
        <v>0</v>
      </c>
      <c r="BK57" s="321">
        <f>SUMIFS('2023'!$I:$I,'2023'!$E:$E,Category!$B$26,'2023'!$N:$N,Category!BK$1,'2023'!$D:$D,Category!$C57)</f>
        <v>0</v>
      </c>
      <c r="BL57" s="321">
        <f>SUMIFS('2023'!$I:$I,'2023'!$E:$E,Category!$B$26,'2023'!$N:$N,Category!BL$1,'2023'!$D:$D,Category!$C57)</f>
        <v>0</v>
      </c>
      <c r="BM57" s="321">
        <f>SUMIFS('2023'!$I:$I,'2023'!$E:$E,Category!$B$26,'2023'!$N:$N,Category!BM$1,'2023'!$D:$D,Category!$C57)</f>
        <v>0</v>
      </c>
      <c r="BN57" s="322">
        <f t="shared" si="17"/>
        <v>12000000</v>
      </c>
      <c r="BP57" s="1050"/>
      <c r="BQ57" s="1051"/>
      <c r="BR57" s="247"/>
      <c r="BS57" s="247"/>
      <c r="BT57" s="247"/>
      <c r="BU57" s="247"/>
      <c r="BV57" s="247"/>
      <c r="BW57" s="247"/>
    </row>
    <row r="58" spans="1:75" x14ac:dyDescent="0.3">
      <c r="A58" s="327"/>
      <c r="B58" s="324"/>
      <c r="C58" s="324" t="s">
        <v>861</v>
      </c>
      <c r="D58" s="516">
        <f>IFERROR(VLOOKUP($C58,'2019'!$D:$G,4,0),0)</f>
        <v>0</v>
      </c>
      <c r="E58" s="321">
        <f>SUMIFS('2019'!$I:$I,'2019'!$E:$E,Category!$B$26,'2019'!$N:$N,Category!E$1,'2019'!$D:$D,Category!$C58)</f>
        <v>0</v>
      </c>
      <c r="F58" s="321">
        <f>SUMIFS('2019'!$I:$I,'2019'!$E:$E,Category!$B$26,'2019'!$N:$N,Category!F$1,'2019'!$D:$D,Category!$C58)</f>
        <v>0</v>
      </c>
      <c r="G58" s="321">
        <f>SUMIFS('2019'!$I:$I,'2019'!$E:$E,Category!$B$26,'2019'!$N:$N,Category!G$1,'2019'!$D:$D,Category!$C58)</f>
        <v>0</v>
      </c>
      <c r="H58" s="321">
        <f>SUMIFS('2019'!$I:$I,'2019'!$E:$E,Category!$B$26,'2019'!$N:$N,Category!H$1,'2019'!$D:$D,Category!$C58)</f>
        <v>0</v>
      </c>
      <c r="I58" s="321">
        <f>SUMIFS('2019'!$I:$I,'2019'!$E:$E,Category!$B$26,'2019'!$N:$N,Category!I$1,'2019'!$D:$D,Category!$C58)</f>
        <v>0</v>
      </c>
      <c r="J58" s="322">
        <f t="shared" si="11"/>
        <v>0</v>
      </c>
      <c r="K58" s="500">
        <f>IFERROR(VLOOKUP($C58,'2020'!$D:$G,4,0),0)</f>
        <v>0</v>
      </c>
      <c r="L58" s="321">
        <f>SUMIFS('2020'!$I:$I,'2020'!$E:$E,Category!$B$26,'2020'!$N:$N,Category!L$1,'2020'!$D:$D,Category!$C58)</f>
        <v>0</v>
      </c>
      <c r="M58" s="321">
        <f>SUMIFS('2020'!$I:$I,'2020'!$E:$E,Category!$B$26,'2020'!$N:$N,Category!M$1,'2020'!$D:$D,Category!$C58)</f>
        <v>0</v>
      </c>
      <c r="N58" s="321">
        <f>SUMIFS('2020'!$I:$I,'2020'!$E:$E,Category!$B$26,'2020'!$N:$N,Category!N$1,'2020'!$D:$D,Category!$C58)</f>
        <v>0</v>
      </c>
      <c r="O58" s="321">
        <f>SUMIFS('2020'!$I:$I,'2020'!$E:$E,Category!$B$26,'2020'!$N:$N,Category!O$1,'2020'!$D:$D,Category!$C58)</f>
        <v>0</v>
      </c>
      <c r="P58" s="321">
        <f>SUMIFS('2020'!$I:$I,'2020'!$E:$E,Category!$B$26,'2020'!$N:$N,Category!P$1,'2020'!$D:$D,Category!$C58)</f>
        <v>0</v>
      </c>
      <c r="Q58" s="321">
        <f>SUMIFS('2020'!$I:$I,'2020'!$E:$E,Category!$B$26,'2020'!$N:$N,Category!Q$1,'2020'!$D:$D,Category!$C58)</f>
        <v>0</v>
      </c>
      <c r="R58" s="321">
        <f>SUMIFS('2020'!$I:$I,'2020'!$E:$E,Category!$B$26,'2020'!$N:$N,Category!R$1,'2020'!$D:$D,Category!$C58)</f>
        <v>0</v>
      </c>
      <c r="S58" s="321">
        <f>SUMIFS('2020'!$I:$I,'2020'!$E:$E,Category!$B$26,'2020'!$N:$N,Category!S$1,'2020'!$D:$D,Category!$C58)</f>
        <v>0</v>
      </c>
      <c r="T58" s="321">
        <f>SUMIFS('2020'!$I:$I,'2020'!$E:$E,Category!$B$26,'2020'!$N:$N,Category!T$1,'2020'!$D:$D,Category!$C58)</f>
        <v>0</v>
      </c>
      <c r="U58" s="321">
        <f>SUMIFS('2020'!$I:$I,'2020'!$E:$E,Category!$B$26,'2020'!$N:$N,Category!U$1,'2020'!$D:$D,Category!$C58)</f>
        <v>0</v>
      </c>
      <c r="V58" s="321">
        <f>SUMIFS('2020'!$I:$I,'2020'!$E:$E,Category!$B$26,'2020'!$N:$N,Category!V$1,'2020'!$D:$D,Category!$C58)</f>
        <v>0</v>
      </c>
      <c r="W58" s="321">
        <f>SUMIFS('2020'!$I:$I,'2020'!$E:$E,Category!$B$26,'2020'!$N:$N,Category!W$1,'2020'!$D:$D,Category!$C58)</f>
        <v>0</v>
      </c>
      <c r="X58" s="322">
        <f t="shared" si="16"/>
        <v>0</v>
      </c>
      <c r="Y58" s="500">
        <f>IFERROR(VLOOKUP(C58,'2021'!$D:$G,4,0),0)</f>
        <v>54</v>
      </c>
      <c r="Z58" s="321">
        <f>SUMIFS('2021'!$I:$I,'2021'!$E:$E,Category!$B$26,'2021'!$N:$N,Category!Z$1,'2021'!$D:$D,Category!$C58)</f>
        <v>0</v>
      </c>
      <c r="AA58" s="321">
        <f>SUMIFS('2021'!$I:$I,'2021'!$E:$E,Category!$B$26,'2021'!$N:$N,Category!AA$1,'2021'!$D:$D,Category!$C58)</f>
        <v>0</v>
      </c>
      <c r="AB58" s="321">
        <f>SUMIFS('2021'!$I:$I,'2021'!$E:$E,Category!$B$26,'2021'!$N:$N,Category!AB$1,'2021'!$D:$D,Category!$C58)</f>
        <v>0</v>
      </c>
      <c r="AC58" s="321">
        <f>SUMIFS('2021'!$I:$I,'2021'!$E:$E,Category!$B$26,'2021'!$N:$N,Category!AC$1,'2021'!$D:$D,Category!$C58)</f>
        <v>0</v>
      </c>
      <c r="AD58" s="321">
        <f>SUMIFS('2021'!$I:$I,'2021'!$E:$E,Category!$B$26,'2021'!$N:$N,Category!AD$1,'2021'!$D:$D,Category!$C58)</f>
        <v>0</v>
      </c>
      <c r="AE58" s="321">
        <f>SUMIFS('2021'!$I:$I,'2021'!$E:$E,Category!$B$26,'2021'!$N:$N,Category!AE$1,'2021'!$D:$D,Category!$C58)</f>
        <v>0</v>
      </c>
      <c r="AF58" s="321">
        <f>SUMIFS('2021'!$I:$I,'2021'!$E:$E,Category!$B$26,'2021'!$N:$N,Category!AF$1,'2021'!$D:$D,Category!$C58)</f>
        <v>0</v>
      </c>
      <c r="AG58" s="321">
        <f>SUMIFS('2021'!$I:$I,'2021'!$E:$E,Category!$B$26,'2021'!$N:$N,Category!AG$1,'2021'!$D:$D,Category!$C58)</f>
        <v>5999100</v>
      </c>
      <c r="AH58" s="321">
        <f>SUMIFS('2021'!$I:$I,'2021'!$E:$E,Category!$B$26,'2021'!$N:$N,Category!AH$1,'2021'!$D:$D,Category!$C58)</f>
        <v>0</v>
      </c>
      <c r="AI58" s="321">
        <f>SUMIFS('2021'!$I:$I,'2021'!$E:$E,Category!$B$26,'2021'!$N:$N,Category!AI$1,'2021'!$D:$D,Category!$C58)</f>
        <v>0</v>
      </c>
      <c r="AJ58" s="321">
        <f>SUMIFS('2021'!$I:$I,'2021'!$E:$E,Category!$B$26,'2021'!$N:$N,Category!AJ$1,'2021'!$D:$D,Category!$C58)</f>
        <v>13201800</v>
      </c>
      <c r="AK58" s="321">
        <f>SUMIFS('2021'!$I:$I,'2021'!$E:$E,Category!$B$26,'2021'!$N:$N,Category!AK$1,'2021'!$D:$D,Category!$C58)</f>
        <v>5999900</v>
      </c>
      <c r="AL58" s="322">
        <f t="shared" si="14"/>
        <v>25200800</v>
      </c>
      <c r="AM58" s="500">
        <f>IFERROR(VLOOKUP(C58,'2022'!$D:$G,4,0),0)</f>
        <v>65</v>
      </c>
      <c r="AN58" s="321">
        <f>SUMIFS('2022'!$I:$I,'2022'!$E:$E,Category!$B$26,'2022'!$N:$N,Category!AN$1,'2022'!$D:$D,Category!$C58)</f>
        <v>5999000</v>
      </c>
      <c r="AO58" s="321">
        <f>SUMIFS('2022'!$I:$I,'2022'!$E:$E,Category!$B$26,'2022'!$N:$N,Category!AO$1,'2022'!$D:$D,Category!$C58)</f>
        <v>0</v>
      </c>
      <c r="AP58" s="321">
        <f>SUMIFS('2022'!$I:$I,'2022'!$E:$E,Category!$B$26,'2022'!$N:$N,Category!AP$1,'2022'!$D:$D,Category!$C58)</f>
        <v>11998100</v>
      </c>
      <c r="AQ58" s="321">
        <f>SUMIFS('2022'!$I:$I,'2022'!$E:$E,Category!$B$26,'2022'!$N:$N,Category!AQ$1,'2022'!$D:$D,Category!$C58)</f>
        <v>6271300</v>
      </c>
      <c r="AR58" s="321">
        <f>SUMIFS('2022'!$I:$I,'2022'!$E:$E,Category!$B$26,'2022'!$N:$N,Category!AR$1,'2022'!$D:$D,Category!$C58)</f>
        <v>6247600</v>
      </c>
      <c r="AS58" s="321">
        <f>SUMIFS('2022'!$I:$I,'2022'!$E:$E,Category!$B$26,'2022'!$N:$N,Category!AS$1,'2022'!$D:$D,Category!$C58)</f>
        <v>6247600</v>
      </c>
      <c r="AT58" s="321">
        <f>SUMIFS('2022'!$I:$I,'2022'!$E:$E,Category!$B$26,'2022'!$N:$N,Category!AT$1,'2022'!$D:$D,Category!$C58)</f>
        <v>6000000</v>
      </c>
      <c r="AU58" s="321">
        <f>SUMIFS('2022'!$I:$I,'2022'!$E:$E,Category!$B$26,'2022'!$N:$N,Category!AU$1,'2022'!$D:$D,Category!$C58)</f>
        <v>6000000</v>
      </c>
      <c r="AV58" s="321">
        <f>SUMIFS('2022'!$I:$I,'2022'!$E:$E,Category!$B$26,'2022'!$N:$N,Category!AV$1,'2022'!$D:$D,Category!$C58)</f>
        <v>6000000</v>
      </c>
      <c r="AW58" s="321">
        <f>SUMIFS('2022'!$I:$I,'2022'!$E:$E,Category!$B$26,'2022'!$N:$N,Category!AW$1,'2022'!$D:$D,Category!$C58)</f>
        <v>6000000</v>
      </c>
      <c r="AX58" s="321">
        <f>SUMIFS('2022'!$I:$I,'2022'!$E:$E,Category!$B$26,'2022'!$N:$N,Category!AX$1,'2022'!$D:$D,Category!$C58)</f>
        <v>6000000</v>
      </c>
      <c r="AY58" s="321">
        <f>SUMIFS('2022'!$I:$I,'2022'!$E:$E,Category!$B$26,'2022'!$N:$N,Category!AY$1,'2022'!$D:$D,Category!$C58)</f>
        <v>8086000</v>
      </c>
      <c r="AZ58" s="322">
        <f t="shared" si="19"/>
        <v>74849600</v>
      </c>
      <c r="BA58" s="500">
        <f>IFERROR(VLOOKUP(C58,'2023'!$D:$G,4,0),0)</f>
        <v>65</v>
      </c>
      <c r="BB58" s="321">
        <f>SUMIFS('2023'!$I:$I,'2023'!$E:$E,Category!$B$26,'2023'!$N:$N,Category!BB$1,'2023'!$D:$D,Category!$C58)</f>
        <v>6250900</v>
      </c>
      <c r="BC58" s="321">
        <f>SUMIFS('2023'!$I:$I,'2023'!$E:$E,Category!$B$26,'2023'!$N:$N,Category!BC$1,'2023'!$D:$D,Category!$C58)</f>
        <v>6000000</v>
      </c>
      <c r="BD58" s="321">
        <f>SUMIFS('2023'!$I:$I,'2023'!$E:$E,Category!$B$26,'2023'!$N:$N,Category!BD$1,'2023'!$D:$D,Category!$C58)</f>
        <v>0</v>
      </c>
      <c r="BE58" s="321">
        <f>SUMIFS('2023'!$I:$I,'2023'!$E:$E,Category!$B$26,'2023'!$N:$N,Category!BE$1,'2023'!$D:$D,Category!$C58)</f>
        <v>0</v>
      </c>
      <c r="BF58" s="321">
        <f>SUMIFS('2023'!$I:$I,'2023'!$E:$E,Category!$B$26,'2023'!$N:$N,Category!BF$1,'2023'!$D:$D,Category!$C58)</f>
        <v>0</v>
      </c>
      <c r="BG58" s="321">
        <f>SUMIFS('2023'!$I:$I,'2023'!$E:$E,Category!$B$26,'2023'!$N:$N,Category!BG$1,'2023'!$D:$D,Category!$C58)</f>
        <v>0</v>
      </c>
      <c r="BH58" s="321">
        <f>SUMIFS('2023'!$I:$I,'2023'!$E:$E,Category!$B$26,'2023'!$N:$N,Category!BH$1,'2023'!$D:$D,Category!$C58)</f>
        <v>0</v>
      </c>
      <c r="BI58" s="321">
        <f>SUMIFS('2023'!$I:$I,'2023'!$E:$E,Category!$B$26,'2023'!$N:$N,Category!BI$1,'2023'!$D:$D,Category!$C58)</f>
        <v>0</v>
      </c>
      <c r="BJ58" s="321">
        <f>SUMIFS('2023'!$I:$I,'2023'!$E:$E,Category!$B$26,'2023'!$N:$N,Category!BJ$1,'2023'!$D:$D,Category!$C58)</f>
        <v>0</v>
      </c>
      <c r="BK58" s="321">
        <f>SUMIFS('2023'!$I:$I,'2023'!$E:$E,Category!$B$26,'2023'!$N:$N,Category!BK$1,'2023'!$D:$D,Category!$C58)</f>
        <v>0</v>
      </c>
      <c r="BL58" s="321">
        <f>SUMIFS('2023'!$I:$I,'2023'!$E:$E,Category!$B$26,'2023'!$N:$N,Category!BL$1,'2023'!$D:$D,Category!$C58)</f>
        <v>0</v>
      </c>
      <c r="BM58" s="321">
        <f>SUMIFS('2023'!$I:$I,'2023'!$E:$E,Category!$B$26,'2023'!$N:$N,Category!BM$1,'2023'!$D:$D,Category!$C58)</f>
        <v>0</v>
      </c>
      <c r="BN58" s="322">
        <f t="shared" si="17"/>
        <v>12250900</v>
      </c>
      <c r="BP58" s="1050"/>
      <c r="BQ58" s="1051"/>
      <c r="BR58" s="247"/>
      <c r="BS58" s="247"/>
      <c r="BT58" s="247"/>
      <c r="BU58" s="247"/>
      <c r="BV58" s="247"/>
      <c r="BW58" s="247"/>
    </row>
    <row r="59" spans="1:75" x14ac:dyDescent="0.3">
      <c r="A59" s="327"/>
      <c r="B59" s="324"/>
      <c r="C59" s="324" t="s">
        <v>862</v>
      </c>
      <c r="D59" s="516">
        <f>IFERROR(VLOOKUP($C59,'2019'!$D:$G,4,0),0)</f>
        <v>0</v>
      </c>
      <c r="E59" s="321">
        <f>SUMIFS('2019'!$I:$I,'2019'!$E:$E,Category!$B$26,'2019'!$N:$N,Category!E$1,'2019'!$D:$D,Category!$C59)</f>
        <v>0</v>
      </c>
      <c r="F59" s="321">
        <f>SUMIFS('2019'!$I:$I,'2019'!$E:$E,Category!$B$26,'2019'!$N:$N,Category!F$1,'2019'!$D:$D,Category!$C59)</f>
        <v>0</v>
      </c>
      <c r="G59" s="321">
        <f>SUMIFS('2019'!$I:$I,'2019'!$E:$E,Category!$B$26,'2019'!$N:$N,Category!G$1,'2019'!$D:$D,Category!$C59)</f>
        <v>0</v>
      </c>
      <c r="H59" s="321">
        <f>SUMIFS('2019'!$I:$I,'2019'!$E:$E,Category!$B$26,'2019'!$N:$N,Category!H$1,'2019'!$D:$D,Category!$C59)</f>
        <v>0</v>
      </c>
      <c r="I59" s="321">
        <f>SUMIFS('2019'!$I:$I,'2019'!$E:$E,Category!$B$26,'2019'!$N:$N,Category!I$1,'2019'!$D:$D,Category!$C59)</f>
        <v>0</v>
      </c>
      <c r="J59" s="322">
        <f t="shared" si="11"/>
        <v>0</v>
      </c>
      <c r="K59" s="500">
        <f>IFERROR(VLOOKUP($C59,'2020'!$D:$G,4,0),0)</f>
        <v>0</v>
      </c>
      <c r="L59" s="321">
        <f>SUMIFS('2020'!$I:$I,'2020'!$E:$E,Category!$B$26,'2020'!$N:$N,Category!L$1,'2020'!$D:$D,Category!$C59)</f>
        <v>0</v>
      </c>
      <c r="M59" s="321">
        <f>SUMIFS('2020'!$I:$I,'2020'!$E:$E,Category!$B$26,'2020'!$N:$N,Category!M$1,'2020'!$D:$D,Category!$C59)</f>
        <v>0</v>
      </c>
      <c r="N59" s="321">
        <f>SUMIFS('2020'!$I:$I,'2020'!$E:$E,Category!$B$26,'2020'!$N:$N,Category!N$1,'2020'!$D:$D,Category!$C59)</f>
        <v>0</v>
      </c>
      <c r="O59" s="321">
        <f>SUMIFS('2020'!$I:$I,'2020'!$E:$E,Category!$B$26,'2020'!$N:$N,Category!O$1,'2020'!$D:$D,Category!$C59)</f>
        <v>0</v>
      </c>
      <c r="P59" s="321">
        <f>SUMIFS('2020'!$I:$I,'2020'!$E:$E,Category!$B$26,'2020'!$N:$N,Category!P$1,'2020'!$D:$D,Category!$C59)</f>
        <v>0</v>
      </c>
      <c r="Q59" s="321">
        <f>SUMIFS('2020'!$I:$I,'2020'!$E:$E,Category!$B$26,'2020'!$N:$N,Category!Q$1,'2020'!$D:$D,Category!$C59)</f>
        <v>0</v>
      </c>
      <c r="R59" s="321">
        <f>SUMIFS('2020'!$I:$I,'2020'!$E:$E,Category!$B$26,'2020'!$N:$N,Category!R$1,'2020'!$D:$D,Category!$C59)</f>
        <v>0</v>
      </c>
      <c r="S59" s="321">
        <f>SUMIFS('2020'!$I:$I,'2020'!$E:$E,Category!$B$26,'2020'!$N:$N,Category!S$1,'2020'!$D:$D,Category!$C59)</f>
        <v>0</v>
      </c>
      <c r="T59" s="321">
        <f>SUMIFS('2020'!$I:$I,'2020'!$E:$E,Category!$B$26,'2020'!$N:$N,Category!T$1,'2020'!$D:$D,Category!$C59)</f>
        <v>0</v>
      </c>
      <c r="U59" s="321">
        <f>SUMIFS('2020'!$I:$I,'2020'!$E:$E,Category!$B$26,'2020'!$N:$N,Category!U$1,'2020'!$D:$D,Category!$C59)</f>
        <v>0</v>
      </c>
      <c r="V59" s="321">
        <f>SUMIFS('2020'!$I:$I,'2020'!$E:$E,Category!$B$26,'2020'!$N:$N,Category!V$1,'2020'!$D:$D,Category!$C59)</f>
        <v>0</v>
      </c>
      <c r="W59" s="321">
        <f>SUMIFS('2020'!$I:$I,'2020'!$E:$E,Category!$B$26,'2020'!$N:$N,Category!W$1,'2020'!$D:$D,Category!$C59)</f>
        <v>0</v>
      </c>
      <c r="X59" s="322">
        <f t="shared" si="16"/>
        <v>0</v>
      </c>
      <c r="Y59" s="500">
        <f>IFERROR(VLOOKUP(C59,'2021'!$D:$G,4,0),0)</f>
        <v>40</v>
      </c>
      <c r="Z59" s="321">
        <f>SUMIFS('2021'!$I:$I,'2021'!$E:$E,Category!$B$26,'2021'!$N:$N,Category!Z$1,'2021'!$D:$D,Category!$C59)</f>
        <v>0</v>
      </c>
      <c r="AA59" s="321">
        <f>SUMIFS('2021'!$I:$I,'2021'!$E:$E,Category!$B$26,'2021'!$N:$N,Category!AA$1,'2021'!$D:$D,Category!$C59)</f>
        <v>0</v>
      </c>
      <c r="AB59" s="321">
        <f>SUMIFS('2021'!$I:$I,'2021'!$E:$E,Category!$B$26,'2021'!$N:$N,Category!AB$1,'2021'!$D:$D,Category!$C59)</f>
        <v>0</v>
      </c>
      <c r="AC59" s="321">
        <f>SUMIFS('2021'!$I:$I,'2021'!$E:$E,Category!$B$26,'2021'!$N:$N,Category!AC$1,'2021'!$D:$D,Category!$C59)</f>
        <v>0</v>
      </c>
      <c r="AD59" s="321">
        <f>SUMIFS('2021'!$I:$I,'2021'!$E:$E,Category!$B$26,'2021'!$N:$N,Category!AD$1,'2021'!$D:$D,Category!$C59)</f>
        <v>0</v>
      </c>
      <c r="AE59" s="321">
        <f>SUMIFS('2021'!$I:$I,'2021'!$E:$E,Category!$B$26,'2021'!$N:$N,Category!AE$1,'2021'!$D:$D,Category!$C59)</f>
        <v>0</v>
      </c>
      <c r="AF59" s="321">
        <f>SUMIFS('2021'!$I:$I,'2021'!$E:$E,Category!$B$26,'2021'!$N:$N,Category!AF$1,'2021'!$D:$D,Category!$C59)</f>
        <v>0</v>
      </c>
      <c r="AG59" s="321">
        <f>SUMIFS('2021'!$I:$I,'2021'!$E:$E,Category!$B$26,'2021'!$N:$N,Category!AG$1,'2021'!$D:$D,Category!$C59)</f>
        <v>5999800</v>
      </c>
      <c r="AH59" s="321">
        <f>SUMIFS('2021'!$I:$I,'2021'!$E:$E,Category!$B$26,'2021'!$N:$N,Category!AH$1,'2021'!$D:$D,Category!$C59)</f>
        <v>0</v>
      </c>
      <c r="AI59" s="321">
        <f>SUMIFS('2021'!$I:$I,'2021'!$E:$E,Category!$B$26,'2021'!$N:$N,Category!AI$1,'2021'!$D:$D,Category!$C59)</f>
        <v>0</v>
      </c>
      <c r="AJ59" s="321">
        <f>SUMIFS('2021'!$I:$I,'2021'!$E:$E,Category!$B$26,'2021'!$N:$N,Category!AJ$1,'2021'!$D:$D,Category!$C59)</f>
        <v>11999600</v>
      </c>
      <c r="AK59" s="321">
        <f>SUMIFS('2021'!$I:$I,'2021'!$E:$E,Category!$B$26,'2021'!$N:$N,Category!AK$1,'2021'!$D:$D,Category!$C59)</f>
        <v>5999800</v>
      </c>
      <c r="AL59" s="322">
        <f t="shared" si="14"/>
        <v>23999200</v>
      </c>
      <c r="AM59" s="500">
        <f>IFERROR(VLOOKUP(C59,'2022'!$D:$G,4,0),0)</f>
        <v>40</v>
      </c>
      <c r="AN59" s="321">
        <f>SUMIFS('2022'!$I:$I,'2022'!$E:$E,Category!$B$26,'2022'!$N:$N,Category!AN$1,'2022'!$D:$D,Category!$C59)</f>
        <v>6000200</v>
      </c>
      <c r="AO59" s="321">
        <f>SUMIFS('2022'!$I:$I,'2022'!$E:$E,Category!$B$26,'2022'!$N:$N,Category!AO$1,'2022'!$D:$D,Category!$C59)</f>
        <v>0</v>
      </c>
      <c r="AP59" s="321">
        <f>SUMIFS('2022'!$I:$I,'2022'!$E:$E,Category!$B$26,'2022'!$N:$N,Category!AP$1,'2022'!$D:$D,Category!$C59)</f>
        <v>11991200</v>
      </c>
      <c r="AQ59" s="321">
        <f>SUMIFS('2022'!$I:$I,'2022'!$E:$E,Category!$B$26,'2022'!$N:$N,Category!AQ$1,'2022'!$D:$D,Category!$C59)</f>
        <v>6294400</v>
      </c>
      <c r="AR59" s="321">
        <f>SUMIFS('2022'!$I:$I,'2022'!$E:$E,Category!$B$26,'2022'!$N:$N,Category!AR$1,'2022'!$D:$D,Category!$C59)</f>
        <v>6354200</v>
      </c>
      <c r="AS59" s="321">
        <f>SUMIFS('2022'!$I:$I,'2022'!$E:$E,Category!$B$26,'2022'!$N:$N,Category!AS$1,'2022'!$D:$D,Category!$C59)</f>
        <v>6009500</v>
      </c>
      <c r="AT59" s="321">
        <f>SUMIFS('2022'!$I:$I,'2022'!$E:$E,Category!$B$26,'2022'!$N:$N,Category!AT$1,'2022'!$D:$D,Category!$C59)</f>
        <v>6000000</v>
      </c>
      <c r="AU59" s="321">
        <f>SUMIFS('2022'!$I:$I,'2022'!$E:$E,Category!$B$26,'2022'!$N:$N,Category!AU$1,'2022'!$D:$D,Category!$C59)</f>
        <v>6000000</v>
      </c>
      <c r="AV59" s="321">
        <f>SUMIFS('2022'!$I:$I,'2022'!$E:$E,Category!$B$26,'2022'!$N:$N,Category!AV$1,'2022'!$D:$D,Category!$C59)</f>
        <v>6249320</v>
      </c>
      <c r="AW59" s="321">
        <f>SUMIFS('2022'!$I:$I,'2022'!$E:$E,Category!$B$26,'2022'!$N:$N,Category!AW$1,'2022'!$D:$D,Category!$C59)</f>
        <v>6000000</v>
      </c>
      <c r="AX59" s="321">
        <f>SUMIFS('2022'!$I:$I,'2022'!$E:$E,Category!$B$26,'2022'!$N:$N,Category!AX$1,'2022'!$D:$D,Category!$C59)</f>
        <v>6000000</v>
      </c>
      <c r="AY59" s="321">
        <f>SUMIFS('2022'!$I:$I,'2022'!$E:$E,Category!$B$26,'2022'!$N:$N,Category!AY$1,'2022'!$D:$D,Category!$C59)</f>
        <v>3606500.4299999997</v>
      </c>
      <c r="AZ59" s="322">
        <f t="shared" si="19"/>
        <v>70505320.430000007</v>
      </c>
      <c r="BA59" s="500">
        <f>IFERROR(VLOOKUP(C59,'2023'!$D:$G,4,0),0)</f>
        <v>46</v>
      </c>
      <c r="BB59" s="321">
        <f>SUMIFS('2023'!$I:$I,'2023'!$E:$E,Category!$B$26,'2023'!$N:$N,Category!BB$1,'2023'!$D:$D,Category!$C59)</f>
        <v>9256000</v>
      </c>
      <c r="BC59" s="321">
        <f>SUMIFS('2023'!$I:$I,'2023'!$E:$E,Category!$B$26,'2023'!$N:$N,Category!BC$1,'2023'!$D:$D,Category!$C59)</f>
        <v>6000000</v>
      </c>
      <c r="BD59" s="321">
        <f>SUMIFS('2023'!$I:$I,'2023'!$E:$E,Category!$B$26,'2023'!$N:$N,Category!BD$1,'2023'!$D:$D,Category!$C59)</f>
        <v>0</v>
      </c>
      <c r="BE59" s="321">
        <f>SUMIFS('2023'!$I:$I,'2023'!$E:$E,Category!$B$26,'2023'!$N:$N,Category!BE$1,'2023'!$D:$D,Category!$C59)</f>
        <v>0</v>
      </c>
      <c r="BF59" s="321">
        <f>SUMIFS('2023'!$I:$I,'2023'!$E:$E,Category!$B$26,'2023'!$N:$N,Category!BF$1,'2023'!$D:$D,Category!$C59)</f>
        <v>0</v>
      </c>
      <c r="BG59" s="321">
        <f>SUMIFS('2023'!$I:$I,'2023'!$E:$E,Category!$B$26,'2023'!$N:$N,Category!BG$1,'2023'!$D:$D,Category!$C59)</f>
        <v>0</v>
      </c>
      <c r="BH59" s="321">
        <f>SUMIFS('2023'!$I:$I,'2023'!$E:$E,Category!$B$26,'2023'!$N:$N,Category!BH$1,'2023'!$D:$D,Category!$C59)</f>
        <v>0</v>
      </c>
      <c r="BI59" s="321">
        <f>SUMIFS('2023'!$I:$I,'2023'!$E:$E,Category!$B$26,'2023'!$N:$N,Category!BI$1,'2023'!$D:$D,Category!$C59)</f>
        <v>0</v>
      </c>
      <c r="BJ59" s="321">
        <f>SUMIFS('2023'!$I:$I,'2023'!$E:$E,Category!$B$26,'2023'!$N:$N,Category!BJ$1,'2023'!$D:$D,Category!$C59)</f>
        <v>0</v>
      </c>
      <c r="BK59" s="321">
        <f>SUMIFS('2023'!$I:$I,'2023'!$E:$E,Category!$B$26,'2023'!$N:$N,Category!BK$1,'2023'!$D:$D,Category!$C59)</f>
        <v>0</v>
      </c>
      <c r="BL59" s="321">
        <f>SUMIFS('2023'!$I:$I,'2023'!$E:$E,Category!$B$26,'2023'!$N:$N,Category!BL$1,'2023'!$D:$D,Category!$C59)</f>
        <v>0</v>
      </c>
      <c r="BM59" s="321">
        <f>SUMIFS('2023'!$I:$I,'2023'!$E:$E,Category!$B$26,'2023'!$N:$N,Category!BM$1,'2023'!$D:$D,Category!$C59)</f>
        <v>0</v>
      </c>
      <c r="BN59" s="322">
        <f t="shared" si="17"/>
        <v>15256000</v>
      </c>
      <c r="BP59" s="1050">
        <v>3256000</v>
      </c>
      <c r="BQ59" s="1051" t="s">
        <v>1814</v>
      </c>
      <c r="BR59" s="247"/>
      <c r="BS59" s="247"/>
      <c r="BT59" s="247"/>
      <c r="BU59" s="247"/>
      <c r="BV59" s="247"/>
      <c r="BW59" s="247"/>
    </row>
    <row r="60" spans="1:75" x14ac:dyDescent="0.3">
      <c r="A60" s="327"/>
      <c r="B60" s="324"/>
      <c r="C60" s="324" t="s">
        <v>863</v>
      </c>
      <c r="D60" s="516">
        <f>IFERROR(VLOOKUP($C60,'2019'!$D:$G,4,0),0)</f>
        <v>0</v>
      </c>
      <c r="E60" s="321">
        <f>SUMIFS('2019'!$I:$I,'2019'!$E:$E,Category!$B$26,'2019'!$N:$N,Category!E$1,'2019'!$D:$D,Category!$C60)</f>
        <v>0</v>
      </c>
      <c r="F60" s="321">
        <f>SUMIFS('2019'!$I:$I,'2019'!$E:$E,Category!$B$26,'2019'!$N:$N,Category!F$1,'2019'!$D:$D,Category!$C60)</f>
        <v>0</v>
      </c>
      <c r="G60" s="321">
        <f>SUMIFS('2019'!$I:$I,'2019'!$E:$E,Category!$B$26,'2019'!$N:$N,Category!G$1,'2019'!$D:$D,Category!$C60)</f>
        <v>0</v>
      </c>
      <c r="H60" s="321">
        <f>SUMIFS('2019'!$I:$I,'2019'!$E:$E,Category!$B$26,'2019'!$N:$N,Category!H$1,'2019'!$D:$D,Category!$C60)</f>
        <v>0</v>
      </c>
      <c r="I60" s="321">
        <f>SUMIFS('2019'!$I:$I,'2019'!$E:$E,Category!$B$26,'2019'!$N:$N,Category!I$1,'2019'!$D:$D,Category!$C60)</f>
        <v>0</v>
      </c>
      <c r="J60" s="322">
        <f t="shared" si="11"/>
        <v>0</v>
      </c>
      <c r="K60" s="500">
        <f>IFERROR(VLOOKUP($C60,'2020'!$D:$G,4,0),0)</f>
        <v>0</v>
      </c>
      <c r="L60" s="321">
        <f>SUMIFS('2020'!$I:$I,'2020'!$E:$E,Category!$B$26,'2020'!$N:$N,Category!L$1,'2020'!$D:$D,Category!$C60)</f>
        <v>0</v>
      </c>
      <c r="M60" s="321">
        <f>SUMIFS('2020'!$I:$I,'2020'!$E:$E,Category!$B$26,'2020'!$N:$N,Category!M$1,'2020'!$D:$D,Category!$C60)</f>
        <v>0</v>
      </c>
      <c r="N60" s="321">
        <f>SUMIFS('2020'!$I:$I,'2020'!$E:$E,Category!$B$26,'2020'!$N:$N,Category!N$1,'2020'!$D:$D,Category!$C60)</f>
        <v>0</v>
      </c>
      <c r="O60" s="321">
        <f>SUMIFS('2020'!$I:$I,'2020'!$E:$E,Category!$B$26,'2020'!$N:$N,Category!O$1,'2020'!$D:$D,Category!$C60)</f>
        <v>0</v>
      </c>
      <c r="P60" s="321">
        <f>SUMIFS('2020'!$I:$I,'2020'!$E:$E,Category!$B$26,'2020'!$N:$N,Category!P$1,'2020'!$D:$D,Category!$C60)</f>
        <v>0</v>
      </c>
      <c r="Q60" s="321">
        <f>SUMIFS('2020'!$I:$I,'2020'!$E:$E,Category!$B$26,'2020'!$N:$N,Category!Q$1,'2020'!$D:$D,Category!$C60)</f>
        <v>0</v>
      </c>
      <c r="R60" s="321">
        <f>SUMIFS('2020'!$I:$I,'2020'!$E:$E,Category!$B$26,'2020'!$N:$N,Category!R$1,'2020'!$D:$D,Category!$C60)</f>
        <v>0</v>
      </c>
      <c r="S60" s="321">
        <f>SUMIFS('2020'!$I:$I,'2020'!$E:$E,Category!$B$26,'2020'!$N:$N,Category!S$1,'2020'!$D:$D,Category!$C60)</f>
        <v>0</v>
      </c>
      <c r="T60" s="321">
        <f>SUMIFS('2020'!$I:$I,'2020'!$E:$E,Category!$B$26,'2020'!$N:$N,Category!T$1,'2020'!$D:$D,Category!$C60)</f>
        <v>0</v>
      </c>
      <c r="U60" s="321">
        <f>SUMIFS('2020'!$I:$I,'2020'!$E:$E,Category!$B$26,'2020'!$N:$N,Category!U$1,'2020'!$D:$D,Category!$C60)</f>
        <v>0</v>
      </c>
      <c r="V60" s="321">
        <f>SUMIFS('2020'!$I:$I,'2020'!$E:$E,Category!$B$26,'2020'!$N:$N,Category!V$1,'2020'!$D:$D,Category!$C60)</f>
        <v>0</v>
      </c>
      <c r="W60" s="321">
        <f>SUMIFS('2020'!$I:$I,'2020'!$E:$E,Category!$B$26,'2020'!$N:$N,Category!W$1,'2020'!$D:$D,Category!$C60)</f>
        <v>0</v>
      </c>
      <c r="X60" s="322">
        <f t="shared" si="16"/>
        <v>0</v>
      </c>
      <c r="Y60" s="500">
        <f>IFERROR(VLOOKUP(C60,'2021'!$D:$G,4,0),0)</f>
        <v>128</v>
      </c>
      <c r="Z60" s="321">
        <f>SUMIFS('2021'!$I:$I,'2021'!$E:$E,Category!$B$26,'2021'!$N:$N,Category!Z$1,'2021'!$D:$D,Category!$C60)</f>
        <v>0</v>
      </c>
      <c r="AA60" s="321">
        <f>SUMIFS('2021'!$I:$I,'2021'!$E:$E,Category!$B$26,'2021'!$N:$N,Category!AA$1,'2021'!$D:$D,Category!$C60)</f>
        <v>0</v>
      </c>
      <c r="AB60" s="321">
        <f>SUMIFS('2021'!$I:$I,'2021'!$E:$E,Category!$B$26,'2021'!$N:$N,Category!AB$1,'2021'!$D:$D,Category!$C60)</f>
        <v>0</v>
      </c>
      <c r="AC60" s="321">
        <f>SUMIFS('2021'!$I:$I,'2021'!$E:$E,Category!$B$26,'2021'!$N:$N,Category!AC$1,'2021'!$D:$D,Category!$C60)</f>
        <v>0</v>
      </c>
      <c r="AD60" s="321">
        <f>SUMIFS('2021'!$I:$I,'2021'!$E:$E,Category!$B$26,'2021'!$N:$N,Category!AD$1,'2021'!$D:$D,Category!$C60)</f>
        <v>0</v>
      </c>
      <c r="AE60" s="321">
        <f>SUMIFS('2021'!$I:$I,'2021'!$E:$E,Category!$B$26,'2021'!$N:$N,Category!AE$1,'2021'!$D:$D,Category!$C60)</f>
        <v>0</v>
      </c>
      <c r="AF60" s="321">
        <f>SUMIFS('2021'!$I:$I,'2021'!$E:$E,Category!$B$26,'2021'!$N:$N,Category!AF$1,'2021'!$D:$D,Category!$C60)</f>
        <v>0</v>
      </c>
      <c r="AG60" s="321">
        <f>SUMIFS('2021'!$I:$I,'2021'!$E:$E,Category!$B$26,'2021'!$N:$N,Category!AG$1,'2021'!$D:$D,Category!$C60)</f>
        <v>5999800</v>
      </c>
      <c r="AH60" s="321">
        <f>SUMIFS('2021'!$I:$I,'2021'!$E:$E,Category!$B$26,'2021'!$N:$N,Category!AH$1,'2021'!$D:$D,Category!$C60)</f>
        <v>0</v>
      </c>
      <c r="AI60" s="321">
        <f>SUMIFS('2021'!$I:$I,'2021'!$E:$E,Category!$B$26,'2021'!$N:$N,Category!AI$1,'2021'!$D:$D,Category!$C60)</f>
        <v>0</v>
      </c>
      <c r="AJ60" s="321">
        <f>SUMIFS('2021'!$I:$I,'2021'!$E:$E,Category!$B$26,'2021'!$N:$N,Category!AJ$1,'2021'!$D:$D,Category!$C60)</f>
        <v>12025200</v>
      </c>
      <c r="AK60" s="321">
        <f>SUMIFS('2021'!$I:$I,'2021'!$E:$E,Category!$B$26,'2021'!$N:$N,Category!AK$1,'2021'!$D:$D,Category!$C60)</f>
        <v>5999400</v>
      </c>
      <c r="AL60" s="322">
        <f t="shared" si="14"/>
        <v>24024400</v>
      </c>
      <c r="AM60" s="500">
        <f>IFERROR(VLOOKUP(C60,'2022'!$D:$G,4,0),0)</f>
        <v>142</v>
      </c>
      <c r="AN60" s="321">
        <f>SUMIFS('2022'!$I:$I,'2022'!$E:$E,Category!$B$26,'2022'!$N:$N,Category!AN$1,'2022'!$D:$D,Category!$C60)</f>
        <v>5999800</v>
      </c>
      <c r="AO60" s="321">
        <f>SUMIFS('2022'!$I:$I,'2022'!$E:$E,Category!$B$26,'2022'!$N:$N,Category!AO$1,'2022'!$D:$D,Category!$C60)</f>
        <v>0</v>
      </c>
      <c r="AP60" s="321">
        <f>SUMIFS('2022'!$I:$I,'2022'!$E:$E,Category!$B$26,'2022'!$N:$N,Category!AP$1,'2022'!$D:$D,Category!$C60)</f>
        <v>11997500</v>
      </c>
      <c r="AQ60" s="321">
        <f>SUMIFS('2022'!$I:$I,'2022'!$E:$E,Category!$B$26,'2022'!$N:$N,Category!AQ$1,'2022'!$D:$D,Category!$C60)</f>
        <v>6316400</v>
      </c>
      <c r="AR60" s="321">
        <f>SUMIFS('2022'!$I:$I,'2022'!$E:$E,Category!$B$26,'2022'!$N:$N,Category!AR$1,'2022'!$D:$D,Category!$C60)</f>
        <v>6478200</v>
      </c>
      <c r="AS60" s="321">
        <f>SUMIFS('2022'!$I:$I,'2022'!$E:$E,Category!$B$26,'2022'!$N:$N,Category!AS$1,'2022'!$D:$D,Category!$C60)</f>
        <v>6006700</v>
      </c>
      <c r="AT60" s="321">
        <f>SUMIFS('2022'!$I:$I,'2022'!$E:$E,Category!$B$26,'2022'!$N:$N,Category!AT$1,'2022'!$D:$D,Category!$C60)</f>
        <v>6800300</v>
      </c>
      <c r="AU60" s="321">
        <f>SUMIFS('2022'!$I:$I,'2022'!$E:$E,Category!$B$26,'2022'!$N:$N,Category!AU$1,'2022'!$D:$D,Category!$C60)</f>
        <v>6000000</v>
      </c>
      <c r="AV60" s="321">
        <f>SUMIFS('2022'!$I:$I,'2022'!$E:$E,Category!$B$26,'2022'!$N:$N,Category!AV$1,'2022'!$D:$D,Category!$C60)</f>
        <v>6000000</v>
      </c>
      <c r="AW60" s="321">
        <f>SUMIFS('2022'!$I:$I,'2022'!$E:$E,Category!$B$26,'2022'!$N:$N,Category!AW$1,'2022'!$D:$D,Category!$C60)</f>
        <v>6000000</v>
      </c>
      <c r="AX60" s="321">
        <f>SUMIFS('2022'!$I:$I,'2022'!$E:$E,Category!$B$26,'2022'!$N:$N,Category!AX$1,'2022'!$D:$D,Category!$C60)</f>
        <v>6000000</v>
      </c>
      <c r="AY60" s="321">
        <f>SUMIFS('2022'!$I:$I,'2022'!$E:$E,Category!$B$26,'2022'!$N:$N,Category!AY$1,'2022'!$D:$D,Category!$C60)</f>
        <v>6699500</v>
      </c>
      <c r="AZ60" s="322">
        <f t="shared" si="19"/>
        <v>74298400</v>
      </c>
      <c r="BA60" s="500">
        <f>IFERROR(VLOOKUP(C60,'2023'!$D:$G,4,0),0)</f>
        <v>142</v>
      </c>
      <c r="BB60" s="321">
        <f>SUMIFS('2023'!$I:$I,'2023'!$E:$E,Category!$B$26,'2023'!$N:$N,Category!BB$1,'2023'!$D:$D,Category!$C60)</f>
        <v>6000000</v>
      </c>
      <c r="BC60" s="321">
        <f>SUMIFS('2023'!$I:$I,'2023'!$E:$E,Category!$B$26,'2023'!$N:$N,Category!BC$1,'2023'!$D:$D,Category!$C60)</f>
        <v>6249940</v>
      </c>
      <c r="BD60" s="321">
        <f>SUMIFS('2023'!$I:$I,'2023'!$E:$E,Category!$B$26,'2023'!$N:$N,Category!BD$1,'2023'!$D:$D,Category!$C60)</f>
        <v>0</v>
      </c>
      <c r="BE60" s="321">
        <f>SUMIFS('2023'!$I:$I,'2023'!$E:$E,Category!$B$26,'2023'!$N:$N,Category!BE$1,'2023'!$D:$D,Category!$C60)</f>
        <v>0</v>
      </c>
      <c r="BF60" s="321">
        <f>SUMIFS('2023'!$I:$I,'2023'!$E:$E,Category!$B$26,'2023'!$N:$N,Category!BF$1,'2023'!$D:$D,Category!$C60)</f>
        <v>0</v>
      </c>
      <c r="BG60" s="321">
        <f>SUMIFS('2023'!$I:$I,'2023'!$E:$E,Category!$B$26,'2023'!$N:$N,Category!BG$1,'2023'!$D:$D,Category!$C60)</f>
        <v>0</v>
      </c>
      <c r="BH60" s="321">
        <f>SUMIFS('2023'!$I:$I,'2023'!$E:$E,Category!$B$26,'2023'!$N:$N,Category!BH$1,'2023'!$D:$D,Category!$C60)</f>
        <v>0</v>
      </c>
      <c r="BI60" s="321">
        <f>SUMIFS('2023'!$I:$I,'2023'!$E:$E,Category!$B$26,'2023'!$N:$N,Category!BI$1,'2023'!$D:$D,Category!$C60)</f>
        <v>0</v>
      </c>
      <c r="BJ60" s="321">
        <f>SUMIFS('2023'!$I:$I,'2023'!$E:$E,Category!$B$26,'2023'!$N:$N,Category!BJ$1,'2023'!$D:$D,Category!$C60)</f>
        <v>0</v>
      </c>
      <c r="BK60" s="321">
        <f>SUMIFS('2023'!$I:$I,'2023'!$E:$E,Category!$B$26,'2023'!$N:$N,Category!BK$1,'2023'!$D:$D,Category!$C60)</f>
        <v>0</v>
      </c>
      <c r="BL60" s="321">
        <f>SUMIFS('2023'!$I:$I,'2023'!$E:$E,Category!$B$26,'2023'!$N:$N,Category!BL$1,'2023'!$D:$D,Category!$C60)</f>
        <v>0</v>
      </c>
      <c r="BM60" s="321">
        <f>SUMIFS('2023'!$I:$I,'2023'!$E:$E,Category!$B$26,'2023'!$N:$N,Category!BM$1,'2023'!$D:$D,Category!$C60)</f>
        <v>0</v>
      </c>
      <c r="BN60" s="322">
        <f t="shared" si="17"/>
        <v>12249940</v>
      </c>
      <c r="BP60" s="1050">
        <v>6000000</v>
      </c>
      <c r="BQ60" s="1051" t="s">
        <v>1967</v>
      </c>
      <c r="BR60" s="247"/>
      <c r="BS60" s="247"/>
      <c r="BT60" s="247"/>
      <c r="BU60" s="247"/>
      <c r="BV60" s="247"/>
      <c r="BW60" s="247"/>
    </row>
    <row r="61" spans="1:75" x14ac:dyDescent="0.3">
      <c r="A61" s="327"/>
      <c r="B61" s="324"/>
      <c r="C61" s="324" t="s">
        <v>864</v>
      </c>
      <c r="D61" s="516">
        <f>IFERROR(VLOOKUP($C61,'2019'!$D:$G,4,0),0)</f>
        <v>0</v>
      </c>
      <c r="E61" s="321">
        <f>SUMIFS('2019'!$I:$I,'2019'!$E:$E,Category!$B$26,'2019'!$N:$N,Category!E$1,'2019'!$D:$D,Category!$C61)</f>
        <v>0</v>
      </c>
      <c r="F61" s="321">
        <f>SUMIFS('2019'!$I:$I,'2019'!$E:$E,Category!$B$26,'2019'!$N:$N,Category!F$1,'2019'!$D:$D,Category!$C61)</f>
        <v>0</v>
      </c>
      <c r="G61" s="321">
        <f>SUMIFS('2019'!$I:$I,'2019'!$E:$E,Category!$B$26,'2019'!$N:$N,Category!G$1,'2019'!$D:$D,Category!$C61)</f>
        <v>0</v>
      </c>
      <c r="H61" s="321">
        <f>SUMIFS('2019'!$I:$I,'2019'!$E:$E,Category!$B$26,'2019'!$N:$N,Category!H$1,'2019'!$D:$D,Category!$C61)</f>
        <v>0</v>
      </c>
      <c r="I61" s="321">
        <f>SUMIFS('2019'!$I:$I,'2019'!$E:$E,Category!$B$26,'2019'!$N:$N,Category!I$1,'2019'!$D:$D,Category!$C61)</f>
        <v>0</v>
      </c>
      <c r="J61" s="322">
        <f t="shared" si="11"/>
        <v>0</v>
      </c>
      <c r="K61" s="500">
        <f>IFERROR(VLOOKUP($C61,'2020'!$D:$G,4,0),0)</f>
        <v>0</v>
      </c>
      <c r="L61" s="321">
        <f>SUMIFS('2020'!$I:$I,'2020'!$E:$E,Category!$B$26,'2020'!$N:$N,Category!L$1,'2020'!$D:$D,Category!$C61)</f>
        <v>0</v>
      </c>
      <c r="M61" s="321">
        <f>SUMIFS('2020'!$I:$I,'2020'!$E:$E,Category!$B$26,'2020'!$N:$N,Category!M$1,'2020'!$D:$D,Category!$C61)</f>
        <v>0</v>
      </c>
      <c r="N61" s="321">
        <f>SUMIFS('2020'!$I:$I,'2020'!$E:$E,Category!$B$26,'2020'!$N:$N,Category!N$1,'2020'!$D:$D,Category!$C61)</f>
        <v>0</v>
      </c>
      <c r="O61" s="321">
        <f>SUMIFS('2020'!$I:$I,'2020'!$E:$E,Category!$B$26,'2020'!$N:$N,Category!O$1,'2020'!$D:$D,Category!$C61)</f>
        <v>0</v>
      </c>
      <c r="P61" s="321">
        <f>SUMIFS('2020'!$I:$I,'2020'!$E:$E,Category!$B$26,'2020'!$N:$N,Category!P$1,'2020'!$D:$D,Category!$C61)</f>
        <v>0</v>
      </c>
      <c r="Q61" s="321">
        <f>SUMIFS('2020'!$I:$I,'2020'!$E:$E,Category!$B$26,'2020'!$N:$N,Category!Q$1,'2020'!$D:$D,Category!$C61)</f>
        <v>0</v>
      </c>
      <c r="R61" s="321">
        <f>SUMIFS('2020'!$I:$I,'2020'!$E:$E,Category!$B$26,'2020'!$N:$N,Category!R$1,'2020'!$D:$D,Category!$C61)</f>
        <v>0</v>
      </c>
      <c r="S61" s="321">
        <f>SUMIFS('2020'!$I:$I,'2020'!$E:$E,Category!$B$26,'2020'!$N:$N,Category!S$1,'2020'!$D:$D,Category!$C61)</f>
        <v>0</v>
      </c>
      <c r="T61" s="321">
        <f>SUMIFS('2020'!$I:$I,'2020'!$E:$E,Category!$B$26,'2020'!$N:$N,Category!T$1,'2020'!$D:$D,Category!$C61)</f>
        <v>0</v>
      </c>
      <c r="U61" s="321">
        <f>SUMIFS('2020'!$I:$I,'2020'!$E:$E,Category!$B$26,'2020'!$N:$N,Category!U$1,'2020'!$D:$D,Category!$C61)</f>
        <v>0</v>
      </c>
      <c r="V61" s="321">
        <f>SUMIFS('2020'!$I:$I,'2020'!$E:$E,Category!$B$26,'2020'!$N:$N,Category!V$1,'2020'!$D:$D,Category!$C61)</f>
        <v>0</v>
      </c>
      <c r="W61" s="321">
        <f>SUMIFS('2020'!$I:$I,'2020'!$E:$E,Category!$B$26,'2020'!$N:$N,Category!W$1,'2020'!$D:$D,Category!$C61)</f>
        <v>0</v>
      </c>
      <c r="X61" s="322">
        <f t="shared" si="16"/>
        <v>0</v>
      </c>
      <c r="Y61" s="500">
        <f>IFERROR(VLOOKUP(C61,'2021'!$D:$G,4,0),0)</f>
        <v>140</v>
      </c>
      <c r="Z61" s="321">
        <f>SUMIFS('2021'!$I:$I,'2021'!$E:$E,Category!$B$26,'2021'!$N:$N,Category!Z$1,'2021'!$D:$D,Category!$C61)</f>
        <v>0</v>
      </c>
      <c r="AA61" s="321">
        <f>SUMIFS('2021'!$I:$I,'2021'!$E:$E,Category!$B$26,'2021'!$N:$N,Category!AA$1,'2021'!$D:$D,Category!$C61)</f>
        <v>0</v>
      </c>
      <c r="AB61" s="321">
        <f>SUMIFS('2021'!$I:$I,'2021'!$E:$E,Category!$B$26,'2021'!$N:$N,Category!AB$1,'2021'!$D:$D,Category!$C61)</f>
        <v>0</v>
      </c>
      <c r="AC61" s="321">
        <f>SUMIFS('2021'!$I:$I,'2021'!$E:$E,Category!$B$26,'2021'!$N:$N,Category!AC$1,'2021'!$D:$D,Category!$C61)</f>
        <v>0</v>
      </c>
      <c r="AD61" s="321">
        <f>SUMIFS('2021'!$I:$I,'2021'!$E:$E,Category!$B$26,'2021'!$N:$N,Category!AD$1,'2021'!$D:$D,Category!$C61)</f>
        <v>0</v>
      </c>
      <c r="AE61" s="321">
        <f>SUMIFS('2021'!$I:$I,'2021'!$E:$E,Category!$B$26,'2021'!$N:$N,Category!AE$1,'2021'!$D:$D,Category!$C61)</f>
        <v>0</v>
      </c>
      <c r="AF61" s="321">
        <f>SUMIFS('2021'!$I:$I,'2021'!$E:$E,Category!$B$26,'2021'!$N:$N,Category!AF$1,'2021'!$D:$D,Category!$C61)</f>
        <v>0</v>
      </c>
      <c r="AG61" s="321">
        <f>SUMIFS('2021'!$I:$I,'2021'!$E:$E,Category!$B$26,'2021'!$N:$N,Category!AG$1,'2021'!$D:$D,Category!$C61)</f>
        <v>5999700</v>
      </c>
      <c r="AH61" s="321">
        <f>SUMIFS('2021'!$I:$I,'2021'!$E:$E,Category!$B$26,'2021'!$N:$N,Category!AH$1,'2021'!$D:$D,Category!$C61)</f>
        <v>0</v>
      </c>
      <c r="AI61" s="321">
        <f>SUMIFS('2021'!$I:$I,'2021'!$E:$E,Category!$B$26,'2021'!$N:$N,Category!AI$1,'2021'!$D:$D,Category!$C61)</f>
        <v>0</v>
      </c>
      <c r="AJ61" s="321">
        <f>SUMIFS('2021'!$I:$I,'2021'!$E:$E,Category!$B$26,'2021'!$N:$N,Category!AJ$1,'2021'!$D:$D,Category!$C61)</f>
        <v>11999400</v>
      </c>
      <c r="AK61" s="321">
        <f>SUMIFS('2021'!$I:$I,'2021'!$E:$E,Category!$B$26,'2021'!$N:$N,Category!AK$1,'2021'!$D:$D,Category!$C61)</f>
        <v>5999700</v>
      </c>
      <c r="AL61" s="322">
        <f t="shared" si="14"/>
        <v>23998800</v>
      </c>
      <c r="AM61" s="500">
        <f>IFERROR(VLOOKUP(C61,'2022'!$D:$G,4,0),0)</f>
        <v>141</v>
      </c>
      <c r="AN61" s="321">
        <f>SUMIFS('2022'!$I:$I,'2022'!$E:$E,Category!$B$26,'2022'!$N:$N,Category!AN$1,'2022'!$D:$D,Category!$C61)</f>
        <v>5999500</v>
      </c>
      <c r="AO61" s="321">
        <f>SUMIFS('2022'!$I:$I,'2022'!$E:$E,Category!$B$26,'2022'!$N:$N,Category!AO$1,'2022'!$D:$D,Category!$C61)</f>
        <v>0</v>
      </c>
      <c r="AP61" s="321">
        <f>SUMIFS('2022'!$I:$I,'2022'!$E:$E,Category!$B$26,'2022'!$N:$N,Category!AP$1,'2022'!$D:$D,Category!$C61)</f>
        <v>11996800</v>
      </c>
      <c r="AQ61" s="321">
        <f>SUMIFS('2022'!$I:$I,'2022'!$E:$E,Category!$B$26,'2022'!$N:$N,Category!AQ$1,'2022'!$D:$D,Category!$C61)</f>
        <v>5607000</v>
      </c>
      <c r="AR61" s="321">
        <f>SUMIFS('2022'!$I:$I,'2022'!$E:$E,Category!$B$26,'2022'!$N:$N,Category!AR$1,'2022'!$D:$D,Category!$C61)</f>
        <v>5661300</v>
      </c>
      <c r="AS61" s="321">
        <f>SUMIFS('2022'!$I:$I,'2022'!$E:$E,Category!$B$26,'2022'!$N:$N,Category!AS$1,'2022'!$D:$D,Category!$C61)</f>
        <v>5500200</v>
      </c>
      <c r="AT61" s="321">
        <f>SUMIFS('2022'!$I:$I,'2022'!$E:$E,Category!$B$26,'2022'!$N:$N,Category!AT$1,'2022'!$D:$D,Category!$C61)</f>
        <v>6002460</v>
      </c>
      <c r="AU61" s="321">
        <f>SUMIFS('2022'!$I:$I,'2022'!$E:$E,Category!$B$26,'2022'!$N:$N,Category!AU$1,'2022'!$D:$D,Category!$C61)</f>
        <v>6000000</v>
      </c>
      <c r="AV61" s="321">
        <f>SUMIFS('2022'!$I:$I,'2022'!$E:$E,Category!$B$26,'2022'!$N:$N,Category!AV$1,'2022'!$D:$D,Category!$C61)</f>
        <v>6000000</v>
      </c>
      <c r="AW61" s="321">
        <f>SUMIFS('2022'!$I:$I,'2022'!$E:$E,Category!$B$26,'2022'!$N:$N,Category!AW$1,'2022'!$D:$D,Category!$C61)</f>
        <v>6000000</v>
      </c>
      <c r="AX61" s="321">
        <f>SUMIFS('2022'!$I:$I,'2022'!$E:$E,Category!$B$26,'2022'!$N:$N,Category!AX$1,'2022'!$D:$D,Category!$C61)</f>
        <v>6000000</v>
      </c>
      <c r="AY61" s="321">
        <f>SUMIFS('2022'!$I:$I,'2022'!$E:$E,Category!$B$26,'2022'!$N:$N,Category!AY$1,'2022'!$D:$D,Category!$C61)</f>
        <v>6437000</v>
      </c>
      <c r="AZ61" s="322">
        <f t="shared" ref="AZ61:AZ66" si="20">SUM(AN61:AY61)</f>
        <v>71204260</v>
      </c>
      <c r="BA61" s="500">
        <f>IFERROR(VLOOKUP(C61,'2023'!$D:$G,4,0),0)</f>
        <v>141</v>
      </c>
      <c r="BB61" s="321">
        <f>SUMIFS('2023'!$I:$I,'2023'!$E:$E,Category!$B$26,'2023'!$N:$N,Category!BB$1,'2023'!$D:$D,Category!$C61)</f>
        <v>6000000</v>
      </c>
      <c r="BC61" s="321">
        <f>SUMIFS('2023'!$I:$I,'2023'!$E:$E,Category!$B$26,'2023'!$N:$N,Category!BC$1,'2023'!$D:$D,Category!$C61)</f>
        <v>6000000</v>
      </c>
      <c r="BD61" s="321">
        <f>SUMIFS('2023'!$I:$I,'2023'!$E:$E,Category!$B$26,'2023'!$N:$N,Category!BD$1,'2023'!$D:$D,Category!$C61)</f>
        <v>0</v>
      </c>
      <c r="BE61" s="321">
        <f>SUMIFS('2023'!$I:$I,'2023'!$E:$E,Category!$B$26,'2023'!$N:$N,Category!BE$1,'2023'!$D:$D,Category!$C61)</f>
        <v>0</v>
      </c>
      <c r="BF61" s="321">
        <f>SUMIFS('2023'!$I:$I,'2023'!$E:$E,Category!$B$26,'2023'!$N:$N,Category!BF$1,'2023'!$D:$D,Category!$C61)</f>
        <v>0</v>
      </c>
      <c r="BG61" s="321">
        <f>SUMIFS('2023'!$I:$I,'2023'!$E:$E,Category!$B$26,'2023'!$N:$N,Category!BG$1,'2023'!$D:$D,Category!$C61)</f>
        <v>0</v>
      </c>
      <c r="BH61" s="321">
        <f>SUMIFS('2023'!$I:$I,'2023'!$E:$E,Category!$B$26,'2023'!$N:$N,Category!BH$1,'2023'!$D:$D,Category!$C61)</f>
        <v>0</v>
      </c>
      <c r="BI61" s="321">
        <f>SUMIFS('2023'!$I:$I,'2023'!$E:$E,Category!$B$26,'2023'!$N:$N,Category!BI$1,'2023'!$D:$D,Category!$C61)</f>
        <v>0</v>
      </c>
      <c r="BJ61" s="321">
        <f>SUMIFS('2023'!$I:$I,'2023'!$E:$E,Category!$B$26,'2023'!$N:$N,Category!BJ$1,'2023'!$D:$D,Category!$C61)</f>
        <v>0</v>
      </c>
      <c r="BK61" s="321">
        <f>SUMIFS('2023'!$I:$I,'2023'!$E:$E,Category!$B$26,'2023'!$N:$N,Category!BK$1,'2023'!$D:$D,Category!$C61)</f>
        <v>0</v>
      </c>
      <c r="BL61" s="321">
        <f>SUMIFS('2023'!$I:$I,'2023'!$E:$E,Category!$B$26,'2023'!$N:$N,Category!BL$1,'2023'!$D:$D,Category!$C61)</f>
        <v>0</v>
      </c>
      <c r="BM61" s="321">
        <f>SUMIFS('2023'!$I:$I,'2023'!$E:$E,Category!$B$26,'2023'!$N:$N,Category!BM$1,'2023'!$D:$D,Category!$C61)</f>
        <v>0</v>
      </c>
      <c r="BN61" s="322">
        <f t="shared" si="17"/>
        <v>12000000</v>
      </c>
      <c r="BP61" s="1050"/>
      <c r="BQ61" s="1051"/>
      <c r="BR61" s="247"/>
      <c r="BS61" s="247"/>
      <c r="BT61" s="247"/>
      <c r="BU61" s="247"/>
      <c r="BV61" s="247"/>
      <c r="BW61" s="247"/>
    </row>
    <row r="62" spans="1:75" x14ac:dyDescent="0.3">
      <c r="A62" s="327"/>
      <c r="B62" s="324"/>
      <c r="C62" s="324" t="s">
        <v>865</v>
      </c>
      <c r="D62" s="516">
        <f>IFERROR(VLOOKUP($C62,'2019'!$D:$G,4,0),0)</f>
        <v>0</v>
      </c>
      <c r="E62" s="321">
        <f>SUMIFS('2019'!$I:$I,'2019'!$E:$E,Category!$B$26,'2019'!$N:$N,Category!E$1,'2019'!$D:$D,Category!$C62)</f>
        <v>0</v>
      </c>
      <c r="F62" s="321">
        <f>SUMIFS('2019'!$I:$I,'2019'!$E:$E,Category!$B$26,'2019'!$N:$N,Category!F$1,'2019'!$D:$D,Category!$C62)</f>
        <v>0</v>
      </c>
      <c r="G62" s="321">
        <f>SUMIFS('2019'!$I:$I,'2019'!$E:$E,Category!$B$26,'2019'!$N:$N,Category!G$1,'2019'!$D:$D,Category!$C62)</f>
        <v>0</v>
      </c>
      <c r="H62" s="321">
        <f>SUMIFS('2019'!$I:$I,'2019'!$E:$E,Category!$B$26,'2019'!$N:$N,Category!H$1,'2019'!$D:$D,Category!$C62)</f>
        <v>0</v>
      </c>
      <c r="I62" s="321">
        <f>SUMIFS('2019'!$I:$I,'2019'!$E:$E,Category!$B$26,'2019'!$N:$N,Category!I$1,'2019'!$D:$D,Category!$C62)</f>
        <v>0</v>
      </c>
      <c r="J62" s="322">
        <f>SUM(E62:I62)</f>
        <v>0</v>
      </c>
      <c r="K62" s="500">
        <f>IFERROR(VLOOKUP($C62,'2020'!$D:$G,4,0),0)</f>
        <v>0</v>
      </c>
      <c r="L62" s="321">
        <f>SUMIFS('2020'!$I:$I,'2020'!$E:$E,Category!$B$26,'2020'!$N:$N,Category!L$1,'2020'!$D:$D,Category!$C62)</f>
        <v>0</v>
      </c>
      <c r="M62" s="321">
        <f>SUMIFS('2020'!$I:$I,'2020'!$E:$E,Category!$B$26,'2020'!$N:$N,Category!M$1,'2020'!$D:$D,Category!$C62)</f>
        <v>0</v>
      </c>
      <c r="N62" s="321">
        <f>SUMIFS('2020'!$I:$I,'2020'!$E:$E,Category!$B$26,'2020'!$N:$N,Category!N$1,'2020'!$D:$D,Category!$C62)</f>
        <v>0</v>
      </c>
      <c r="O62" s="321">
        <f>SUMIFS('2020'!$I:$I,'2020'!$E:$E,Category!$B$26,'2020'!$N:$N,Category!O$1,'2020'!$D:$D,Category!$C62)</f>
        <v>0</v>
      </c>
      <c r="P62" s="321">
        <f>SUMIFS('2020'!$I:$I,'2020'!$E:$E,Category!$B$26,'2020'!$N:$N,Category!P$1,'2020'!$D:$D,Category!$C62)</f>
        <v>0</v>
      </c>
      <c r="Q62" s="321">
        <f>SUMIFS('2020'!$I:$I,'2020'!$E:$E,Category!$B$26,'2020'!$N:$N,Category!Q$1,'2020'!$D:$D,Category!$C62)</f>
        <v>0</v>
      </c>
      <c r="R62" s="321">
        <f>SUMIFS('2020'!$I:$I,'2020'!$E:$E,Category!$B$26,'2020'!$N:$N,Category!R$1,'2020'!$D:$D,Category!$C62)</f>
        <v>0</v>
      </c>
      <c r="S62" s="321">
        <f>SUMIFS('2020'!$I:$I,'2020'!$E:$E,Category!$B$26,'2020'!$N:$N,Category!S$1,'2020'!$D:$D,Category!$C62)</f>
        <v>0</v>
      </c>
      <c r="T62" s="321">
        <f>SUMIFS('2020'!$I:$I,'2020'!$E:$E,Category!$B$26,'2020'!$N:$N,Category!T$1,'2020'!$D:$D,Category!$C62)</f>
        <v>0</v>
      </c>
      <c r="U62" s="321">
        <f>SUMIFS('2020'!$I:$I,'2020'!$E:$E,Category!$B$26,'2020'!$N:$N,Category!U$1,'2020'!$D:$D,Category!$C62)</f>
        <v>0</v>
      </c>
      <c r="V62" s="321">
        <f>SUMIFS('2020'!$I:$I,'2020'!$E:$E,Category!$B$26,'2020'!$N:$N,Category!V$1,'2020'!$D:$D,Category!$C62)</f>
        <v>0</v>
      </c>
      <c r="W62" s="321">
        <f>SUMIFS('2020'!$I:$I,'2020'!$E:$E,Category!$B$26,'2020'!$N:$N,Category!W$1,'2020'!$D:$D,Category!$C62)</f>
        <v>0</v>
      </c>
      <c r="X62" s="322">
        <f t="shared" si="16"/>
        <v>0</v>
      </c>
      <c r="Y62" s="500">
        <f>IFERROR(VLOOKUP(C62,'2021'!$D:$G,4,0),0)</f>
        <v>71</v>
      </c>
      <c r="Z62" s="321">
        <f>SUMIFS('2021'!$I:$I,'2021'!$E:$E,Category!$B$26,'2021'!$N:$N,Category!Z$1,'2021'!$D:$D,Category!$C62)</f>
        <v>0</v>
      </c>
      <c r="AA62" s="321">
        <f>SUMIFS('2021'!$I:$I,'2021'!$E:$E,Category!$B$26,'2021'!$N:$N,Category!AA$1,'2021'!$D:$D,Category!$C62)</f>
        <v>0</v>
      </c>
      <c r="AB62" s="321">
        <f>SUMIFS('2021'!$I:$I,'2021'!$E:$E,Category!$B$26,'2021'!$N:$N,Category!AB$1,'2021'!$D:$D,Category!$C62)</f>
        <v>0</v>
      </c>
      <c r="AC62" s="321">
        <f>SUMIFS('2021'!$I:$I,'2021'!$E:$E,Category!$B$26,'2021'!$N:$N,Category!AC$1,'2021'!$D:$D,Category!$C62)</f>
        <v>0</v>
      </c>
      <c r="AD62" s="321">
        <f>SUMIFS('2021'!$I:$I,'2021'!$E:$E,Category!$B$26,'2021'!$N:$N,Category!AD$1,'2021'!$D:$D,Category!$C62)</f>
        <v>0</v>
      </c>
      <c r="AE62" s="321">
        <f>SUMIFS('2021'!$I:$I,'2021'!$E:$E,Category!$B$26,'2021'!$N:$N,Category!AE$1,'2021'!$D:$D,Category!$C62)</f>
        <v>0</v>
      </c>
      <c r="AF62" s="321">
        <f>SUMIFS('2021'!$I:$I,'2021'!$E:$E,Category!$B$26,'2021'!$N:$N,Category!AF$1,'2021'!$D:$D,Category!$C62)</f>
        <v>0</v>
      </c>
      <c r="AG62" s="321">
        <f>SUMIFS('2021'!$I:$I,'2021'!$E:$E,Category!$B$26,'2021'!$N:$N,Category!AG$1,'2021'!$D:$D,Category!$C62)</f>
        <v>5999500</v>
      </c>
      <c r="AH62" s="321">
        <f>SUMIFS('2021'!$I:$I,'2021'!$E:$E,Category!$B$26,'2021'!$N:$N,Category!AH$1,'2021'!$D:$D,Category!$C62)</f>
        <v>0</v>
      </c>
      <c r="AI62" s="321">
        <f>SUMIFS('2021'!$I:$I,'2021'!$E:$E,Category!$B$26,'2021'!$N:$N,Category!AI$1,'2021'!$D:$D,Category!$C62)</f>
        <v>0</v>
      </c>
      <c r="AJ62" s="321">
        <f>SUMIFS('2021'!$I:$I,'2021'!$E:$E,Category!$B$26,'2021'!$N:$N,Category!AJ$1,'2021'!$D:$D,Category!$C62)</f>
        <v>12043800</v>
      </c>
      <c r="AK62" s="321">
        <f>SUMIFS('2021'!$I:$I,'2021'!$E:$E,Category!$B$26,'2021'!$N:$N,Category!AK$1,'2021'!$D:$D,Category!$C62)</f>
        <v>5999700</v>
      </c>
      <c r="AL62" s="322">
        <f t="shared" si="14"/>
        <v>24043000</v>
      </c>
      <c r="AM62" s="500">
        <f>IFERROR(VLOOKUP(C62,'2022'!$D:$G,4,0),0)</f>
        <v>96</v>
      </c>
      <c r="AN62" s="321">
        <f>SUMIFS('2022'!$I:$I,'2022'!$E:$E,Category!$B$26,'2022'!$N:$N,Category!AN$1,'2022'!$D:$D,Category!$C62)</f>
        <v>6000200</v>
      </c>
      <c r="AO62" s="321">
        <f>SUMIFS('2022'!$I:$I,'2022'!$E:$E,Category!$B$26,'2022'!$N:$N,Category!AO$1,'2022'!$D:$D,Category!$C62)</f>
        <v>0</v>
      </c>
      <c r="AP62" s="321">
        <f>SUMIFS('2022'!$I:$I,'2022'!$E:$E,Category!$B$26,'2022'!$N:$N,Category!AP$1,'2022'!$D:$D,Category!$C62)</f>
        <v>11996200</v>
      </c>
      <c r="AQ62" s="321">
        <f>SUMIFS('2022'!$I:$I,'2022'!$E:$E,Category!$B$26,'2022'!$N:$N,Category!AQ$1,'2022'!$D:$D,Category!$C62)</f>
        <v>6136000</v>
      </c>
      <c r="AR62" s="321">
        <f>SUMIFS('2022'!$I:$I,'2022'!$E:$E,Category!$B$26,'2022'!$N:$N,Category!AR$1,'2022'!$D:$D,Category!$C62)</f>
        <v>6172300</v>
      </c>
      <c r="AS62" s="321">
        <f>SUMIFS('2022'!$I:$I,'2022'!$E:$E,Category!$B$26,'2022'!$N:$N,Category!AS$1,'2022'!$D:$D,Category!$C62)</f>
        <v>5999200</v>
      </c>
      <c r="AT62" s="321">
        <f>SUMIFS('2022'!$I:$I,'2022'!$E:$E,Category!$B$26,'2022'!$N:$N,Category!AT$1,'2022'!$D:$D,Category!$C62)</f>
        <v>6000000</v>
      </c>
      <c r="AU62" s="321">
        <f>SUMIFS('2022'!$I:$I,'2022'!$E:$E,Category!$B$26,'2022'!$N:$N,Category!AU$1,'2022'!$D:$D,Category!$C62)</f>
        <v>6249860</v>
      </c>
      <c r="AV62" s="321">
        <f>SUMIFS('2022'!$I:$I,'2022'!$E:$E,Category!$B$26,'2022'!$N:$N,Category!AV$1,'2022'!$D:$D,Category!$C62)</f>
        <v>6000000</v>
      </c>
      <c r="AW62" s="321">
        <f>SUMIFS('2022'!$I:$I,'2022'!$E:$E,Category!$B$26,'2022'!$N:$N,Category!AW$1,'2022'!$D:$D,Category!$C62)</f>
        <v>6000000</v>
      </c>
      <c r="AX62" s="321">
        <f>SUMIFS('2022'!$I:$I,'2022'!$E:$E,Category!$B$26,'2022'!$N:$N,Category!AX$1,'2022'!$D:$D,Category!$C62)</f>
        <v>6000000</v>
      </c>
      <c r="AY62" s="321">
        <f>SUMIFS('2022'!$I:$I,'2022'!$E:$E,Category!$B$26,'2022'!$N:$N,Category!AY$1,'2022'!$D:$D,Category!$C62)</f>
        <v>3034250</v>
      </c>
      <c r="AZ62" s="322">
        <f t="shared" si="20"/>
        <v>69588010</v>
      </c>
      <c r="BA62" s="500">
        <f>IFERROR(VLOOKUP(C62,'2023'!$D:$G,4,0),0)</f>
        <v>96</v>
      </c>
      <c r="BB62" s="321">
        <f>SUMIFS('2023'!$I:$I,'2023'!$E:$E,Category!$B$26,'2023'!$N:$N,Category!BB$1,'2023'!$D:$D,Category!$C62)</f>
        <v>9354000</v>
      </c>
      <c r="BC62" s="321">
        <f>SUMIFS('2023'!$I:$I,'2023'!$E:$E,Category!$B$26,'2023'!$N:$N,Category!BC$1,'2023'!$D:$D,Category!$C62)</f>
        <v>6000000</v>
      </c>
      <c r="BD62" s="321">
        <f>SUMIFS('2023'!$I:$I,'2023'!$E:$E,Category!$B$26,'2023'!$N:$N,Category!BD$1,'2023'!$D:$D,Category!$C62)</f>
        <v>0</v>
      </c>
      <c r="BE62" s="321">
        <f>SUMIFS('2023'!$I:$I,'2023'!$E:$E,Category!$B$26,'2023'!$N:$N,Category!BE$1,'2023'!$D:$D,Category!$C62)</f>
        <v>0</v>
      </c>
      <c r="BF62" s="321">
        <f>SUMIFS('2023'!$I:$I,'2023'!$E:$E,Category!$B$26,'2023'!$N:$N,Category!BF$1,'2023'!$D:$D,Category!$C62)</f>
        <v>0</v>
      </c>
      <c r="BG62" s="321">
        <f>SUMIFS('2023'!$I:$I,'2023'!$E:$E,Category!$B$26,'2023'!$N:$N,Category!BG$1,'2023'!$D:$D,Category!$C62)</f>
        <v>0</v>
      </c>
      <c r="BH62" s="321">
        <f>SUMIFS('2023'!$I:$I,'2023'!$E:$E,Category!$B$26,'2023'!$N:$N,Category!BH$1,'2023'!$D:$D,Category!$C62)</f>
        <v>0</v>
      </c>
      <c r="BI62" s="321">
        <f>SUMIFS('2023'!$I:$I,'2023'!$E:$E,Category!$B$26,'2023'!$N:$N,Category!BI$1,'2023'!$D:$D,Category!$C62)</f>
        <v>0</v>
      </c>
      <c r="BJ62" s="321">
        <f>SUMIFS('2023'!$I:$I,'2023'!$E:$E,Category!$B$26,'2023'!$N:$N,Category!BJ$1,'2023'!$D:$D,Category!$C62)</f>
        <v>0</v>
      </c>
      <c r="BK62" s="321">
        <f>SUMIFS('2023'!$I:$I,'2023'!$E:$E,Category!$B$26,'2023'!$N:$N,Category!BK$1,'2023'!$D:$D,Category!$C62)</f>
        <v>0</v>
      </c>
      <c r="BL62" s="321">
        <f>SUMIFS('2023'!$I:$I,'2023'!$E:$E,Category!$B$26,'2023'!$N:$N,Category!BL$1,'2023'!$D:$D,Category!$C62)</f>
        <v>0</v>
      </c>
      <c r="BM62" s="321">
        <f>SUMIFS('2023'!$I:$I,'2023'!$E:$E,Category!$B$26,'2023'!$N:$N,Category!BM$1,'2023'!$D:$D,Category!$C62)</f>
        <v>0</v>
      </c>
      <c r="BN62" s="322">
        <f t="shared" si="17"/>
        <v>15354000</v>
      </c>
      <c r="BP62" s="1050">
        <v>3354000</v>
      </c>
      <c r="BQ62" s="1051" t="s">
        <v>1815</v>
      </c>
      <c r="BR62" s="247"/>
      <c r="BS62" s="247"/>
      <c r="BT62" s="247"/>
      <c r="BU62" s="247"/>
      <c r="BV62" s="247"/>
      <c r="BW62" s="247"/>
    </row>
    <row r="63" spans="1:75" x14ac:dyDescent="0.3">
      <c r="A63" s="327"/>
      <c r="B63" s="324"/>
      <c r="C63" s="324" t="s">
        <v>866</v>
      </c>
      <c r="D63" s="516">
        <f>IFERROR(VLOOKUP($C63,'2019'!$D:$G,4,0),0)</f>
        <v>0</v>
      </c>
      <c r="E63" s="321">
        <f>SUMIFS('2019'!$I:$I,'2019'!$E:$E,Category!$B$26,'2019'!$N:$N,Category!E$1,'2019'!$D:$D,Category!$C63)</f>
        <v>0</v>
      </c>
      <c r="F63" s="321">
        <f>SUMIFS('2019'!$I:$I,'2019'!$E:$E,Category!$B$26,'2019'!$N:$N,Category!F$1,'2019'!$D:$D,Category!$C63)</f>
        <v>0</v>
      </c>
      <c r="G63" s="321">
        <f>SUMIFS('2019'!$I:$I,'2019'!$E:$E,Category!$B$26,'2019'!$N:$N,Category!G$1,'2019'!$D:$D,Category!$C63)</f>
        <v>0</v>
      </c>
      <c r="H63" s="321">
        <f>SUMIFS('2019'!$I:$I,'2019'!$E:$E,Category!$B$26,'2019'!$N:$N,Category!H$1,'2019'!$D:$D,Category!$C63)</f>
        <v>0</v>
      </c>
      <c r="I63" s="321">
        <f>SUMIFS('2019'!$I:$I,'2019'!$E:$E,Category!$B$26,'2019'!$N:$N,Category!I$1,'2019'!$D:$D,Category!$C63)</f>
        <v>0</v>
      </c>
      <c r="J63" s="322">
        <f t="shared" ref="J63:J73" si="21">SUM(E63:I63)</f>
        <v>0</v>
      </c>
      <c r="K63" s="500">
        <f>IFERROR(VLOOKUP($C63,'2020'!$D:$G,4,0),0)</f>
        <v>0</v>
      </c>
      <c r="L63" s="321">
        <f>SUMIFS('2020'!$I:$I,'2020'!$E:$E,Category!$B$26,'2020'!$N:$N,Category!L$1,'2020'!$D:$D,Category!$C63)</f>
        <v>0</v>
      </c>
      <c r="M63" s="321">
        <f>SUMIFS('2020'!$I:$I,'2020'!$E:$E,Category!$B$26,'2020'!$N:$N,Category!M$1,'2020'!$D:$D,Category!$C63)</f>
        <v>0</v>
      </c>
      <c r="N63" s="321">
        <f>SUMIFS('2020'!$I:$I,'2020'!$E:$E,Category!$B$26,'2020'!$N:$N,Category!N$1,'2020'!$D:$D,Category!$C63)</f>
        <v>0</v>
      </c>
      <c r="O63" s="321">
        <f>SUMIFS('2020'!$I:$I,'2020'!$E:$E,Category!$B$26,'2020'!$N:$N,Category!O$1,'2020'!$D:$D,Category!$C63)</f>
        <v>0</v>
      </c>
      <c r="P63" s="321">
        <f>SUMIFS('2020'!$I:$I,'2020'!$E:$E,Category!$B$26,'2020'!$N:$N,Category!P$1,'2020'!$D:$D,Category!$C63)</f>
        <v>0</v>
      </c>
      <c r="Q63" s="321">
        <f>SUMIFS('2020'!$I:$I,'2020'!$E:$E,Category!$B$26,'2020'!$N:$N,Category!Q$1,'2020'!$D:$D,Category!$C63)</f>
        <v>0</v>
      </c>
      <c r="R63" s="321">
        <f>SUMIFS('2020'!$I:$I,'2020'!$E:$E,Category!$B$26,'2020'!$N:$N,Category!R$1,'2020'!$D:$D,Category!$C63)</f>
        <v>0</v>
      </c>
      <c r="S63" s="321">
        <f>SUMIFS('2020'!$I:$I,'2020'!$E:$E,Category!$B$26,'2020'!$N:$N,Category!S$1,'2020'!$D:$D,Category!$C63)</f>
        <v>0</v>
      </c>
      <c r="T63" s="321">
        <f>SUMIFS('2020'!$I:$I,'2020'!$E:$E,Category!$B$26,'2020'!$N:$N,Category!T$1,'2020'!$D:$D,Category!$C63)</f>
        <v>0</v>
      </c>
      <c r="U63" s="321">
        <f>SUMIFS('2020'!$I:$I,'2020'!$E:$E,Category!$B$26,'2020'!$N:$N,Category!U$1,'2020'!$D:$D,Category!$C63)</f>
        <v>0</v>
      </c>
      <c r="V63" s="321">
        <f>SUMIFS('2020'!$I:$I,'2020'!$E:$E,Category!$B$26,'2020'!$N:$N,Category!V$1,'2020'!$D:$D,Category!$C63)</f>
        <v>0</v>
      </c>
      <c r="W63" s="321">
        <f>SUMIFS('2020'!$I:$I,'2020'!$E:$E,Category!$B$26,'2020'!$N:$N,Category!W$1,'2020'!$D:$D,Category!$C63)</f>
        <v>0</v>
      </c>
      <c r="X63" s="322">
        <f t="shared" si="16"/>
        <v>0</v>
      </c>
      <c r="Y63" s="500">
        <f>IFERROR(VLOOKUP(C63,'2021'!$D:$G,4,0),0)</f>
        <v>56</v>
      </c>
      <c r="Z63" s="321">
        <f>SUMIFS('2021'!$I:$I,'2021'!$E:$E,Category!$B$26,'2021'!$N:$N,Category!Z$1,'2021'!$D:$D,Category!$C63)</f>
        <v>0</v>
      </c>
      <c r="AA63" s="321">
        <f>SUMIFS('2021'!$I:$I,'2021'!$E:$E,Category!$B$26,'2021'!$N:$N,Category!AA$1,'2021'!$D:$D,Category!$C63)</f>
        <v>0</v>
      </c>
      <c r="AB63" s="321">
        <f>SUMIFS('2021'!$I:$I,'2021'!$E:$E,Category!$B$26,'2021'!$N:$N,Category!AB$1,'2021'!$D:$D,Category!$C63)</f>
        <v>0</v>
      </c>
      <c r="AC63" s="321">
        <f>SUMIFS('2021'!$I:$I,'2021'!$E:$E,Category!$B$26,'2021'!$N:$N,Category!AC$1,'2021'!$D:$D,Category!$C63)</f>
        <v>0</v>
      </c>
      <c r="AD63" s="321">
        <f>SUMIFS('2021'!$I:$I,'2021'!$E:$E,Category!$B$26,'2021'!$N:$N,Category!AD$1,'2021'!$D:$D,Category!$C63)</f>
        <v>0</v>
      </c>
      <c r="AE63" s="321">
        <f>SUMIFS('2021'!$I:$I,'2021'!$E:$E,Category!$B$26,'2021'!$N:$N,Category!AE$1,'2021'!$D:$D,Category!$C63)</f>
        <v>0</v>
      </c>
      <c r="AF63" s="321">
        <f>SUMIFS('2021'!$I:$I,'2021'!$E:$E,Category!$B$26,'2021'!$N:$N,Category!AF$1,'2021'!$D:$D,Category!$C63)</f>
        <v>0</v>
      </c>
      <c r="AG63" s="321">
        <f>SUMIFS('2021'!$I:$I,'2021'!$E:$E,Category!$B$26,'2021'!$N:$N,Category!AG$1,'2021'!$D:$D,Category!$C63)</f>
        <v>6000400</v>
      </c>
      <c r="AH63" s="321">
        <f>SUMIFS('2021'!$I:$I,'2021'!$E:$E,Category!$B$26,'2021'!$N:$N,Category!AH$1,'2021'!$D:$D,Category!$C63)</f>
        <v>0</v>
      </c>
      <c r="AI63" s="321">
        <f>SUMIFS('2021'!$I:$I,'2021'!$E:$E,Category!$B$26,'2021'!$N:$N,Category!AI$1,'2021'!$D:$D,Category!$C63)</f>
        <v>0</v>
      </c>
      <c r="AJ63" s="321">
        <f>SUMIFS('2021'!$I:$I,'2021'!$E:$E,Category!$B$26,'2021'!$N:$N,Category!AJ$1,'2021'!$D:$D,Category!$C63)</f>
        <v>11999200</v>
      </c>
      <c r="AK63" s="321">
        <f>SUMIFS('2021'!$I:$I,'2021'!$E:$E,Category!$B$26,'2021'!$N:$N,Category!AK$1,'2021'!$D:$D,Category!$C63)</f>
        <v>5999600</v>
      </c>
      <c r="AL63" s="322">
        <f t="shared" si="14"/>
        <v>23999200</v>
      </c>
      <c r="AM63" s="500">
        <f>IFERROR(VLOOKUP(C63,'2022'!$D:$G,4,0),0)</f>
        <v>56</v>
      </c>
      <c r="AN63" s="321">
        <f>SUMIFS('2022'!$I:$I,'2022'!$E:$E,Category!$B$26,'2022'!$N:$N,Category!AN$1,'2022'!$D:$D,Category!$C63)</f>
        <v>6000400</v>
      </c>
      <c r="AO63" s="321">
        <f>SUMIFS('2022'!$I:$I,'2022'!$E:$E,Category!$B$26,'2022'!$N:$N,Category!AO$1,'2022'!$D:$D,Category!$C63)</f>
        <v>0</v>
      </c>
      <c r="AP63" s="321">
        <f>SUMIFS('2022'!$I:$I,'2022'!$E:$E,Category!$B$26,'2022'!$N:$N,Category!AP$1,'2022'!$D:$D,Category!$C63)</f>
        <v>11783900</v>
      </c>
      <c r="AQ63" s="321">
        <f>SUMIFS('2022'!$I:$I,'2022'!$E:$E,Category!$B$26,'2022'!$N:$N,Category!AQ$1,'2022'!$D:$D,Category!$C63)</f>
        <v>6313300</v>
      </c>
      <c r="AR63" s="321">
        <f>SUMIFS('2022'!$I:$I,'2022'!$E:$E,Category!$B$26,'2022'!$N:$N,Category!AR$1,'2022'!$D:$D,Category!$C63)</f>
        <v>6442100</v>
      </c>
      <c r="AS63" s="321">
        <f>SUMIFS('2022'!$I:$I,'2022'!$E:$E,Category!$B$26,'2022'!$N:$N,Category!AS$1,'2022'!$D:$D,Category!$C63)</f>
        <v>6010600</v>
      </c>
      <c r="AT63" s="321">
        <f>SUMIFS('2022'!$I:$I,'2022'!$E:$E,Category!$B$26,'2022'!$N:$N,Category!AT$1,'2022'!$D:$D,Category!$C63)</f>
        <v>6000000</v>
      </c>
      <c r="AU63" s="321">
        <f>SUMIFS('2022'!$I:$I,'2022'!$E:$E,Category!$B$26,'2022'!$N:$N,Category!AU$1,'2022'!$D:$D,Category!$C63)</f>
        <v>6000000</v>
      </c>
      <c r="AV63" s="321">
        <f>SUMIFS('2022'!$I:$I,'2022'!$E:$E,Category!$B$26,'2022'!$N:$N,Category!AV$1,'2022'!$D:$D,Category!$C63)</f>
        <v>6000000</v>
      </c>
      <c r="AW63" s="321">
        <f>SUMIFS('2022'!$I:$I,'2022'!$E:$E,Category!$B$26,'2022'!$N:$N,Category!AW$1,'2022'!$D:$D,Category!$C63)</f>
        <v>6000000</v>
      </c>
      <c r="AX63" s="321">
        <f>SUMIFS('2022'!$I:$I,'2022'!$E:$E,Category!$B$26,'2022'!$N:$N,Category!AX$1,'2022'!$D:$D,Category!$C63)</f>
        <v>6249920</v>
      </c>
      <c r="AY63" s="321">
        <f>SUMIFS('2022'!$I:$I,'2022'!$E:$E,Category!$B$26,'2022'!$N:$N,Category!AY$1,'2022'!$D:$D,Category!$C63)</f>
        <v>6151750</v>
      </c>
      <c r="AZ63" s="322">
        <f t="shared" si="20"/>
        <v>72951970</v>
      </c>
      <c r="BA63" s="500">
        <f>IFERROR(VLOOKUP(C63,'2023'!$D:$G,4,0),0)</f>
        <v>63</v>
      </c>
      <c r="BB63" s="321">
        <f>SUMIFS('2023'!$I:$I,'2023'!$E:$E,Category!$B$26,'2023'!$N:$N,Category!BB$1,'2023'!$D:$D,Category!$C63)</f>
        <v>6000000</v>
      </c>
      <c r="BC63" s="321">
        <f>SUMIFS('2023'!$I:$I,'2023'!$E:$E,Category!$B$26,'2023'!$N:$N,Category!BC$1,'2023'!$D:$D,Category!$C63)</f>
        <v>6000000</v>
      </c>
      <c r="BD63" s="321">
        <f>SUMIFS('2023'!$I:$I,'2023'!$E:$E,Category!$B$26,'2023'!$N:$N,Category!BD$1,'2023'!$D:$D,Category!$C63)</f>
        <v>0</v>
      </c>
      <c r="BE63" s="321">
        <f>SUMIFS('2023'!$I:$I,'2023'!$E:$E,Category!$B$26,'2023'!$N:$N,Category!BE$1,'2023'!$D:$D,Category!$C63)</f>
        <v>0</v>
      </c>
      <c r="BF63" s="321">
        <f>SUMIFS('2023'!$I:$I,'2023'!$E:$E,Category!$B$26,'2023'!$N:$N,Category!BF$1,'2023'!$D:$D,Category!$C63)</f>
        <v>0</v>
      </c>
      <c r="BG63" s="321">
        <f>SUMIFS('2023'!$I:$I,'2023'!$E:$E,Category!$B$26,'2023'!$N:$N,Category!BG$1,'2023'!$D:$D,Category!$C63)</f>
        <v>0</v>
      </c>
      <c r="BH63" s="321">
        <f>SUMIFS('2023'!$I:$I,'2023'!$E:$E,Category!$B$26,'2023'!$N:$N,Category!BH$1,'2023'!$D:$D,Category!$C63)</f>
        <v>0</v>
      </c>
      <c r="BI63" s="321">
        <f>SUMIFS('2023'!$I:$I,'2023'!$E:$E,Category!$B$26,'2023'!$N:$N,Category!BI$1,'2023'!$D:$D,Category!$C63)</f>
        <v>0</v>
      </c>
      <c r="BJ63" s="321">
        <f>SUMIFS('2023'!$I:$I,'2023'!$E:$E,Category!$B$26,'2023'!$N:$N,Category!BJ$1,'2023'!$D:$D,Category!$C63)</f>
        <v>0</v>
      </c>
      <c r="BK63" s="321">
        <f>SUMIFS('2023'!$I:$I,'2023'!$E:$E,Category!$B$26,'2023'!$N:$N,Category!BK$1,'2023'!$D:$D,Category!$C63)</f>
        <v>0</v>
      </c>
      <c r="BL63" s="321">
        <f>SUMIFS('2023'!$I:$I,'2023'!$E:$E,Category!$B$26,'2023'!$N:$N,Category!BL$1,'2023'!$D:$D,Category!$C63)</f>
        <v>0</v>
      </c>
      <c r="BM63" s="321">
        <f>SUMIFS('2023'!$I:$I,'2023'!$E:$E,Category!$B$26,'2023'!$N:$N,Category!BM$1,'2023'!$D:$D,Category!$C63)</f>
        <v>0</v>
      </c>
      <c r="BN63" s="322">
        <f>SUM(BB63:BM63)</f>
        <v>12000000</v>
      </c>
      <c r="BP63" s="1050">
        <v>6000000</v>
      </c>
      <c r="BQ63" s="1051" t="s">
        <v>1967</v>
      </c>
      <c r="BR63" s="247"/>
      <c r="BS63" s="247"/>
      <c r="BT63" s="247"/>
      <c r="BU63" s="247"/>
      <c r="BV63" s="247"/>
      <c r="BW63" s="247"/>
    </row>
    <row r="64" spans="1:75" x14ac:dyDescent="0.3">
      <c r="A64" s="327"/>
      <c r="B64" s="324"/>
      <c r="C64" s="495" t="s">
        <v>990</v>
      </c>
      <c r="D64" s="518">
        <f>IFERROR(VLOOKUP($C64,'2019'!$D:$G,4,0),0)</f>
        <v>0</v>
      </c>
      <c r="E64" s="321">
        <f>SUMIFS('2019'!$I:$I,'2019'!$E:$E,Category!$B$26,'2019'!$N:$N,Category!E$1,'2019'!$D:$D,Category!$C64)</f>
        <v>0</v>
      </c>
      <c r="F64" s="321">
        <f>SUMIFS('2019'!$I:$I,'2019'!$E:$E,Category!$B$26,'2019'!$N:$N,Category!F$1,'2019'!$D:$D,Category!$C64)</f>
        <v>0</v>
      </c>
      <c r="G64" s="321">
        <f>SUMIFS('2019'!$I:$I,'2019'!$E:$E,Category!$B$26,'2019'!$N:$N,Category!G$1,'2019'!$D:$D,Category!$C64)</f>
        <v>0</v>
      </c>
      <c r="H64" s="321">
        <f>SUMIFS('2019'!$I:$I,'2019'!$E:$E,Category!$B$26,'2019'!$N:$N,Category!H$1,'2019'!$D:$D,Category!$C64)</f>
        <v>0</v>
      </c>
      <c r="I64" s="321">
        <f>SUMIFS('2019'!$I:$I,'2019'!$E:$E,Category!$B$26,'2019'!$N:$N,Category!I$1,'2019'!$D:$D,Category!$C64)</f>
        <v>0</v>
      </c>
      <c r="J64" s="322">
        <f t="shared" si="21"/>
        <v>0</v>
      </c>
      <c r="K64" s="500">
        <f>IFERROR(VLOOKUP($C64,'2020'!$D:$G,4,0),0)</f>
        <v>0</v>
      </c>
      <c r="L64" s="321">
        <f>SUMIFS('2020'!$I:$I,'2020'!$E:$E,Category!$B$26,'2020'!$N:$N,Category!L$1,'2020'!$D:$D,Category!$C64)</f>
        <v>0</v>
      </c>
      <c r="M64" s="321">
        <f>SUMIFS('2020'!$I:$I,'2020'!$E:$E,Category!$B$26,'2020'!$N:$N,Category!M$1,'2020'!$D:$D,Category!$C64)</f>
        <v>0</v>
      </c>
      <c r="N64" s="321">
        <f>SUMIFS('2020'!$I:$I,'2020'!$E:$E,Category!$B$26,'2020'!$N:$N,Category!N$1,'2020'!$D:$D,Category!$C64)</f>
        <v>0</v>
      </c>
      <c r="O64" s="321">
        <f>SUMIFS('2020'!$I:$I,'2020'!$E:$E,Category!$B$26,'2020'!$N:$N,Category!O$1,'2020'!$D:$D,Category!$C64)</f>
        <v>0</v>
      </c>
      <c r="P64" s="321">
        <f>SUMIFS('2020'!$I:$I,'2020'!$E:$E,Category!$B$26,'2020'!$N:$N,Category!P$1,'2020'!$D:$D,Category!$C64)</f>
        <v>0</v>
      </c>
      <c r="Q64" s="321">
        <f>SUMIFS('2020'!$I:$I,'2020'!$E:$E,Category!$B$26,'2020'!$N:$N,Category!Q$1,'2020'!$D:$D,Category!$C64)</f>
        <v>0</v>
      </c>
      <c r="R64" s="321">
        <f>SUMIFS('2020'!$I:$I,'2020'!$E:$E,Category!$B$26,'2020'!$N:$N,Category!R$1,'2020'!$D:$D,Category!$C64)</f>
        <v>0</v>
      </c>
      <c r="S64" s="321">
        <f>SUMIFS('2020'!$I:$I,'2020'!$E:$E,Category!$B$26,'2020'!$N:$N,Category!S$1,'2020'!$D:$D,Category!$C64)</f>
        <v>0</v>
      </c>
      <c r="T64" s="321">
        <f>SUMIFS('2020'!$I:$I,'2020'!$E:$E,Category!$B$26,'2020'!$N:$N,Category!T$1,'2020'!$D:$D,Category!$C64)</f>
        <v>0</v>
      </c>
      <c r="U64" s="321">
        <f>SUMIFS('2020'!$I:$I,'2020'!$E:$E,Category!$B$26,'2020'!$N:$N,Category!U$1,'2020'!$D:$D,Category!$C64)</f>
        <v>0</v>
      </c>
      <c r="V64" s="321">
        <f>SUMIFS('2020'!$I:$I,'2020'!$E:$E,Category!$B$26,'2020'!$N:$N,Category!V$1,'2020'!$D:$D,Category!$C64)</f>
        <v>0</v>
      </c>
      <c r="W64" s="321">
        <f>SUMIFS('2020'!$I:$I,'2020'!$E:$E,Category!$B$26,'2020'!$N:$N,Category!W$1,'2020'!$D:$D,Category!$C64)</f>
        <v>0</v>
      </c>
      <c r="X64" s="322">
        <f t="shared" si="16"/>
        <v>0</v>
      </c>
      <c r="Y64" s="500">
        <f>IFERROR(VLOOKUP(C64,'2021'!$D:$G,4,0),0)</f>
        <v>0</v>
      </c>
      <c r="Z64" s="321">
        <f>SUMIFS('2021'!$I:$I,'2021'!$E:$E,Category!$B$26,'2021'!$N:$N,Category!Z$1,'2021'!$D:$D,Category!$C64)</f>
        <v>0</v>
      </c>
      <c r="AA64" s="321">
        <f>SUMIFS('2021'!$I:$I,'2021'!$E:$E,Category!$B$26,'2021'!$N:$N,Category!AA$1,'2021'!$D:$D,Category!$C64)</f>
        <v>5500000</v>
      </c>
      <c r="AB64" s="321">
        <f>SUMIFS('2021'!$I:$I,'2021'!$E:$E,Category!$B$26,'2021'!$N:$N,Category!AB$1,'2021'!$D:$D,Category!$C64)</f>
        <v>0</v>
      </c>
      <c r="AC64" s="321">
        <f>SUMIFS('2021'!$I:$I,'2021'!$E:$E,Category!$B$26,'2021'!$N:$N,Category!AC$1,'2021'!$D:$D,Category!$C64)</f>
        <v>0</v>
      </c>
      <c r="AD64" s="321">
        <f>SUMIFS('2021'!$I:$I,'2021'!$E:$E,Category!$B$26,'2021'!$N:$N,Category!AD$1,'2021'!$D:$D,Category!$C64)</f>
        <v>0</v>
      </c>
      <c r="AE64" s="321">
        <f>SUMIFS('2021'!$I:$I,'2021'!$E:$E,Category!$B$26,'2021'!$N:$N,Category!AE$1,'2021'!$D:$D,Category!$C64)</f>
        <v>0</v>
      </c>
      <c r="AF64" s="321">
        <f>SUMIFS('2021'!$I:$I,'2021'!$E:$E,Category!$B$26,'2021'!$N:$N,Category!AF$1,'2021'!$D:$D,Category!$C64)</f>
        <v>0</v>
      </c>
      <c r="AG64" s="321">
        <f>SUMIFS('2021'!$I:$I,'2021'!$E:$E,Category!$B$26,'2021'!$N:$N,Category!AG$1,'2021'!$D:$D,Category!$C64)</f>
        <v>0</v>
      </c>
      <c r="AH64" s="321">
        <v>0</v>
      </c>
      <c r="AI64" s="321">
        <v>0</v>
      </c>
      <c r="AJ64" s="321">
        <f>SUMIFS('2021'!$I:$I,'2021'!$E:$E,Category!$B$26,'2021'!$N:$N,Category!AJ$1,'2021'!$D:$D,Category!$C64)</f>
        <v>0</v>
      </c>
      <c r="AK64" s="321">
        <f>SUMIFS('2021'!$I:$I,'2021'!$E:$E,Category!$B$26,'2021'!$N:$N,Category!AK$1,'2021'!$D:$D,Category!$C64)</f>
        <v>0</v>
      </c>
      <c r="AL64" s="322">
        <f t="shared" si="14"/>
        <v>5500000</v>
      </c>
      <c r="AM64" s="500">
        <f>IFERROR(VLOOKUP(C64,'2022'!$D:$G,4,0),0)</f>
        <v>0</v>
      </c>
      <c r="AN64" s="321">
        <f>SUMIFS('2022'!$I:$I,'2022'!$E:$E,Category!$B$26,'2022'!$N:$N,Category!AN$1,'2022'!$D:$D,Category!$C64)</f>
        <v>0</v>
      </c>
      <c r="AO64" s="321">
        <f>SUMIFS('2022'!$I:$I,'2022'!$E:$E,Category!$B$26,'2022'!$N:$N,Category!AO$1,'2022'!$D:$D,Category!$C64)</f>
        <v>0</v>
      </c>
      <c r="AP64" s="321">
        <f>SUMIFS('2022'!$I:$I,'2022'!$E:$E,Category!$B$26,'2022'!$N:$N,Category!AP$1,'2022'!$D:$D,Category!$C64)</f>
        <v>0</v>
      </c>
      <c r="AQ64" s="321">
        <f>SUMIFS('2022'!$I:$I,'2022'!$E:$E,Category!$B$26,'2022'!$N:$N,Category!AQ$1,'2022'!$D:$D,Category!$C64)</f>
        <v>0</v>
      </c>
      <c r="AR64" s="321">
        <f>SUMIFS('2022'!$I:$I,'2022'!$E:$E,Category!$B$26,'2022'!$N:$N,Category!AR$1,'2022'!$D:$D,Category!$C64)</f>
        <v>0</v>
      </c>
      <c r="AS64" s="321">
        <f>SUMIFS('2022'!$I:$I,'2022'!$E:$E,Category!$B$26,'2022'!$N:$N,Category!AS$1,'2022'!$D:$D,Category!$C64)</f>
        <v>0</v>
      </c>
      <c r="AT64" s="321">
        <f>SUMIFS('2022'!$I:$I,'2022'!$E:$E,Category!$B$26,'2022'!$N:$N,Category!AT$1,'2022'!$D:$D,Category!$C64)</f>
        <v>0</v>
      </c>
      <c r="AU64" s="321">
        <f>SUMIFS('2022'!$I:$I,'2022'!$E:$E,Category!$B$26,'2022'!$N:$N,Category!AU$1,'2022'!$D:$D,Category!$C64)</f>
        <v>0</v>
      </c>
      <c r="AV64" s="321">
        <f>SUMIFS('2022'!$I:$I,'2022'!$E:$E,Category!$B$26,'2022'!$N:$N,Category!AV$1,'2022'!$D:$D,Category!$C64)</f>
        <v>0</v>
      </c>
      <c r="AW64" s="321">
        <f>SUMIFS('2022'!$I:$I,'2022'!$E:$E,Category!$B$26,'2022'!$N:$N,Category!AW$1,'2022'!$D:$D,Category!$C64)</f>
        <v>0</v>
      </c>
      <c r="AX64" s="321">
        <f>SUMIFS('2022'!$I:$I,'2022'!$E:$E,Category!$B$26,'2022'!$N:$N,Category!AX$1,'2022'!$D:$D,Category!$C64)</f>
        <v>0</v>
      </c>
      <c r="AY64" s="321">
        <f>SUMIFS('2022'!$I:$I,'2022'!$E:$E,Category!$B$26,'2022'!$N:$N,Category!AY$1,'2022'!$D:$D,Category!$C64)</f>
        <v>0</v>
      </c>
      <c r="AZ64" s="322">
        <f t="shared" si="20"/>
        <v>0</v>
      </c>
      <c r="BA64" s="500">
        <f>IFERROR(VLOOKUP(C64,'2023'!$D:$G,4,0),0)</f>
        <v>0</v>
      </c>
      <c r="BB64" s="321">
        <f>SUMIFS('2023'!$I:$I,'2023'!$E:$E,Category!$B$26,'2023'!$N:$N,Category!BB$1,'2023'!$D:$D,Category!$C64)</f>
        <v>0</v>
      </c>
      <c r="BC64" s="321">
        <f>SUMIFS('2023'!$I:$I,'2023'!$E:$E,Category!$B$26,'2023'!$N:$N,Category!BC$1,'2023'!$D:$D,Category!$C64)</f>
        <v>0</v>
      </c>
      <c r="BD64" s="321">
        <f>SUMIFS('2023'!$I:$I,'2023'!$E:$E,Category!$B$26,'2023'!$N:$N,Category!BD$1,'2023'!$D:$D,Category!$C64)</f>
        <v>0</v>
      </c>
      <c r="BE64" s="321">
        <f>SUMIFS('2023'!$I:$I,'2023'!$E:$E,Category!$B$26,'2023'!$N:$N,Category!BE$1,'2023'!$D:$D,Category!$C64)</f>
        <v>0</v>
      </c>
      <c r="BF64" s="321">
        <f>SUMIFS('2023'!$I:$I,'2023'!$E:$E,Category!$B$26,'2023'!$N:$N,Category!BF$1,'2023'!$D:$D,Category!$C64)</f>
        <v>0</v>
      </c>
      <c r="BG64" s="321">
        <f>SUMIFS('2023'!$I:$I,'2023'!$E:$E,Category!$B$26,'2023'!$N:$N,Category!BG$1,'2023'!$D:$D,Category!$C64)</f>
        <v>0</v>
      </c>
      <c r="BH64" s="321">
        <f>SUMIFS('2023'!$I:$I,'2023'!$E:$E,Category!$B$26,'2023'!$N:$N,Category!BH$1,'2023'!$D:$D,Category!$C64)</f>
        <v>0</v>
      </c>
      <c r="BI64" s="321">
        <f>SUMIFS('2023'!$I:$I,'2023'!$E:$E,Category!$B$26,'2023'!$N:$N,Category!BI$1,'2023'!$D:$D,Category!$C64)</f>
        <v>0</v>
      </c>
      <c r="BJ64" s="321">
        <f>SUMIFS('2023'!$I:$I,'2023'!$E:$E,Category!$B$26,'2023'!$N:$N,Category!BJ$1,'2023'!$D:$D,Category!$C64)</f>
        <v>0</v>
      </c>
      <c r="BK64" s="321">
        <f>SUMIFS('2023'!$I:$I,'2023'!$E:$E,Category!$B$26,'2023'!$N:$N,Category!BK$1,'2023'!$D:$D,Category!$C64)</f>
        <v>0</v>
      </c>
      <c r="BL64" s="321">
        <f>SUMIFS('2023'!$I:$I,'2023'!$E:$E,Category!$B$26,'2023'!$N:$N,Category!BL$1,'2023'!$D:$D,Category!$C64)</f>
        <v>0</v>
      </c>
      <c r="BM64" s="321">
        <f>SUMIFS('2023'!$I:$I,'2023'!$E:$E,Category!$B$26,'2023'!$N:$N,Category!BM$1,'2023'!$D:$D,Category!$C64)</f>
        <v>0</v>
      </c>
      <c r="BN64" s="322">
        <f t="shared" ref="BN64:BN73" si="22">SUM(BB64:BM64)</f>
        <v>0</v>
      </c>
      <c r="BP64" s="1050"/>
      <c r="BQ64" s="1051"/>
      <c r="BR64" s="247"/>
      <c r="BS64" s="247"/>
      <c r="BT64" s="247"/>
      <c r="BU64" s="247"/>
      <c r="BV64" s="247"/>
      <c r="BW64" s="247"/>
    </row>
    <row r="65" spans="1:75" x14ac:dyDescent="0.3">
      <c r="A65" s="327"/>
      <c r="B65" s="324"/>
      <c r="C65" s="495" t="s">
        <v>44</v>
      </c>
      <c r="D65" s="518">
        <f>IFERROR(VLOOKUP($C65,'2019'!$D:$G,4,0),0)</f>
        <v>0</v>
      </c>
      <c r="E65" s="321">
        <f>SUMIFS('2019'!$I:$I,'2019'!$E:$E,Category!$B$26,'2019'!$N:$N,Category!E$1,'2019'!$D:$D,Category!$C65)</f>
        <v>0</v>
      </c>
      <c r="F65" s="321">
        <f>SUMIFS('2019'!$I:$I,'2019'!$E:$E,Category!$B$26,'2019'!$N:$N,Category!F$1,'2019'!$D:$D,Category!$C65)</f>
        <v>0</v>
      </c>
      <c r="G65" s="321">
        <f>SUMIFS('2019'!$I:$I,'2019'!$E:$E,Category!$B$26,'2019'!$N:$N,Category!G$1,'2019'!$D:$D,Category!$C65)</f>
        <v>0</v>
      </c>
      <c r="H65" s="321">
        <f>SUMIFS('2019'!$I:$I,'2019'!$E:$E,Category!$B$26,'2019'!$N:$N,Category!H$1,'2019'!$D:$D,Category!$C65)</f>
        <v>0</v>
      </c>
      <c r="I65" s="321">
        <f>SUMIFS('2019'!$I:$I,'2019'!$E:$E,Category!$B$26,'2019'!$N:$N,Category!I$1,'2019'!$D:$D,Category!$C65)</f>
        <v>0</v>
      </c>
      <c r="J65" s="322">
        <f t="shared" si="21"/>
        <v>0</v>
      </c>
      <c r="K65" s="500">
        <f>IFERROR(VLOOKUP($C65,'2020'!$D:$G,4,0),0)</f>
        <v>27</v>
      </c>
      <c r="L65" s="321">
        <f>SUMIFS('2020'!$I:$I,'2020'!$E:$E,Category!$B$26,'2020'!$N:$N,Category!L$1,'2020'!$D:$D,Category!$C65)</f>
        <v>0</v>
      </c>
      <c r="M65" s="321">
        <f>SUMIFS('2020'!$I:$I,'2020'!$E:$E,Category!$B$26,'2020'!$N:$N,Category!M$1,'2020'!$D:$D,Category!$C65)</f>
        <v>0</v>
      </c>
      <c r="N65" s="321">
        <f>SUMIFS('2020'!$I:$I,'2020'!$E:$E,Category!$B$26,'2020'!$N:$N,Category!N$1,'2020'!$D:$D,Category!$C65)</f>
        <v>0</v>
      </c>
      <c r="O65" s="321">
        <f>SUMIFS('2020'!$I:$I,'2020'!$E:$E,Category!$B$26,'2020'!$N:$N,Category!O$1,'2020'!$D:$D,Category!$C65)</f>
        <v>0</v>
      </c>
      <c r="P65" s="321">
        <f>SUMIFS('2020'!$I:$I,'2020'!$E:$E,Category!$B$26,'2020'!$N:$N,Category!P$1,'2020'!$D:$D,Category!$C65)</f>
        <v>0</v>
      </c>
      <c r="Q65" s="321">
        <f>SUMIFS('2020'!$I:$I,'2020'!$E:$E,Category!$B$26,'2020'!$N:$N,Category!Q$1,'2020'!$D:$D,Category!$C65)</f>
        <v>0</v>
      </c>
      <c r="R65" s="321">
        <f>SUMIFS('2020'!$I:$I,'2020'!$E:$E,Category!$B$26,'2020'!$N:$N,Category!R$1,'2020'!$D:$D,Category!$C65)</f>
        <v>0</v>
      </c>
      <c r="S65" s="321">
        <f>SUMIFS('2020'!$I:$I,'2020'!$E:$E,Category!$B$26,'2020'!$N:$N,Category!S$1,'2020'!$D:$D,Category!$C65)</f>
        <v>3000000</v>
      </c>
      <c r="T65" s="321">
        <f>SUMIFS('2020'!$I:$I,'2020'!$E:$E,Category!$B$26,'2020'!$N:$N,Category!T$1,'2020'!$D:$D,Category!$C65)</f>
        <v>0</v>
      </c>
      <c r="U65" s="321">
        <f>SUMIFS('2020'!$I:$I,'2020'!$E:$E,Category!$B$26,'2020'!$N:$N,Category!U$1,'2020'!$D:$D,Category!$C65)</f>
        <v>0</v>
      </c>
      <c r="V65" s="321">
        <f>SUMIFS('2020'!$I:$I,'2020'!$E:$E,Category!$B$26,'2020'!$N:$N,Category!V$1,'2020'!$D:$D,Category!$C65)</f>
        <v>0</v>
      </c>
      <c r="W65" s="321">
        <f>SUMIFS('2020'!$I:$I,'2020'!$E:$E,Category!$B$26,'2020'!$N:$N,Category!W$1,'2020'!$D:$D,Category!$C65)</f>
        <v>0</v>
      </c>
      <c r="X65" s="322">
        <f t="shared" si="16"/>
        <v>3000000</v>
      </c>
      <c r="Y65" s="500">
        <f>IFERROR(VLOOKUP(C65,'2021'!$D:$G,4,0),0)</f>
        <v>0</v>
      </c>
      <c r="Z65" s="321">
        <f>SUMIFS('2021'!$I:$I,'2021'!$E:$E,Category!$B$26,'2021'!$N:$N,Category!Z$1,'2021'!$D:$D,Category!$C65)</f>
        <v>0</v>
      </c>
      <c r="AA65" s="321">
        <f>SUMIFS('2021'!$I:$I,'2021'!$E:$E,Category!$B$26,'2021'!$N:$N,Category!AA$1,'2021'!$D:$D,Category!$C65)</f>
        <v>0</v>
      </c>
      <c r="AB65" s="321">
        <f>SUMIFS('2021'!$I:$I,'2021'!$E:$E,Category!$B$26,'2021'!$N:$N,Category!AB$1,'2021'!$D:$D,Category!$C65)</f>
        <v>0</v>
      </c>
      <c r="AC65" s="321"/>
      <c r="AD65" s="321"/>
      <c r="AE65" s="321"/>
      <c r="AF65" s="321">
        <f>SUMIFS('2021'!$I:$I,'2021'!$E:$E,Category!$B$26,'2021'!$N:$N,Category!AF$1,'2021'!$D:$D,Category!$C65)</f>
        <v>0</v>
      </c>
      <c r="AG65" s="321">
        <f>SUMIFS('2021'!$I:$I,'2021'!$E:$E,Category!$B$26,'2021'!$N:$N,Category!AG$1,'2021'!$D:$D,Category!$C65)</f>
        <v>0</v>
      </c>
      <c r="AH65" s="321">
        <v>0</v>
      </c>
      <c r="AI65" s="321">
        <v>0</v>
      </c>
      <c r="AJ65" s="321">
        <f>SUMIFS('2021'!$I:$I,'2021'!$E:$E,Category!$B$26,'2021'!$N:$N,Category!AJ$1,'2021'!$D:$D,Category!$C65)</f>
        <v>0</v>
      </c>
      <c r="AK65" s="321">
        <f>SUMIFS('2021'!$I:$I,'2021'!$E:$E,Category!$B$26,'2021'!$N:$N,Category!AK$1,'2021'!$D:$D,Category!$C65)</f>
        <v>0</v>
      </c>
      <c r="AL65" s="322">
        <f t="shared" si="14"/>
        <v>0</v>
      </c>
      <c r="AM65" s="500">
        <f>IFERROR(VLOOKUP(C65,'2022'!$D:$G,4,0),0)</f>
        <v>0</v>
      </c>
      <c r="AN65" s="321">
        <f>SUMIFS('2022'!$I:$I,'2022'!$E:$E,Category!$B$26,'2022'!$N:$N,Category!AN$1,'2022'!$D:$D,Category!$C65)</f>
        <v>0</v>
      </c>
      <c r="AO65" s="321">
        <f>SUMIFS('2022'!$I:$I,'2022'!$E:$E,Category!$B$26,'2022'!$N:$N,Category!AO$1,'2022'!$D:$D,Category!$C65)</f>
        <v>0</v>
      </c>
      <c r="AP65" s="321">
        <f>SUMIFS('2022'!$I:$I,'2022'!$E:$E,Category!$B$26,'2022'!$N:$N,Category!AP$1,'2022'!$D:$D,Category!$C65)</f>
        <v>0</v>
      </c>
      <c r="AQ65" s="321">
        <f>SUMIFS('2022'!$I:$I,'2022'!$E:$E,Category!$B$26,'2022'!$N:$N,Category!AQ$1,'2022'!$D:$D,Category!$C65)</f>
        <v>0</v>
      </c>
      <c r="AR65" s="321">
        <f>SUMIFS('2022'!$I:$I,'2022'!$E:$E,Category!$B$26,'2022'!$N:$N,Category!AR$1,'2022'!$D:$D,Category!$C65)</f>
        <v>0</v>
      </c>
      <c r="AS65" s="321">
        <f>SUMIFS('2022'!$I:$I,'2022'!$E:$E,Category!$B$26,'2022'!$N:$N,Category!AS$1,'2022'!$D:$D,Category!$C65)</f>
        <v>0</v>
      </c>
      <c r="AT65" s="321">
        <f>SUMIFS('2022'!$I:$I,'2022'!$E:$E,Category!$B$26,'2022'!$N:$N,Category!AT$1,'2022'!$D:$D,Category!$C65)</f>
        <v>0</v>
      </c>
      <c r="AU65" s="321">
        <f>SUMIFS('2022'!$I:$I,'2022'!$E:$E,Category!$B$26,'2022'!$N:$N,Category!AU$1,'2022'!$D:$D,Category!$C65)</f>
        <v>0</v>
      </c>
      <c r="AV65" s="321">
        <f>SUMIFS('2022'!$I:$I,'2022'!$E:$E,Category!$B$26,'2022'!$N:$N,Category!AV$1,'2022'!$D:$D,Category!$C65)</f>
        <v>0</v>
      </c>
      <c r="AW65" s="321">
        <f>SUMIFS('2022'!$I:$I,'2022'!$E:$E,Category!$B$26,'2022'!$N:$N,Category!AW$1,'2022'!$D:$D,Category!$C65)</f>
        <v>0</v>
      </c>
      <c r="AX65" s="321">
        <f>SUMIFS('2022'!$I:$I,'2022'!$E:$E,Category!$B$26,'2022'!$N:$N,Category!AX$1,'2022'!$D:$D,Category!$C65)</f>
        <v>0</v>
      </c>
      <c r="AY65" s="321">
        <f>SUMIFS('2022'!$I:$I,'2022'!$E:$E,Category!$B$26,'2022'!$N:$N,Category!AY$1,'2022'!$D:$D,Category!$C65)</f>
        <v>0</v>
      </c>
      <c r="AZ65" s="322">
        <f t="shared" si="20"/>
        <v>0</v>
      </c>
      <c r="BA65" s="500">
        <f>IFERROR(VLOOKUP(C65,'2023'!$D:$G,4,0),0)</f>
        <v>0</v>
      </c>
      <c r="BB65" s="321">
        <f>SUMIFS('2023'!$I:$I,'2023'!$E:$E,Category!$B$26,'2023'!$N:$N,Category!BB$1,'2023'!$D:$D,Category!$C65)</f>
        <v>0</v>
      </c>
      <c r="BC65" s="321">
        <f>SUMIFS('2023'!$I:$I,'2023'!$E:$E,Category!$B$26,'2023'!$N:$N,Category!BC$1,'2023'!$D:$D,Category!$C65)</f>
        <v>0</v>
      </c>
      <c r="BD65" s="321">
        <f>SUMIFS('2023'!$I:$I,'2023'!$E:$E,Category!$B$26,'2023'!$N:$N,Category!BD$1,'2023'!$D:$D,Category!$C65)</f>
        <v>0</v>
      </c>
      <c r="BE65" s="321">
        <f>SUMIFS('2023'!$I:$I,'2023'!$E:$E,Category!$B$26,'2023'!$N:$N,Category!BE$1,'2023'!$D:$D,Category!$C65)</f>
        <v>0</v>
      </c>
      <c r="BF65" s="321">
        <f>SUMIFS('2023'!$I:$I,'2023'!$E:$E,Category!$B$26,'2023'!$N:$N,Category!BF$1,'2023'!$D:$D,Category!$C65)</f>
        <v>0</v>
      </c>
      <c r="BG65" s="321">
        <f>SUMIFS('2023'!$I:$I,'2023'!$E:$E,Category!$B$26,'2023'!$N:$N,Category!BG$1,'2023'!$D:$D,Category!$C65)</f>
        <v>0</v>
      </c>
      <c r="BH65" s="321">
        <f>SUMIFS('2023'!$I:$I,'2023'!$E:$E,Category!$B$26,'2023'!$N:$N,Category!BH$1,'2023'!$D:$D,Category!$C65)</f>
        <v>0</v>
      </c>
      <c r="BI65" s="321">
        <f>SUMIFS('2023'!$I:$I,'2023'!$E:$E,Category!$B$26,'2023'!$N:$N,Category!BI$1,'2023'!$D:$D,Category!$C65)</f>
        <v>0</v>
      </c>
      <c r="BJ65" s="321">
        <f>SUMIFS('2023'!$I:$I,'2023'!$E:$E,Category!$B$26,'2023'!$N:$N,Category!BJ$1,'2023'!$D:$D,Category!$C65)</f>
        <v>0</v>
      </c>
      <c r="BK65" s="321">
        <f>SUMIFS('2023'!$I:$I,'2023'!$E:$E,Category!$B$26,'2023'!$N:$N,Category!BK$1,'2023'!$D:$D,Category!$C65)</f>
        <v>0</v>
      </c>
      <c r="BL65" s="321">
        <f>SUMIFS('2023'!$I:$I,'2023'!$E:$E,Category!$B$26,'2023'!$N:$N,Category!BL$1,'2023'!$D:$D,Category!$C65)</f>
        <v>0</v>
      </c>
      <c r="BM65" s="321">
        <f>SUMIFS('2023'!$I:$I,'2023'!$E:$E,Category!$B$26,'2023'!$N:$N,Category!BM$1,'2023'!$D:$D,Category!$C65)</f>
        <v>0</v>
      </c>
      <c r="BN65" s="322">
        <f t="shared" si="22"/>
        <v>0</v>
      </c>
      <c r="BP65" s="247"/>
      <c r="BQ65" s="247"/>
      <c r="BR65" s="247"/>
      <c r="BS65" s="247"/>
      <c r="BT65" s="247"/>
      <c r="BU65" s="247"/>
      <c r="BV65" s="247"/>
      <c r="BW65" s="247"/>
    </row>
    <row r="66" spans="1:75" x14ac:dyDescent="0.3">
      <c r="A66" s="327"/>
      <c r="B66" s="324"/>
      <c r="C66" s="324" t="s">
        <v>1099</v>
      </c>
      <c r="D66" s="516">
        <f>IFERROR(VLOOKUP($C66,'2019'!$D:$G,4,0),0)</f>
        <v>0</v>
      </c>
      <c r="E66" s="321">
        <f>SUMIFS('2019'!$I:$I,'2019'!$E:$E,Category!$B$26,'2019'!$N:$N,Category!E$1,'2019'!$D:$D,Category!$C66)</f>
        <v>0</v>
      </c>
      <c r="F66" s="321">
        <f>SUMIFS('2019'!$I:$I,'2019'!$E:$E,Category!$B$26,'2019'!$N:$N,Category!F$1,'2019'!$D:$D,Category!$C66)</f>
        <v>0</v>
      </c>
      <c r="G66" s="321">
        <f>SUMIFS('2019'!$I:$I,'2019'!$E:$E,Category!$B$26,'2019'!$N:$N,Category!G$1,'2019'!$D:$D,Category!$C66)</f>
        <v>0</v>
      </c>
      <c r="H66" s="321">
        <f>SUMIFS('2019'!$I:$I,'2019'!$E:$E,Category!$B$26,'2019'!$N:$N,Category!H$1,'2019'!$D:$D,Category!$C66)</f>
        <v>0</v>
      </c>
      <c r="I66" s="321">
        <f>SUMIFS('2019'!$I:$I,'2019'!$E:$E,Category!$B$26,'2019'!$N:$N,Category!I$1,'2019'!$D:$D,Category!$C66)</f>
        <v>0</v>
      </c>
      <c r="J66" s="322">
        <f t="shared" si="21"/>
        <v>0</v>
      </c>
      <c r="K66" s="500">
        <f>IFERROR(VLOOKUP($C66,'2020'!$D:$G,4,0),0)</f>
        <v>0</v>
      </c>
      <c r="L66" s="321">
        <f>SUMIFS('2020'!$I:$I,'2020'!$E:$E,Category!$B$26,'2020'!$N:$N,Category!L$1,'2020'!$D:$D,Category!$C66)</f>
        <v>0</v>
      </c>
      <c r="M66" s="321">
        <f>SUMIFS('2020'!$I:$I,'2020'!$E:$E,Category!$B$26,'2020'!$N:$N,Category!M$1,'2020'!$D:$D,Category!$C66)</f>
        <v>0</v>
      </c>
      <c r="N66" s="321">
        <f>SUMIFS('2020'!$I:$I,'2020'!$E:$E,Category!$B$26,'2020'!$N:$N,Category!N$1,'2020'!$D:$D,Category!$C66)</f>
        <v>0</v>
      </c>
      <c r="O66" s="321">
        <f>SUMIFS('2020'!$I:$I,'2020'!$E:$E,Category!$B$26,'2020'!$N:$N,Category!O$1,'2020'!$D:$D,Category!$C66)</f>
        <v>0</v>
      </c>
      <c r="P66" s="321">
        <f>SUMIFS('2020'!$I:$I,'2020'!$E:$E,Category!$B$26,'2020'!$N:$N,Category!P$1,'2020'!$D:$D,Category!$C66)</f>
        <v>0</v>
      </c>
      <c r="Q66" s="321">
        <f>SUMIFS('2020'!$I:$I,'2020'!$E:$E,Category!$B$26,'2020'!$N:$N,Category!Q$1,'2020'!$D:$D,Category!$C66)</f>
        <v>0</v>
      </c>
      <c r="R66" s="321">
        <f>SUMIFS('2020'!$I:$I,'2020'!$E:$E,Category!$B$26,'2020'!$N:$N,Category!R$1,'2020'!$D:$D,Category!$C66)</f>
        <v>0</v>
      </c>
      <c r="S66" s="321">
        <f>SUMIFS('2020'!$I:$I,'2020'!$E:$E,Category!$B$26,'2020'!$N:$N,Category!S$1,'2020'!$D:$D,Category!$C66)</f>
        <v>0</v>
      </c>
      <c r="T66" s="321">
        <f>SUMIFS('2020'!$I:$I,'2020'!$E:$E,Category!$B$26,'2020'!$N:$N,Category!T$1,'2020'!$D:$D,Category!$C66)</f>
        <v>0</v>
      </c>
      <c r="U66" s="321">
        <f>SUMIFS('2020'!$I:$I,'2020'!$E:$E,Category!$B$26,'2020'!$N:$N,Category!U$1,'2020'!$D:$D,Category!$C66)</f>
        <v>0</v>
      </c>
      <c r="V66" s="321">
        <f>SUMIFS('2020'!$I:$I,'2020'!$E:$E,Category!$B$26,'2020'!$N:$N,Category!V$1,'2020'!$D:$D,Category!$C66)</f>
        <v>0</v>
      </c>
      <c r="W66" s="321">
        <f>SUMIFS('2020'!$I:$I,'2020'!$E:$E,Category!$B$26,'2020'!$N:$N,Category!W$1,'2020'!$D:$D,Category!$C66)</f>
        <v>0</v>
      </c>
      <c r="X66" s="322">
        <f>SUM(L66:W66)</f>
        <v>0</v>
      </c>
      <c r="Y66" s="500">
        <f>IFERROR(VLOOKUP(C66,'2021'!$D:$G,4,0),0)</f>
        <v>0</v>
      </c>
      <c r="Z66" s="321">
        <f>SUMIFS('2021'!$I:$I,'2021'!$E:$E,Category!$B$26,'2021'!$N:$N,Category!Z$1,'2021'!$D:$D,Category!$C66)</f>
        <v>0</v>
      </c>
      <c r="AA66" s="321">
        <f>SUMIFS('2021'!$I:$I,'2021'!$E:$E,Category!$B$26,'2021'!$N:$N,Category!AA$1,'2021'!$D:$D,Category!$C66)</f>
        <v>0</v>
      </c>
      <c r="AB66" s="321">
        <f>SUMIFS('2021'!$I:$I,'2021'!$E:$E,Category!$B$26,'2021'!$N:$N,Category!AB$1,'2021'!$D:$D,Category!$C66)</f>
        <v>0</v>
      </c>
      <c r="AC66" s="321"/>
      <c r="AD66" s="321"/>
      <c r="AE66" s="321"/>
      <c r="AF66" s="321">
        <f>SUMIFS('2021'!$I:$I,'2021'!$E:$E,Category!$B$26,'2021'!$N:$N,Category!AF$1,'2021'!$D:$D,Category!$C66)</f>
        <v>0</v>
      </c>
      <c r="AG66" s="321">
        <f>SUMIFS('2021'!$I:$I,'2021'!$E:$E,Category!$B$26,'2021'!$N:$N,Category!AG$1,'2021'!$D:$D,Category!$C66)</f>
        <v>0</v>
      </c>
      <c r="AH66" s="321">
        <v>0</v>
      </c>
      <c r="AI66" s="321">
        <v>0</v>
      </c>
      <c r="AJ66" s="321">
        <f>SUMIFS('2021'!$I:$I,'2021'!$E:$E,Category!$B$26,'2021'!$N:$N,Category!AJ$1,'2021'!$D:$D,Category!$C66)</f>
        <v>0</v>
      </c>
      <c r="AK66" s="321">
        <f>SUMIFS('2021'!$I:$I,'2021'!$E:$E,Category!$B$26,'2021'!$N:$N,Category!AK$1,'2021'!$D:$D,Category!$C66)</f>
        <v>0</v>
      </c>
      <c r="AL66" s="322">
        <f>SUM(Z66:AK66)</f>
        <v>0</v>
      </c>
      <c r="AM66" s="500">
        <f>IFERROR(VLOOKUP(C66,'2022'!$D:$G,4,0),0)</f>
        <v>65</v>
      </c>
      <c r="AN66" s="321">
        <f>SUMIFS('2022'!$I:$I,'2022'!$E:$E,Category!$B$26,'2022'!$N:$N,Category!AN$1,'2022'!$D:$D,Category!$C66)</f>
        <v>0</v>
      </c>
      <c r="AO66" s="321">
        <f>SUMIFS('2022'!$I:$I,'2022'!$E:$E,Category!$B$26,'2022'!$N:$N,Category!AO$1,'2022'!$D:$D,Category!$C66)</f>
        <v>0</v>
      </c>
      <c r="AP66" s="321">
        <f>SUMIFS('2022'!$I:$I,'2022'!$E:$E,Category!$B$26,'2022'!$N:$N,Category!AP$1,'2022'!$D:$D,Category!$C66)</f>
        <v>0</v>
      </c>
      <c r="AQ66" s="321">
        <f>SUMIFS('2022'!$I:$I,'2022'!$E:$E,Category!$B$26,'2022'!$N:$N,Category!AQ$1,'2022'!$D:$D,Category!$C66)</f>
        <v>6000000</v>
      </c>
      <c r="AR66" s="321">
        <f>SUMIFS('2022'!$I:$I,'2022'!$E:$E,Category!$B$26,'2022'!$N:$N,Category!AR$1,'2022'!$D:$D,Category!$C66)</f>
        <v>0</v>
      </c>
      <c r="AS66" s="321">
        <f>SUMIFS('2022'!$I:$I,'2022'!$E:$E,Category!$B$26,'2022'!$N:$N,Category!AS$1,'2022'!$D:$D,Category!$C66)</f>
        <v>6017800</v>
      </c>
      <c r="AT66" s="321">
        <f>SUMIFS('2022'!$I:$I,'2022'!$E:$E,Category!$B$26,'2022'!$N:$N,Category!AT$1,'2022'!$D:$D,Category!$C66)</f>
        <v>6000000</v>
      </c>
      <c r="AU66" s="321">
        <f>SUMIFS('2022'!$I:$I,'2022'!$E:$E,Category!$B$26,'2022'!$N:$N,Category!AU$1,'2022'!$D:$D,Category!$C66)</f>
        <v>6000000</v>
      </c>
      <c r="AV66" s="321">
        <f>SUMIFS('2022'!$I:$I,'2022'!$E:$E,Category!$B$26,'2022'!$N:$N,Category!AV$1,'2022'!$D:$D,Category!$C66)</f>
        <v>6000000</v>
      </c>
      <c r="AW66" s="321">
        <f>SUMIFS('2022'!$I:$I,'2022'!$E:$E,Category!$B$26,'2022'!$N:$N,Category!AW$1,'2022'!$D:$D,Category!$C66)</f>
        <v>6250550</v>
      </c>
      <c r="AX66" s="321">
        <f>SUMIFS('2022'!$I:$I,'2022'!$E:$E,Category!$B$26,'2022'!$N:$N,Category!AX$1,'2022'!$D:$D,Category!$C66)</f>
        <v>6000000</v>
      </c>
      <c r="AY66" s="321">
        <f>SUMIFS('2022'!$I:$I,'2022'!$E:$E,Category!$B$26,'2022'!$N:$N,Category!AY$1,'2022'!$D:$D,Category!$C66)</f>
        <v>6310250</v>
      </c>
      <c r="AZ66" s="322">
        <f t="shared" si="20"/>
        <v>48578600</v>
      </c>
      <c r="BA66" s="500">
        <f>IFERROR(VLOOKUP(C66,'2023'!$D:$G,4,0),0)</f>
        <v>60</v>
      </c>
      <c r="BB66" s="321">
        <f>SUMIFS('2023'!$I:$I,'2023'!$E:$E,Category!$B$26,'2023'!$N:$N,Category!BB$1,'2023'!$D:$D,Category!$C66)</f>
        <v>6000000</v>
      </c>
      <c r="BC66" s="321">
        <f>SUMIFS('2023'!$I:$I,'2023'!$E:$E,Category!$B$26,'2023'!$N:$N,Category!BC$1,'2023'!$D:$D,Category!$C66)</f>
        <v>6000000</v>
      </c>
      <c r="BD66" s="321">
        <f>SUMIFS('2023'!$I:$I,'2023'!$E:$E,Category!$B$26,'2023'!$N:$N,Category!BD$1,'2023'!$D:$D,Category!$C66)</f>
        <v>0</v>
      </c>
      <c r="BE66" s="321">
        <f>SUMIFS('2023'!$I:$I,'2023'!$E:$E,Category!$B$26,'2023'!$N:$N,Category!BE$1,'2023'!$D:$D,Category!$C66)</f>
        <v>0</v>
      </c>
      <c r="BF66" s="321">
        <f>SUMIFS('2023'!$I:$I,'2023'!$E:$E,Category!$B$26,'2023'!$N:$N,Category!BF$1,'2023'!$D:$D,Category!$C66)</f>
        <v>0</v>
      </c>
      <c r="BG66" s="321">
        <f>SUMIFS('2023'!$I:$I,'2023'!$E:$E,Category!$B$26,'2023'!$N:$N,Category!BG$1,'2023'!$D:$D,Category!$C66)</f>
        <v>0</v>
      </c>
      <c r="BH66" s="321">
        <f>SUMIFS('2023'!$I:$I,'2023'!$E:$E,Category!$B$26,'2023'!$N:$N,Category!BH$1,'2023'!$D:$D,Category!$C66)</f>
        <v>0</v>
      </c>
      <c r="BI66" s="321">
        <f>SUMIFS('2023'!$I:$I,'2023'!$E:$E,Category!$B$26,'2023'!$N:$N,Category!BI$1,'2023'!$D:$D,Category!$C66)</f>
        <v>0</v>
      </c>
      <c r="BJ66" s="321">
        <f>SUMIFS('2023'!$I:$I,'2023'!$E:$E,Category!$B$26,'2023'!$N:$N,Category!BJ$1,'2023'!$D:$D,Category!$C66)</f>
        <v>0</v>
      </c>
      <c r="BK66" s="321">
        <f>SUMIFS('2023'!$I:$I,'2023'!$E:$E,Category!$B$26,'2023'!$N:$N,Category!BK$1,'2023'!$D:$D,Category!$C66)</f>
        <v>0</v>
      </c>
      <c r="BL66" s="321">
        <f>SUMIFS('2023'!$I:$I,'2023'!$E:$E,Category!$B$26,'2023'!$N:$N,Category!BL$1,'2023'!$D:$D,Category!$C66)</f>
        <v>0</v>
      </c>
      <c r="BM66" s="321">
        <f>SUMIFS('2023'!$I:$I,'2023'!$E:$E,Category!$B$26,'2023'!$N:$N,Category!BM$1,'2023'!$D:$D,Category!$C66)</f>
        <v>0</v>
      </c>
      <c r="BN66" s="322">
        <f t="shared" si="22"/>
        <v>12000000</v>
      </c>
      <c r="BP66" s="247"/>
      <c r="BQ66" s="247"/>
      <c r="BR66" s="247"/>
      <c r="BS66" s="247"/>
      <c r="BT66" s="247"/>
      <c r="BU66" s="247"/>
      <c r="BV66" s="247"/>
      <c r="BW66" s="247"/>
    </row>
    <row r="67" spans="1:75" x14ac:dyDescent="0.3">
      <c r="A67" s="327"/>
      <c r="B67" s="324"/>
      <c r="C67" s="324" t="s">
        <v>1115</v>
      </c>
      <c r="D67" s="516">
        <f>IFERROR(VLOOKUP($C67,'2019'!$D:$G,4,0),0)</f>
        <v>0</v>
      </c>
      <c r="E67" s="321">
        <f>SUMIFS('2019'!$I:$I,'2019'!$E:$E,Category!$B$26,'2019'!$N:$N,Category!E$1,'2019'!$D:$D,Category!$C67)</f>
        <v>0</v>
      </c>
      <c r="F67" s="321">
        <f>SUMIFS('2019'!$I:$I,'2019'!$E:$E,Category!$B$26,'2019'!$N:$N,Category!F$1,'2019'!$D:$D,Category!$C67)</f>
        <v>0</v>
      </c>
      <c r="G67" s="321">
        <f>SUMIFS('2019'!$I:$I,'2019'!$E:$E,Category!$B$26,'2019'!$N:$N,Category!G$1,'2019'!$D:$D,Category!$C67)</f>
        <v>0</v>
      </c>
      <c r="H67" s="321">
        <f>SUMIFS('2019'!$I:$I,'2019'!$E:$E,Category!$B$26,'2019'!$N:$N,Category!H$1,'2019'!$D:$D,Category!$C67)</f>
        <v>0</v>
      </c>
      <c r="I67" s="321">
        <f>SUMIFS('2019'!$I:$I,'2019'!$E:$E,Category!$B$26,'2019'!$N:$N,Category!I$1,'2019'!$D:$D,Category!$C67)</f>
        <v>0</v>
      </c>
      <c r="J67" s="322">
        <f t="shared" si="21"/>
        <v>0</v>
      </c>
      <c r="K67" s="500">
        <f>IFERROR(VLOOKUP($C67,'2020'!$D:$G,4,0),0)</f>
        <v>0</v>
      </c>
      <c r="L67" s="321">
        <f>SUMIFS('2020'!$I:$I,'2020'!$E:$E,Category!$B$26,'2020'!$N:$N,Category!L$1,'2020'!$D:$D,Category!$C67)</f>
        <v>0</v>
      </c>
      <c r="M67" s="321">
        <f>SUMIFS('2020'!$I:$I,'2020'!$E:$E,Category!$B$26,'2020'!$N:$N,Category!M$1,'2020'!$D:$D,Category!$C67)</f>
        <v>0</v>
      </c>
      <c r="N67" s="321">
        <f>SUMIFS('2020'!$I:$I,'2020'!$E:$E,Category!$B$26,'2020'!$N:$N,Category!N$1,'2020'!$D:$D,Category!$C67)</f>
        <v>0</v>
      </c>
      <c r="O67" s="321">
        <f>SUMIFS('2020'!$I:$I,'2020'!$E:$E,Category!$B$26,'2020'!$N:$N,Category!O$1,'2020'!$D:$D,Category!$C67)</f>
        <v>0</v>
      </c>
      <c r="P67" s="321">
        <f>SUMIFS('2020'!$I:$I,'2020'!$E:$E,Category!$B$26,'2020'!$N:$N,Category!P$1,'2020'!$D:$D,Category!$C67)</f>
        <v>0</v>
      </c>
      <c r="Q67" s="321">
        <f>SUMIFS('2020'!$I:$I,'2020'!$E:$E,Category!$B$26,'2020'!$N:$N,Category!Q$1,'2020'!$D:$D,Category!$C67)</f>
        <v>0</v>
      </c>
      <c r="R67" s="321">
        <f>SUMIFS('2020'!$I:$I,'2020'!$E:$E,Category!$B$26,'2020'!$N:$N,Category!R$1,'2020'!$D:$D,Category!$C67)</f>
        <v>0</v>
      </c>
      <c r="S67" s="321">
        <f>SUMIFS('2020'!$I:$I,'2020'!$E:$E,Category!$B$26,'2020'!$N:$N,Category!S$1,'2020'!$D:$D,Category!$C67)</f>
        <v>0</v>
      </c>
      <c r="T67" s="321">
        <f>SUMIFS('2020'!$I:$I,'2020'!$E:$E,Category!$B$26,'2020'!$N:$N,Category!T$1,'2020'!$D:$D,Category!$C67)</f>
        <v>0</v>
      </c>
      <c r="U67" s="321">
        <f>SUMIFS('2020'!$I:$I,'2020'!$E:$E,Category!$B$26,'2020'!$N:$N,Category!U$1,'2020'!$D:$D,Category!$C67)</f>
        <v>0</v>
      </c>
      <c r="V67" s="321">
        <f>SUMIFS('2020'!$I:$I,'2020'!$E:$E,Category!$B$26,'2020'!$N:$N,Category!V$1,'2020'!$D:$D,Category!$C67)</f>
        <v>0</v>
      </c>
      <c r="W67" s="321">
        <f>SUMIFS('2020'!$I:$I,'2020'!$E:$E,Category!$B$26,'2020'!$N:$N,Category!W$1,'2020'!$D:$D,Category!$C67)</f>
        <v>0</v>
      </c>
      <c r="X67" s="322">
        <f t="shared" ref="X67:X73" si="23">SUM(L67:W67)</f>
        <v>0</v>
      </c>
      <c r="Y67" s="500">
        <f>IFERROR(VLOOKUP(C67,'2021'!$D:$G,4,0),0)</f>
        <v>0</v>
      </c>
      <c r="Z67" s="321">
        <f>SUMIFS('2021'!$I:$I,'2021'!$E:$E,Category!$B$26,'2021'!$N:$N,Category!Z$1,'2021'!$D:$D,Category!$C67)</f>
        <v>0</v>
      </c>
      <c r="AA67" s="321">
        <f>SUMIFS('2021'!$I:$I,'2021'!$E:$E,Category!$B$26,'2021'!$N:$N,Category!AA$1,'2021'!$D:$D,Category!$C67)</f>
        <v>0</v>
      </c>
      <c r="AB67" s="321">
        <f>SUMIFS('2021'!$I:$I,'2021'!$E:$E,Category!$B$26,'2021'!$N:$N,Category!AB$1,'2021'!$D:$D,Category!$C67)</f>
        <v>0</v>
      </c>
      <c r="AC67" s="321"/>
      <c r="AD67" s="321"/>
      <c r="AE67" s="321"/>
      <c r="AF67" s="321">
        <f>SUMIFS('2021'!$I:$I,'2021'!$E:$E,Category!$B$26,'2021'!$N:$N,Category!AF$1,'2021'!$D:$D,Category!$C67)</f>
        <v>0</v>
      </c>
      <c r="AG67" s="321">
        <f>SUMIFS('2021'!$I:$I,'2021'!$E:$E,Category!$B$26,'2021'!$N:$N,Category!AG$1,'2021'!$D:$D,Category!$C67)</f>
        <v>0</v>
      </c>
      <c r="AH67" s="321">
        <v>0</v>
      </c>
      <c r="AI67" s="321">
        <v>0</v>
      </c>
      <c r="AJ67" s="321">
        <f>SUMIFS('2021'!$I:$I,'2021'!$E:$E,Category!$B$26,'2021'!$N:$N,Category!AJ$1,'2021'!$D:$D,Category!$C67)</f>
        <v>0</v>
      </c>
      <c r="AK67" s="321">
        <f>SUMIFS('2021'!$I:$I,'2021'!$E:$E,Category!$B$26,'2021'!$N:$N,Category!AK$1,'2021'!$D:$D,Category!$C67)</f>
        <v>0</v>
      </c>
      <c r="AL67" s="322">
        <f t="shared" ref="AL67:AL73" si="24">SUM(Z67:AK67)</f>
        <v>0</v>
      </c>
      <c r="AM67" s="500">
        <f>IFERROR(VLOOKUP(C67,'2022'!$D:$G,4,0),0)</f>
        <v>35</v>
      </c>
      <c r="AN67" s="321">
        <f>SUMIFS('2022'!$I:$I,'2022'!$E:$E,Category!$B$26,'2022'!$N:$N,Category!AN$1,'2022'!$D:$D,Category!$C67)</f>
        <v>0</v>
      </c>
      <c r="AO67" s="321">
        <f>SUMIFS('2022'!$I:$I,'2022'!$E:$E,Category!$B$26,'2022'!$N:$N,Category!AO$1,'2022'!$D:$D,Category!$C67)</f>
        <v>0</v>
      </c>
      <c r="AP67" s="321">
        <f>SUMIFS('2022'!$I:$I,'2022'!$E:$E,Category!$B$26,'2022'!$N:$N,Category!AP$1,'2022'!$D:$D,Category!$C67)</f>
        <v>0</v>
      </c>
      <c r="AQ67" s="321">
        <f>SUMIFS('2022'!$I:$I,'2022'!$E:$E,Category!$B$26,'2022'!$N:$N,Category!AQ$1,'2022'!$D:$D,Category!$C67)</f>
        <v>0</v>
      </c>
      <c r="AR67" s="321">
        <f>SUMIFS('2022'!$I:$I,'2022'!$E:$E,Category!$B$26,'2022'!$N:$N,Category!AR$1,'2022'!$D:$D,Category!$C67)</f>
        <v>0</v>
      </c>
      <c r="AS67" s="321">
        <f>SUMIFS('2022'!$I:$I,'2022'!$E:$E,Category!$B$26,'2022'!$N:$N,Category!AS$1,'2022'!$D:$D,Category!$C67)</f>
        <v>0</v>
      </c>
      <c r="AT67" s="321">
        <f>SUMIFS('2022'!$I:$I,'2022'!$E:$E,Category!$B$26,'2022'!$N:$N,Category!AT$1,'2022'!$D:$D,Category!$C67)</f>
        <v>6001700</v>
      </c>
      <c r="AU67" s="321">
        <f>SUMIFS('2022'!$I:$I,'2022'!$E:$E,Category!$B$26,'2022'!$N:$N,Category!AU$1,'2022'!$D:$D,Category!$C67)</f>
        <v>6000000</v>
      </c>
      <c r="AV67" s="321">
        <f>SUMIFS('2022'!$I:$I,'2022'!$E:$E,Category!$B$26,'2022'!$N:$N,Category!AV$1,'2022'!$D:$D,Category!$C67)</f>
        <v>6000000</v>
      </c>
      <c r="AW67" s="321">
        <f>SUMIFS('2022'!$I:$I,'2022'!$E:$E,Category!$B$26,'2022'!$N:$N,Category!AW$1,'2022'!$D:$D,Category!$C67)</f>
        <v>6000000</v>
      </c>
      <c r="AX67" s="321">
        <f>SUMIFS('2022'!$I:$I,'2022'!$E:$E,Category!$B$26,'2022'!$N:$N,Category!AX$1,'2022'!$D:$D,Category!$C67)</f>
        <v>6000000</v>
      </c>
      <c r="AY67" s="321">
        <f>SUMIFS('2022'!$I:$I,'2022'!$E:$E,Category!$B$26,'2022'!$N:$N,Category!AY$1,'2022'!$D:$D,Category!$C67)</f>
        <v>6671000</v>
      </c>
      <c r="AZ67" s="322">
        <f t="shared" ref="AZ67:AZ73" si="25">SUM(AN67:AY67)</f>
        <v>36672700</v>
      </c>
      <c r="BA67" s="500">
        <f>IFERROR(VLOOKUP(C67,'2023'!$D:$G,4,0),0)</f>
        <v>35</v>
      </c>
      <c r="BB67" s="321">
        <f>SUMIFS('2023'!$I:$I,'2023'!$E:$E,Category!$B$26,'2023'!$N:$N,Category!BB$1,'2023'!$D:$D,Category!$C67)</f>
        <v>6000000</v>
      </c>
      <c r="BC67" s="321">
        <f>SUMIFS('2023'!$I:$I,'2023'!$E:$E,Category!$B$26,'2023'!$N:$N,Category!BC$1,'2023'!$D:$D,Category!$C67)</f>
        <v>10626920</v>
      </c>
      <c r="BD67" s="321">
        <f>SUMIFS('2023'!$I:$I,'2023'!$E:$E,Category!$B$26,'2023'!$N:$N,Category!BD$1,'2023'!$D:$D,Category!$C67)</f>
        <v>0</v>
      </c>
      <c r="BE67" s="321">
        <f>SUMIFS('2023'!$I:$I,'2023'!$E:$E,Category!$B$26,'2023'!$N:$N,Category!BE$1,'2023'!$D:$D,Category!$C67)</f>
        <v>0</v>
      </c>
      <c r="BF67" s="321">
        <f>SUMIFS('2023'!$I:$I,'2023'!$E:$E,Category!$B$26,'2023'!$N:$N,Category!BF$1,'2023'!$D:$D,Category!$C67)</f>
        <v>0</v>
      </c>
      <c r="BG67" s="321">
        <f>SUMIFS('2023'!$I:$I,'2023'!$E:$E,Category!$B$26,'2023'!$N:$N,Category!BG$1,'2023'!$D:$D,Category!$C67)</f>
        <v>0</v>
      </c>
      <c r="BH67" s="321">
        <f>SUMIFS('2023'!$I:$I,'2023'!$E:$E,Category!$B$26,'2023'!$N:$N,Category!BH$1,'2023'!$D:$D,Category!$C67)</f>
        <v>0</v>
      </c>
      <c r="BI67" s="321">
        <f>SUMIFS('2023'!$I:$I,'2023'!$E:$E,Category!$B$26,'2023'!$N:$N,Category!BI$1,'2023'!$D:$D,Category!$C67)</f>
        <v>0</v>
      </c>
      <c r="BJ67" s="321">
        <f>SUMIFS('2023'!$I:$I,'2023'!$E:$E,Category!$B$26,'2023'!$N:$N,Category!BJ$1,'2023'!$D:$D,Category!$C67)</f>
        <v>0</v>
      </c>
      <c r="BK67" s="321">
        <f>SUMIFS('2023'!$I:$I,'2023'!$E:$E,Category!$B$26,'2023'!$N:$N,Category!BK$1,'2023'!$D:$D,Category!$C67)</f>
        <v>0</v>
      </c>
      <c r="BL67" s="321">
        <f>SUMIFS('2023'!$I:$I,'2023'!$E:$E,Category!$B$26,'2023'!$N:$N,Category!BL$1,'2023'!$D:$D,Category!$C67)</f>
        <v>0</v>
      </c>
      <c r="BM67" s="321">
        <f>SUMIFS('2023'!$I:$I,'2023'!$E:$E,Category!$B$26,'2023'!$N:$N,Category!BM$1,'2023'!$D:$D,Category!$C67)</f>
        <v>0</v>
      </c>
      <c r="BN67" s="322">
        <f t="shared" si="22"/>
        <v>16626920</v>
      </c>
      <c r="BP67" s="247"/>
      <c r="BQ67" s="247"/>
      <c r="BR67" s="247"/>
      <c r="BS67" s="247"/>
      <c r="BT67" s="247"/>
      <c r="BU67" s="247"/>
      <c r="BV67" s="247"/>
      <c r="BW67" s="247"/>
    </row>
    <row r="68" spans="1:75" ht="39.75" x14ac:dyDescent="0.3">
      <c r="A68" s="327"/>
      <c r="B68" s="324"/>
      <c r="C68" s="324" t="s">
        <v>1338</v>
      </c>
      <c r="D68" s="516">
        <f>IFERROR(VLOOKUP($C68,'2019'!$D:$G,4,0),0)</f>
        <v>109</v>
      </c>
      <c r="E68" s="321">
        <f>SUMIFS('2019'!$I:$I,'2019'!$E:$E,Category!$B$26,'2019'!$N:$N,Category!E$1,'2019'!$D:$D,Category!$C68)</f>
        <v>0</v>
      </c>
      <c r="F68" s="321">
        <f>SUMIFS('2019'!$I:$I,'2019'!$E:$E,Category!$B$26,'2019'!$N:$N,Category!F$1,'2019'!$D:$D,Category!$C68)</f>
        <v>0</v>
      </c>
      <c r="G68" s="321">
        <f>SUMIFS('2019'!$I:$I,'2019'!$E:$E,Category!$B$26,'2019'!$N:$N,Category!G$1,'2019'!$D:$D,Category!$C68)</f>
        <v>0</v>
      </c>
      <c r="H68" s="321">
        <f>SUMIFS('2019'!$I:$I,'2019'!$E:$E,Category!$B$26,'2019'!$N:$N,Category!H$1,'2019'!$D:$D,Category!$C68)</f>
        <v>0</v>
      </c>
      <c r="I68" s="321">
        <f>SUMIFS('2019'!$I:$I,'2019'!$E:$E,Category!$B$26,'2019'!$N:$N,Category!I$1,'2019'!$D:$D,Category!$C68)</f>
        <v>30000000</v>
      </c>
      <c r="J68" s="322">
        <f t="shared" si="21"/>
        <v>30000000</v>
      </c>
      <c r="K68" s="500">
        <f>IFERROR(VLOOKUP($C68,'2020'!$D:$G,4,0),0)</f>
        <v>0</v>
      </c>
      <c r="L68" s="321">
        <f>SUMIFS('2020'!$I:$I,'2020'!$E:$E,Category!$B$26,'2020'!$N:$N,Category!L$1,'2020'!$D:$D,Category!$C68)</f>
        <v>0</v>
      </c>
      <c r="M68" s="321">
        <f>SUMIFS('2020'!$I:$I,'2020'!$E:$E,Category!$B$26,'2020'!$N:$N,Category!M$1,'2020'!$D:$D,Category!$C68)</f>
        <v>0</v>
      </c>
      <c r="N68" s="321">
        <f>SUMIFS('2020'!$I:$I,'2020'!$E:$E,Category!$B$26,'2020'!$N:$N,Category!N$1,'2020'!$D:$D,Category!$C68)</f>
        <v>0</v>
      </c>
      <c r="O68" s="321">
        <f>SUMIFS('2020'!$I:$I,'2020'!$E:$E,Category!$B$26,'2020'!$N:$N,Category!O$1,'2020'!$D:$D,Category!$C68)</f>
        <v>0</v>
      </c>
      <c r="P68" s="321">
        <f>SUMIFS('2020'!$I:$I,'2020'!$E:$E,Category!$B$26,'2020'!$N:$N,Category!P$1,'2020'!$D:$D,Category!$C68)</f>
        <v>0</v>
      </c>
      <c r="Q68" s="321">
        <f>SUMIFS('2020'!$I:$I,'2020'!$E:$E,Category!$B$26,'2020'!$N:$N,Category!Q$1,'2020'!$D:$D,Category!$C68)</f>
        <v>0</v>
      </c>
      <c r="R68" s="321">
        <f>SUMIFS('2020'!$I:$I,'2020'!$E:$E,Category!$B$26,'2020'!$N:$N,Category!R$1,'2020'!$D:$D,Category!$C68)</f>
        <v>0</v>
      </c>
      <c r="S68" s="321">
        <f>SUMIFS('2020'!$I:$I,'2020'!$E:$E,Category!$B$26,'2020'!$N:$N,Category!S$1,'2020'!$D:$D,Category!$C68)</f>
        <v>0</v>
      </c>
      <c r="T68" s="321">
        <f>SUMIFS('2020'!$I:$I,'2020'!$E:$E,Category!$B$26,'2020'!$N:$N,Category!T$1,'2020'!$D:$D,Category!$C68)</f>
        <v>0</v>
      </c>
      <c r="U68" s="321">
        <f>SUMIFS('2020'!$I:$I,'2020'!$E:$E,Category!$B$26,'2020'!$N:$N,Category!U$1,'2020'!$D:$D,Category!$C68)</f>
        <v>0</v>
      </c>
      <c r="V68" s="321">
        <f>SUMIFS('2020'!$I:$I,'2020'!$E:$E,Category!$B$26,'2020'!$N:$N,Category!V$1,'2020'!$D:$D,Category!$C68)</f>
        <v>0</v>
      </c>
      <c r="W68" s="321">
        <f>SUMIFS('2020'!$I:$I,'2020'!$E:$E,Category!$B$26,'2020'!$N:$N,Category!W$1,'2020'!$D:$D,Category!$C68)</f>
        <v>0</v>
      </c>
      <c r="X68" s="322">
        <f t="shared" si="23"/>
        <v>0</v>
      </c>
      <c r="Y68" s="500">
        <f>IFERROR(VLOOKUP(C68,'2021'!$D:$G,4,0),0)</f>
        <v>0</v>
      </c>
      <c r="Z68" s="321">
        <f>SUMIFS('2021'!$I:$I,'2021'!$E:$E,Category!$B$26,'2021'!$N:$N,Category!Z$1,'2021'!$D:$D,Category!$C68)</f>
        <v>0</v>
      </c>
      <c r="AA68" s="321">
        <f>SUMIFS('2021'!$I:$I,'2021'!$E:$E,Category!$B$26,'2021'!$N:$N,Category!AA$1,'2021'!$D:$D,Category!$C68)</f>
        <v>0</v>
      </c>
      <c r="AB68" s="321">
        <f>SUMIFS('2021'!$I:$I,'2021'!$E:$E,Category!$B$26,'2021'!$N:$N,Category!AB$1,'2021'!$D:$D,Category!$C68)</f>
        <v>0</v>
      </c>
      <c r="AC68" s="321"/>
      <c r="AD68" s="321"/>
      <c r="AE68" s="321"/>
      <c r="AF68" s="321">
        <f>SUMIFS('2021'!$I:$I,'2021'!$E:$E,Category!$B$26,'2021'!$N:$N,Category!AF$1,'2021'!$D:$D,Category!$C68)</f>
        <v>0</v>
      </c>
      <c r="AG68" s="321">
        <f>SUMIFS('2021'!$I:$I,'2021'!$E:$E,Category!$B$26,'2021'!$N:$N,Category!AG$1,'2021'!$D:$D,Category!$C68)</f>
        <v>0</v>
      </c>
      <c r="AH68" s="321">
        <v>0</v>
      </c>
      <c r="AI68" s="321">
        <v>0</v>
      </c>
      <c r="AJ68" s="321">
        <f>SUMIFS('2021'!$I:$I,'2021'!$E:$E,Category!$B$26,'2021'!$N:$N,Category!AJ$1,'2021'!$D:$D,Category!$C68)</f>
        <v>0</v>
      </c>
      <c r="AK68" s="321">
        <f>SUMIFS('2021'!$I:$I,'2021'!$E:$E,Category!$B$26,'2021'!$N:$N,Category!AK$1,'2021'!$D:$D,Category!$C68)</f>
        <v>0</v>
      </c>
      <c r="AL68" s="322">
        <f t="shared" si="24"/>
        <v>0</v>
      </c>
      <c r="AM68" s="500">
        <f>IFERROR(VLOOKUP(C68,'2022'!$D:$G,4,0),0)</f>
        <v>0</v>
      </c>
      <c r="AN68" s="321">
        <f>SUMIFS('2022'!$I:$I,'2022'!$E:$E,Category!$B$26,'2022'!$N:$N,Category!AN$1,'2022'!$D:$D,Category!$C68)</f>
        <v>0</v>
      </c>
      <c r="AO68" s="321">
        <f>SUMIFS('2022'!$I:$I,'2022'!$E:$E,Category!$B$26,'2022'!$N:$N,Category!AO$1,'2022'!$D:$D,Category!$C68)</f>
        <v>0</v>
      </c>
      <c r="AP68" s="321">
        <f>SUMIFS('2022'!$I:$I,'2022'!$E:$E,Category!$B$26,'2022'!$N:$N,Category!AP$1,'2022'!$D:$D,Category!$C68)</f>
        <v>0</v>
      </c>
      <c r="AQ68" s="321">
        <f>SUMIFS('2022'!$I:$I,'2022'!$E:$E,Category!$B$26,'2022'!$N:$N,Category!AQ$1,'2022'!$D:$D,Category!$C68)</f>
        <v>0</v>
      </c>
      <c r="AR68" s="321">
        <f>SUMIFS('2022'!$I:$I,'2022'!$E:$E,Category!$B$26,'2022'!$N:$N,Category!AR$1,'2022'!$D:$D,Category!$C68)</f>
        <v>0</v>
      </c>
      <c r="AS68" s="321">
        <f>SUMIFS('2022'!$I:$I,'2022'!$E:$E,Category!$B$26,'2022'!$N:$N,Category!AS$1,'2022'!$D:$D,Category!$C68)</f>
        <v>0</v>
      </c>
      <c r="AT68" s="321">
        <f>SUMIFS('2022'!$I:$I,'2022'!$E:$E,Category!$B$26,'2022'!$N:$N,Category!AT$1,'2022'!$D:$D,Category!$C68)</f>
        <v>0</v>
      </c>
      <c r="AU68" s="321">
        <f>SUMIFS('2022'!$I:$I,'2022'!$E:$E,Category!$B$26,'2022'!$N:$N,Category!AU$1,'2022'!$D:$D,Category!$C68)</f>
        <v>0</v>
      </c>
      <c r="AV68" s="321">
        <f>SUMIFS('2022'!$I:$I,'2022'!$E:$E,Category!$B$26,'2022'!$N:$N,Category!AV$1,'2022'!$D:$D,Category!$C68)</f>
        <v>0</v>
      </c>
      <c r="AW68" s="321">
        <f>SUMIFS('2022'!$I:$I,'2022'!$E:$E,Category!$B$26,'2022'!$N:$N,Category!AW$1,'2022'!$D:$D,Category!$C68)</f>
        <v>0</v>
      </c>
      <c r="AX68" s="321">
        <f>SUMIFS('2022'!$I:$I,'2022'!$E:$E,Category!$B$26,'2022'!$N:$N,Category!AX$1,'2022'!$D:$D,Category!$C68)</f>
        <v>0</v>
      </c>
      <c r="AY68" s="321">
        <f>SUMIFS('2022'!$I:$I,'2022'!$E:$E,Category!$B$26,'2022'!$N:$N,Category!AY$1,'2022'!$D:$D,Category!$C68)</f>
        <v>0</v>
      </c>
      <c r="AZ68" s="322">
        <f t="shared" si="25"/>
        <v>0</v>
      </c>
      <c r="BA68" s="500">
        <f>IFERROR(VLOOKUP(C68,'2023'!$D:$G,4,0),0)</f>
        <v>0</v>
      </c>
      <c r="BB68" s="321">
        <f>SUMIFS('2023'!$I:$I,'2023'!$E:$E,Category!$B$26,'2023'!$N:$N,Category!BB$1,'2023'!$D:$D,Category!$C68)</f>
        <v>0</v>
      </c>
      <c r="BC68" s="321">
        <f>SUMIFS('2023'!$I:$I,'2023'!$E:$E,Category!$B$26,'2023'!$N:$N,Category!BC$1,'2023'!$D:$D,Category!$C68)</f>
        <v>0</v>
      </c>
      <c r="BD68" s="321">
        <f>SUMIFS('2023'!$I:$I,'2023'!$E:$E,Category!$B$26,'2023'!$N:$N,Category!BD$1,'2023'!$D:$D,Category!$C68)</f>
        <v>0</v>
      </c>
      <c r="BE68" s="321">
        <f>SUMIFS('2023'!$I:$I,'2023'!$E:$E,Category!$B$26,'2023'!$N:$N,Category!BE$1,'2023'!$D:$D,Category!$C68)</f>
        <v>0</v>
      </c>
      <c r="BF68" s="321">
        <f>SUMIFS('2023'!$I:$I,'2023'!$E:$E,Category!$B$26,'2023'!$N:$N,Category!BF$1,'2023'!$D:$D,Category!$C68)</f>
        <v>0</v>
      </c>
      <c r="BG68" s="321">
        <f>SUMIFS('2023'!$I:$I,'2023'!$E:$E,Category!$B$26,'2023'!$N:$N,Category!BG$1,'2023'!$D:$D,Category!$C68)</f>
        <v>0</v>
      </c>
      <c r="BH68" s="321">
        <f>SUMIFS('2023'!$I:$I,'2023'!$E:$E,Category!$B$26,'2023'!$N:$N,Category!BH$1,'2023'!$D:$D,Category!$C68)</f>
        <v>0</v>
      </c>
      <c r="BI68" s="321">
        <f>SUMIFS('2023'!$I:$I,'2023'!$E:$E,Category!$B$26,'2023'!$N:$N,Category!BI$1,'2023'!$D:$D,Category!$C68)</f>
        <v>0</v>
      </c>
      <c r="BJ68" s="321">
        <f>SUMIFS('2023'!$I:$I,'2023'!$E:$E,Category!$B$26,'2023'!$N:$N,Category!BJ$1,'2023'!$D:$D,Category!$C68)</f>
        <v>0</v>
      </c>
      <c r="BK68" s="321">
        <f>SUMIFS('2023'!$I:$I,'2023'!$E:$E,Category!$B$26,'2023'!$N:$N,Category!BK$1,'2023'!$D:$D,Category!$C68)</f>
        <v>0</v>
      </c>
      <c r="BL68" s="321">
        <f>SUMIFS('2023'!$I:$I,'2023'!$E:$E,Category!$B$26,'2023'!$N:$N,Category!BL$1,'2023'!$D:$D,Category!$C68)</f>
        <v>0</v>
      </c>
      <c r="BM68" s="321">
        <f>SUMIFS('2023'!$I:$I,'2023'!$E:$E,Category!$B$26,'2023'!$N:$N,Category!BM$1,'2023'!$D:$D,Category!$C68)</f>
        <v>0</v>
      </c>
      <c r="BN68" s="322">
        <f t="shared" si="22"/>
        <v>0</v>
      </c>
      <c r="BP68" s="247"/>
      <c r="BQ68" s="247"/>
      <c r="BR68" s="247"/>
      <c r="BS68" s="247"/>
      <c r="BT68" s="247"/>
      <c r="BU68" s="247"/>
      <c r="BV68" s="247"/>
      <c r="BW68" s="247"/>
    </row>
    <row r="69" spans="1:75" ht="39.75" x14ac:dyDescent="0.3">
      <c r="A69" s="327"/>
      <c r="B69" s="324"/>
      <c r="C69" s="324" t="s">
        <v>1339</v>
      </c>
      <c r="D69" s="516">
        <f>IFERROR(VLOOKUP($C69,'2019'!$D:$G,4,0),0)</f>
        <v>24</v>
      </c>
      <c r="E69" s="321">
        <f>SUMIFS('2019'!$I:$I,'2019'!$E:$E,Category!$B$26,'2019'!$N:$N,Category!E$1,'2019'!$D:$D,Category!$C69)</f>
        <v>0</v>
      </c>
      <c r="F69" s="321">
        <f>SUMIFS('2019'!$I:$I,'2019'!$E:$E,Category!$B$26,'2019'!$N:$N,Category!F$1,'2019'!$D:$D,Category!$C69)</f>
        <v>0</v>
      </c>
      <c r="G69" s="321">
        <f>SUMIFS('2019'!$I:$I,'2019'!$E:$E,Category!$B$26,'2019'!$N:$N,Category!G$1,'2019'!$D:$D,Category!$C69)</f>
        <v>0</v>
      </c>
      <c r="H69" s="321">
        <f>SUMIFS('2019'!$I:$I,'2019'!$E:$E,Category!$B$26,'2019'!$N:$N,Category!H$1,'2019'!$D:$D,Category!$C69)</f>
        <v>0</v>
      </c>
      <c r="I69" s="321">
        <f>SUMIFS('2019'!$I:$I,'2019'!$E:$E,Category!$B$26,'2019'!$N:$N,Category!I$1,'2019'!$D:$D,Category!$C69)</f>
        <v>10000000</v>
      </c>
      <c r="J69" s="322">
        <f>SUM(E69:I69)</f>
        <v>10000000</v>
      </c>
      <c r="K69" s="500">
        <f>IFERROR(VLOOKUP($C69,'2020'!$D:$G,4,0),0)</f>
        <v>0</v>
      </c>
      <c r="L69" s="321">
        <f>SUMIFS('2020'!$I:$I,'2020'!$E:$E,Category!$B$26,'2020'!$N:$N,Category!L$1,'2020'!$D:$D,Category!$C69)</f>
        <v>0</v>
      </c>
      <c r="M69" s="321">
        <f>SUMIFS('2020'!$I:$I,'2020'!$E:$E,Category!$B$26,'2020'!$N:$N,Category!M$1,'2020'!$D:$D,Category!$C69)</f>
        <v>0</v>
      </c>
      <c r="N69" s="321">
        <f>SUMIFS('2020'!$I:$I,'2020'!$E:$E,Category!$B$26,'2020'!$N:$N,Category!N$1,'2020'!$D:$D,Category!$C69)</f>
        <v>0</v>
      </c>
      <c r="O69" s="321">
        <f>SUMIFS('2020'!$I:$I,'2020'!$E:$E,Category!$B$26,'2020'!$N:$N,Category!O$1,'2020'!$D:$D,Category!$C69)</f>
        <v>0</v>
      </c>
      <c r="P69" s="321">
        <f>SUMIFS('2020'!$I:$I,'2020'!$E:$E,Category!$B$26,'2020'!$N:$N,Category!P$1,'2020'!$D:$D,Category!$C69)</f>
        <v>0</v>
      </c>
      <c r="Q69" s="321">
        <f>SUMIFS('2020'!$I:$I,'2020'!$E:$E,Category!$B$26,'2020'!$N:$N,Category!Q$1,'2020'!$D:$D,Category!$C69)</f>
        <v>0</v>
      </c>
      <c r="R69" s="321">
        <f>SUMIFS('2020'!$I:$I,'2020'!$E:$E,Category!$B$26,'2020'!$N:$N,Category!R$1,'2020'!$D:$D,Category!$C69)</f>
        <v>0</v>
      </c>
      <c r="S69" s="321">
        <f>SUMIFS('2020'!$I:$I,'2020'!$E:$E,Category!$B$26,'2020'!$N:$N,Category!S$1,'2020'!$D:$D,Category!$C69)</f>
        <v>0</v>
      </c>
      <c r="T69" s="321">
        <f>SUMIFS('2020'!$I:$I,'2020'!$E:$E,Category!$B$26,'2020'!$N:$N,Category!T$1,'2020'!$D:$D,Category!$C69)</f>
        <v>0</v>
      </c>
      <c r="U69" s="321">
        <f>SUMIFS('2020'!$I:$I,'2020'!$E:$E,Category!$B$26,'2020'!$N:$N,Category!U$1,'2020'!$D:$D,Category!$C69)</f>
        <v>0</v>
      </c>
      <c r="V69" s="321">
        <f>SUMIFS('2020'!$I:$I,'2020'!$E:$E,Category!$B$26,'2020'!$N:$N,Category!V$1,'2020'!$D:$D,Category!$C69)</f>
        <v>0</v>
      </c>
      <c r="W69" s="321">
        <f>SUMIFS('2020'!$I:$I,'2020'!$E:$E,Category!$B$26,'2020'!$N:$N,Category!W$1,'2020'!$D:$D,Category!$C69)</f>
        <v>0</v>
      </c>
      <c r="X69" s="322">
        <f>SUM(L69:W69)</f>
        <v>0</v>
      </c>
      <c r="Y69" s="500">
        <f>IFERROR(VLOOKUP(C69,'2021'!$D:$G,4,0),0)</f>
        <v>0</v>
      </c>
      <c r="Z69" s="321">
        <f>SUMIFS('2021'!$I:$I,'2021'!$E:$E,Category!$B$26,'2021'!$N:$N,Category!Z$1,'2021'!$D:$D,Category!$C69)</f>
        <v>0</v>
      </c>
      <c r="AA69" s="321">
        <f>SUMIFS('2021'!$I:$I,'2021'!$E:$E,Category!$B$26,'2021'!$N:$N,Category!AA$1,'2021'!$D:$D,Category!$C69)</f>
        <v>0</v>
      </c>
      <c r="AB69" s="321">
        <f>SUMIFS('2021'!$I:$I,'2021'!$E:$E,Category!$B$26,'2021'!$N:$N,Category!AB$1,'2021'!$D:$D,Category!$C69)</f>
        <v>0</v>
      </c>
      <c r="AC69" s="321"/>
      <c r="AD69" s="321"/>
      <c r="AE69" s="321"/>
      <c r="AF69" s="321">
        <f>SUMIFS('2021'!$I:$I,'2021'!$E:$E,Category!$B$26,'2021'!$N:$N,Category!AF$1,'2021'!$D:$D,Category!$C69)</f>
        <v>0</v>
      </c>
      <c r="AG69" s="321">
        <f>SUMIFS('2021'!$I:$I,'2021'!$E:$E,Category!$B$26,'2021'!$N:$N,Category!AG$1,'2021'!$D:$D,Category!$C69)</f>
        <v>0</v>
      </c>
      <c r="AH69" s="321">
        <v>0</v>
      </c>
      <c r="AI69" s="321">
        <v>0</v>
      </c>
      <c r="AJ69" s="321">
        <f>SUMIFS('2021'!$I:$I,'2021'!$E:$E,Category!$B$26,'2021'!$N:$N,Category!AJ$1,'2021'!$D:$D,Category!$C69)</f>
        <v>0</v>
      </c>
      <c r="AK69" s="321">
        <f>SUMIFS('2021'!$I:$I,'2021'!$E:$E,Category!$B$26,'2021'!$N:$N,Category!AK$1,'2021'!$D:$D,Category!$C69)</f>
        <v>0</v>
      </c>
      <c r="AL69" s="322">
        <f>SUM(Z69:AK69)</f>
        <v>0</v>
      </c>
      <c r="AM69" s="500">
        <f>IFERROR(VLOOKUP(C69,'2022'!$D:$G,4,0),0)</f>
        <v>0</v>
      </c>
      <c r="AN69" s="321">
        <f>SUMIFS('2022'!$I:$I,'2022'!$E:$E,Category!$B$26,'2022'!$N:$N,Category!AN$1,'2022'!$D:$D,Category!$C69)</f>
        <v>0</v>
      </c>
      <c r="AO69" s="321">
        <f>SUMIFS('2022'!$I:$I,'2022'!$E:$E,Category!$B$26,'2022'!$N:$N,Category!AO$1,'2022'!$D:$D,Category!$C69)</f>
        <v>0</v>
      </c>
      <c r="AP69" s="321">
        <f>SUMIFS('2022'!$I:$I,'2022'!$E:$E,Category!$B$26,'2022'!$N:$N,Category!AP$1,'2022'!$D:$D,Category!$C69)</f>
        <v>0</v>
      </c>
      <c r="AQ69" s="321">
        <f>SUMIFS('2022'!$I:$I,'2022'!$E:$E,Category!$B$26,'2022'!$N:$N,Category!AQ$1,'2022'!$D:$D,Category!$C69)</f>
        <v>0</v>
      </c>
      <c r="AR69" s="321">
        <f>SUMIFS('2022'!$I:$I,'2022'!$E:$E,Category!$B$26,'2022'!$N:$N,Category!AR$1,'2022'!$D:$D,Category!$C69)</f>
        <v>0</v>
      </c>
      <c r="AS69" s="321">
        <f>SUMIFS('2022'!$I:$I,'2022'!$E:$E,Category!$B$26,'2022'!$N:$N,Category!AS$1,'2022'!$D:$D,Category!$C69)</f>
        <v>0</v>
      </c>
      <c r="AT69" s="321">
        <f>SUMIFS('2022'!$I:$I,'2022'!$E:$E,Category!$B$26,'2022'!$N:$N,Category!AT$1,'2022'!$D:$D,Category!$C69)</f>
        <v>0</v>
      </c>
      <c r="AU69" s="321">
        <f>SUMIFS('2022'!$I:$I,'2022'!$E:$E,Category!$B$26,'2022'!$N:$N,Category!AU$1,'2022'!$D:$D,Category!$C69)</f>
        <v>0</v>
      </c>
      <c r="AV69" s="321">
        <f>SUMIFS('2022'!$I:$I,'2022'!$E:$E,Category!$B$26,'2022'!$N:$N,Category!AV$1,'2022'!$D:$D,Category!$C69)</f>
        <v>0</v>
      </c>
      <c r="AW69" s="321">
        <f>SUMIFS('2022'!$I:$I,'2022'!$E:$E,Category!$B$26,'2022'!$N:$N,Category!AW$1,'2022'!$D:$D,Category!$C69)</f>
        <v>0</v>
      </c>
      <c r="AX69" s="321">
        <f>SUMIFS('2022'!$I:$I,'2022'!$E:$E,Category!$B$26,'2022'!$N:$N,Category!AX$1,'2022'!$D:$D,Category!$C69)</f>
        <v>0</v>
      </c>
      <c r="AY69" s="321">
        <f>SUMIFS('2022'!$I:$I,'2022'!$E:$E,Category!$B$26,'2022'!$N:$N,Category!AY$1,'2022'!$D:$D,Category!$C69)</f>
        <v>0</v>
      </c>
      <c r="AZ69" s="322">
        <f>SUM(AN69:AY69)</f>
        <v>0</v>
      </c>
      <c r="BA69" s="500">
        <f>IFERROR(VLOOKUP(C69,'2023'!$D:$G,4,0),0)</f>
        <v>0</v>
      </c>
      <c r="BB69" s="321">
        <f>SUMIFS('2023'!$I:$I,'2023'!$E:$E,Category!$B$26,'2023'!$N:$N,Category!BB$1,'2023'!$D:$D,Category!$C69)</f>
        <v>0</v>
      </c>
      <c r="BC69" s="321">
        <f>SUMIFS('2023'!$I:$I,'2023'!$E:$E,Category!$B$26,'2023'!$N:$N,Category!BC$1,'2023'!$D:$D,Category!$C69)</f>
        <v>0</v>
      </c>
      <c r="BD69" s="321">
        <f>SUMIFS('2023'!$I:$I,'2023'!$E:$E,Category!$B$26,'2023'!$N:$N,Category!BD$1,'2023'!$D:$D,Category!$C69)</f>
        <v>0</v>
      </c>
      <c r="BE69" s="321">
        <f>SUMIFS('2023'!$I:$I,'2023'!$E:$E,Category!$B$26,'2023'!$N:$N,Category!BE$1,'2023'!$D:$D,Category!$C69)</f>
        <v>0</v>
      </c>
      <c r="BF69" s="321">
        <f>SUMIFS('2023'!$I:$I,'2023'!$E:$E,Category!$B$26,'2023'!$N:$N,Category!BF$1,'2023'!$D:$D,Category!$C69)</f>
        <v>0</v>
      </c>
      <c r="BG69" s="321">
        <f>SUMIFS('2023'!$I:$I,'2023'!$E:$E,Category!$B$26,'2023'!$N:$N,Category!BG$1,'2023'!$D:$D,Category!$C69)</f>
        <v>0</v>
      </c>
      <c r="BH69" s="321">
        <f>SUMIFS('2023'!$I:$I,'2023'!$E:$E,Category!$B$26,'2023'!$N:$N,Category!BH$1,'2023'!$D:$D,Category!$C69)</f>
        <v>0</v>
      </c>
      <c r="BI69" s="321">
        <f>SUMIFS('2023'!$I:$I,'2023'!$E:$E,Category!$B$26,'2023'!$N:$N,Category!BI$1,'2023'!$D:$D,Category!$C69)</f>
        <v>0</v>
      </c>
      <c r="BJ69" s="321">
        <f>SUMIFS('2023'!$I:$I,'2023'!$E:$E,Category!$B$26,'2023'!$N:$N,Category!BJ$1,'2023'!$D:$D,Category!$C69)</f>
        <v>0</v>
      </c>
      <c r="BK69" s="321">
        <f>SUMIFS('2023'!$I:$I,'2023'!$E:$E,Category!$B$26,'2023'!$N:$N,Category!BK$1,'2023'!$D:$D,Category!$C69)</f>
        <v>0</v>
      </c>
      <c r="BL69" s="321">
        <f>SUMIFS('2023'!$I:$I,'2023'!$E:$E,Category!$B$26,'2023'!$N:$N,Category!BL$1,'2023'!$D:$D,Category!$C69)</f>
        <v>0</v>
      </c>
      <c r="BM69" s="321">
        <f>SUMIFS('2023'!$I:$I,'2023'!$E:$E,Category!$B$26,'2023'!$N:$N,Category!BM$1,'2023'!$D:$D,Category!$C69)</f>
        <v>0</v>
      </c>
      <c r="BN69" s="322">
        <f t="shared" si="22"/>
        <v>0</v>
      </c>
      <c r="BP69" s="247"/>
      <c r="BQ69" s="247"/>
      <c r="BR69" s="247"/>
      <c r="BS69" s="247"/>
      <c r="BT69" s="247"/>
      <c r="BU69" s="247"/>
      <c r="BV69" s="247"/>
      <c r="BW69" s="247"/>
    </row>
    <row r="70" spans="1:75" x14ac:dyDescent="0.3">
      <c r="A70" s="327"/>
      <c r="B70" s="324"/>
      <c r="C70" s="324"/>
      <c r="D70" s="516">
        <f>IFERROR(VLOOKUP($C70,'2019'!$D:$G,4,0),0)</f>
        <v>0</v>
      </c>
      <c r="E70" s="321">
        <f>SUMIFS('2019'!$I:$I,'2019'!$E:$E,Category!$B$26,'2019'!$N:$N,Category!E$1,'2019'!$D:$D,Category!$C70)</f>
        <v>0</v>
      </c>
      <c r="F70" s="321">
        <f>SUMIFS('2019'!$I:$I,'2019'!$E:$E,Category!$B$26,'2019'!$N:$N,Category!F$1,'2019'!$D:$D,Category!$C70)</f>
        <v>0</v>
      </c>
      <c r="G70" s="321">
        <f>SUMIFS('2019'!$I:$I,'2019'!$E:$E,Category!$B$26,'2019'!$N:$N,Category!G$1,'2019'!$D:$D,Category!$C70)</f>
        <v>0</v>
      </c>
      <c r="H70" s="321">
        <f>SUMIFS('2019'!$I:$I,'2019'!$E:$E,Category!$B$26,'2019'!$N:$N,Category!H$1,'2019'!$D:$D,Category!$C70)</f>
        <v>0</v>
      </c>
      <c r="I70" s="321">
        <f>SUMIFS('2019'!$I:$I,'2019'!$E:$E,Category!$B$26,'2019'!$N:$N,Category!I$1,'2019'!$D:$D,Category!$C70)</f>
        <v>0</v>
      </c>
      <c r="J70" s="322">
        <f>SUM(E70:I70)</f>
        <v>0</v>
      </c>
      <c r="K70" s="500">
        <f>IFERROR(VLOOKUP($C70,'2020'!$D:$G,4,0),0)</f>
        <v>0</v>
      </c>
      <c r="L70" s="321">
        <f>SUMIFS('2020'!$I:$I,'2020'!$E:$E,Category!$B$26,'2020'!$N:$N,Category!L$1,'2020'!$D:$D,Category!$C70)</f>
        <v>0</v>
      </c>
      <c r="M70" s="321">
        <f>SUMIFS('2020'!$I:$I,'2020'!$E:$E,Category!$B$26,'2020'!$N:$N,Category!M$1,'2020'!$D:$D,Category!$C70)</f>
        <v>0</v>
      </c>
      <c r="N70" s="321">
        <f>SUMIFS('2020'!$I:$I,'2020'!$E:$E,Category!$B$26,'2020'!$N:$N,Category!N$1,'2020'!$D:$D,Category!$C70)</f>
        <v>0</v>
      </c>
      <c r="O70" s="321">
        <f>SUMIFS('2020'!$I:$I,'2020'!$E:$E,Category!$B$26,'2020'!$N:$N,Category!O$1,'2020'!$D:$D,Category!$C70)</f>
        <v>0</v>
      </c>
      <c r="P70" s="321">
        <f>SUMIFS('2020'!$I:$I,'2020'!$E:$E,Category!$B$26,'2020'!$N:$N,Category!P$1,'2020'!$D:$D,Category!$C70)</f>
        <v>0</v>
      </c>
      <c r="Q70" s="321">
        <f>SUMIFS('2020'!$I:$I,'2020'!$E:$E,Category!$B$26,'2020'!$N:$N,Category!Q$1,'2020'!$D:$D,Category!$C70)</f>
        <v>0</v>
      </c>
      <c r="R70" s="321">
        <f>SUMIFS('2020'!$I:$I,'2020'!$E:$E,Category!$B$26,'2020'!$N:$N,Category!R$1,'2020'!$D:$D,Category!$C70)</f>
        <v>0</v>
      </c>
      <c r="S70" s="321">
        <f>SUMIFS('2020'!$I:$I,'2020'!$E:$E,Category!$B$26,'2020'!$N:$N,Category!S$1,'2020'!$D:$D,Category!$C70)</f>
        <v>0</v>
      </c>
      <c r="T70" s="321">
        <f>SUMIFS('2020'!$I:$I,'2020'!$E:$E,Category!$B$26,'2020'!$N:$N,Category!T$1,'2020'!$D:$D,Category!$C70)</f>
        <v>0</v>
      </c>
      <c r="U70" s="321">
        <f>SUMIFS('2020'!$I:$I,'2020'!$E:$E,Category!$B$26,'2020'!$N:$N,Category!U$1,'2020'!$D:$D,Category!$C70)</f>
        <v>0</v>
      </c>
      <c r="V70" s="321">
        <f>SUMIFS('2020'!$I:$I,'2020'!$E:$E,Category!$B$26,'2020'!$N:$N,Category!V$1,'2020'!$D:$D,Category!$C70)</f>
        <v>0</v>
      </c>
      <c r="W70" s="321">
        <f>SUMIFS('2020'!$I:$I,'2020'!$E:$E,Category!$B$26,'2020'!$N:$N,Category!W$1,'2020'!$D:$D,Category!$C70)</f>
        <v>0</v>
      </c>
      <c r="X70" s="322">
        <f>SUM(L70:W70)</f>
        <v>0</v>
      </c>
      <c r="Y70" s="500">
        <f>IFERROR(VLOOKUP(C70,'2021'!$D:$G,4,0),0)</f>
        <v>0</v>
      </c>
      <c r="Z70" s="321">
        <f>SUMIFS('2021'!$I:$I,'2021'!$E:$E,Category!$B$26,'2021'!$N:$N,Category!Z$1,'2021'!$D:$D,Category!$C70)</f>
        <v>0</v>
      </c>
      <c r="AA70" s="321">
        <f>SUMIFS('2021'!$I:$I,'2021'!$E:$E,Category!$B$26,'2021'!$N:$N,Category!AA$1,'2021'!$D:$D,Category!$C70)</f>
        <v>0</v>
      </c>
      <c r="AB70" s="321">
        <f>SUMIFS('2021'!$I:$I,'2021'!$E:$E,Category!$B$26,'2021'!$N:$N,Category!AB$1,'2021'!$D:$D,Category!$C70)</f>
        <v>0</v>
      </c>
      <c r="AC70" s="321"/>
      <c r="AD70" s="321"/>
      <c r="AE70" s="321"/>
      <c r="AF70" s="321">
        <f>SUMIFS('2021'!$I:$I,'2021'!$E:$E,Category!$B$26,'2021'!$N:$N,Category!AF$1,'2021'!$D:$D,Category!$C70)</f>
        <v>0</v>
      </c>
      <c r="AG70" s="321">
        <f>SUMIFS('2021'!$I:$I,'2021'!$E:$E,Category!$B$26,'2021'!$N:$N,Category!AG$1,'2021'!$D:$D,Category!$C70)</f>
        <v>0</v>
      </c>
      <c r="AH70" s="321">
        <v>0</v>
      </c>
      <c r="AI70" s="321">
        <v>0</v>
      </c>
      <c r="AJ70" s="321">
        <f>SUMIFS('2021'!$I:$I,'2021'!$E:$E,Category!$B$26,'2021'!$N:$N,Category!AJ$1,'2021'!$D:$D,Category!$C70)</f>
        <v>0</v>
      </c>
      <c r="AK70" s="321">
        <f>SUMIFS('2021'!$I:$I,'2021'!$E:$E,Category!$B$26,'2021'!$N:$N,Category!AK$1,'2021'!$D:$D,Category!$C70)</f>
        <v>0</v>
      </c>
      <c r="AL70" s="322">
        <f>SUM(Z70:AK70)</f>
        <v>0</v>
      </c>
      <c r="AM70" s="500">
        <f>IFERROR(VLOOKUP(C70,'2022'!$D:$G,4,0),0)</f>
        <v>0</v>
      </c>
      <c r="AN70" s="321">
        <f>SUMIFS('2022'!$I:$I,'2022'!$E:$E,Category!$B$26,'2022'!$N:$N,Category!AN$1,'2022'!$D:$D,Category!$C70)</f>
        <v>0</v>
      </c>
      <c r="AO70" s="321">
        <f>SUMIFS('2022'!$I:$I,'2022'!$E:$E,Category!$B$26,'2022'!$N:$N,Category!AO$1,'2022'!$D:$D,Category!$C70)</f>
        <v>0</v>
      </c>
      <c r="AP70" s="321">
        <f>SUMIFS('2022'!$I:$I,'2022'!$E:$E,Category!$B$26,'2022'!$N:$N,Category!AP$1,'2022'!$D:$D,Category!$C70)</f>
        <v>0</v>
      </c>
      <c r="AQ70" s="321">
        <f>SUMIFS('2022'!$I:$I,'2022'!$E:$E,Category!$B$26,'2022'!$N:$N,Category!AQ$1,'2022'!$D:$D,Category!$C70)</f>
        <v>0</v>
      </c>
      <c r="AR70" s="321">
        <f>SUMIFS('2022'!$I:$I,'2022'!$E:$E,Category!$B$26,'2022'!$N:$N,Category!AR$1,'2022'!$D:$D,Category!$C70)</f>
        <v>0</v>
      </c>
      <c r="AS70" s="321">
        <f>SUMIFS('2022'!$I:$I,'2022'!$E:$E,Category!$B$26,'2022'!$N:$N,Category!AS$1,'2022'!$D:$D,Category!$C70)</f>
        <v>0</v>
      </c>
      <c r="AT70" s="321">
        <f>SUMIFS('2022'!$I:$I,'2022'!$E:$E,Category!$B$26,'2022'!$N:$N,Category!AT$1,'2022'!$D:$D,Category!$C70)</f>
        <v>0</v>
      </c>
      <c r="AU70" s="321">
        <f>SUMIFS('2022'!$I:$I,'2022'!$E:$E,Category!$B$26,'2022'!$N:$N,Category!AU$1,'2022'!$D:$D,Category!$C70)</f>
        <v>0</v>
      </c>
      <c r="AV70" s="321">
        <f>SUMIFS('2022'!$I:$I,'2022'!$E:$E,Category!$B$26,'2022'!$N:$N,Category!AV$1,'2022'!$D:$D,Category!$C70)</f>
        <v>0</v>
      </c>
      <c r="AW70" s="321">
        <f>SUMIFS('2022'!$I:$I,'2022'!$E:$E,Category!$B$26,'2022'!$N:$N,Category!AW$1,'2022'!$D:$D,Category!$C70)</f>
        <v>0</v>
      </c>
      <c r="AX70" s="321">
        <f>SUMIFS('2022'!$I:$I,'2022'!$E:$E,Category!$B$26,'2022'!$N:$N,Category!AX$1,'2022'!$D:$D,Category!$C70)</f>
        <v>0</v>
      </c>
      <c r="AY70" s="321">
        <f>SUMIFS('2022'!$I:$I,'2022'!$E:$E,Category!$B$26,'2022'!$N:$N,Category!AY$1,'2022'!$D:$D,Category!$C70)</f>
        <v>0</v>
      </c>
      <c r="AZ70" s="322">
        <f>SUM(AN70:AY70)</f>
        <v>0</v>
      </c>
      <c r="BA70" s="500">
        <f>IFERROR(VLOOKUP(C70,'2023'!$D:$G,4,0),0)</f>
        <v>0</v>
      </c>
      <c r="BB70" s="321">
        <f>SUMIFS('2023'!$I:$I,'2023'!$E:$E,Category!$B$26,'2023'!$N:$N,Category!BB$1,'2023'!$D:$D,Category!$C70)</f>
        <v>0</v>
      </c>
      <c r="BC70" s="321">
        <f>SUMIFS('2023'!$I:$I,'2023'!$E:$E,Category!$B$26,'2023'!$N:$N,Category!BC$1,'2023'!$D:$D,Category!$C70)</f>
        <v>0</v>
      </c>
      <c r="BD70" s="321">
        <f>SUMIFS('2023'!$I:$I,'2023'!$E:$E,Category!$B$26,'2023'!$N:$N,Category!BD$1,'2023'!$D:$D,Category!$C70)</f>
        <v>0</v>
      </c>
      <c r="BE70" s="321">
        <f>SUMIFS('2023'!$I:$I,'2023'!$E:$E,Category!$B$26,'2023'!$N:$N,Category!BE$1,'2023'!$D:$D,Category!$C70)</f>
        <v>0</v>
      </c>
      <c r="BF70" s="321">
        <f>SUMIFS('2023'!$I:$I,'2023'!$E:$E,Category!$B$26,'2023'!$N:$N,Category!BF$1,'2023'!$D:$D,Category!$C70)</f>
        <v>0</v>
      </c>
      <c r="BG70" s="321">
        <f>SUMIFS('2023'!$I:$I,'2023'!$E:$E,Category!$B$26,'2023'!$N:$N,Category!BG$1,'2023'!$D:$D,Category!$C70)</f>
        <v>0</v>
      </c>
      <c r="BH70" s="321">
        <f>SUMIFS('2023'!$I:$I,'2023'!$E:$E,Category!$B$26,'2023'!$N:$N,Category!BH$1,'2023'!$D:$D,Category!$C70)</f>
        <v>0</v>
      </c>
      <c r="BI70" s="321">
        <f>SUMIFS('2023'!$I:$I,'2023'!$E:$E,Category!$B$26,'2023'!$N:$N,Category!BI$1,'2023'!$D:$D,Category!$C70)</f>
        <v>0</v>
      </c>
      <c r="BJ70" s="321">
        <f>SUMIFS('2023'!$I:$I,'2023'!$E:$E,Category!$B$26,'2023'!$N:$N,Category!BJ$1,'2023'!$D:$D,Category!$C70)</f>
        <v>0</v>
      </c>
      <c r="BK70" s="321">
        <f>SUMIFS('2023'!$I:$I,'2023'!$E:$E,Category!$B$26,'2023'!$N:$N,Category!BK$1,'2023'!$D:$D,Category!$C70)</f>
        <v>0</v>
      </c>
      <c r="BL70" s="321">
        <f>SUMIFS('2023'!$I:$I,'2023'!$E:$E,Category!$B$26,'2023'!$N:$N,Category!BL$1,'2023'!$D:$D,Category!$C70)</f>
        <v>0</v>
      </c>
      <c r="BM70" s="321">
        <f>SUMIFS('2023'!$I:$I,'2023'!$E:$E,Category!$B$26,'2023'!$N:$N,Category!BM$1,'2023'!$D:$D,Category!$C70)</f>
        <v>0</v>
      </c>
      <c r="BN70" s="322">
        <f t="shared" si="22"/>
        <v>0</v>
      </c>
      <c r="BP70" s="247"/>
      <c r="BQ70" s="247"/>
      <c r="BR70" s="247"/>
      <c r="BS70" s="247"/>
      <c r="BT70" s="247"/>
      <c r="BU70" s="247"/>
      <c r="BV70" s="247"/>
      <c r="BW70" s="247"/>
    </row>
    <row r="71" spans="1:75" x14ac:dyDescent="0.3">
      <c r="A71" s="327"/>
      <c r="B71" s="324"/>
      <c r="C71" s="324"/>
      <c r="D71" s="516">
        <f>IFERROR(VLOOKUP($C71,'2019'!$D:$G,4,0),0)</f>
        <v>0</v>
      </c>
      <c r="E71" s="321">
        <f>SUMIFS('2019'!$I:$I,'2019'!$E:$E,Category!$B$26,'2019'!$N:$N,Category!E$1,'2019'!$D:$D,Category!$C71)</f>
        <v>0</v>
      </c>
      <c r="F71" s="321">
        <f>SUMIFS('2019'!$I:$I,'2019'!$E:$E,Category!$B$26,'2019'!$N:$N,Category!F$1,'2019'!$D:$D,Category!$C71)</f>
        <v>0</v>
      </c>
      <c r="G71" s="321">
        <f>SUMIFS('2019'!$I:$I,'2019'!$E:$E,Category!$B$26,'2019'!$N:$N,Category!G$1,'2019'!$D:$D,Category!$C71)</f>
        <v>0</v>
      </c>
      <c r="H71" s="321">
        <f>SUMIFS('2019'!$I:$I,'2019'!$E:$E,Category!$B$26,'2019'!$N:$N,Category!H$1,'2019'!$D:$D,Category!$C71)</f>
        <v>0</v>
      </c>
      <c r="I71" s="321">
        <f>SUMIFS('2019'!$I:$I,'2019'!$E:$E,Category!$B$26,'2019'!$N:$N,Category!I$1,'2019'!$D:$D,Category!$C71)</f>
        <v>0</v>
      </c>
      <c r="J71" s="322">
        <f>SUM(E71:I71)</f>
        <v>0</v>
      </c>
      <c r="K71" s="500">
        <f>IFERROR(VLOOKUP($C71,'2020'!$D:$G,4,0),0)</f>
        <v>0</v>
      </c>
      <c r="L71" s="321">
        <f>SUMIFS('2020'!$I:$I,'2020'!$E:$E,Category!$B$26,'2020'!$N:$N,Category!L$1,'2020'!$D:$D,Category!$C71)</f>
        <v>0</v>
      </c>
      <c r="M71" s="321">
        <f>SUMIFS('2020'!$I:$I,'2020'!$E:$E,Category!$B$26,'2020'!$N:$N,Category!M$1,'2020'!$D:$D,Category!$C71)</f>
        <v>0</v>
      </c>
      <c r="N71" s="321">
        <f>SUMIFS('2020'!$I:$I,'2020'!$E:$E,Category!$B$26,'2020'!$N:$N,Category!N$1,'2020'!$D:$D,Category!$C71)</f>
        <v>0</v>
      </c>
      <c r="O71" s="321">
        <f>SUMIFS('2020'!$I:$I,'2020'!$E:$E,Category!$B$26,'2020'!$N:$N,Category!O$1,'2020'!$D:$D,Category!$C71)</f>
        <v>0</v>
      </c>
      <c r="P71" s="321">
        <f>SUMIFS('2020'!$I:$I,'2020'!$E:$E,Category!$B$26,'2020'!$N:$N,Category!P$1,'2020'!$D:$D,Category!$C71)</f>
        <v>0</v>
      </c>
      <c r="Q71" s="321">
        <f>SUMIFS('2020'!$I:$I,'2020'!$E:$E,Category!$B$26,'2020'!$N:$N,Category!Q$1,'2020'!$D:$D,Category!$C71)</f>
        <v>0</v>
      </c>
      <c r="R71" s="321">
        <f>SUMIFS('2020'!$I:$I,'2020'!$E:$E,Category!$B$26,'2020'!$N:$N,Category!R$1,'2020'!$D:$D,Category!$C71)</f>
        <v>0</v>
      </c>
      <c r="S71" s="321">
        <f>SUMIFS('2020'!$I:$I,'2020'!$E:$E,Category!$B$26,'2020'!$N:$N,Category!S$1,'2020'!$D:$D,Category!$C71)</f>
        <v>0</v>
      </c>
      <c r="T71" s="321">
        <f>SUMIFS('2020'!$I:$I,'2020'!$E:$E,Category!$B$26,'2020'!$N:$N,Category!T$1,'2020'!$D:$D,Category!$C71)</f>
        <v>0</v>
      </c>
      <c r="U71" s="321">
        <f>SUMIFS('2020'!$I:$I,'2020'!$E:$E,Category!$B$26,'2020'!$N:$N,Category!U$1,'2020'!$D:$D,Category!$C71)</f>
        <v>0</v>
      </c>
      <c r="V71" s="321">
        <f>SUMIFS('2020'!$I:$I,'2020'!$E:$E,Category!$B$26,'2020'!$N:$N,Category!V$1,'2020'!$D:$D,Category!$C71)</f>
        <v>0</v>
      </c>
      <c r="W71" s="321">
        <f>SUMIFS('2020'!$I:$I,'2020'!$E:$E,Category!$B$26,'2020'!$N:$N,Category!W$1,'2020'!$D:$D,Category!$C71)</f>
        <v>0</v>
      </c>
      <c r="X71" s="322">
        <f>SUM(L71:W71)</f>
        <v>0</v>
      </c>
      <c r="Y71" s="500">
        <f>IFERROR(VLOOKUP(C71,'2021'!$D:$G,4,0),0)</f>
        <v>0</v>
      </c>
      <c r="Z71" s="321">
        <f>SUMIFS('2021'!$I:$I,'2021'!$E:$E,Category!$B$26,'2021'!$N:$N,Category!Z$1,'2021'!$D:$D,Category!$C71)</f>
        <v>0</v>
      </c>
      <c r="AA71" s="321">
        <f>SUMIFS('2021'!$I:$I,'2021'!$E:$E,Category!$B$26,'2021'!$N:$N,Category!AA$1,'2021'!$D:$D,Category!$C71)</f>
        <v>0</v>
      </c>
      <c r="AB71" s="321">
        <f>SUMIFS('2021'!$I:$I,'2021'!$E:$E,Category!$B$26,'2021'!$N:$N,Category!AB$1,'2021'!$D:$D,Category!$C71)</f>
        <v>0</v>
      </c>
      <c r="AC71" s="321"/>
      <c r="AD71" s="321"/>
      <c r="AE71" s="321"/>
      <c r="AF71" s="321">
        <f>SUMIFS('2021'!$I:$I,'2021'!$E:$E,Category!$B$26,'2021'!$N:$N,Category!AF$1,'2021'!$D:$D,Category!$C71)</f>
        <v>0</v>
      </c>
      <c r="AG71" s="321">
        <f>SUMIFS('2021'!$I:$I,'2021'!$E:$E,Category!$B$26,'2021'!$N:$N,Category!AG$1,'2021'!$D:$D,Category!$C71)</f>
        <v>0</v>
      </c>
      <c r="AH71" s="321">
        <v>0</v>
      </c>
      <c r="AI71" s="321">
        <v>0</v>
      </c>
      <c r="AJ71" s="321">
        <f>SUMIFS('2021'!$I:$I,'2021'!$E:$E,Category!$B$26,'2021'!$N:$N,Category!AJ$1,'2021'!$D:$D,Category!$C71)</f>
        <v>0</v>
      </c>
      <c r="AK71" s="321">
        <f>SUMIFS('2021'!$I:$I,'2021'!$E:$E,Category!$B$26,'2021'!$N:$N,Category!AK$1,'2021'!$D:$D,Category!$C71)</f>
        <v>0</v>
      </c>
      <c r="AL71" s="322">
        <f>SUM(Z71:AK71)</f>
        <v>0</v>
      </c>
      <c r="AM71" s="500">
        <f>IFERROR(VLOOKUP(C71,'2022'!$D:$G,4,0),0)</f>
        <v>0</v>
      </c>
      <c r="AN71" s="321">
        <f>SUMIFS('2022'!$I:$I,'2022'!$E:$E,Category!$B$26,'2022'!$N:$N,Category!AN$1,'2022'!$D:$D,Category!$C71)</f>
        <v>0</v>
      </c>
      <c r="AO71" s="321">
        <f>SUMIFS('2022'!$I:$I,'2022'!$E:$E,Category!$B$26,'2022'!$N:$N,Category!AO$1,'2022'!$D:$D,Category!$C71)</f>
        <v>0</v>
      </c>
      <c r="AP71" s="321">
        <f>SUMIFS('2022'!$I:$I,'2022'!$E:$E,Category!$B$26,'2022'!$N:$N,Category!AP$1,'2022'!$D:$D,Category!$C71)</f>
        <v>0</v>
      </c>
      <c r="AQ71" s="321">
        <f>SUMIFS('2022'!$I:$I,'2022'!$E:$E,Category!$B$26,'2022'!$N:$N,Category!AQ$1,'2022'!$D:$D,Category!$C71)</f>
        <v>0</v>
      </c>
      <c r="AR71" s="321">
        <f>SUMIFS('2022'!$I:$I,'2022'!$E:$E,Category!$B$26,'2022'!$N:$N,Category!AR$1,'2022'!$D:$D,Category!$C71)</f>
        <v>0</v>
      </c>
      <c r="AS71" s="321">
        <f>SUMIFS('2022'!$I:$I,'2022'!$E:$E,Category!$B$26,'2022'!$N:$N,Category!AS$1,'2022'!$D:$D,Category!$C71)</f>
        <v>0</v>
      </c>
      <c r="AT71" s="321">
        <f>SUMIFS('2022'!$I:$I,'2022'!$E:$E,Category!$B$26,'2022'!$N:$N,Category!AT$1,'2022'!$D:$D,Category!$C71)</f>
        <v>0</v>
      </c>
      <c r="AU71" s="321">
        <f>SUMIFS('2022'!$I:$I,'2022'!$E:$E,Category!$B$26,'2022'!$N:$N,Category!AU$1,'2022'!$D:$D,Category!$C71)</f>
        <v>0</v>
      </c>
      <c r="AV71" s="321">
        <f>SUMIFS('2022'!$I:$I,'2022'!$E:$E,Category!$B$26,'2022'!$N:$N,Category!AV$1,'2022'!$D:$D,Category!$C71)</f>
        <v>0</v>
      </c>
      <c r="AW71" s="321">
        <f>SUMIFS('2022'!$I:$I,'2022'!$E:$E,Category!$B$26,'2022'!$N:$N,Category!AW$1,'2022'!$D:$D,Category!$C71)</f>
        <v>0</v>
      </c>
      <c r="AX71" s="321">
        <f>SUMIFS('2022'!$I:$I,'2022'!$E:$E,Category!$B$26,'2022'!$N:$N,Category!AX$1,'2022'!$D:$D,Category!$C71)</f>
        <v>0</v>
      </c>
      <c r="AY71" s="321">
        <f>SUMIFS('2022'!$I:$I,'2022'!$E:$E,Category!$B$26,'2022'!$N:$N,Category!AY$1,'2022'!$D:$D,Category!$C71)</f>
        <v>0</v>
      </c>
      <c r="AZ71" s="322">
        <f>SUM(AN71:AY71)</f>
        <v>0</v>
      </c>
      <c r="BA71" s="500">
        <f>IFERROR(VLOOKUP(C71,'2023'!$D:$G,4,0),0)</f>
        <v>0</v>
      </c>
      <c r="BB71" s="321">
        <f>SUMIFS('2023'!$I:$I,'2023'!$E:$E,Category!$B$26,'2023'!$N:$N,Category!BB$1,'2023'!$D:$D,Category!$C71)</f>
        <v>0</v>
      </c>
      <c r="BC71" s="321">
        <f>SUMIFS('2023'!$I:$I,'2023'!$E:$E,Category!$B$26,'2023'!$N:$N,Category!BC$1,'2023'!$D:$D,Category!$C71)</f>
        <v>0</v>
      </c>
      <c r="BD71" s="321">
        <f>SUMIFS('2023'!$I:$I,'2023'!$E:$E,Category!$B$26,'2023'!$N:$N,Category!BD$1,'2023'!$D:$D,Category!$C71)</f>
        <v>0</v>
      </c>
      <c r="BE71" s="321">
        <f>SUMIFS('2023'!$I:$I,'2023'!$E:$E,Category!$B$26,'2023'!$N:$N,Category!BE$1,'2023'!$D:$D,Category!$C71)</f>
        <v>0</v>
      </c>
      <c r="BF71" s="321">
        <f>SUMIFS('2023'!$I:$I,'2023'!$E:$E,Category!$B$26,'2023'!$N:$N,Category!BF$1,'2023'!$D:$D,Category!$C71)</f>
        <v>0</v>
      </c>
      <c r="BG71" s="321">
        <f>SUMIFS('2023'!$I:$I,'2023'!$E:$E,Category!$B$26,'2023'!$N:$N,Category!BG$1,'2023'!$D:$D,Category!$C71)</f>
        <v>0</v>
      </c>
      <c r="BH71" s="321">
        <f>SUMIFS('2023'!$I:$I,'2023'!$E:$E,Category!$B$26,'2023'!$N:$N,Category!BH$1,'2023'!$D:$D,Category!$C71)</f>
        <v>0</v>
      </c>
      <c r="BI71" s="321">
        <f>SUMIFS('2023'!$I:$I,'2023'!$E:$E,Category!$B$26,'2023'!$N:$N,Category!BI$1,'2023'!$D:$D,Category!$C71)</f>
        <v>0</v>
      </c>
      <c r="BJ71" s="321">
        <f>SUMIFS('2023'!$I:$I,'2023'!$E:$E,Category!$B$26,'2023'!$N:$N,Category!BJ$1,'2023'!$D:$D,Category!$C71)</f>
        <v>0</v>
      </c>
      <c r="BK71" s="321">
        <f>SUMIFS('2023'!$I:$I,'2023'!$E:$E,Category!$B$26,'2023'!$N:$N,Category!BK$1,'2023'!$D:$D,Category!$C71)</f>
        <v>0</v>
      </c>
      <c r="BL71" s="321">
        <f>SUMIFS('2023'!$I:$I,'2023'!$E:$E,Category!$B$26,'2023'!$N:$N,Category!BL$1,'2023'!$D:$D,Category!$C71)</f>
        <v>0</v>
      </c>
      <c r="BM71" s="321">
        <f>SUMIFS('2023'!$I:$I,'2023'!$E:$E,Category!$B$26,'2023'!$N:$N,Category!BM$1,'2023'!$D:$D,Category!$C71)</f>
        <v>0</v>
      </c>
      <c r="BN71" s="322">
        <f t="shared" si="22"/>
        <v>0</v>
      </c>
    </row>
    <row r="72" spans="1:75" x14ac:dyDescent="0.3">
      <c r="A72" s="327"/>
      <c r="B72" s="324"/>
      <c r="C72" s="324"/>
      <c r="D72" s="516">
        <f>IFERROR(VLOOKUP($C72,'2019'!$D:$G,4,0),0)</f>
        <v>0</v>
      </c>
      <c r="E72" s="321">
        <f>SUMIFS('2019'!$I:$I,'2019'!$E:$E,Category!$B$26,'2019'!$N:$N,Category!E$1,'2019'!$D:$D,Category!$C72)</f>
        <v>0</v>
      </c>
      <c r="F72" s="321">
        <f>SUMIFS('2019'!$I:$I,'2019'!$E:$E,Category!$B$26,'2019'!$N:$N,Category!F$1,'2019'!$D:$D,Category!$C72)</f>
        <v>0</v>
      </c>
      <c r="G72" s="321">
        <f>SUMIFS('2019'!$I:$I,'2019'!$E:$E,Category!$B$26,'2019'!$N:$N,Category!G$1,'2019'!$D:$D,Category!$C72)</f>
        <v>0</v>
      </c>
      <c r="H72" s="321">
        <f>SUMIFS('2019'!$I:$I,'2019'!$E:$E,Category!$B$26,'2019'!$N:$N,Category!H$1,'2019'!$D:$D,Category!$C72)</f>
        <v>0</v>
      </c>
      <c r="I72" s="321">
        <f>SUMIFS('2019'!$I:$I,'2019'!$E:$E,Category!$B$26,'2019'!$N:$N,Category!I$1,'2019'!$D:$D,Category!$C72)</f>
        <v>0</v>
      </c>
      <c r="J72" s="322">
        <f>SUM(E72:I72)</f>
        <v>0</v>
      </c>
      <c r="K72" s="500">
        <f>IFERROR(VLOOKUP($C72,'2020'!$D:$G,4,0),0)</f>
        <v>0</v>
      </c>
      <c r="L72" s="321">
        <f>SUMIFS('2020'!$I:$I,'2020'!$E:$E,Category!$B$26,'2020'!$N:$N,Category!L$1,'2020'!$D:$D,Category!$C72)</f>
        <v>0</v>
      </c>
      <c r="M72" s="321">
        <f>SUMIFS('2020'!$I:$I,'2020'!$E:$E,Category!$B$26,'2020'!$N:$N,Category!M$1,'2020'!$D:$D,Category!$C72)</f>
        <v>0</v>
      </c>
      <c r="N72" s="321">
        <f>SUMIFS('2020'!$I:$I,'2020'!$E:$E,Category!$B$26,'2020'!$N:$N,Category!N$1,'2020'!$D:$D,Category!$C72)</f>
        <v>0</v>
      </c>
      <c r="O72" s="321">
        <f>SUMIFS('2020'!$I:$I,'2020'!$E:$E,Category!$B$26,'2020'!$N:$N,Category!O$1,'2020'!$D:$D,Category!$C72)</f>
        <v>0</v>
      </c>
      <c r="P72" s="321">
        <f>SUMIFS('2020'!$I:$I,'2020'!$E:$E,Category!$B$26,'2020'!$N:$N,Category!P$1,'2020'!$D:$D,Category!$C72)</f>
        <v>0</v>
      </c>
      <c r="Q72" s="321">
        <f>SUMIFS('2020'!$I:$I,'2020'!$E:$E,Category!$B$26,'2020'!$N:$N,Category!Q$1,'2020'!$D:$D,Category!$C72)</f>
        <v>0</v>
      </c>
      <c r="R72" s="321">
        <f>SUMIFS('2020'!$I:$I,'2020'!$E:$E,Category!$B$26,'2020'!$N:$N,Category!R$1,'2020'!$D:$D,Category!$C72)</f>
        <v>0</v>
      </c>
      <c r="S72" s="321">
        <f>SUMIFS('2020'!$I:$I,'2020'!$E:$E,Category!$B$26,'2020'!$N:$N,Category!S$1,'2020'!$D:$D,Category!$C72)</f>
        <v>0</v>
      </c>
      <c r="T72" s="321">
        <f>SUMIFS('2020'!$I:$I,'2020'!$E:$E,Category!$B$26,'2020'!$N:$N,Category!T$1,'2020'!$D:$D,Category!$C72)</f>
        <v>0</v>
      </c>
      <c r="U72" s="321">
        <f>SUMIFS('2020'!$I:$I,'2020'!$E:$E,Category!$B$26,'2020'!$N:$N,Category!U$1,'2020'!$D:$D,Category!$C72)</f>
        <v>0</v>
      </c>
      <c r="V72" s="321">
        <f>SUMIFS('2020'!$I:$I,'2020'!$E:$E,Category!$B$26,'2020'!$N:$N,Category!V$1,'2020'!$D:$D,Category!$C72)</f>
        <v>0</v>
      </c>
      <c r="W72" s="321">
        <f>SUMIFS('2020'!$I:$I,'2020'!$E:$E,Category!$B$26,'2020'!$N:$N,Category!W$1,'2020'!$D:$D,Category!$C72)</f>
        <v>0</v>
      </c>
      <c r="X72" s="322">
        <f>SUM(L72:W72)</f>
        <v>0</v>
      </c>
      <c r="Y72" s="500">
        <f>IFERROR(VLOOKUP(C72,'2021'!$D:$G,4,0),0)</f>
        <v>0</v>
      </c>
      <c r="Z72" s="321">
        <f>SUMIFS('2021'!$I:$I,'2021'!$E:$E,Category!$B$26,'2021'!$N:$N,Category!Z$1,'2021'!$D:$D,Category!$C72)</f>
        <v>0</v>
      </c>
      <c r="AA72" s="321">
        <f>SUMIFS('2021'!$I:$I,'2021'!$E:$E,Category!$B$26,'2021'!$N:$N,Category!AA$1,'2021'!$D:$D,Category!$C72)</f>
        <v>0</v>
      </c>
      <c r="AB72" s="321">
        <f>SUMIFS('2021'!$I:$I,'2021'!$E:$E,Category!$B$26,'2021'!$N:$N,Category!AB$1,'2021'!$D:$D,Category!$C72)</f>
        <v>0</v>
      </c>
      <c r="AC72" s="321"/>
      <c r="AD72" s="321"/>
      <c r="AE72" s="321"/>
      <c r="AF72" s="321">
        <f>SUMIFS('2021'!$I:$I,'2021'!$E:$E,Category!$B$26,'2021'!$N:$N,Category!AF$1,'2021'!$D:$D,Category!$C72)</f>
        <v>0</v>
      </c>
      <c r="AG72" s="321">
        <f>SUMIFS('2021'!$I:$I,'2021'!$E:$E,Category!$B$26,'2021'!$N:$N,Category!AG$1,'2021'!$D:$D,Category!$C72)</f>
        <v>0</v>
      </c>
      <c r="AH72" s="321">
        <v>0</v>
      </c>
      <c r="AI72" s="321">
        <v>0</v>
      </c>
      <c r="AJ72" s="321">
        <f>SUMIFS('2021'!$I:$I,'2021'!$E:$E,Category!$B$26,'2021'!$N:$N,Category!AJ$1,'2021'!$D:$D,Category!$C72)</f>
        <v>0</v>
      </c>
      <c r="AK72" s="321">
        <f>SUMIFS('2021'!$I:$I,'2021'!$E:$E,Category!$B$26,'2021'!$N:$N,Category!AK$1,'2021'!$D:$D,Category!$C72)</f>
        <v>0</v>
      </c>
      <c r="AL72" s="322">
        <f>SUM(Z72:AK72)</f>
        <v>0</v>
      </c>
      <c r="AM72" s="500">
        <f>IFERROR(VLOOKUP(C72,'2022'!$D:$G,4,0),0)</f>
        <v>0</v>
      </c>
      <c r="AN72" s="321">
        <f>SUMIFS('2022'!$I:$I,'2022'!$E:$E,Category!$B$26,'2022'!$N:$N,Category!AN$1,'2022'!$D:$D,Category!$C72)</f>
        <v>0</v>
      </c>
      <c r="AO72" s="321">
        <f>SUMIFS('2022'!$I:$I,'2022'!$E:$E,Category!$B$26,'2022'!$N:$N,Category!AO$1,'2022'!$D:$D,Category!$C72)</f>
        <v>0</v>
      </c>
      <c r="AP72" s="321">
        <f>SUMIFS('2022'!$I:$I,'2022'!$E:$E,Category!$B$26,'2022'!$N:$N,Category!AP$1,'2022'!$D:$D,Category!$C72)</f>
        <v>0</v>
      </c>
      <c r="AQ72" s="321">
        <f>SUMIFS('2022'!$I:$I,'2022'!$E:$E,Category!$B$26,'2022'!$N:$N,Category!AQ$1,'2022'!$D:$D,Category!$C72)</f>
        <v>0</v>
      </c>
      <c r="AR72" s="321">
        <f>SUMIFS('2022'!$I:$I,'2022'!$E:$E,Category!$B$26,'2022'!$N:$N,Category!AR$1,'2022'!$D:$D,Category!$C72)</f>
        <v>0</v>
      </c>
      <c r="AS72" s="321">
        <f>SUMIFS('2022'!$I:$I,'2022'!$E:$E,Category!$B$26,'2022'!$N:$N,Category!AS$1,'2022'!$D:$D,Category!$C72)</f>
        <v>0</v>
      </c>
      <c r="AT72" s="321">
        <f>SUMIFS('2022'!$I:$I,'2022'!$E:$E,Category!$B$26,'2022'!$N:$N,Category!AT$1,'2022'!$D:$D,Category!$C72)</f>
        <v>0</v>
      </c>
      <c r="AU72" s="321">
        <f>SUMIFS('2022'!$I:$I,'2022'!$E:$E,Category!$B$26,'2022'!$N:$N,Category!AU$1,'2022'!$D:$D,Category!$C72)</f>
        <v>0</v>
      </c>
      <c r="AV72" s="321">
        <f>SUMIFS('2022'!$I:$I,'2022'!$E:$E,Category!$B$26,'2022'!$N:$N,Category!AV$1,'2022'!$D:$D,Category!$C72)</f>
        <v>0</v>
      </c>
      <c r="AW72" s="321">
        <f>SUMIFS('2022'!$I:$I,'2022'!$E:$E,Category!$B$26,'2022'!$N:$N,Category!AW$1,'2022'!$D:$D,Category!$C72)</f>
        <v>0</v>
      </c>
      <c r="AX72" s="321">
        <f>SUMIFS('2022'!$I:$I,'2022'!$E:$E,Category!$B$26,'2022'!$N:$N,Category!AX$1,'2022'!$D:$D,Category!$C72)</f>
        <v>0</v>
      </c>
      <c r="AY72" s="321">
        <f>SUMIFS('2022'!$I:$I,'2022'!$E:$E,Category!$B$26,'2022'!$N:$N,Category!AY$1,'2022'!$D:$D,Category!$C72)</f>
        <v>0</v>
      </c>
      <c r="AZ72" s="322">
        <f>SUM(AN72:AY72)</f>
        <v>0</v>
      </c>
      <c r="BA72" s="500">
        <f>IFERROR(VLOOKUP(C72,'2023'!$D:$G,4,0),0)</f>
        <v>0</v>
      </c>
      <c r="BB72" s="321">
        <f>SUMIFS('2023'!$I:$I,'2023'!$E:$E,Category!$B$26,'2023'!$N:$N,Category!BB$1,'2023'!$D:$D,Category!$C72)</f>
        <v>0</v>
      </c>
      <c r="BC72" s="321">
        <f>SUMIFS('2023'!$I:$I,'2023'!$E:$E,Category!$B$26,'2023'!$N:$N,Category!BC$1,'2023'!$D:$D,Category!$C72)</f>
        <v>0</v>
      </c>
      <c r="BD72" s="321">
        <f>SUMIFS('2023'!$I:$I,'2023'!$E:$E,Category!$B$26,'2023'!$N:$N,Category!BD$1,'2023'!$D:$D,Category!$C72)</f>
        <v>0</v>
      </c>
      <c r="BE72" s="321">
        <f>SUMIFS('2023'!$I:$I,'2023'!$E:$E,Category!$B$26,'2023'!$N:$N,Category!BE$1,'2023'!$D:$D,Category!$C72)</f>
        <v>0</v>
      </c>
      <c r="BF72" s="321">
        <f>SUMIFS('2023'!$I:$I,'2023'!$E:$E,Category!$B$26,'2023'!$N:$N,Category!BF$1,'2023'!$D:$D,Category!$C72)</f>
        <v>0</v>
      </c>
      <c r="BG72" s="321">
        <f>SUMIFS('2023'!$I:$I,'2023'!$E:$E,Category!$B$26,'2023'!$N:$N,Category!BG$1,'2023'!$D:$D,Category!$C72)</f>
        <v>0</v>
      </c>
      <c r="BH72" s="321">
        <f>SUMIFS('2023'!$I:$I,'2023'!$E:$E,Category!$B$26,'2023'!$N:$N,Category!BH$1,'2023'!$D:$D,Category!$C72)</f>
        <v>0</v>
      </c>
      <c r="BI72" s="321">
        <f>SUMIFS('2023'!$I:$I,'2023'!$E:$E,Category!$B$26,'2023'!$N:$N,Category!BI$1,'2023'!$D:$D,Category!$C72)</f>
        <v>0</v>
      </c>
      <c r="BJ72" s="321">
        <f>SUMIFS('2023'!$I:$I,'2023'!$E:$E,Category!$B$26,'2023'!$N:$N,Category!BJ$1,'2023'!$D:$D,Category!$C72)</f>
        <v>0</v>
      </c>
      <c r="BK72" s="321">
        <f>SUMIFS('2023'!$I:$I,'2023'!$E:$E,Category!$B$26,'2023'!$N:$N,Category!BK$1,'2023'!$D:$D,Category!$C72)</f>
        <v>0</v>
      </c>
      <c r="BL72" s="321">
        <f>SUMIFS('2023'!$I:$I,'2023'!$E:$E,Category!$B$26,'2023'!$N:$N,Category!BL$1,'2023'!$D:$D,Category!$C72)</f>
        <v>0</v>
      </c>
      <c r="BM72" s="321">
        <f>SUMIFS('2023'!$I:$I,'2023'!$E:$E,Category!$B$26,'2023'!$N:$N,Category!BM$1,'2023'!$D:$D,Category!$C72)</f>
        <v>0</v>
      </c>
      <c r="BN72" s="322">
        <f t="shared" si="22"/>
        <v>0</v>
      </c>
    </row>
    <row r="73" spans="1:75" x14ac:dyDescent="0.3">
      <c r="A73" s="327"/>
      <c r="B73" s="324"/>
      <c r="C73" s="324"/>
      <c r="D73" s="516">
        <f>IFERROR(VLOOKUP($C73,'2019'!$D:$G,4,0),0)</f>
        <v>0</v>
      </c>
      <c r="E73" s="321">
        <f>SUMIFS('2019'!$I:$I,'2019'!$E:$E,Category!$B$26,'2019'!$N:$N,Category!E$1,'2019'!$D:$D,Category!$C73)</f>
        <v>0</v>
      </c>
      <c r="F73" s="321">
        <f>SUMIFS('2019'!$I:$I,'2019'!$E:$E,Category!$B$26,'2019'!$N:$N,Category!F$1,'2019'!$D:$D,Category!$C73)</f>
        <v>0</v>
      </c>
      <c r="G73" s="321">
        <f>SUMIFS('2019'!$I:$I,'2019'!$E:$E,Category!$B$26,'2019'!$N:$N,Category!G$1,'2019'!$D:$D,Category!$C73)</f>
        <v>0</v>
      </c>
      <c r="H73" s="321">
        <f>SUMIFS('2019'!$I:$I,'2019'!$E:$E,Category!$B$26,'2019'!$N:$N,Category!H$1,'2019'!$D:$D,Category!$C73)</f>
        <v>0</v>
      </c>
      <c r="I73" s="321">
        <f>SUMIFS('2019'!$I:$I,'2019'!$E:$E,Category!$B$26,'2019'!$N:$N,Category!I$1,'2019'!$D:$D,Category!$C73)</f>
        <v>0</v>
      </c>
      <c r="J73" s="322">
        <f t="shared" si="21"/>
        <v>0</v>
      </c>
      <c r="K73" s="500">
        <f>IFERROR(VLOOKUP($C73,'2020'!$D:$G,4,0),0)</f>
        <v>0</v>
      </c>
      <c r="L73" s="321">
        <f>SUMIFS('2020'!$I:$I,'2020'!$E:$E,Category!$B$26,'2020'!$N:$N,Category!L$1,'2020'!$D:$D,Category!$C73)</f>
        <v>0</v>
      </c>
      <c r="M73" s="321">
        <f>SUMIFS('2020'!$I:$I,'2020'!$E:$E,Category!$B$26,'2020'!$N:$N,Category!M$1,'2020'!$D:$D,Category!$C73)</f>
        <v>0</v>
      </c>
      <c r="N73" s="321">
        <f>SUMIFS('2020'!$I:$I,'2020'!$E:$E,Category!$B$26,'2020'!$N:$N,Category!N$1,'2020'!$D:$D,Category!$C73)</f>
        <v>0</v>
      </c>
      <c r="O73" s="321">
        <f>SUMIFS('2020'!$I:$I,'2020'!$E:$E,Category!$B$26,'2020'!$N:$N,Category!O$1,'2020'!$D:$D,Category!$C73)</f>
        <v>0</v>
      </c>
      <c r="P73" s="321">
        <f>SUMIFS('2020'!$I:$I,'2020'!$E:$E,Category!$B$26,'2020'!$N:$N,Category!P$1,'2020'!$D:$D,Category!$C73)</f>
        <v>0</v>
      </c>
      <c r="Q73" s="321">
        <f>SUMIFS('2020'!$I:$I,'2020'!$E:$E,Category!$B$26,'2020'!$N:$N,Category!Q$1,'2020'!$D:$D,Category!$C73)</f>
        <v>0</v>
      </c>
      <c r="R73" s="321">
        <f>SUMIFS('2020'!$I:$I,'2020'!$E:$E,Category!$B$26,'2020'!$N:$N,Category!R$1,'2020'!$D:$D,Category!$C73)</f>
        <v>0</v>
      </c>
      <c r="S73" s="321">
        <f>SUMIFS('2020'!$I:$I,'2020'!$E:$E,Category!$B$26,'2020'!$N:$N,Category!S$1,'2020'!$D:$D,Category!$C73)</f>
        <v>0</v>
      </c>
      <c r="T73" s="321">
        <f>SUMIFS('2020'!$I:$I,'2020'!$E:$E,Category!$B$26,'2020'!$N:$N,Category!T$1,'2020'!$D:$D,Category!$C73)</f>
        <v>0</v>
      </c>
      <c r="U73" s="321">
        <f>SUMIFS('2020'!$I:$I,'2020'!$E:$E,Category!$B$26,'2020'!$N:$N,Category!U$1,'2020'!$D:$D,Category!$C73)</f>
        <v>0</v>
      </c>
      <c r="V73" s="321">
        <f>SUMIFS('2020'!$I:$I,'2020'!$E:$E,Category!$B$26,'2020'!$N:$N,Category!V$1,'2020'!$D:$D,Category!$C73)</f>
        <v>0</v>
      </c>
      <c r="W73" s="321">
        <f>SUMIFS('2020'!$I:$I,'2020'!$E:$E,Category!$B$26,'2020'!$N:$N,Category!W$1,'2020'!$D:$D,Category!$C73)</f>
        <v>0</v>
      </c>
      <c r="X73" s="322">
        <f t="shared" si="23"/>
        <v>0</v>
      </c>
      <c r="Y73" s="500">
        <f>IFERROR(VLOOKUP(C73,'2021'!$D:$G,4,0),0)</f>
        <v>0</v>
      </c>
      <c r="Z73" s="321">
        <f>SUMIFS('2021'!$I:$I,'2021'!$E:$E,Category!$B$26,'2021'!$N:$N,Category!Z$1,'2021'!$D:$D,Category!$C73)</f>
        <v>0</v>
      </c>
      <c r="AA73" s="321">
        <f>SUMIFS('2021'!$I:$I,'2021'!$E:$E,Category!$B$26,'2021'!$N:$N,Category!AA$1,'2021'!$D:$D,Category!$C73)</f>
        <v>0</v>
      </c>
      <c r="AB73" s="321">
        <f>SUMIFS('2021'!$I:$I,'2021'!$E:$E,Category!$B$26,'2021'!$N:$N,Category!AB$1,'2021'!$D:$D,Category!$C73)</f>
        <v>0</v>
      </c>
      <c r="AC73" s="321"/>
      <c r="AD73" s="321"/>
      <c r="AE73" s="321"/>
      <c r="AF73" s="321">
        <f>SUMIFS('2021'!$I:$I,'2021'!$E:$E,Category!$B$26,'2021'!$N:$N,Category!AF$1,'2021'!$D:$D,Category!$C73)</f>
        <v>0</v>
      </c>
      <c r="AG73" s="321">
        <f>SUMIFS('2021'!$I:$I,'2021'!$E:$E,Category!$B$26,'2021'!$N:$N,Category!AG$1,'2021'!$D:$D,Category!$C73)</f>
        <v>0</v>
      </c>
      <c r="AH73" s="321">
        <v>0</v>
      </c>
      <c r="AI73" s="321">
        <v>0</v>
      </c>
      <c r="AJ73" s="321">
        <f>SUMIFS('2021'!$I:$I,'2021'!$E:$E,Category!$B$26,'2021'!$N:$N,Category!AJ$1,'2021'!$D:$D,Category!$C73)</f>
        <v>0</v>
      </c>
      <c r="AK73" s="321">
        <f>SUMIFS('2021'!$I:$I,'2021'!$E:$E,Category!$B$26,'2021'!$N:$N,Category!AK$1,'2021'!$D:$D,Category!$C73)</f>
        <v>0</v>
      </c>
      <c r="AL73" s="322">
        <f t="shared" si="24"/>
        <v>0</v>
      </c>
      <c r="AM73" s="500">
        <f>IFERROR(VLOOKUP(C73,'2022'!$D:$G,4,0),0)</f>
        <v>0</v>
      </c>
      <c r="AN73" s="321">
        <f>SUMIFS('2022'!$I:$I,'2022'!$E:$E,Category!$B$26,'2022'!$N:$N,Category!AN$1,'2022'!$D:$D,Category!$C73)</f>
        <v>0</v>
      </c>
      <c r="AO73" s="321">
        <f>SUMIFS('2022'!$I:$I,'2022'!$E:$E,Category!$B$26,'2022'!$N:$N,Category!AO$1,'2022'!$D:$D,Category!$C73)</f>
        <v>0</v>
      </c>
      <c r="AP73" s="321">
        <f>SUMIFS('2022'!$I:$I,'2022'!$E:$E,Category!$B$26,'2022'!$N:$N,Category!AP$1,'2022'!$D:$D,Category!$C73)</f>
        <v>0</v>
      </c>
      <c r="AQ73" s="321">
        <f>SUMIFS('2022'!$I:$I,'2022'!$E:$E,Category!$B$26,'2022'!$N:$N,Category!AQ$1,'2022'!$D:$D,Category!$C73)</f>
        <v>0</v>
      </c>
      <c r="AR73" s="321">
        <f>SUMIFS('2022'!$I:$I,'2022'!$E:$E,Category!$B$26,'2022'!$N:$N,Category!AR$1,'2022'!$D:$D,Category!$C73)</f>
        <v>0</v>
      </c>
      <c r="AS73" s="321">
        <f>SUMIFS('2022'!$I:$I,'2022'!$E:$E,Category!$B$26,'2022'!$N:$N,Category!AS$1,'2022'!$D:$D,Category!$C73)</f>
        <v>0</v>
      </c>
      <c r="AT73" s="321">
        <f>SUMIFS('2022'!$I:$I,'2022'!$E:$E,Category!$B$26,'2022'!$N:$N,Category!AT$1,'2022'!$D:$D,Category!$C73)</f>
        <v>0</v>
      </c>
      <c r="AU73" s="321">
        <f>SUMIFS('2022'!$I:$I,'2022'!$E:$E,Category!$B$26,'2022'!$N:$N,Category!AU$1,'2022'!$D:$D,Category!$C73)</f>
        <v>0</v>
      </c>
      <c r="AV73" s="321">
        <f>SUMIFS('2022'!$I:$I,'2022'!$E:$E,Category!$B$26,'2022'!$N:$N,Category!AV$1,'2022'!$D:$D,Category!$C73)</f>
        <v>0</v>
      </c>
      <c r="AW73" s="321">
        <f>SUMIFS('2022'!$I:$I,'2022'!$E:$E,Category!$B$26,'2022'!$N:$N,Category!AW$1,'2022'!$D:$D,Category!$C73)</f>
        <v>0</v>
      </c>
      <c r="AX73" s="321">
        <f>SUMIFS('2022'!$I:$I,'2022'!$E:$E,Category!$B$26,'2022'!$N:$N,Category!AX$1,'2022'!$D:$D,Category!$C73)</f>
        <v>0</v>
      </c>
      <c r="AY73" s="321">
        <f>SUMIFS('2022'!$I:$I,'2022'!$E:$E,Category!$B$26,'2022'!$N:$N,Category!AY$1,'2022'!$D:$D,Category!$C73)</f>
        <v>0</v>
      </c>
      <c r="AZ73" s="322">
        <f t="shared" si="25"/>
        <v>0</v>
      </c>
      <c r="BA73" s="500">
        <f>IFERROR(VLOOKUP(C73,'2023'!$D:$G,4,0),0)</f>
        <v>0</v>
      </c>
      <c r="BB73" s="321">
        <f>SUMIFS('2023'!$I:$I,'2023'!$E:$E,Category!$B$26,'2023'!$N:$N,Category!BB$1,'2023'!$D:$D,Category!$C73)</f>
        <v>0</v>
      </c>
      <c r="BC73" s="321">
        <f>SUMIFS('2023'!$I:$I,'2023'!$E:$E,Category!$B$26,'2023'!$N:$N,Category!BC$1,'2023'!$D:$D,Category!$C73)</f>
        <v>0</v>
      </c>
      <c r="BD73" s="321">
        <f>SUMIFS('2023'!$I:$I,'2023'!$E:$E,Category!$B$26,'2023'!$N:$N,Category!BD$1,'2023'!$D:$D,Category!$C73)</f>
        <v>0</v>
      </c>
      <c r="BE73" s="321">
        <f>SUMIFS('2023'!$I:$I,'2023'!$E:$E,Category!$B$26,'2023'!$N:$N,Category!BE$1,'2023'!$D:$D,Category!$C73)</f>
        <v>0</v>
      </c>
      <c r="BF73" s="321">
        <f>SUMIFS('2023'!$I:$I,'2023'!$E:$E,Category!$B$26,'2023'!$N:$N,Category!BF$1,'2023'!$D:$D,Category!$C73)</f>
        <v>0</v>
      </c>
      <c r="BG73" s="321">
        <f>SUMIFS('2023'!$I:$I,'2023'!$E:$E,Category!$B$26,'2023'!$N:$N,Category!BG$1,'2023'!$D:$D,Category!$C73)</f>
        <v>0</v>
      </c>
      <c r="BH73" s="321">
        <f>SUMIFS('2023'!$I:$I,'2023'!$E:$E,Category!$B$26,'2023'!$N:$N,Category!BH$1,'2023'!$D:$D,Category!$C73)</f>
        <v>0</v>
      </c>
      <c r="BI73" s="321">
        <f>SUMIFS('2023'!$I:$I,'2023'!$E:$E,Category!$B$26,'2023'!$N:$N,Category!BI$1,'2023'!$D:$D,Category!$C73)</f>
        <v>0</v>
      </c>
      <c r="BJ73" s="321">
        <f>SUMIFS('2023'!$I:$I,'2023'!$E:$E,Category!$B$26,'2023'!$N:$N,Category!BJ$1,'2023'!$D:$D,Category!$C73)</f>
        <v>0</v>
      </c>
      <c r="BK73" s="321">
        <f>SUMIFS('2023'!$I:$I,'2023'!$E:$E,Category!$B$26,'2023'!$N:$N,Category!BK$1,'2023'!$D:$D,Category!$C73)</f>
        <v>0</v>
      </c>
      <c r="BL73" s="321">
        <f>SUMIFS('2023'!$I:$I,'2023'!$E:$E,Category!$B$26,'2023'!$N:$N,Category!BL$1,'2023'!$D:$D,Category!$C73)</f>
        <v>0</v>
      </c>
      <c r="BM73" s="321">
        <f>SUMIFS('2023'!$I:$I,'2023'!$E:$E,Category!$B$26,'2023'!$N:$N,Category!BM$1,'2023'!$D:$D,Category!$C73)</f>
        <v>0</v>
      </c>
      <c r="BN73" s="322">
        <f t="shared" si="22"/>
        <v>0</v>
      </c>
    </row>
    <row r="74" spans="1:75" x14ac:dyDescent="0.3">
      <c r="A74" s="145">
        <v>3</v>
      </c>
      <c r="B74" s="329" t="str">
        <f>'S2 2020'!B5</f>
        <v>Bantuan Renovasi Gereja</v>
      </c>
      <c r="C74" s="329"/>
      <c r="D74" s="550">
        <f t="shared" ref="D74:AI74" si="26">SUM(D75:D102)</f>
        <v>0</v>
      </c>
      <c r="E74" s="550">
        <f t="shared" si="26"/>
        <v>0</v>
      </c>
      <c r="F74" s="550">
        <f t="shared" si="26"/>
        <v>0</v>
      </c>
      <c r="G74" s="550">
        <f t="shared" si="26"/>
        <v>0</v>
      </c>
      <c r="H74" s="550">
        <f t="shared" si="26"/>
        <v>0</v>
      </c>
      <c r="I74" s="550">
        <f t="shared" si="26"/>
        <v>0</v>
      </c>
      <c r="J74" s="550">
        <f t="shared" si="26"/>
        <v>0</v>
      </c>
      <c r="K74" s="550">
        <f t="shared" si="26"/>
        <v>6</v>
      </c>
      <c r="L74" s="550">
        <f t="shared" si="26"/>
        <v>0</v>
      </c>
      <c r="M74" s="550">
        <f t="shared" si="26"/>
        <v>0</v>
      </c>
      <c r="N74" s="550">
        <f t="shared" si="26"/>
        <v>0</v>
      </c>
      <c r="O74" s="550">
        <f t="shared" si="26"/>
        <v>0</v>
      </c>
      <c r="P74" s="550">
        <f t="shared" si="26"/>
        <v>0</v>
      </c>
      <c r="Q74" s="550">
        <f t="shared" si="26"/>
        <v>0</v>
      </c>
      <c r="R74" s="550">
        <f t="shared" si="26"/>
        <v>0</v>
      </c>
      <c r="S74" s="550">
        <f t="shared" si="26"/>
        <v>0</v>
      </c>
      <c r="T74" s="550">
        <f t="shared" si="26"/>
        <v>0</v>
      </c>
      <c r="U74" s="550">
        <f t="shared" si="26"/>
        <v>0</v>
      </c>
      <c r="V74" s="550">
        <f t="shared" si="26"/>
        <v>96880000</v>
      </c>
      <c r="W74" s="550">
        <f t="shared" si="26"/>
        <v>0</v>
      </c>
      <c r="X74" s="550">
        <f t="shared" si="26"/>
        <v>96880000</v>
      </c>
      <c r="Y74" s="550">
        <f t="shared" si="26"/>
        <v>66</v>
      </c>
      <c r="Z74" s="550">
        <f t="shared" si="26"/>
        <v>0</v>
      </c>
      <c r="AA74" s="550">
        <f t="shared" si="26"/>
        <v>25725000</v>
      </c>
      <c r="AB74" s="550">
        <f t="shared" si="26"/>
        <v>0</v>
      </c>
      <c r="AC74" s="550">
        <f t="shared" si="26"/>
        <v>0</v>
      </c>
      <c r="AD74" s="550">
        <f t="shared" si="26"/>
        <v>0</v>
      </c>
      <c r="AE74" s="550">
        <f t="shared" si="26"/>
        <v>35000000</v>
      </c>
      <c r="AF74" s="550">
        <f t="shared" si="26"/>
        <v>0</v>
      </c>
      <c r="AG74" s="550">
        <f t="shared" si="26"/>
        <v>0</v>
      </c>
      <c r="AH74" s="550">
        <f t="shared" si="26"/>
        <v>0</v>
      </c>
      <c r="AI74" s="550">
        <f t="shared" si="26"/>
        <v>0</v>
      </c>
      <c r="AJ74" s="550">
        <f t="shared" ref="AJ74:AZ74" si="27">SUM(AJ75:AJ102)</f>
        <v>0</v>
      </c>
      <c r="AK74" s="550">
        <f t="shared" si="27"/>
        <v>220720000</v>
      </c>
      <c r="AL74" s="550">
        <f t="shared" si="27"/>
        <v>281445000</v>
      </c>
      <c r="AM74" s="550">
        <f t="shared" si="27"/>
        <v>7</v>
      </c>
      <c r="AN74" s="550">
        <f t="shared" si="27"/>
        <v>35000000</v>
      </c>
      <c r="AO74" s="550">
        <f t="shared" si="27"/>
        <v>0</v>
      </c>
      <c r="AP74" s="550">
        <f t="shared" si="27"/>
        <v>35000000</v>
      </c>
      <c r="AQ74" s="550">
        <f t="shared" si="27"/>
        <v>0</v>
      </c>
      <c r="AR74" s="550">
        <f t="shared" si="27"/>
        <v>70000000</v>
      </c>
      <c r="AS74" s="550">
        <f t="shared" si="27"/>
        <v>0</v>
      </c>
      <c r="AT74" s="550">
        <f t="shared" si="27"/>
        <v>0</v>
      </c>
      <c r="AU74" s="550">
        <f t="shared" si="27"/>
        <v>215000000</v>
      </c>
      <c r="AV74" s="550">
        <f t="shared" si="27"/>
        <v>45000000</v>
      </c>
      <c r="AW74" s="550">
        <f t="shared" si="27"/>
        <v>30000000</v>
      </c>
      <c r="AX74" s="550">
        <f t="shared" si="27"/>
        <v>22315000</v>
      </c>
      <c r="AY74" s="550">
        <f t="shared" si="27"/>
        <v>15000000</v>
      </c>
      <c r="AZ74" s="550">
        <f t="shared" si="27"/>
        <v>467315000</v>
      </c>
      <c r="BA74" s="550">
        <f t="shared" ref="BA74:BN74" si="28">SUM(BA75:BA102)</f>
        <v>1</v>
      </c>
      <c r="BB74" s="550">
        <f t="shared" si="28"/>
        <v>40000000</v>
      </c>
      <c r="BC74" s="550">
        <f t="shared" si="28"/>
        <v>15000000</v>
      </c>
      <c r="BD74" s="550">
        <f t="shared" si="28"/>
        <v>0</v>
      </c>
      <c r="BE74" s="550">
        <f t="shared" si="28"/>
        <v>0</v>
      </c>
      <c r="BF74" s="550">
        <f t="shared" si="28"/>
        <v>0</v>
      </c>
      <c r="BG74" s="550">
        <f t="shared" si="28"/>
        <v>0</v>
      </c>
      <c r="BH74" s="550">
        <f t="shared" si="28"/>
        <v>0</v>
      </c>
      <c r="BI74" s="550">
        <f t="shared" si="28"/>
        <v>0</v>
      </c>
      <c r="BJ74" s="550">
        <f t="shared" si="28"/>
        <v>0</v>
      </c>
      <c r="BK74" s="550">
        <f t="shared" si="28"/>
        <v>0</v>
      </c>
      <c r="BL74" s="550">
        <f t="shared" si="28"/>
        <v>0</v>
      </c>
      <c r="BM74" s="550">
        <f t="shared" si="28"/>
        <v>0</v>
      </c>
      <c r="BN74" s="550">
        <f t="shared" si="28"/>
        <v>55000000</v>
      </c>
    </row>
    <row r="75" spans="1:75" x14ac:dyDescent="0.3">
      <c r="A75" s="330"/>
      <c r="B75" s="331"/>
      <c r="C75" s="331" t="s">
        <v>106</v>
      </c>
      <c r="D75" s="519">
        <f>IFERROR(VLOOKUP($C75,'2019'!$D:$G,4,0),0)</f>
        <v>0</v>
      </c>
      <c r="E75" s="332">
        <f>SUMIFS('2019'!$I:$I,'2019'!$E:$E,Category!$B$74,'2019'!$N:$N,Category!E$1,'2019'!$D:$D,Category!$C75)</f>
        <v>0</v>
      </c>
      <c r="F75" s="332">
        <f>SUMIFS('2019'!$I:$I,'2019'!$E:$E,Category!$B$74,'2019'!$N:$N,Category!F$1,'2019'!$D:$D,Category!$C75)</f>
        <v>0</v>
      </c>
      <c r="G75" s="332">
        <f>SUMIFS('2019'!$I:$I,'2019'!$E:$E,Category!$B$74,'2019'!$N:$N,Category!G$1,'2019'!$D:$D,Category!$C75)</f>
        <v>0</v>
      </c>
      <c r="H75" s="332">
        <f>SUMIFS('2019'!$I:$I,'2019'!$E:$E,Category!$B$74,'2019'!$N:$N,Category!H$1,'2019'!$D:$D,Category!$C75)</f>
        <v>0</v>
      </c>
      <c r="I75" s="332">
        <f>SUMIFS('2019'!$I:$I,'2019'!$E:$E,Category!$B$74,'2019'!$N:$N,Category!I$1,'2019'!$D:$D,Category!$C75)</f>
        <v>0</v>
      </c>
      <c r="J75" s="333">
        <f t="shared" ref="J75:J96" si="29">SUM(E75:I75)</f>
        <v>0</v>
      </c>
      <c r="K75" s="501">
        <f>IFERROR(VLOOKUP($C75,'2020'!$D:$G,4,0),0)</f>
        <v>6</v>
      </c>
      <c r="L75" s="332">
        <f>SUMIFS('2020'!$I:$I,'2020'!$E:$E,Category!$B$74,'2020'!$N:$N,Category!L$1,'2020'!$D:$D,Category!$C75)</f>
        <v>0</v>
      </c>
      <c r="M75" s="332">
        <f>SUMIFS('2020'!$I:$I,'2020'!$E:$E,Category!$B$74,'2020'!$N:$N,Category!M$1,'2020'!$D:$D,Category!$C75)</f>
        <v>0</v>
      </c>
      <c r="N75" s="332">
        <f>SUMIFS('2020'!$I:$I,'2020'!$E:$E,Category!$B$74,'2020'!$N:$N,Category!N$1,'2020'!$D:$D,Category!$C75)</f>
        <v>0</v>
      </c>
      <c r="O75" s="332">
        <f>SUMIFS('2020'!$I:$I,'2020'!$E:$E,Category!$B$74,'2020'!$N:$N,Category!O$1,'2020'!$D:$D,Category!$C75)</f>
        <v>0</v>
      </c>
      <c r="P75" s="332">
        <f>SUMIFS('2020'!$I:$I,'2020'!$E:$E,Category!$B$74,'2020'!$N:$N,Category!P$1,'2020'!$D:$D,Category!$C75)</f>
        <v>0</v>
      </c>
      <c r="Q75" s="332">
        <f>SUMIFS('2020'!$I:$I,'2020'!$E:$E,Category!$B$74,'2020'!$N:$N,Category!Q$1,'2020'!$D:$D,Category!$C75)</f>
        <v>0</v>
      </c>
      <c r="R75" s="332">
        <f>SUMIFS('2020'!$I:$I,'2020'!$E:$E,Category!$B$74,'2020'!$N:$N,Category!R$1,'2020'!$D:$D,Category!$C75)</f>
        <v>0</v>
      </c>
      <c r="S75" s="332">
        <f>SUMIFS('2020'!$I:$I,'2020'!$E:$E,Category!$B$74,'2020'!$N:$N,Category!S$1,'2020'!$D:$D,Category!$C75)</f>
        <v>0</v>
      </c>
      <c r="T75" s="332">
        <f>SUMIFS('2020'!$I:$I,'2020'!$E:$E,Category!$B$74,'2020'!$N:$N,Category!T$1,'2020'!$D:$D,Category!$C75)</f>
        <v>0</v>
      </c>
      <c r="U75" s="332">
        <f>SUMIFS('2020'!$I:$I,'2020'!$E:$E,Category!$B$74,'2020'!$N:$N,Category!U$1,'2020'!$D:$D,Category!$C75)</f>
        <v>0</v>
      </c>
      <c r="V75" s="332">
        <f>SUMIFS('2020'!$I:$I,'2020'!$E:$E,Category!$B$74,'2020'!$N:$N,Category!V$1,'2020'!$D:$D,Category!$C75)</f>
        <v>96880000</v>
      </c>
      <c r="W75" s="332">
        <f>SUMIFS('2020'!$I:$I,'2020'!$E:$E,Category!$B$74,'2020'!$N:$N,Category!W$1,'2020'!$D:$D,Category!$C75)</f>
        <v>0</v>
      </c>
      <c r="X75" s="333">
        <f t="shared" ref="X75:X102" si="30">SUM(L75:W75)</f>
        <v>96880000</v>
      </c>
      <c r="Y75" s="501">
        <f>IFERROR(VLOOKUP(C75,'2021'!$D:$G,4,0),0)</f>
        <v>0</v>
      </c>
      <c r="Z75" s="332">
        <f>SUMIFS('2021'!$I:$I,'2021'!$E:$E,Category!$B$74,'2021'!$N:$N,Category!Z$1,'2021'!$D:$D,Category!$C75)</f>
        <v>0</v>
      </c>
      <c r="AA75" s="332">
        <f>SUMIFS('2021'!$I:$I,'2021'!$E:$E,Category!$B$74,'2021'!$N:$N,Category!AA$1,'2021'!$D:$D,Category!$C75)</f>
        <v>0</v>
      </c>
      <c r="AB75" s="332">
        <f>SUMIFS('2021'!$I:$I,'2021'!$E:$E,Category!$B$74,'2021'!$N:$N,Category!AB$1,'2021'!$D:$D,Category!$C75)</f>
        <v>0</v>
      </c>
      <c r="AC75" s="332">
        <f>SUMIFS('2021'!$I:$I,'2021'!$E:$E,Category!$B$74,'2021'!$N:$N,Category!AC$1,'2021'!$D:$D,Category!$C75)</f>
        <v>0</v>
      </c>
      <c r="AD75" s="332">
        <f>SUMIFS('2021'!$I:$I,'2021'!$E:$E,Category!$B$74,'2021'!$N:$N,Category!AD$1,'2021'!$D:$D,Category!$C75)</f>
        <v>0</v>
      </c>
      <c r="AE75" s="332">
        <f>SUMIFS('2021'!$I:$I,'2021'!$E:$E,Category!$B$74,'2021'!$N:$N,Category!AE$1,'2021'!$D:$D,Category!$C75)</f>
        <v>0</v>
      </c>
      <c r="AF75" s="332">
        <f>SUMIFS('2021'!$I:$I,'2021'!$E:$E,Category!$B$74,'2021'!$N:$N,Category!AF$1,'2021'!$D:$D,Category!$C75)</f>
        <v>0</v>
      </c>
      <c r="AG75" s="332">
        <f>SUMIFS('2021'!$I:$I,'2021'!$E:$E,Category!$B$74,'2021'!$N:$N,Category!AG$1,'2021'!$D:$D,Category!$C75)</f>
        <v>0</v>
      </c>
      <c r="AH75" s="332">
        <f>SUMIFS('2021'!$I:$I,'2021'!$E:$E,Category!$B$74,'2021'!$N:$N,Category!AH$1,'2021'!$D:$D,Category!$C75)</f>
        <v>0</v>
      </c>
      <c r="AI75" s="332">
        <f>SUMIFS('2021'!$I:$I,'2021'!$E:$E,Category!$B$74,'2021'!$N:$N,Category!AI$1,'2021'!$D:$D,Category!$C75)</f>
        <v>0</v>
      </c>
      <c r="AJ75" s="332">
        <f>SUMIFS('2021'!$I:$I,'2021'!$E:$E,Category!$B$74,'2021'!$N:$N,Category!AJ$1,'2021'!$D:$D,Category!$C75)</f>
        <v>0</v>
      </c>
      <c r="AK75" s="332">
        <f>SUMIFS('2021'!$I:$I,'2021'!$E:$E,Category!$B$74,'2021'!$N:$N,Category!AK$1,'2021'!$D:$D,Category!$C75)</f>
        <v>0</v>
      </c>
      <c r="AL75" s="333">
        <f>SUM(Z75:AK75)</f>
        <v>0</v>
      </c>
      <c r="AM75" s="501">
        <v>0</v>
      </c>
      <c r="AN75" s="332">
        <f>SUMIFS('2022'!$I:$I,'2022'!$E:$E,Category!$B$74,'2022'!$N:$N,Category!AN$1,'2022'!$D:$D,Category!$C75)</f>
        <v>0</v>
      </c>
      <c r="AO75" s="332">
        <f>SUMIFS('2022'!$I:$I,'2022'!$E:$E,Category!$B$74,'2022'!$N:$N,Category!AO$1,'2022'!$D:$D,Category!$C75)</f>
        <v>0</v>
      </c>
      <c r="AP75" s="332">
        <f>SUMIFS('2022'!$I:$I,'2022'!$E:$E,Category!$B$74,'2022'!$N:$N,Category!AP$1,'2022'!$D:$D,Category!$C75)</f>
        <v>0</v>
      </c>
      <c r="AQ75" s="332">
        <f>SUMIFS('2022'!$I:$I,'2022'!$E:$E,Category!$B$74,'2022'!$N:$N,Category!AQ$1,'2022'!$D:$D,Category!$C75)</f>
        <v>0</v>
      </c>
      <c r="AR75" s="332">
        <f>SUMIFS('2022'!$I:$I,'2022'!$E:$E,Category!$B$74,'2022'!$N:$N,Category!AR$1,'2022'!$D:$D,Category!$C75)</f>
        <v>0</v>
      </c>
      <c r="AS75" s="332">
        <f>SUMIFS('2022'!$I:$I,'2022'!$E:$E,Category!$B$74,'2022'!$N:$N,Category!AS$1,'2022'!$D:$D,Category!$C75)</f>
        <v>0</v>
      </c>
      <c r="AT75" s="332">
        <f>SUMIFS('2022'!$I:$I,'2022'!$E:$E,Category!$B$74,'2022'!$N:$N,Category!AT$1,'2022'!$D:$D,Category!$C75)</f>
        <v>0</v>
      </c>
      <c r="AU75" s="332">
        <f>SUMIFS('2022'!$I:$I,'2022'!$E:$E,Category!$B$74,'2022'!$N:$N,Category!AU$1,'2022'!$D:$D,Category!$C75)</f>
        <v>0</v>
      </c>
      <c r="AV75" s="332">
        <f>SUMIFS('2022'!$I:$I,'2022'!$E:$E,Category!$B$74,'2022'!$N:$N,Category!AV$1,'2022'!$D:$D,Category!$C75)</f>
        <v>0</v>
      </c>
      <c r="AW75" s="332">
        <f>SUMIFS('2022'!$I:$I,'2022'!$E:$E,Category!$B$74,'2022'!$N:$N,Category!AW$1,'2022'!$D:$D,Category!$C75)</f>
        <v>0</v>
      </c>
      <c r="AX75" s="332">
        <f>SUMIFS('2022'!$I:$I,'2022'!$E:$E,Category!$B$74,'2022'!$N:$N,Category!AX$1,'2022'!$D:$D,Category!$C75)</f>
        <v>0</v>
      </c>
      <c r="AY75" s="332">
        <f>SUMIFS('2022'!$I:$I,'2022'!$E:$E,Category!$B$74,'2022'!$N:$N,Category!AY$1,'2022'!$D:$D,Category!$C75)</f>
        <v>0</v>
      </c>
      <c r="AZ75" s="333">
        <f t="shared" ref="AZ75:AZ102" si="31">SUM(AN75:AY75)</f>
        <v>0</v>
      </c>
      <c r="BA75" s="1036">
        <f>IFERROR(VLOOKUP(C75,'2023'!$D:$G,4,0),0)</f>
        <v>0</v>
      </c>
      <c r="BB75" s="332">
        <f>SUMIFS('2023'!$I:$I,'2023'!$E:$E,Category!$B$74,'2023'!$N:$N,Category!BB$1,'2023'!$D:$D,Category!$C75)</f>
        <v>0</v>
      </c>
      <c r="BC75" s="332">
        <f>SUMIFS('2023'!$I:$I,'2023'!$E:$E,Category!$B$74,'2023'!$N:$N,Category!BC$1,'2023'!$D:$D,Category!$C75)</f>
        <v>0</v>
      </c>
      <c r="BD75" s="332">
        <f>SUMIFS('2023'!$I:$I,'2023'!$E:$E,Category!$B$74,'2023'!$N:$N,Category!BD$1,'2023'!$D:$D,Category!$C75)</f>
        <v>0</v>
      </c>
      <c r="BE75" s="332">
        <f>SUMIFS('2023'!$I:$I,'2023'!$E:$E,Category!$B$74,'2023'!$N:$N,Category!BE$1,'2023'!$D:$D,Category!$C75)</f>
        <v>0</v>
      </c>
      <c r="BF75" s="332">
        <f>SUMIFS('2023'!$I:$I,'2023'!$E:$E,Category!$B$74,'2023'!$N:$N,Category!BF$1,'2023'!$D:$D,Category!$C75)</f>
        <v>0</v>
      </c>
      <c r="BG75" s="332">
        <f>SUMIFS('2023'!$I:$I,'2023'!$E:$E,Category!$B$74,'2023'!$N:$N,Category!BG$1,'2023'!$D:$D,Category!$C75)</f>
        <v>0</v>
      </c>
      <c r="BH75" s="332">
        <f>SUMIFS('2023'!$I:$I,'2023'!$E:$E,Category!$B$74,'2023'!$N:$N,Category!BH$1,'2023'!$D:$D,Category!$C75)</f>
        <v>0</v>
      </c>
      <c r="BI75" s="332">
        <f>SUMIFS('2023'!$I:$I,'2023'!$E:$E,Category!$B$74,'2023'!$N:$N,Category!BI$1,'2023'!$D:$D,Category!$C75)</f>
        <v>0</v>
      </c>
      <c r="BJ75" s="332">
        <f>SUMIFS('2023'!$I:$I,'2023'!$E:$E,Category!$B$74,'2023'!$N:$N,Category!BJ$1,'2023'!$D:$D,Category!$C75)</f>
        <v>0</v>
      </c>
      <c r="BK75" s="332">
        <f>SUMIFS('2023'!$I:$I,'2023'!$E:$E,Category!$B$74,'2023'!$N:$N,Category!BK$1,'2023'!$D:$D,Category!$C75)</f>
        <v>0</v>
      </c>
      <c r="BL75" s="332">
        <f>SUMIFS('2023'!$I:$I,'2023'!$E:$E,Category!$B$74,'2023'!$N:$N,Category!BL$1,'2023'!$D:$D,Category!$C75)</f>
        <v>0</v>
      </c>
      <c r="BM75" s="332">
        <f>SUMIFS('2023'!$I:$I,'2023'!$E:$E,Category!$B$74,'2023'!$N:$N,Category!BM$1,'2023'!$D:$D,Category!$C75)</f>
        <v>0</v>
      </c>
      <c r="BN75" s="333">
        <f t="shared" ref="BN75:BN102" si="32">SUM(BB75:BM75)</f>
        <v>0</v>
      </c>
    </row>
    <row r="76" spans="1:75" x14ac:dyDescent="0.3">
      <c r="A76" s="330"/>
      <c r="B76" s="331"/>
      <c r="C76" s="331" t="s">
        <v>64</v>
      </c>
      <c r="D76" s="519">
        <v>0</v>
      </c>
      <c r="E76" s="332">
        <f>SUMIFS('2019'!$I:$I,'2019'!$E:$E,Category!$B$74,'2019'!$N:$N,Category!E$1,'2019'!$D:$D,Category!$C76)</f>
        <v>0</v>
      </c>
      <c r="F76" s="332">
        <f>SUMIFS('2019'!$I:$I,'2019'!$E:$E,Category!$B$74,'2019'!$N:$N,Category!F$1,'2019'!$D:$D,Category!$C76)</f>
        <v>0</v>
      </c>
      <c r="G76" s="332">
        <f>SUMIFS('2019'!$I:$I,'2019'!$E:$E,Category!$B$74,'2019'!$N:$N,Category!G$1,'2019'!$D:$D,Category!$C76)</f>
        <v>0</v>
      </c>
      <c r="H76" s="332">
        <f>SUMIFS('2019'!$I:$I,'2019'!$E:$E,Category!$B$74,'2019'!$N:$N,Category!H$1,'2019'!$D:$D,Category!$C76)</f>
        <v>0</v>
      </c>
      <c r="I76" s="332">
        <f>SUMIFS('2019'!$I:$I,'2019'!$E:$E,Category!$B$74,'2019'!$N:$N,Category!I$1,'2019'!$D:$D,Category!$C76)</f>
        <v>0</v>
      </c>
      <c r="J76" s="333">
        <f t="shared" si="29"/>
        <v>0</v>
      </c>
      <c r="K76" s="501">
        <v>0</v>
      </c>
      <c r="L76" s="332">
        <f>SUMIFS('2020'!$I:$I,'2020'!$E:$E,Category!$B$74,'2020'!$N:$N,Category!L$1,'2020'!$D:$D,Category!$C76)</f>
        <v>0</v>
      </c>
      <c r="M76" s="332">
        <f>SUMIFS('2020'!$I:$I,'2020'!$E:$E,Category!$B$74,'2020'!$N:$N,Category!M$1,'2020'!$D:$D,Category!$C76)</f>
        <v>0</v>
      </c>
      <c r="N76" s="332">
        <f>SUMIFS('2020'!$I:$I,'2020'!$E:$E,Category!$B$74,'2020'!$N:$N,Category!N$1,'2020'!$D:$D,Category!$C76)</f>
        <v>0</v>
      </c>
      <c r="O76" s="332">
        <f>SUMIFS('2020'!$I:$I,'2020'!$E:$E,Category!$B$74,'2020'!$N:$N,Category!O$1,'2020'!$D:$D,Category!$C76)</f>
        <v>0</v>
      </c>
      <c r="P76" s="332">
        <f>SUMIFS('2020'!$I:$I,'2020'!$E:$E,Category!$B$74,'2020'!$N:$N,Category!P$1,'2020'!$D:$D,Category!$C76)</f>
        <v>0</v>
      </c>
      <c r="Q76" s="332">
        <f>SUMIFS('2020'!$I:$I,'2020'!$E:$E,Category!$B$74,'2020'!$N:$N,Category!Q$1,'2020'!$D:$D,Category!$C76)</f>
        <v>0</v>
      </c>
      <c r="R76" s="332">
        <f>SUMIFS('2020'!$I:$I,'2020'!$E:$E,Category!$B$74,'2020'!$N:$N,Category!R$1,'2020'!$D:$D,Category!$C76)</f>
        <v>0</v>
      </c>
      <c r="S76" s="332">
        <f>SUMIFS('2020'!$I:$I,'2020'!$E:$E,Category!$B$74,'2020'!$N:$N,Category!S$1,'2020'!$D:$D,Category!$C76)</f>
        <v>0</v>
      </c>
      <c r="T76" s="332">
        <f>SUMIFS('2020'!$I:$I,'2020'!$E:$E,Category!$B$74,'2020'!$N:$N,Category!T$1,'2020'!$D:$D,Category!$C76)</f>
        <v>0</v>
      </c>
      <c r="U76" s="332">
        <f>SUMIFS('2020'!$I:$I,'2020'!$E:$E,Category!$B$74,'2020'!$N:$N,Category!U$1,'2020'!$D:$D,Category!$C76)</f>
        <v>0</v>
      </c>
      <c r="V76" s="332">
        <f>SUMIFS('2020'!$I:$I,'2020'!$E:$E,Category!$B$74,'2020'!$N:$N,Category!V$1,'2020'!$D:$D,Category!$C76)</f>
        <v>0</v>
      </c>
      <c r="W76" s="332">
        <f>SUMIFS('2020'!$I:$I,'2020'!$E:$E,Category!$B$74,'2020'!$N:$N,Category!W$1,'2020'!$D:$D,Category!$C76)</f>
        <v>0</v>
      </c>
      <c r="X76" s="333">
        <f t="shared" si="30"/>
        <v>0</v>
      </c>
      <c r="Y76" s="501">
        <v>0</v>
      </c>
      <c r="Z76" s="332">
        <f>SUMIFS('2021'!$I:$I,'2021'!$E:$E,Category!$B$74,'2021'!$N:$N,Category!Z$1,'2021'!$D:$D,Category!$C76)</f>
        <v>0</v>
      </c>
      <c r="AA76" s="332">
        <f>SUMIFS('2021'!$I:$I,'2021'!$E:$E,Category!$B$74,'2021'!$N:$N,Category!AA$1,'2021'!$D:$D,Category!$C76)</f>
        <v>25725000</v>
      </c>
      <c r="AB76" s="332">
        <f>SUMIFS('2021'!$I:$I,'2021'!$E:$E,Category!$B$74,'2021'!$N:$N,Category!AB$1,'2021'!$D:$D,Category!$C76)</f>
        <v>0</v>
      </c>
      <c r="AC76" s="332">
        <f>SUMIFS('2021'!$I:$I,'2021'!$E:$E,Category!$B$74,'2021'!$N:$N,Category!AC$1,'2021'!$D:$D,Category!$C76)</f>
        <v>0</v>
      </c>
      <c r="AD76" s="332">
        <f>SUMIFS('2021'!$I:$I,'2021'!$E:$E,Category!$B$74,'2021'!$N:$N,Category!AD$1,'2021'!$D:$D,Category!$C76)</f>
        <v>0</v>
      </c>
      <c r="AE76" s="332">
        <f>SUMIFS('2021'!$I:$I,'2021'!$E:$E,Category!$B$74,'2021'!$N:$N,Category!AE$1,'2021'!$D:$D,Category!$C76)</f>
        <v>0</v>
      </c>
      <c r="AF76" s="332">
        <f>SUMIFS('2021'!$I:$I,'2021'!$E:$E,Category!$B$74,'2021'!$N:$N,Category!AF$1,'2021'!$D:$D,Category!$C76)</f>
        <v>0</v>
      </c>
      <c r="AG76" s="332">
        <f>SUMIFS('2021'!$I:$I,'2021'!$E:$E,Category!$B$74,'2021'!$N:$N,Category!AG$1,'2021'!$D:$D,Category!$C76)</f>
        <v>0</v>
      </c>
      <c r="AH76" s="332">
        <f>SUMIFS('2021'!$I:$I,'2021'!$E:$E,Category!$B$74,'2021'!$N:$N,Category!AH$1,'2021'!$D:$D,Category!$C76)</f>
        <v>0</v>
      </c>
      <c r="AI76" s="332">
        <f>SUMIFS('2021'!$I:$I,'2021'!$E:$E,Category!$B$74,'2021'!$N:$N,Category!AI$1,'2021'!$D:$D,Category!$C76)</f>
        <v>0</v>
      </c>
      <c r="AJ76" s="332">
        <f>SUMIFS('2021'!$I:$I,'2021'!$E:$E,Category!$B$74,'2021'!$N:$N,Category!AJ$1,'2021'!$D:$D,Category!$C76)</f>
        <v>0</v>
      </c>
      <c r="AK76" s="332">
        <f>SUMIFS('2021'!$I:$I,'2021'!$E:$E,Category!$B$74,'2021'!$N:$N,Category!AK$1,'2021'!$D:$D,Category!$C76)</f>
        <v>0</v>
      </c>
      <c r="AL76" s="333">
        <f>SUM(Z76:AK76)</f>
        <v>25725000</v>
      </c>
      <c r="AM76" s="501">
        <f>IFERROR(VLOOKUP(C76,'2022'!$D:$G,4,0),0)</f>
        <v>0</v>
      </c>
      <c r="AN76" s="332">
        <f>SUMIFS('2022'!$I:$I,'2022'!$E:$E,Category!$B$74,'2022'!$N:$N,Category!AN$1,'2022'!$D:$D,Category!$C76)</f>
        <v>0</v>
      </c>
      <c r="AO76" s="332">
        <f>SUMIFS('2022'!$I:$I,'2022'!$E:$E,Category!$B$74,'2022'!$N:$N,Category!AO$1,'2022'!$D:$D,Category!$C76)</f>
        <v>0</v>
      </c>
      <c r="AP76" s="332">
        <f>SUMIFS('2022'!$I:$I,'2022'!$E:$E,Category!$B$74,'2022'!$N:$N,Category!AP$1,'2022'!$D:$D,Category!$C76)</f>
        <v>0</v>
      </c>
      <c r="AQ76" s="332">
        <f>SUMIFS('2022'!$I:$I,'2022'!$E:$E,Category!$B$74,'2022'!$N:$N,Category!AQ$1,'2022'!$D:$D,Category!$C76)</f>
        <v>0</v>
      </c>
      <c r="AR76" s="332">
        <f>SUMIFS('2022'!$I:$I,'2022'!$E:$E,Category!$B$74,'2022'!$N:$N,Category!AR$1,'2022'!$D:$D,Category!$C76)</f>
        <v>0</v>
      </c>
      <c r="AS76" s="332">
        <f>SUMIFS('2022'!$I:$I,'2022'!$E:$E,Category!$B$74,'2022'!$N:$N,Category!AS$1,'2022'!$D:$D,Category!$C76)</f>
        <v>0</v>
      </c>
      <c r="AT76" s="332">
        <f>SUMIFS('2022'!$I:$I,'2022'!$E:$E,Category!$B$74,'2022'!$N:$N,Category!AT$1,'2022'!$D:$D,Category!$C76)</f>
        <v>0</v>
      </c>
      <c r="AU76" s="332">
        <f>SUMIFS('2022'!$I:$I,'2022'!$E:$E,Category!$B$74,'2022'!$N:$N,Category!AU$1,'2022'!$D:$D,Category!$C76)</f>
        <v>0</v>
      </c>
      <c r="AV76" s="332">
        <f>SUMIFS('2022'!$I:$I,'2022'!$E:$E,Category!$B$74,'2022'!$N:$N,Category!AV$1,'2022'!$D:$D,Category!$C76)</f>
        <v>0</v>
      </c>
      <c r="AW76" s="332">
        <f>SUMIFS('2022'!$I:$I,'2022'!$E:$E,Category!$B$74,'2022'!$N:$N,Category!AW$1,'2022'!$D:$D,Category!$C76)</f>
        <v>0</v>
      </c>
      <c r="AX76" s="332">
        <f>SUMIFS('2022'!$I:$I,'2022'!$E:$E,Category!$B$74,'2022'!$N:$N,Category!AX$1,'2022'!$D:$D,Category!$C76)</f>
        <v>0</v>
      </c>
      <c r="AY76" s="332">
        <f>SUMIFS('2022'!$I:$I,'2022'!$E:$E,Category!$B$74,'2022'!$N:$N,Category!AY$1,'2022'!$D:$D,Category!$C76)</f>
        <v>0</v>
      </c>
      <c r="AZ76" s="333">
        <f t="shared" si="31"/>
        <v>0</v>
      </c>
      <c r="BA76" s="1036">
        <f>IFERROR(VLOOKUP(C76,'2023'!$D:$G,4,0),0)</f>
        <v>0</v>
      </c>
      <c r="BB76" s="332">
        <f>SUMIFS('2023'!$I:$I,'2023'!$E:$E,Category!$B$74,'2023'!$N:$N,Category!BB$1,'2023'!$D:$D,Category!$C76)</f>
        <v>0</v>
      </c>
      <c r="BC76" s="332">
        <f>SUMIFS('2023'!$I:$I,'2023'!$E:$E,Category!$B$74,'2023'!$N:$N,Category!BC$1,'2023'!$D:$D,Category!$C76)</f>
        <v>0</v>
      </c>
      <c r="BD76" s="332">
        <f>SUMIFS('2023'!$I:$I,'2023'!$E:$E,Category!$B$74,'2023'!$N:$N,Category!BD$1,'2023'!$D:$D,Category!$C76)</f>
        <v>0</v>
      </c>
      <c r="BE76" s="332">
        <f>SUMIFS('2023'!$I:$I,'2023'!$E:$E,Category!$B$74,'2023'!$N:$N,Category!BE$1,'2023'!$D:$D,Category!$C76)</f>
        <v>0</v>
      </c>
      <c r="BF76" s="332">
        <f>SUMIFS('2023'!$I:$I,'2023'!$E:$E,Category!$B$74,'2023'!$N:$N,Category!BF$1,'2023'!$D:$D,Category!$C76)</f>
        <v>0</v>
      </c>
      <c r="BG76" s="332">
        <f>SUMIFS('2023'!$I:$I,'2023'!$E:$E,Category!$B$74,'2023'!$N:$N,Category!BG$1,'2023'!$D:$D,Category!$C76)</f>
        <v>0</v>
      </c>
      <c r="BH76" s="332">
        <f>SUMIFS('2023'!$I:$I,'2023'!$E:$E,Category!$B$74,'2023'!$N:$N,Category!BH$1,'2023'!$D:$D,Category!$C76)</f>
        <v>0</v>
      </c>
      <c r="BI76" s="332">
        <f>SUMIFS('2023'!$I:$I,'2023'!$E:$E,Category!$B$74,'2023'!$N:$N,Category!BI$1,'2023'!$D:$D,Category!$C76)</f>
        <v>0</v>
      </c>
      <c r="BJ76" s="332">
        <f>SUMIFS('2023'!$I:$I,'2023'!$E:$E,Category!$B$74,'2023'!$N:$N,Category!BJ$1,'2023'!$D:$D,Category!$C76)</f>
        <v>0</v>
      </c>
      <c r="BK76" s="332">
        <f>SUMIFS('2023'!$I:$I,'2023'!$E:$E,Category!$B$74,'2023'!$N:$N,Category!BK$1,'2023'!$D:$D,Category!$C76)</f>
        <v>0</v>
      </c>
      <c r="BL76" s="332">
        <f>SUMIFS('2023'!$I:$I,'2023'!$E:$E,Category!$B$74,'2023'!$N:$N,Category!BL$1,'2023'!$D:$D,Category!$C76)</f>
        <v>0</v>
      </c>
      <c r="BM76" s="332">
        <f>SUMIFS('2023'!$I:$I,'2023'!$E:$E,Category!$B$74,'2023'!$N:$N,Category!BM$1,'2023'!$D:$D,Category!$C76)</f>
        <v>0</v>
      </c>
      <c r="BN76" s="333">
        <f t="shared" si="32"/>
        <v>0</v>
      </c>
    </row>
    <row r="77" spans="1:75" x14ac:dyDescent="0.3">
      <c r="A77" s="330"/>
      <c r="B77" s="331"/>
      <c r="C77" s="331" t="s">
        <v>633</v>
      </c>
      <c r="D77" s="519">
        <f>IFERROR(VLOOKUP($C77,'2019'!$D:$G,4,0),0)</f>
        <v>0</v>
      </c>
      <c r="E77" s="332">
        <f>SUMIFS('2019'!$I:$I,'2019'!$E:$E,Category!$B$74,'2019'!$N:$N,Category!E$1,'2019'!$D:$D,Category!$C77)</f>
        <v>0</v>
      </c>
      <c r="F77" s="332">
        <f>SUMIFS('2019'!$I:$I,'2019'!$E:$E,Category!$B$74,'2019'!$N:$N,Category!F$1,'2019'!$D:$D,Category!$C77)</f>
        <v>0</v>
      </c>
      <c r="G77" s="332">
        <f>SUMIFS('2019'!$I:$I,'2019'!$E:$E,Category!$B$74,'2019'!$N:$N,Category!G$1,'2019'!$D:$D,Category!$C77)</f>
        <v>0</v>
      </c>
      <c r="H77" s="332">
        <f>SUMIFS('2019'!$I:$I,'2019'!$E:$E,Category!$B$74,'2019'!$N:$N,Category!H$1,'2019'!$D:$D,Category!$C77)</f>
        <v>0</v>
      </c>
      <c r="I77" s="332">
        <f>SUMIFS('2019'!$I:$I,'2019'!$E:$E,Category!$B$74,'2019'!$N:$N,Category!I$1,'2019'!$D:$D,Category!$C77)</f>
        <v>0</v>
      </c>
      <c r="J77" s="333">
        <f t="shared" si="29"/>
        <v>0</v>
      </c>
      <c r="K77" s="501">
        <f>IFERROR(VLOOKUP($C77,'2020'!$D:$G,4,0),0)</f>
        <v>0</v>
      </c>
      <c r="L77" s="332">
        <f>SUMIFS('2020'!$I:$I,'2020'!$E:$E,Category!$B$74,'2020'!$N:$N,Category!L$1,'2020'!$D:$D,Category!$C77)</f>
        <v>0</v>
      </c>
      <c r="M77" s="332">
        <f>SUMIFS('2020'!$I:$I,'2020'!$E:$E,Category!$B$74,'2020'!$N:$N,Category!M$1,'2020'!$D:$D,Category!$C77)</f>
        <v>0</v>
      </c>
      <c r="N77" s="332">
        <f>SUMIFS('2020'!$I:$I,'2020'!$E:$E,Category!$B$74,'2020'!$N:$N,Category!N$1,'2020'!$D:$D,Category!$C77)</f>
        <v>0</v>
      </c>
      <c r="O77" s="332">
        <f>SUMIFS('2020'!$I:$I,'2020'!$E:$E,Category!$B$74,'2020'!$N:$N,Category!O$1,'2020'!$D:$D,Category!$C77)</f>
        <v>0</v>
      </c>
      <c r="P77" s="332">
        <f>SUMIFS('2020'!$I:$I,'2020'!$E:$E,Category!$B$74,'2020'!$N:$N,Category!P$1,'2020'!$D:$D,Category!$C77)</f>
        <v>0</v>
      </c>
      <c r="Q77" s="332">
        <f>SUMIFS('2020'!$I:$I,'2020'!$E:$E,Category!$B$74,'2020'!$N:$N,Category!Q$1,'2020'!$D:$D,Category!$C77)</f>
        <v>0</v>
      </c>
      <c r="R77" s="332">
        <f>SUMIFS('2020'!$I:$I,'2020'!$E:$E,Category!$B$74,'2020'!$N:$N,Category!R$1,'2020'!$D:$D,Category!$C77)</f>
        <v>0</v>
      </c>
      <c r="S77" s="332">
        <f>SUMIFS('2020'!$I:$I,'2020'!$E:$E,Category!$B$74,'2020'!$N:$N,Category!S$1,'2020'!$D:$D,Category!$C77)</f>
        <v>0</v>
      </c>
      <c r="T77" s="332">
        <f>SUMIFS('2020'!$I:$I,'2020'!$E:$E,Category!$B$74,'2020'!$N:$N,Category!T$1,'2020'!$D:$D,Category!$C77)</f>
        <v>0</v>
      </c>
      <c r="U77" s="332">
        <f>SUMIFS('2020'!$I:$I,'2020'!$E:$E,Category!$B$74,'2020'!$N:$N,Category!U$1,'2020'!$D:$D,Category!$C77)</f>
        <v>0</v>
      </c>
      <c r="V77" s="332">
        <f>SUMIFS('2020'!$I:$I,'2020'!$E:$E,Category!$B$74,'2020'!$N:$N,Category!V$1,'2020'!$D:$D,Category!$C77)</f>
        <v>0</v>
      </c>
      <c r="W77" s="332">
        <f>SUMIFS('2020'!$I:$I,'2020'!$E:$E,Category!$B$74,'2020'!$N:$N,Category!W$1,'2020'!$D:$D,Category!$C77)</f>
        <v>0</v>
      </c>
      <c r="X77" s="333">
        <f t="shared" si="30"/>
        <v>0</v>
      </c>
      <c r="Y77" s="501">
        <f>IFERROR(VLOOKUP(C77,'2021'!$D:$G,4,0),0)</f>
        <v>0</v>
      </c>
      <c r="Z77" s="332">
        <f>SUMIFS('2021'!$I:$I,'2021'!$E:$E,Category!$B$74,'2021'!$N:$N,Category!Z$1,'2021'!$D:$D,Category!$C77)</f>
        <v>0</v>
      </c>
      <c r="AA77" s="332">
        <f>SUMIFS('2021'!$I:$I,'2021'!$E:$E,Category!$B$74,'2021'!$N:$N,Category!AA$1,'2021'!$D:$D,Category!$C77)</f>
        <v>0</v>
      </c>
      <c r="AB77" s="332">
        <f>SUMIFS('2021'!$I:$I,'2021'!$E:$E,Category!$B$74,'2021'!$N:$N,Category!AB$1,'2021'!$D:$D,Category!$C77)</f>
        <v>0</v>
      </c>
      <c r="AC77" s="332">
        <f>SUMIFS('2021'!$I:$I,'2021'!$E:$E,Category!$B$74,'2021'!$N:$N,Category!AC$1,'2021'!$D:$D,Category!$C77)</f>
        <v>0</v>
      </c>
      <c r="AD77" s="332">
        <f>SUMIFS('2021'!$I:$I,'2021'!$E:$E,Category!$B$74,'2021'!$N:$N,Category!AD$1,'2021'!$D:$D,Category!$C77)</f>
        <v>0</v>
      </c>
      <c r="AE77" s="332">
        <f>SUMIFS('2021'!$I:$I,'2021'!$E:$E,Category!$B$74,'2021'!$N:$N,Category!AE$1,'2021'!$D:$D,Category!$C77)</f>
        <v>0</v>
      </c>
      <c r="AF77" s="332">
        <f>SUMIFS('2021'!$I:$I,'2021'!$E:$E,Category!$B$74,'2021'!$N:$N,Category!AF$1,'2021'!$D:$D,Category!$C77)</f>
        <v>0</v>
      </c>
      <c r="AG77" s="332">
        <f>SUMIFS('2021'!$I:$I,'2021'!$E:$E,Category!$B$74,'2021'!$N:$N,Category!AG$1,'2021'!$D:$D,Category!$C77)</f>
        <v>0</v>
      </c>
      <c r="AH77" s="332">
        <f>SUMIFS('2021'!$I:$I,'2021'!$E:$E,Category!$B$74,'2021'!$N:$N,Category!AH$1,'2021'!$D:$D,Category!$C77)</f>
        <v>0</v>
      </c>
      <c r="AI77" s="332">
        <f>SUMIFS('2021'!$I:$I,'2021'!$E:$E,Category!$B$74,'2021'!$N:$N,Category!AI$1,'2021'!$D:$D,Category!$C77)</f>
        <v>0</v>
      </c>
      <c r="AJ77" s="332">
        <f>SUMIFS('2021'!$I:$I,'2021'!$E:$E,Category!$B$74,'2021'!$N:$N,Category!AJ$1,'2021'!$D:$D,Category!$C77)</f>
        <v>0</v>
      </c>
      <c r="AK77" s="332">
        <f>SUMIFS('2021'!$I:$I,'2021'!$E:$E,Category!$B$74,'2021'!$N:$N,Category!AK$1,'2021'!$D:$D,Category!$C77)</f>
        <v>35000000</v>
      </c>
      <c r="AL77" s="333">
        <f>SUM(Z77:AK77)</f>
        <v>35000000</v>
      </c>
      <c r="AM77" s="501">
        <f>IFERROR(VLOOKUP(C77,'2022'!$D:$G,4,0),0)</f>
        <v>0</v>
      </c>
      <c r="AN77" s="332">
        <f>SUMIFS('2022'!$I:$I,'2022'!$E:$E,Category!$B$74,'2022'!$N:$N,Category!AN$1,'2022'!$D:$D,Category!$C77)</f>
        <v>0</v>
      </c>
      <c r="AO77" s="332">
        <f>SUMIFS('2022'!$I:$I,'2022'!$E:$E,Category!$B$74,'2022'!$N:$N,Category!AO$1,'2022'!$D:$D,Category!$C77)</f>
        <v>0</v>
      </c>
      <c r="AP77" s="332">
        <f>SUMIFS('2022'!$I:$I,'2022'!$E:$E,Category!$B$74,'2022'!$N:$N,Category!AP$1,'2022'!$D:$D,Category!$C77)</f>
        <v>0</v>
      </c>
      <c r="AQ77" s="332">
        <f>SUMIFS('2022'!$I:$I,'2022'!$E:$E,Category!$B$74,'2022'!$N:$N,Category!AQ$1,'2022'!$D:$D,Category!$C77)</f>
        <v>0</v>
      </c>
      <c r="AR77" s="332">
        <f>SUMIFS('2022'!$I:$I,'2022'!$E:$E,Category!$B$74,'2022'!$N:$N,Category!AR$1,'2022'!$D:$D,Category!$C77)</f>
        <v>0</v>
      </c>
      <c r="AS77" s="332">
        <f>SUMIFS('2022'!$I:$I,'2022'!$E:$E,Category!$B$74,'2022'!$N:$N,Category!AS$1,'2022'!$D:$D,Category!$C77)</f>
        <v>0</v>
      </c>
      <c r="AT77" s="332">
        <f>SUMIFS('2022'!$I:$I,'2022'!$E:$E,Category!$B$74,'2022'!$N:$N,Category!AT$1,'2022'!$D:$D,Category!$C77)</f>
        <v>0</v>
      </c>
      <c r="AU77" s="332">
        <f>SUMIFS('2022'!$I:$I,'2022'!$E:$E,Category!$B$74,'2022'!$N:$N,Category!AU$1,'2022'!$D:$D,Category!$C77)</f>
        <v>0</v>
      </c>
      <c r="AV77" s="332">
        <f>SUMIFS('2022'!$I:$I,'2022'!$E:$E,Category!$B$74,'2022'!$N:$N,Category!AV$1,'2022'!$D:$D,Category!$C77)</f>
        <v>0</v>
      </c>
      <c r="AW77" s="332">
        <f>SUMIFS('2022'!$I:$I,'2022'!$E:$E,Category!$B$74,'2022'!$N:$N,Category!AW$1,'2022'!$D:$D,Category!$C77)</f>
        <v>0</v>
      </c>
      <c r="AX77" s="332">
        <f>SUMIFS('2022'!$I:$I,'2022'!$E:$E,Category!$B$74,'2022'!$N:$N,Category!AX$1,'2022'!$D:$D,Category!$C77)</f>
        <v>0</v>
      </c>
      <c r="AY77" s="332">
        <f>SUMIFS('2022'!$I:$I,'2022'!$E:$E,Category!$B$74,'2022'!$N:$N,Category!AY$1,'2022'!$D:$D,Category!$C77)</f>
        <v>0</v>
      </c>
      <c r="AZ77" s="333">
        <f t="shared" si="31"/>
        <v>0</v>
      </c>
      <c r="BA77" s="1036">
        <f>IFERROR(VLOOKUP(C77,'2023'!$D:$G,4,0),0)</f>
        <v>0</v>
      </c>
      <c r="BB77" s="332">
        <f>SUMIFS('2023'!$I:$I,'2023'!$E:$E,Category!$B$74,'2023'!$N:$N,Category!BB$1,'2023'!$D:$D,Category!$C77)</f>
        <v>0</v>
      </c>
      <c r="BC77" s="332">
        <f>SUMIFS('2023'!$I:$I,'2023'!$E:$E,Category!$B$74,'2023'!$N:$N,Category!BC$1,'2023'!$D:$D,Category!$C77)</f>
        <v>0</v>
      </c>
      <c r="BD77" s="332">
        <f>SUMIFS('2023'!$I:$I,'2023'!$E:$E,Category!$B$74,'2023'!$N:$N,Category!BD$1,'2023'!$D:$D,Category!$C77)</f>
        <v>0</v>
      </c>
      <c r="BE77" s="332">
        <f>SUMIFS('2023'!$I:$I,'2023'!$E:$E,Category!$B$74,'2023'!$N:$N,Category!BE$1,'2023'!$D:$D,Category!$C77)</f>
        <v>0</v>
      </c>
      <c r="BF77" s="332">
        <f>SUMIFS('2023'!$I:$I,'2023'!$E:$E,Category!$B$74,'2023'!$N:$N,Category!BF$1,'2023'!$D:$D,Category!$C77)</f>
        <v>0</v>
      </c>
      <c r="BG77" s="332">
        <f>SUMIFS('2023'!$I:$I,'2023'!$E:$E,Category!$B$74,'2023'!$N:$N,Category!BG$1,'2023'!$D:$D,Category!$C77)</f>
        <v>0</v>
      </c>
      <c r="BH77" s="332">
        <f>SUMIFS('2023'!$I:$I,'2023'!$E:$E,Category!$B$74,'2023'!$N:$N,Category!BH$1,'2023'!$D:$D,Category!$C77)</f>
        <v>0</v>
      </c>
      <c r="BI77" s="332">
        <f>SUMIFS('2023'!$I:$I,'2023'!$E:$E,Category!$B$74,'2023'!$N:$N,Category!BI$1,'2023'!$D:$D,Category!$C77)</f>
        <v>0</v>
      </c>
      <c r="BJ77" s="332">
        <f>SUMIFS('2023'!$I:$I,'2023'!$E:$E,Category!$B$74,'2023'!$N:$N,Category!BJ$1,'2023'!$D:$D,Category!$C77)</f>
        <v>0</v>
      </c>
      <c r="BK77" s="332">
        <f>SUMIFS('2023'!$I:$I,'2023'!$E:$E,Category!$B$74,'2023'!$N:$N,Category!BK$1,'2023'!$D:$D,Category!$C77)</f>
        <v>0</v>
      </c>
      <c r="BL77" s="332">
        <f>SUMIFS('2023'!$I:$I,'2023'!$E:$E,Category!$B$74,'2023'!$N:$N,Category!BL$1,'2023'!$D:$D,Category!$C77)</f>
        <v>0</v>
      </c>
      <c r="BM77" s="332">
        <f>SUMIFS('2023'!$I:$I,'2023'!$E:$E,Category!$B$74,'2023'!$N:$N,Category!BM$1,'2023'!$D:$D,Category!$C77)</f>
        <v>0</v>
      </c>
      <c r="BN77" s="333">
        <f t="shared" si="32"/>
        <v>0</v>
      </c>
    </row>
    <row r="78" spans="1:75" ht="39.75" x14ac:dyDescent="0.3">
      <c r="A78" s="330"/>
      <c r="B78" s="331"/>
      <c r="C78" s="331" t="s">
        <v>1076</v>
      </c>
      <c r="D78" s="519">
        <f>IFERROR(VLOOKUP($C78,'2019'!$D:$G,4,0),0)</f>
        <v>0</v>
      </c>
      <c r="E78" s="332">
        <f>SUMIFS('2019'!$I:$I,'2019'!$E:$E,Category!$B$74,'2019'!$N:$N,Category!E$1,'2019'!$D:$D,Category!$C78)</f>
        <v>0</v>
      </c>
      <c r="F78" s="332">
        <f>SUMIFS('2019'!$I:$I,'2019'!$E:$E,Category!$B$74,'2019'!$N:$N,Category!F$1,'2019'!$D:$D,Category!$C78)</f>
        <v>0</v>
      </c>
      <c r="G78" s="332">
        <f>SUMIFS('2019'!$I:$I,'2019'!$E:$E,Category!$B$74,'2019'!$N:$N,Category!G$1,'2019'!$D:$D,Category!$C78)</f>
        <v>0</v>
      </c>
      <c r="H78" s="332">
        <f>SUMIFS('2019'!$I:$I,'2019'!$E:$E,Category!$B$74,'2019'!$N:$N,Category!H$1,'2019'!$D:$D,Category!$C78)</f>
        <v>0</v>
      </c>
      <c r="I78" s="332">
        <f>SUMIFS('2019'!$I:$I,'2019'!$E:$E,Category!$B$74,'2019'!$N:$N,Category!I$1,'2019'!$D:$D,Category!$C78)</f>
        <v>0</v>
      </c>
      <c r="J78" s="333">
        <f t="shared" si="29"/>
        <v>0</v>
      </c>
      <c r="K78" s="501">
        <f>IFERROR(VLOOKUP($C78,'2020'!$D:$G,4,0),0)</f>
        <v>0</v>
      </c>
      <c r="L78" s="332">
        <f>SUMIFS('2020'!$I:$I,'2020'!$E:$E,Category!$B$74,'2020'!$N:$N,Category!L$1,'2020'!$D:$D,Category!$C78)</f>
        <v>0</v>
      </c>
      <c r="M78" s="332">
        <f>SUMIFS('2020'!$I:$I,'2020'!$E:$E,Category!$B$74,'2020'!$N:$N,Category!M$1,'2020'!$D:$D,Category!$C78)</f>
        <v>0</v>
      </c>
      <c r="N78" s="332">
        <f>SUMIFS('2020'!$I:$I,'2020'!$E:$E,Category!$B$74,'2020'!$N:$N,Category!N$1,'2020'!$D:$D,Category!$C78)</f>
        <v>0</v>
      </c>
      <c r="O78" s="332">
        <f>SUMIFS('2020'!$I:$I,'2020'!$E:$E,Category!$B$74,'2020'!$N:$N,Category!O$1,'2020'!$D:$D,Category!$C78)</f>
        <v>0</v>
      </c>
      <c r="P78" s="332">
        <f>SUMIFS('2020'!$I:$I,'2020'!$E:$E,Category!$B$74,'2020'!$N:$N,Category!P$1,'2020'!$D:$D,Category!$C78)</f>
        <v>0</v>
      </c>
      <c r="Q78" s="332">
        <f>SUMIFS('2020'!$I:$I,'2020'!$E:$E,Category!$B$74,'2020'!$N:$N,Category!Q$1,'2020'!$D:$D,Category!$C78)</f>
        <v>0</v>
      </c>
      <c r="R78" s="332">
        <f>SUMIFS('2020'!$I:$I,'2020'!$E:$E,Category!$B$74,'2020'!$N:$N,Category!R$1,'2020'!$D:$D,Category!$C78)</f>
        <v>0</v>
      </c>
      <c r="S78" s="332">
        <f>SUMIFS('2020'!$I:$I,'2020'!$E:$E,Category!$B$74,'2020'!$N:$N,Category!S$1,'2020'!$D:$D,Category!$C78)</f>
        <v>0</v>
      </c>
      <c r="T78" s="332">
        <f>SUMIFS('2020'!$I:$I,'2020'!$E:$E,Category!$B$74,'2020'!$N:$N,Category!T$1,'2020'!$D:$D,Category!$C78)</f>
        <v>0</v>
      </c>
      <c r="U78" s="332">
        <f>SUMIFS('2020'!$I:$I,'2020'!$E:$E,Category!$B$74,'2020'!$N:$N,Category!U$1,'2020'!$D:$D,Category!$C78)</f>
        <v>0</v>
      </c>
      <c r="V78" s="332">
        <f>SUMIFS('2020'!$I:$I,'2020'!$E:$E,Category!$B$74,'2020'!$N:$N,Category!V$1,'2020'!$D:$D,Category!$C78)</f>
        <v>0</v>
      </c>
      <c r="W78" s="332">
        <f>SUMIFS('2020'!$I:$I,'2020'!$E:$E,Category!$B$74,'2020'!$N:$N,Category!W$1,'2020'!$D:$D,Category!$C78)</f>
        <v>0</v>
      </c>
      <c r="X78" s="333">
        <f t="shared" si="30"/>
        <v>0</v>
      </c>
      <c r="Y78" s="501">
        <f>IFERROR(VLOOKUP(C78,'2021'!$D:$G,4,0),0)</f>
        <v>0</v>
      </c>
      <c r="Z78" s="332">
        <f>SUMIFS('2021'!$I:$I,'2021'!$E:$E,Category!$B$74,'2021'!$N:$N,Category!Z$1,'2021'!$D:$D,Category!$C78)</f>
        <v>0</v>
      </c>
      <c r="AA78" s="332">
        <f>SUMIFS('2021'!$I:$I,'2021'!$E:$E,Category!$B$74,'2021'!$N:$N,Category!AA$1,'2021'!$D:$D,Category!$C78)</f>
        <v>0</v>
      </c>
      <c r="AB78" s="332">
        <f>SUMIFS('2021'!$I:$I,'2021'!$E:$E,Category!$B$74,'2021'!$N:$N,Category!AB$1,'2021'!$D:$D,Category!$C78)</f>
        <v>0</v>
      </c>
      <c r="AC78" s="332">
        <f>SUMIFS('2021'!$I:$I,'2021'!$E:$E,Category!$B$74,'2021'!$N:$N,Category!AC$1,'2021'!$D:$D,Category!$C78)</f>
        <v>0</v>
      </c>
      <c r="AD78" s="332">
        <f>SUMIFS('2021'!$I:$I,'2021'!$E:$E,Category!$B$74,'2021'!$N:$N,Category!AD$1,'2021'!$D:$D,Category!$C78)</f>
        <v>0</v>
      </c>
      <c r="AE78" s="332"/>
      <c r="AF78" s="332"/>
      <c r="AG78" s="332">
        <v>0</v>
      </c>
      <c r="AH78" s="332">
        <v>0</v>
      </c>
      <c r="AI78" s="332">
        <v>0</v>
      </c>
      <c r="AJ78" s="332">
        <v>0</v>
      </c>
      <c r="AK78" s="332">
        <f>SUMIFS('2021'!$I:$I,'2021'!$E:$E,Category!$B$74,'2021'!$N:$N,Category!AK$1,'2021'!$D:$D,Category!$C78)</f>
        <v>0</v>
      </c>
      <c r="AL78" s="333">
        <v>0</v>
      </c>
      <c r="AM78" s="501">
        <f>IFERROR(VLOOKUP(C78,'2022'!$D:$G,4,0),0)</f>
        <v>0</v>
      </c>
      <c r="AN78" s="332">
        <f>SUMIFS('2022'!$I:$I,'2022'!$E:$E,Category!$B$74,'2022'!$N:$N,Category!AN$1,'2022'!$D:$D,Category!$C78)</f>
        <v>0</v>
      </c>
      <c r="AO78" s="332">
        <f>SUMIFS('2022'!$I:$I,'2022'!$E:$E,Category!$B$74,'2022'!$N:$N,Category!AO$1,'2022'!$D:$D,Category!$C78)</f>
        <v>0</v>
      </c>
      <c r="AP78" s="332">
        <f>SUMIFS('2022'!$I:$I,'2022'!$E:$E,Category!$B$74,'2022'!$N:$N,Category!AP$1,'2022'!$D:$D,Category!$C78)</f>
        <v>35000000</v>
      </c>
      <c r="AQ78" s="332">
        <f>SUMIFS('2022'!$I:$I,'2022'!$E:$E,Category!$B$74,'2022'!$N:$N,Category!AQ$1,'2022'!$D:$D,Category!$C78)</f>
        <v>0</v>
      </c>
      <c r="AR78" s="332">
        <f>SUMIFS('2022'!$I:$I,'2022'!$E:$E,Category!$B$74,'2022'!$N:$N,Category!AR$1,'2022'!$D:$D,Category!$C78)</f>
        <v>0</v>
      </c>
      <c r="AS78" s="332"/>
      <c r="AT78" s="332"/>
      <c r="AU78" s="332"/>
      <c r="AV78" s="332"/>
      <c r="AW78" s="332"/>
      <c r="AX78" s="332"/>
      <c r="AY78" s="332"/>
      <c r="AZ78" s="333">
        <f t="shared" si="31"/>
        <v>35000000</v>
      </c>
      <c r="BA78" s="1036">
        <f>IFERROR(VLOOKUP(C78,'2023'!$D:$G,4,0),0)</f>
        <v>0</v>
      </c>
      <c r="BB78" s="332">
        <f>SUMIFS('2023'!$I:$I,'2023'!$E:$E,Category!$B$74,'2023'!$N:$N,Category!BB$1,'2023'!$D:$D,Category!$C78)</f>
        <v>0</v>
      </c>
      <c r="BC78" s="332">
        <f>SUMIFS('2023'!$I:$I,'2023'!$E:$E,Category!$B$74,'2023'!$N:$N,Category!BC$1,'2023'!$D:$D,Category!$C78)</f>
        <v>0</v>
      </c>
      <c r="BD78" s="332">
        <f>SUMIFS('2023'!$I:$I,'2023'!$E:$E,Category!$B$74,'2023'!$N:$N,Category!BD$1,'2023'!$D:$D,Category!$C78)</f>
        <v>0</v>
      </c>
      <c r="BE78" s="332">
        <f>SUMIFS('2023'!$I:$I,'2023'!$E:$E,Category!$B$74,'2023'!$N:$N,Category!BE$1,'2023'!$D:$D,Category!$C78)</f>
        <v>0</v>
      </c>
      <c r="BF78" s="332">
        <f>SUMIFS('2023'!$I:$I,'2023'!$E:$E,Category!$B$74,'2023'!$N:$N,Category!BF$1,'2023'!$D:$D,Category!$C78)</f>
        <v>0</v>
      </c>
      <c r="BG78" s="332"/>
      <c r="BH78" s="332"/>
      <c r="BI78" s="332"/>
      <c r="BJ78" s="332"/>
      <c r="BK78" s="332"/>
      <c r="BL78" s="332"/>
      <c r="BM78" s="332"/>
      <c r="BN78" s="333">
        <f t="shared" si="32"/>
        <v>0</v>
      </c>
    </row>
    <row r="79" spans="1:75" x14ac:dyDescent="0.3">
      <c r="A79" s="330"/>
      <c r="B79" s="331"/>
      <c r="C79" s="331" t="s">
        <v>592</v>
      </c>
      <c r="D79" s="519">
        <f>IFERROR(VLOOKUP($C79,'2019'!$D:$G,4,0),0)</f>
        <v>0</v>
      </c>
      <c r="E79" s="332">
        <f>SUMIFS('2019'!$I:$I,'2019'!$E:$E,Category!$B$74,'2019'!$N:$N,Category!E$1,'2019'!$D:$D,Category!$C79)</f>
        <v>0</v>
      </c>
      <c r="F79" s="332">
        <f>SUMIFS('2019'!$I:$I,'2019'!$E:$E,Category!$B$74,'2019'!$N:$N,Category!F$1,'2019'!$D:$D,Category!$C79)</f>
        <v>0</v>
      </c>
      <c r="G79" s="332">
        <f>SUMIFS('2019'!$I:$I,'2019'!$E:$E,Category!$B$74,'2019'!$N:$N,Category!G$1,'2019'!$D:$D,Category!$C79)</f>
        <v>0</v>
      </c>
      <c r="H79" s="332">
        <f>SUMIFS('2019'!$I:$I,'2019'!$E:$E,Category!$B$74,'2019'!$N:$N,Category!H$1,'2019'!$D:$D,Category!$C79)</f>
        <v>0</v>
      </c>
      <c r="I79" s="332">
        <f>SUMIFS('2019'!$I:$I,'2019'!$E:$E,Category!$B$74,'2019'!$N:$N,Category!I$1,'2019'!$D:$D,Category!$C79)</f>
        <v>0</v>
      </c>
      <c r="J79" s="333">
        <f t="shared" si="29"/>
        <v>0</v>
      </c>
      <c r="K79" s="501">
        <f>IFERROR(VLOOKUP($C79,'2020'!$D:$G,4,0),0)</f>
        <v>0</v>
      </c>
      <c r="L79" s="332">
        <f>SUMIFS('2020'!$I:$I,'2020'!$E:$E,Category!$B$74,'2020'!$N:$N,Category!L$1,'2020'!$D:$D,Category!$C79)</f>
        <v>0</v>
      </c>
      <c r="M79" s="332">
        <f>SUMIFS('2020'!$I:$I,'2020'!$E:$E,Category!$B$74,'2020'!$N:$N,Category!M$1,'2020'!$D:$D,Category!$C79)</f>
        <v>0</v>
      </c>
      <c r="N79" s="332">
        <f>SUMIFS('2020'!$I:$I,'2020'!$E:$E,Category!$B$74,'2020'!$N:$N,Category!N$1,'2020'!$D:$D,Category!$C79)</f>
        <v>0</v>
      </c>
      <c r="O79" s="332">
        <f>SUMIFS('2020'!$I:$I,'2020'!$E:$E,Category!$B$74,'2020'!$N:$N,Category!O$1,'2020'!$D:$D,Category!$C79)</f>
        <v>0</v>
      </c>
      <c r="P79" s="332">
        <f>SUMIFS('2020'!$I:$I,'2020'!$E:$E,Category!$B$74,'2020'!$N:$N,Category!P$1,'2020'!$D:$D,Category!$C79)</f>
        <v>0</v>
      </c>
      <c r="Q79" s="332">
        <f>SUMIFS('2020'!$I:$I,'2020'!$E:$E,Category!$B$74,'2020'!$N:$N,Category!Q$1,'2020'!$D:$D,Category!$C79)</f>
        <v>0</v>
      </c>
      <c r="R79" s="332">
        <f>SUMIFS('2020'!$I:$I,'2020'!$E:$E,Category!$B$74,'2020'!$N:$N,Category!R$1,'2020'!$D:$D,Category!$C79)</f>
        <v>0</v>
      </c>
      <c r="S79" s="332">
        <f>SUMIFS('2020'!$I:$I,'2020'!$E:$E,Category!$B$74,'2020'!$N:$N,Category!S$1,'2020'!$D:$D,Category!$C79)</f>
        <v>0</v>
      </c>
      <c r="T79" s="332">
        <f>SUMIFS('2020'!$I:$I,'2020'!$E:$E,Category!$B$74,'2020'!$N:$N,Category!T$1,'2020'!$D:$D,Category!$C79)</f>
        <v>0</v>
      </c>
      <c r="U79" s="332">
        <f>SUMIFS('2020'!$I:$I,'2020'!$E:$E,Category!$B$74,'2020'!$N:$N,Category!U$1,'2020'!$D:$D,Category!$C79)</f>
        <v>0</v>
      </c>
      <c r="V79" s="332">
        <f>SUMIFS('2020'!$I:$I,'2020'!$E:$E,Category!$B$74,'2020'!$N:$N,Category!V$1,'2020'!$D:$D,Category!$C79)</f>
        <v>0</v>
      </c>
      <c r="W79" s="332">
        <f>SUMIFS('2020'!$I:$I,'2020'!$E:$E,Category!$B$74,'2020'!$N:$N,Category!W$1,'2020'!$D:$D,Category!$C79)</f>
        <v>0</v>
      </c>
      <c r="X79" s="333">
        <f t="shared" si="30"/>
        <v>0</v>
      </c>
      <c r="Y79" s="501">
        <f>IFERROR(VLOOKUP(C79,'2021'!$D:$G,4,0),0)</f>
        <v>0</v>
      </c>
      <c r="Z79" s="332">
        <f>SUMIFS('2021'!$I:$I,'2021'!$E:$E,Category!$B$74,'2021'!$N:$N,Category!Z$1,'2021'!$D:$D,Category!$C79)</f>
        <v>0</v>
      </c>
      <c r="AA79" s="332">
        <f>SUMIFS('2021'!$I:$I,'2021'!$E:$E,Category!$B$74,'2021'!$N:$N,Category!AA$1,'2021'!$D:$D,Category!$C79)</f>
        <v>0</v>
      </c>
      <c r="AB79" s="332">
        <f>SUMIFS('2021'!$I:$I,'2021'!$E:$E,Category!$B$74,'2021'!$N:$N,Category!AB$1,'2021'!$D:$D,Category!$C79)</f>
        <v>0</v>
      </c>
      <c r="AC79" s="332">
        <f>SUMIFS('2021'!$I:$I,'2021'!$E:$E,Category!$B$74,'2021'!$N:$N,Category!AC$1,'2021'!$D:$D,Category!$C79)</f>
        <v>0</v>
      </c>
      <c r="AD79" s="332">
        <f>SUMIFS('2021'!$I:$I,'2021'!$E:$E,Category!$B$74,'2021'!$N:$N,Category!AD$1,'2021'!$D:$D,Category!$C79)</f>
        <v>0</v>
      </c>
      <c r="AE79" s="332">
        <f>SUMIFS('2021'!$I:$I,'2021'!$E:$E,Category!$B$74,'2021'!$N:$N,Category!AE$1,'2021'!$D:$D,Category!$C79)</f>
        <v>0</v>
      </c>
      <c r="AF79" s="332">
        <f>SUMIFS('2021'!$I:$I,'2021'!$E:$E,Category!$B$74,'2021'!$N:$N,Category!AF$1,'2021'!$D:$D,Category!$C79)</f>
        <v>0</v>
      </c>
      <c r="AG79" s="332">
        <f>SUMIFS('2021'!$I:$I,'2021'!$E:$E,Category!$B$74,'2021'!$N:$N,Category!AG$1,'2021'!$D:$D,Category!$C79)</f>
        <v>0</v>
      </c>
      <c r="AH79" s="332">
        <f>SUMIFS('2021'!$I:$I,'2021'!$E:$E,Category!$B$74,'2021'!$N:$N,Category!AH$1,'2021'!$D:$D,Category!$C79)</f>
        <v>0</v>
      </c>
      <c r="AI79" s="332">
        <f>SUMIFS('2021'!$I:$I,'2021'!$E:$E,Category!$B$74,'2021'!$N:$N,Category!AI$1,'2021'!$D:$D,Category!$C79)</f>
        <v>0</v>
      </c>
      <c r="AJ79" s="332">
        <f>SUMIFS('2021'!$I:$I,'2021'!$E:$E,Category!$B$74,'2021'!$N:$N,Category!AJ$1,'2021'!$D:$D,Category!$C79)</f>
        <v>0</v>
      </c>
      <c r="AK79" s="332">
        <f>SUMIFS('2021'!$I:$I,'2021'!$E:$E,Category!$B$74,'2021'!$N:$N,Category!AK$1,'2021'!$D:$D,Category!$C79)</f>
        <v>30720000</v>
      </c>
      <c r="AL79" s="333">
        <f t="shared" ref="AL79:AL102" si="33">SUM(Z79:AK79)</f>
        <v>30720000</v>
      </c>
      <c r="AM79" s="501">
        <f>IFERROR(VLOOKUP(C79,'2022'!$D:$G,4,0),0)</f>
        <v>0</v>
      </c>
      <c r="AN79" s="332">
        <f>SUMIFS('2022'!$I:$I,'2022'!$E:$E,Category!$B$74,'2022'!$N:$N,Category!AN$1,'2022'!$D:$D,Category!$C79)</f>
        <v>0</v>
      </c>
      <c r="AO79" s="332">
        <f>SUMIFS('2022'!$I:$I,'2022'!$E:$E,Category!$B$74,'2022'!$N:$N,Category!AO$1,'2022'!$D:$D,Category!$C79)</f>
        <v>0</v>
      </c>
      <c r="AP79" s="332">
        <f>SUMIFS('2022'!$I:$I,'2022'!$E:$E,Category!$B$74,'2022'!$N:$N,Category!AP$1,'2022'!$D:$D,Category!$C79)</f>
        <v>0</v>
      </c>
      <c r="AQ79" s="332">
        <f>SUMIFS('2022'!$I:$I,'2022'!$E:$E,Category!$B$74,'2022'!$N:$N,Category!AQ$1,'2022'!$D:$D,Category!$C79)</f>
        <v>0</v>
      </c>
      <c r="AR79" s="332">
        <f>SUMIFS('2022'!$I:$I,'2022'!$E:$E,Category!$B$74,'2022'!$N:$N,Category!AR$1,'2022'!$D:$D,Category!$C79)</f>
        <v>0</v>
      </c>
      <c r="AS79" s="332">
        <f>SUMIFS('2022'!$I:$I,'2022'!$E:$E,Category!$B$74,'2022'!$N:$N,Category!AS$1,'2022'!$D:$D,Category!$C79)</f>
        <v>0</v>
      </c>
      <c r="AT79" s="332">
        <f>SUMIFS('2022'!$I:$I,'2022'!$E:$E,Category!$B$74,'2022'!$N:$N,Category!AT$1,'2022'!$D:$D,Category!$C79)</f>
        <v>0</v>
      </c>
      <c r="AU79" s="332">
        <f>SUMIFS('2022'!$I:$I,'2022'!$E:$E,Category!$B$74,'2022'!$N:$N,Category!AU$1,'2022'!$D:$D,Category!$C79)</f>
        <v>0</v>
      </c>
      <c r="AV79" s="332">
        <f>SUMIFS('2022'!$I:$I,'2022'!$E:$E,Category!$B$74,'2022'!$N:$N,Category!AV$1,'2022'!$D:$D,Category!$C79)</f>
        <v>0</v>
      </c>
      <c r="AW79" s="332">
        <f>SUMIFS('2022'!$I:$I,'2022'!$E:$E,Category!$B$74,'2022'!$N:$N,Category!AW$1,'2022'!$D:$D,Category!$C79)</f>
        <v>0</v>
      </c>
      <c r="AX79" s="332">
        <f>SUMIFS('2022'!$I:$I,'2022'!$E:$E,Category!$B$74,'2022'!$N:$N,Category!AX$1,'2022'!$D:$D,Category!$C79)</f>
        <v>0</v>
      </c>
      <c r="AY79" s="332">
        <f>SUMIFS('2022'!$I:$I,'2022'!$E:$E,Category!$B$74,'2022'!$N:$N,Category!AY$1,'2022'!$D:$D,Category!$C79)</f>
        <v>0</v>
      </c>
      <c r="AZ79" s="333">
        <f t="shared" si="31"/>
        <v>0</v>
      </c>
      <c r="BA79" s="1036">
        <f>IFERROR(VLOOKUP(C79,'2023'!$D:$G,4,0),0)</f>
        <v>0</v>
      </c>
      <c r="BB79" s="332">
        <f>SUMIFS('2023'!$I:$I,'2023'!$E:$E,Category!$B$74,'2023'!$N:$N,Category!BB$1,'2023'!$D:$D,Category!$C79)</f>
        <v>0</v>
      </c>
      <c r="BC79" s="332">
        <f>SUMIFS('2023'!$I:$I,'2023'!$E:$E,Category!$B$74,'2023'!$N:$N,Category!BC$1,'2023'!$D:$D,Category!$C79)</f>
        <v>0</v>
      </c>
      <c r="BD79" s="332">
        <f>SUMIFS('2023'!$I:$I,'2023'!$E:$E,Category!$B$74,'2023'!$N:$N,Category!BD$1,'2023'!$D:$D,Category!$C79)</f>
        <v>0</v>
      </c>
      <c r="BE79" s="332">
        <f>SUMIFS('2023'!$I:$I,'2023'!$E:$E,Category!$B$74,'2023'!$N:$N,Category!BE$1,'2023'!$D:$D,Category!$C79)</f>
        <v>0</v>
      </c>
      <c r="BF79" s="332">
        <f>SUMIFS('2023'!$I:$I,'2023'!$E:$E,Category!$B$74,'2023'!$N:$N,Category!BF$1,'2023'!$D:$D,Category!$C79)</f>
        <v>0</v>
      </c>
      <c r="BG79" s="332">
        <f>SUMIFS('2023'!$I:$I,'2023'!$E:$E,Category!$B$74,'2023'!$N:$N,Category!BG$1,'2023'!$D:$D,Category!$C79)</f>
        <v>0</v>
      </c>
      <c r="BH79" s="332">
        <f>SUMIFS('2023'!$I:$I,'2023'!$E:$E,Category!$B$74,'2023'!$N:$N,Category!BH$1,'2023'!$D:$D,Category!$C79)</f>
        <v>0</v>
      </c>
      <c r="BI79" s="332">
        <f>SUMIFS('2023'!$I:$I,'2023'!$E:$E,Category!$B$74,'2023'!$N:$N,Category!BI$1,'2023'!$D:$D,Category!$C79)</f>
        <v>0</v>
      </c>
      <c r="BJ79" s="332">
        <f>SUMIFS('2023'!$I:$I,'2023'!$E:$E,Category!$B$74,'2023'!$N:$N,Category!BJ$1,'2023'!$D:$D,Category!$C79)</f>
        <v>0</v>
      </c>
      <c r="BK79" s="332">
        <f>SUMIFS('2023'!$I:$I,'2023'!$E:$E,Category!$B$74,'2023'!$N:$N,Category!BK$1,'2023'!$D:$D,Category!$C79)</f>
        <v>0</v>
      </c>
      <c r="BL79" s="332">
        <f>SUMIFS('2023'!$I:$I,'2023'!$E:$E,Category!$B$74,'2023'!$N:$N,Category!BL$1,'2023'!$D:$D,Category!$C79)</f>
        <v>0</v>
      </c>
      <c r="BM79" s="332">
        <f>SUMIFS('2023'!$I:$I,'2023'!$E:$E,Category!$B$74,'2023'!$N:$N,Category!BM$1,'2023'!$D:$D,Category!$C79)</f>
        <v>0</v>
      </c>
      <c r="BN79" s="333">
        <f t="shared" si="32"/>
        <v>0</v>
      </c>
    </row>
    <row r="80" spans="1:75" x14ac:dyDescent="0.3">
      <c r="A80" s="330"/>
      <c r="B80" s="331"/>
      <c r="C80" s="331" t="s">
        <v>605</v>
      </c>
      <c r="D80" s="519">
        <f>IFERROR(VLOOKUP($C80,'2019'!$D:$G,4,0),0)</f>
        <v>0</v>
      </c>
      <c r="E80" s="332">
        <f>SUMIFS('2019'!$I:$I,'2019'!$E:$E,Category!$B$74,'2019'!$N:$N,Category!E$1,'2019'!$D:$D,Category!$C80)</f>
        <v>0</v>
      </c>
      <c r="F80" s="332">
        <f>SUMIFS('2019'!$I:$I,'2019'!$E:$E,Category!$B$74,'2019'!$N:$N,Category!F$1,'2019'!$D:$D,Category!$C80)</f>
        <v>0</v>
      </c>
      <c r="G80" s="332">
        <f>SUMIFS('2019'!$I:$I,'2019'!$E:$E,Category!$B$74,'2019'!$N:$N,Category!G$1,'2019'!$D:$D,Category!$C80)</f>
        <v>0</v>
      </c>
      <c r="H80" s="332">
        <f>SUMIFS('2019'!$I:$I,'2019'!$E:$E,Category!$B$74,'2019'!$N:$N,Category!H$1,'2019'!$D:$D,Category!$C80)</f>
        <v>0</v>
      </c>
      <c r="I80" s="332">
        <f>SUMIFS('2019'!$I:$I,'2019'!$E:$E,Category!$B$74,'2019'!$N:$N,Category!I$1,'2019'!$D:$D,Category!$C80)</f>
        <v>0</v>
      </c>
      <c r="J80" s="333">
        <f t="shared" si="29"/>
        <v>0</v>
      </c>
      <c r="K80" s="501">
        <f>IFERROR(VLOOKUP($C80,'2020'!$D:$G,4,0),0)</f>
        <v>0</v>
      </c>
      <c r="L80" s="332">
        <f>SUMIFS('2020'!$I:$I,'2020'!$E:$E,Category!$B$74,'2020'!$N:$N,Category!L$1,'2020'!$D:$D,Category!$C80)</f>
        <v>0</v>
      </c>
      <c r="M80" s="332">
        <f>SUMIFS('2020'!$I:$I,'2020'!$E:$E,Category!$B$74,'2020'!$N:$N,Category!M$1,'2020'!$D:$D,Category!$C80)</f>
        <v>0</v>
      </c>
      <c r="N80" s="332">
        <f>SUMIFS('2020'!$I:$I,'2020'!$E:$E,Category!$B$74,'2020'!$N:$N,Category!N$1,'2020'!$D:$D,Category!$C80)</f>
        <v>0</v>
      </c>
      <c r="O80" s="332">
        <f>SUMIFS('2020'!$I:$I,'2020'!$E:$E,Category!$B$74,'2020'!$N:$N,Category!O$1,'2020'!$D:$D,Category!$C80)</f>
        <v>0</v>
      </c>
      <c r="P80" s="332">
        <f>SUMIFS('2020'!$I:$I,'2020'!$E:$E,Category!$B$74,'2020'!$N:$N,Category!P$1,'2020'!$D:$D,Category!$C80)</f>
        <v>0</v>
      </c>
      <c r="Q80" s="332">
        <f>SUMIFS('2020'!$I:$I,'2020'!$E:$E,Category!$B$74,'2020'!$N:$N,Category!Q$1,'2020'!$D:$D,Category!$C80)</f>
        <v>0</v>
      </c>
      <c r="R80" s="332">
        <f>SUMIFS('2020'!$I:$I,'2020'!$E:$E,Category!$B$74,'2020'!$N:$N,Category!R$1,'2020'!$D:$D,Category!$C80)</f>
        <v>0</v>
      </c>
      <c r="S80" s="332">
        <f>SUMIFS('2020'!$I:$I,'2020'!$E:$E,Category!$B$74,'2020'!$N:$N,Category!S$1,'2020'!$D:$D,Category!$C80)</f>
        <v>0</v>
      </c>
      <c r="T80" s="332">
        <f>SUMIFS('2020'!$I:$I,'2020'!$E:$E,Category!$B$74,'2020'!$N:$N,Category!T$1,'2020'!$D:$D,Category!$C80)</f>
        <v>0</v>
      </c>
      <c r="U80" s="332">
        <f>SUMIFS('2020'!$I:$I,'2020'!$E:$E,Category!$B$74,'2020'!$N:$N,Category!U$1,'2020'!$D:$D,Category!$C80)</f>
        <v>0</v>
      </c>
      <c r="V80" s="332">
        <f>SUMIFS('2020'!$I:$I,'2020'!$E:$E,Category!$B$74,'2020'!$N:$N,Category!V$1,'2020'!$D:$D,Category!$C80)</f>
        <v>0</v>
      </c>
      <c r="W80" s="332">
        <f>SUMIFS('2020'!$I:$I,'2020'!$E:$E,Category!$B$74,'2020'!$N:$N,Category!W$1,'2020'!$D:$D,Category!$C80)</f>
        <v>0</v>
      </c>
      <c r="X80" s="333">
        <f t="shared" si="30"/>
        <v>0</v>
      </c>
      <c r="Y80" s="501">
        <f>IFERROR(VLOOKUP(C80,'2021'!$D:$G,4,0),0)</f>
        <v>0</v>
      </c>
      <c r="Z80" s="332">
        <f>SUMIFS('2021'!$I:$I,'2021'!$E:$E,Category!$B$74,'2021'!$N:$N,Category!Z$1,'2021'!$D:$D,Category!$C80)</f>
        <v>0</v>
      </c>
      <c r="AA80" s="332">
        <f>SUMIFS('2021'!$I:$I,'2021'!$E:$E,Category!$B$74,'2021'!$N:$N,Category!AA$1,'2021'!$D:$D,Category!$C80)</f>
        <v>0</v>
      </c>
      <c r="AB80" s="332">
        <f>SUMIFS('2021'!$I:$I,'2021'!$E:$E,Category!$B$74,'2021'!$N:$N,Category!AB$1,'2021'!$D:$D,Category!$C80)</f>
        <v>0</v>
      </c>
      <c r="AC80" s="332">
        <f>SUMIFS('2021'!$I:$I,'2021'!$E:$E,Category!$B$74,'2021'!$N:$N,Category!AC$1,'2021'!$D:$D,Category!$C80)</f>
        <v>0</v>
      </c>
      <c r="AD80" s="332">
        <f>SUMIFS('2021'!$I:$I,'2021'!$E:$E,Category!$B$74,'2021'!$N:$N,Category!AD$1,'2021'!$D:$D,Category!$C80)</f>
        <v>0</v>
      </c>
      <c r="AE80" s="332">
        <f>SUMIFS('2021'!$I:$I,'2021'!$E:$E,Category!$B$74,'2021'!$N:$N,Category!AE$1,'2021'!$D:$D,Category!$C80)</f>
        <v>0</v>
      </c>
      <c r="AF80" s="332">
        <f>SUMIFS('2021'!$I:$I,'2021'!$E:$E,Category!$B$74,'2021'!$N:$N,Category!AF$1,'2021'!$D:$D,Category!$C80)</f>
        <v>0</v>
      </c>
      <c r="AG80" s="332">
        <f>SUMIFS('2021'!$I:$I,'2021'!$E:$E,Category!$B$74,'2021'!$N:$N,Category!AG$1,'2021'!$D:$D,Category!$C80)</f>
        <v>0</v>
      </c>
      <c r="AH80" s="332">
        <f>SUMIFS('2021'!$I:$I,'2021'!$E:$E,Category!$B$74,'2021'!$N:$N,Category!AH$1,'2021'!$D:$D,Category!$C80)</f>
        <v>0</v>
      </c>
      <c r="AI80" s="332">
        <f>SUMIFS('2021'!$I:$I,'2021'!$E:$E,Category!$B$74,'2021'!$N:$N,Category!AI$1,'2021'!$D:$D,Category!$C80)</f>
        <v>0</v>
      </c>
      <c r="AJ80" s="332">
        <f>SUMIFS('2021'!$I:$I,'2021'!$E:$E,Category!$B$74,'2021'!$N:$N,Category!AJ$1,'2021'!$D:$D,Category!$C80)</f>
        <v>0</v>
      </c>
      <c r="AK80" s="332">
        <f>SUMIFS('2021'!$I:$I,'2021'!$E:$E,Category!$B$74,'2021'!$N:$N,Category!AK$1,'2021'!$D:$D,Category!$C80)</f>
        <v>70000000</v>
      </c>
      <c r="AL80" s="333">
        <f t="shared" si="33"/>
        <v>70000000</v>
      </c>
      <c r="AM80" s="501">
        <f>IFERROR(VLOOKUP(C80,'2022'!$D:$G,4,0),0)</f>
        <v>0</v>
      </c>
      <c r="AN80" s="332">
        <f>SUMIFS('2022'!$I:$I,'2022'!$E:$E,Category!$B$74,'2022'!$N:$N,Category!AN$1,'2022'!$D:$D,Category!$C80)</f>
        <v>0</v>
      </c>
      <c r="AO80" s="332">
        <f>SUMIFS('2022'!$I:$I,'2022'!$E:$E,Category!$B$74,'2022'!$N:$N,Category!AO$1,'2022'!$D:$D,Category!$C80)</f>
        <v>0</v>
      </c>
      <c r="AP80" s="332">
        <f>SUMIFS('2022'!$I:$I,'2022'!$E:$E,Category!$B$74,'2022'!$N:$N,Category!AP$1,'2022'!$D:$D,Category!$C80)</f>
        <v>0</v>
      </c>
      <c r="AQ80" s="332">
        <f>SUMIFS('2022'!$I:$I,'2022'!$E:$E,Category!$B$74,'2022'!$N:$N,Category!AQ$1,'2022'!$D:$D,Category!$C80)</f>
        <v>0</v>
      </c>
      <c r="AR80" s="332">
        <f>SUMIFS('2022'!$I:$I,'2022'!$E:$E,Category!$B$74,'2022'!$N:$N,Category!AR$1,'2022'!$D:$D,Category!$C80)</f>
        <v>0</v>
      </c>
      <c r="AS80" s="332">
        <f>SUMIFS('2022'!$I:$I,'2022'!$E:$E,Category!$B$74,'2022'!$N:$N,Category!AS$1,'2022'!$D:$D,Category!$C80)</f>
        <v>0</v>
      </c>
      <c r="AT80" s="332">
        <f>SUMIFS('2022'!$I:$I,'2022'!$E:$E,Category!$B$74,'2022'!$N:$N,Category!AT$1,'2022'!$D:$D,Category!$C80)</f>
        <v>0</v>
      </c>
      <c r="AU80" s="332">
        <f>SUMIFS('2022'!$I:$I,'2022'!$E:$E,Category!$B$74,'2022'!$N:$N,Category!AU$1,'2022'!$D:$D,Category!$C80)</f>
        <v>0</v>
      </c>
      <c r="AV80" s="332">
        <f>SUMIFS('2022'!$I:$I,'2022'!$E:$E,Category!$B$74,'2022'!$N:$N,Category!AV$1,'2022'!$D:$D,Category!$C80)</f>
        <v>0</v>
      </c>
      <c r="AW80" s="332">
        <f>SUMIFS('2022'!$I:$I,'2022'!$E:$E,Category!$B$74,'2022'!$N:$N,Category!AW$1,'2022'!$D:$D,Category!$C80)</f>
        <v>0</v>
      </c>
      <c r="AX80" s="332">
        <f>SUMIFS('2022'!$I:$I,'2022'!$E:$E,Category!$B$74,'2022'!$N:$N,Category!AX$1,'2022'!$D:$D,Category!$C80)</f>
        <v>0</v>
      </c>
      <c r="AY80" s="332">
        <f>SUMIFS('2022'!$I:$I,'2022'!$E:$E,Category!$B$74,'2022'!$N:$N,Category!AY$1,'2022'!$D:$D,Category!$C80)</f>
        <v>0</v>
      </c>
      <c r="AZ80" s="333">
        <f t="shared" si="31"/>
        <v>0</v>
      </c>
      <c r="BA80" s="1036">
        <f>IFERROR(VLOOKUP(C80,'2023'!$D:$G,4,0),0)</f>
        <v>0</v>
      </c>
      <c r="BB80" s="332">
        <f>SUMIFS('2023'!$I:$I,'2023'!$E:$E,Category!$B$74,'2023'!$N:$N,Category!BB$1,'2023'!$D:$D,Category!$C80)</f>
        <v>0</v>
      </c>
      <c r="BC80" s="332">
        <f>SUMIFS('2023'!$I:$I,'2023'!$E:$E,Category!$B$74,'2023'!$N:$N,Category!BC$1,'2023'!$D:$D,Category!$C80)</f>
        <v>0</v>
      </c>
      <c r="BD80" s="332">
        <f>SUMIFS('2023'!$I:$I,'2023'!$E:$E,Category!$B$74,'2023'!$N:$N,Category!BD$1,'2023'!$D:$D,Category!$C80)</f>
        <v>0</v>
      </c>
      <c r="BE80" s="332">
        <f>SUMIFS('2023'!$I:$I,'2023'!$E:$E,Category!$B$74,'2023'!$N:$N,Category!BE$1,'2023'!$D:$D,Category!$C80)</f>
        <v>0</v>
      </c>
      <c r="BF80" s="332">
        <f>SUMIFS('2023'!$I:$I,'2023'!$E:$E,Category!$B$74,'2023'!$N:$N,Category!BF$1,'2023'!$D:$D,Category!$C80)</f>
        <v>0</v>
      </c>
      <c r="BG80" s="332">
        <f>SUMIFS('2023'!$I:$I,'2023'!$E:$E,Category!$B$74,'2023'!$N:$N,Category!BG$1,'2023'!$D:$D,Category!$C80)</f>
        <v>0</v>
      </c>
      <c r="BH80" s="332">
        <f>SUMIFS('2023'!$I:$I,'2023'!$E:$E,Category!$B$74,'2023'!$N:$N,Category!BH$1,'2023'!$D:$D,Category!$C80)</f>
        <v>0</v>
      </c>
      <c r="BI80" s="332">
        <f>SUMIFS('2023'!$I:$I,'2023'!$E:$E,Category!$B$74,'2023'!$N:$N,Category!BI$1,'2023'!$D:$D,Category!$C80)</f>
        <v>0</v>
      </c>
      <c r="BJ80" s="332">
        <f>SUMIFS('2023'!$I:$I,'2023'!$E:$E,Category!$B$74,'2023'!$N:$N,Category!BJ$1,'2023'!$D:$D,Category!$C80)</f>
        <v>0</v>
      </c>
      <c r="BK80" s="332">
        <f>SUMIFS('2023'!$I:$I,'2023'!$E:$E,Category!$B$74,'2023'!$N:$N,Category!BK$1,'2023'!$D:$D,Category!$C80)</f>
        <v>0</v>
      </c>
      <c r="BL80" s="332">
        <f>SUMIFS('2023'!$I:$I,'2023'!$E:$E,Category!$B$74,'2023'!$N:$N,Category!BL$1,'2023'!$D:$D,Category!$C80)</f>
        <v>0</v>
      </c>
      <c r="BM80" s="332">
        <f>SUMIFS('2023'!$I:$I,'2023'!$E:$E,Category!$B$74,'2023'!$N:$N,Category!BM$1,'2023'!$D:$D,Category!$C80)</f>
        <v>0</v>
      </c>
      <c r="BN80" s="333">
        <f t="shared" si="32"/>
        <v>0</v>
      </c>
    </row>
    <row r="81" spans="1:66" x14ac:dyDescent="0.3">
      <c r="A81" s="330"/>
      <c r="B81" s="331"/>
      <c r="C81" s="331" t="s">
        <v>607</v>
      </c>
      <c r="D81" s="519">
        <f>IFERROR(VLOOKUP($C81,'2019'!$D:$G,4,0),0)</f>
        <v>0</v>
      </c>
      <c r="E81" s="332">
        <f>SUMIFS('2019'!$I:$I,'2019'!$E:$E,Category!$B$74,'2019'!$N:$N,Category!E$1,'2019'!$D:$D,Category!$C81)</f>
        <v>0</v>
      </c>
      <c r="F81" s="332">
        <f>SUMIFS('2019'!$I:$I,'2019'!$E:$E,Category!$B$74,'2019'!$N:$N,Category!F$1,'2019'!$D:$D,Category!$C81)</f>
        <v>0</v>
      </c>
      <c r="G81" s="332">
        <f>SUMIFS('2019'!$I:$I,'2019'!$E:$E,Category!$B$74,'2019'!$N:$N,Category!G$1,'2019'!$D:$D,Category!$C81)</f>
        <v>0</v>
      </c>
      <c r="H81" s="332">
        <f>SUMIFS('2019'!$I:$I,'2019'!$E:$E,Category!$B$74,'2019'!$N:$N,Category!H$1,'2019'!$D:$D,Category!$C81)</f>
        <v>0</v>
      </c>
      <c r="I81" s="332">
        <f>SUMIFS('2019'!$I:$I,'2019'!$E:$E,Category!$B$74,'2019'!$N:$N,Category!I$1,'2019'!$D:$D,Category!$C81)</f>
        <v>0</v>
      </c>
      <c r="J81" s="333">
        <f t="shared" si="29"/>
        <v>0</v>
      </c>
      <c r="K81" s="501">
        <f>IFERROR(VLOOKUP($C81,'2020'!$D:$G,4,0),0)</f>
        <v>0</v>
      </c>
      <c r="L81" s="332">
        <f>SUMIFS('2020'!$I:$I,'2020'!$E:$E,Category!$B$74,'2020'!$N:$N,Category!L$1,'2020'!$D:$D,Category!$C81)</f>
        <v>0</v>
      </c>
      <c r="M81" s="332">
        <f>SUMIFS('2020'!$I:$I,'2020'!$E:$E,Category!$B$74,'2020'!$N:$N,Category!M$1,'2020'!$D:$D,Category!$C81)</f>
        <v>0</v>
      </c>
      <c r="N81" s="332">
        <f>SUMIFS('2020'!$I:$I,'2020'!$E:$E,Category!$B$74,'2020'!$N:$N,Category!N$1,'2020'!$D:$D,Category!$C81)</f>
        <v>0</v>
      </c>
      <c r="O81" s="332">
        <f>SUMIFS('2020'!$I:$I,'2020'!$E:$E,Category!$B$74,'2020'!$N:$N,Category!O$1,'2020'!$D:$D,Category!$C81)</f>
        <v>0</v>
      </c>
      <c r="P81" s="332">
        <f>SUMIFS('2020'!$I:$I,'2020'!$E:$E,Category!$B$74,'2020'!$N:$N,Category!P$1,'2020'!$D:$D,Category!$C81)</f>
        <v>0</v>
      </c>
      <c r="Q81" s="332">
        <f>SUMIFS('2020'!$I:$I,'2020'!$E:$E,Category!$B$74,'2020'!$N:$N,Category!Q$1,'2020'!$D:$D,Category!$C81)</f>
        <v>0</v>
      </c>
      <c r="R81" s="332">
        <f>SUMIFS('2020'!$I:$I,'2020'!$E:$E,Category!$B$74,'2020'!$N:$N,Category!R$1,'2020'!$D:$D,Category!$C81)</f>
        <v>0</v>
      </c>
      <c r="S81" s="332">
        <f>SUMIFS('2020'!$I:$I,'2020'!$E:$E,Category!$B$74,'2020'!$N:$N,Category!S$1,'2020'!$D:$D,Category!$C81)</f>
        <v>0</v>
      </c>
      <c r="T81" s="332">
        <f>SUMIFS('2020'!$I:$I,'2020'!$E:$E,Category!$B$74,'2020'!$N:$N,Category!T$1,'2020'!$D:$D,Category!$C81)</f>
        <v>0</v>
      </c>
      <c r="U81" s="332">
        <f>SUMIFS('2020'!$I:$I,'2020'!$E:$E,Category!$B$74,'2020'!$N:$N,Category!U$1,'2020'!$D:$D,Category!$C81)</f>
        <v>0</v>
      </c>
      <c r="V81" s="332">
        <f>SUMIFS('2020'!$I:$I,'2020'!$E:$E,Category!$B$74,'2020'!$N:$N,Category!V$1,'2020'!$D:$D,Category!$C81)</f>
        <v>0</v>
      </c>
      <c r="W81" s="332">
        <f>SUMIFS('2020'!$I:$I,'2020'!$E:$E,Category!$B$74,'2020'!$N:$N,Category!W$1,'2020'!$D:$D,Category!$C81)</f>
        <v>0</v>
      </c>
      <c r="X81" s="333">
        <f t="shared" si="30"/>
        <v>0</v>
      </c>
      <c r="Y81" s="501">
        <f>IFERROR(VLOOKUP(C81,'2021'!$D:$G,4,0),0)</f>
        <v>31</v>
      </c>
      <c r="Z81" s="332">
        <f>SUMIFS('2021'!$I:$I,'2021'!$E:$E,Category!$B$74,'2021'!$N:$N,Category!Z$1,'2021'!$D:$D,Category!$C81)</f>
        <v>0</v>
      </c>
      <c r="AA81" s="332">
        <f>SUMIFS('2021'!$I:$I,'2021'!$E:$E,Category!$B$74,'2021'!$N:$N,Category!AA$1,'2021'!$D:$D,Category!$C81)</f>
        <v>0</v>
      </c>
      <c r="AB81" s="332">
        <f>SUMIFS('2021'!$I:$I,'2021'!$E:$E,Category!$B$74,'2021'!$N:$N,Category!AB$1,'2021'!$D:$D,Category!$C81)</f>
        <v>0</v>
      </c>
      <c r="AC81" s="332">
        <f>SUMIFS('2021'!$I:$I,'2021'!$E:$E,Category!$B$74,'2021'!$N:$N,Category!AC$1,'2021'!$D:$D,Category!$C81)</f>
        <v>0</v>
      </c>
      <c r="AD81" s="332">
        <f>SUMIFS('2021'!$I:$I,'2021'!$E:$E,Category!$B$74,'2021'!$N:$N,Category!AD$1,'2021'!$D:$D,Category!$C81)</f>
        <v>0</v>
      </c>
      <c r="AE81" s="332">
        <f>SUMIFS('2021'!$I:$I,'2021'!$E:$E,Category!$B$74,'2021'!$N:$N,Category!AE$1,'2021'!$D:$D,Category!$C81)</f>
        <v>0</v>
      </c>
      <c r="AF81" s="332">
        <f>SUMIFS('2021'!$I:$I,'2021'!$E:$E,Category!$B$74,'2021'!$N:$N,Category!AF$1,'2021'!$D:$D,Category!$C81)</f>
        <v>0</v>
      </c>
      <c r="AG81" s="332">
        <f>SUMIFS('2021'!$I:$I,'2021'!$E:$E,Category!$B$74,'2021'!$N:$N,Category!AG$1,'2021'!$D:$D,Category!$C81)</f>
        <v>0</v>
      </c>
      <c r="AH81" s="332">
        <f>SUMIFS('2021'!$I:$I,'2021'!$E:$E,Category!$B$74,'2021'!$N:$N,Category!AH$1,'2021'!$D:$D,Category!$C81)</f>
        <v>0</v>
      </c>
      <c r="AI81" s="332">
        <f>SUMIFS('2021'!$I:$I,'2021'!$E:$E,Category!$B$74,'2021'!$N:$N,Category!AI$1,'2021'!$D:$D,Category!$C81)</f>
        <v>0</v>
      </c>
      <c r="AJ81" s="332">
        <f>SUMIFS('2021'!$I:$I,'2021'!$E:$E,Category!$B$74,'2021'!$N:$N,Category!AJ$1,'2021'!$D:$D,Category!$C81)</f>
        <v>0</v>
      </c>
      <c r="AK81" s="332">
        <f>SUMIFS('2021'!$I:$I,'2021'!$E:$E,Category!$B$74,'2021'!$N:$N,Category!AK$1,'2021'!$D:$D,Category!$C81)</f>
        <v>50000000</v>
      </c>
      <c r="AL81" s="333">
        <f t="shared" si="33"/>
        <v>50000000</v>
      </c>
      <c r="AM81" s="501">
        <f>IFERROR(VLOOKUP(C81,'2022'!$D:$G,4,0),0)</f>
        <v>0</v>
      </c>
      <c r="AN81" s="332">
        <f>SUMIFS('2022'!$I:$I,'2022'!$E:$E,Category!$B$74,'2022'!$N:$N,Category!AN$1,'2022'!$D:$D,Category!$C81)</f>
        <v>0</v>
      </c>
      <c r="AO81" s="332">
        <f>SUMIFS('2022'!$I:$I,'2022'!$E:$E,Category!$B$74,'2022'!$N:$N,Category!AO$1,'2022'!$D:$D,Category!$C81)</f>
        <v>0</v>
      </c>
      <c r="AP81" s="332">
        <f>SUMIFS('2022'!$I:$I,'2022'!$E:$E,Category!$B$74,'2022'!$N:$N,Category!AP$1,'2022'!$D:$D,Category!$C81)</f>
        <v>0</v>
      </c>
      <c r="AQ81" s="332">
        <f>SUMIFS('2022'!$I:$I,'2022'!$E:$E,Category!$B$74,'2022'!$N:$N,Category!AQ$1,'2022'!$D:$D,Category!$C81)</f>
        <v>0</v>
      </c>
      <c r="AR81" s="332">
        <f>SUMIFS('2022'!$I:$I,'2022'!$E:$E,Category!$B$74,'2022'!$N:$N,Category!AR$1,'2022'!$D:$D,Category!$C81)</f>
        <v>0</v>
      </c>
      <c r="AS81" s="332">
        <f>SUMIFS('2022'!$I:$I,'2022'!$E:$E,Category!$B$74,'2022'!$N:$N,Category!AS$1,'2022'!$D:$D,Category!$C81)</f>
        <v>0</v>
      </c>
      <c r="AT81" s="332">
        <f>SUMIFS('2022'!$I:$I,'2022'!$E:$E,Category!$B$74,'2022'!$N:$N,Category!AT$1,'2022'!$D:$D,Category!$C81)</f>
        <v>0</v>
      </c>
      <c r="AU81" s="332">
        <f>SUMIFS('2022'!$I:$I,'2022'!$E:$E,Category!$B$74,'2022'!$N:$N,Category!AU$1,'2022'!$D:$D,Category!$C81)</f>
        <v>0</v>
      </c>
      <c r="AV81" s="332">
        <f>SUMIFS('2022'!$I:$I,'2022'!$E:$E,Category!$B$74,'2022'!$N:$N,Category!AV$1,'2022'!$D:$D,Category!$C81)</f>
        <v>0</v>
      </c>
      <c r="AW81" s="332">
        <f>SUMIFS('2022'!$I:$I,'2022'!$E:$E,Category!$B$74,'2022'!$N:$N,Category!AW$1,'2022'!$D:$D,Category!$C81)</f>
        <v>0</v>
      </c>
      <c r="AX81" s="332">
        <f>SUMIFS('2022'!$I:$I,'2022'!$E:$E,Category!$B$74,'2022'!$N:$N,Category!AX$1,'2022'!$D:$D,Category!$C81)</f>
        <v>0</v>
      </c>
      <c r="AY81" s="332">
        <f>SUMIFS('2022'!$I:$I,'2022'!$E:$E,Category!$B$74,'2022'!$N:$N,Category!AY$1,'2022'!$D:$D,Category!$C81)</f>
        <v>0</v>
      </c>
      <c r="AZ81" s="333">
        <f t="shared" si="31"/>
        <v>0</v>
      </c>
      <c r="BA81" s="1036">
        <f>IFERROR(VLOOKUP(C81,'2023'!$D:$G,4,0),0)</f>
        <v>0</v>
      </c>
      <c r="BB81" s="332">
        <f>SUMIFS('2023'!$I:$I,'2023'!$E:$E,Category!$B$74,'2023'!$N:$N,Category!BB$1,'2023'!$D:$D,Category!$C81)</f>
        <v>0</v>
      </c>
      <c r="BC81" s="332">
        <f>SUMIFS('2023'!$I:$I,'2023'!$E:$E,Category!$B$74,'2023'!$N:$N,Category!BC$1,'2023'!$D:$D,Category!$C81)</f>
        <v>0</v>
      </c>
      <c r="BD81" s="332">
        <f>SUMIFS('2023'!$I:$I,'2023'!$E:$E,Category!$B$74,'2023'!$N:$N,Category!BD$1,'2023'!$D:$D,Category!$C81)</f>
        <v>0</v>
      </c>
      <c r="BE81" s="332">
        <f>SUMIFS('2023'!$I:$I,'2023'!$E:$E,Category!$B$74,'2023'!$N:$N,Category!BE$1,'2023'!$D:$D,Category!$C81)</f>
        <v>0</v>
      </c>
      <c r="BF81" s="332">
        <f>SUMIFS('2023'!$I:$I,'2023'!$E:$E,Category!$B$74,'2023'!$N:$N,Category!BF$1,'2023'!$D:$D,Category!$C81)</f>
        <v>0</v>
      </c>
      <c r="BG81" s="332">
        <f>SUMIFS('2023'!$I:$I,'2023'!$E:$E,Category!$B$74,'2023'!$N:$N,Category!BG$1,'2023'!$D:$D,Category!$C81)</f>
        <v>0</v>
      </c>
      <c r="BH81" s="332">
        <f>SUMIFS('2023'!$I:$I,'2023'!$E:$E,Category!$B$74,'2023'!$N:$N,Category!BH$1,'2023'!$D:$D,Category!$C81)</f>
        <v>0</v>
      </c>
      <c r="BI81" s="332">
        <f>SUMIFS('2023'!$I:$I,'2023'!$E:$E,Category!$B$74,'2023'!$N:$N,Category!BI$1,'2023'!$D:$D,Category!$C81)</f>
        <v>0</v>
      </c>
      <c r="BJ81" s="332">
        <f>SUMIFS('2023'!$I:$I,'2023'!$E:$E,Category!$B$74,'2023'!$N:$N,Category!BJ$1,'2023'!$D:$D,Category!$C81)</f>
        <v>0</v>
      </c>
      <c r="BK81" s="332">
        <f>SUMIFS('2023'!$I:$I,'2023'!$E:$E,Category!$B$74,'2023'!$N:$N,Category!BK$1,'2023'!$D:$D,Category!$C81)</f>
        <v>0</v>
      </c>
      <c r="BL81" s="332">
        <f>SUMIFS('2023'!$I:$I,'2023'!$E:$E,Category!$B$74,'2023'!$N:$N,Category!BL$1,'2023'!$D:$D,Category!$C81)</f>
        <v>0</v>
      </c>
      <c r="BM81" s="332">
        <f>SUMIFS('2023'!$I:$I,'2023'!$E:$E,Category!$B$74,'2023'!$N:$N,Category!BM$1,'2023'!$D:$D,Category!$C81)</f>
        <v>0</v>
      </c>
      <c r="BN81" s="333">
        <f t="shared" si="32"/>
        <v>0</v>
      </c>
    </row>
    <row r="82" spans="1:66" x14ac:dyDescent="0.3">
      <c r="A82" s="330"/>
      <c r="B82" s="331"/>
      <c r="C82" s="331" t="s">
        <v>634</v>
      </c>
      <c r="D82" s="519">
        <f>IFERROR(VLOOKUP($C82,'2019'!$D:$G,4,0),0)</f>
        <v>0</v>
      </c>
      <c r="E82" s="332">
        <f>SUMIFS('2019'!$I:$I,'2019'!$E:$E,Category!$B$74,'2019'!$N:$N,Category!E$1,'2019'!$D:$D,Category!$C82)</f>
        <v>0</v>
      </c>
      <c r="F82" s="332">
        <f>SUMIFS('2019'!$I:$I,'2019'!$E:$E,Category!$B$74,'2019'!$N:$N,Category!F$1,'2019'!$D:$D,Category!$C82)</f>
        <v>0</v>
      </c>
      <c r="G82" s="332">
        <f>SUMIFS('2019'!$I:$I,'2019'!$E:$E,Category!$B$74,'2019'!$N:$N,Category!G$1,'2019'!$D:$D,Category!$C82)</f>
        <v>0</v>
      </c>
      <c r="H82" s="332">
        <f>SUMIFS('2019'!$I:$I,'2019'!$E:$E,Category!$B$74,'2019'!$N:$N,Category!H$1,'2019'!$D:$D,Category!$C82)</f>
        <v>0</v>
      </c>
      <c r="I82" s="332">
        <f>SUMIFS('2019'!$I:$I,'2019'!$E:$E,Category!$B$74,'2019'!$N:$N,Category!I$1,'2019'!$D:$D,Category!$C82)</f>
        <v>0</v>
      </c>
      <c r="J82" s="333">
        <f t="shared" si="29"/>
        <v>0</v>
      </c>
      <c r="K82" s="501">
        <f>IFERROR(VLOOKUP($C82,'2020'!$D:$G,4,0),0)</f>
        <v>0</v>
      </c>
      <c r="L82" s="332">
        <f>SUMIFS('2020'!$I:$I,'2020'!$E:$E,Category!$B$74,'2020'!$N:$N,Category!L$1,'2020'!$D:$D,Category!$C82)</f>
        <v>0</v>
      </c>
      <c r="M82" s="332">
        <f>SUMIFS('2020'!$I:$I,'2020'!$E:$E,Category!$B$74,'2020'!$N:$N,Category!M$1,'2020'!$D:$D,Category!$C82)</f>
        <v>0</v>
      </c>
      <c r="N82" s="332">
        <f>SUMIFS('2020'!$I:$I,'2020'!$E:$E,Category!$B$74,'2020'!$N:$N,Category!N$1,'2020'!$D:$D,Category!$C82)</f>
        <v>0</v>
      </c>
      <c r="O82" s="332">
        <f>SUMIFS('2020'!$I:$I,'2020'!$E:$E,Category!$B$74,'2020'!$N:$N,Category!O$1,'2020'!$D:$D,Category!$C82)</f>
        <v>0</v>
      </c>
      <c r="P82" s="332">
        <f>SUMIFS('2020'!$I:$I,'2020'!$E:$E,Category!$B$74,'2020'!$N:$N,Category!P$1,'2020'!$D:$D,Category!$C82)</f>
        <v>0</v>
      </c>
      <c r="Q82" s="332">
        <f>SUMIFS('2020'!$I:$I,'2020'!$E:$E,Category!$B$74,'2020'!$N:$N,Category!Q$1,'2020'!$D:$D,Category!$C82)</f>
        <v>0</v>
      </c>
      <c r="R82" s="332">
        <f>SUMIFS('2020'!$I:$I,'2020'!$E:$E,Category!$B$74,'2020'!$N:$N,Category!R$1,'2020'!$D:$D,Category!$C82)</f>
        <v>0</v>
      </c>
      <c r="S82" s="332">
        <f>SUMIFS('2020'!$I:$I,'2020'!$E:$E,Category!$B$74,'2020'!$N:$N,Category!S$1,'2020'!$D:$D,Category!$C82)</f>
        <v>0</v>
      </c>
      <c r="T82" s="332">
        <f>SUMIFS('2020'!$I:$I,'2020'!$E:$E,Category!$B$74,'2020'!$N:$N,Category!T$1,'2020'!$D:$D,Category!$C82)</f>
        <v>0</v>
      </c>
      <c r="U82" s="332">
        <f>SUMIFS('2020'!$I:$I,'2020'!$E:$E,Category!$B$74,'2020'!$N:$N,Category!U$1,'2020'!$D:$D,Category!$C82)</f>
        <v>0</v>
      </c>
      <c r="V82" s="332">
        <f>SUMIFS('2020'!$I:$I,'2020'!$E:$E,Category!$B$74,'2020'!$N:$N,Category!V$1,'2020'!$D:$D,Category!$C82)</f>
        <v>0</v>
      </c>
      <c r="W82" s="332">
        <f>SUMIFS('2020'!$I:$I,'2020'!$E:$E,Category!$B$74,'2020'!$N:$N,Category!W$1,'2020'!$D:$D,Category!$C82)</f>
        <v>0</v>
      </c>
      <c r="X82" s="333">
        <f t="shared" si="30"/>
        <v>0</v>
      </c>
      <c r="Y82" s="501">
        <f>IFERROR(VLOOKUP(C82,'2021'!$D:$G,4,0),0)</f>
        <v>35</v>
      </c>
      <c r="Z82" s="332">
        <f>SUMIFS('2021'!$I:$I,'2021'!$E:$E,Category!$B$74,'2021'!$N:$N,Category!Z$1,'2021'!$D:$D,Category!$C82)</f>
        <v>0</v>
      </c>
      <c r="AA82" s="332">
        <f>SUMIFS('2021'!$I:$I,'2021'!$E:$E,Category!$B$74,'2021'!$N:$N,Category!AA$1,'2021'!$D:$D,Category!$C82)</f>
        <v>0</v>
      </c>
      <c r="AB82" s="332">
        <f>SUMIFS('2021'!$I:$I,'2021'!$E:$E,Category!$B$74,'2021'!$N:$N,Category!AB$1,'2021'!$D:$D,Category!$C82)</f>
        <v>0</v>
      </c>
      <c r="AC82" s="332">
        <f>SUMIFS('2021'!$I:$I,'2021'!$E:$E,Category!$B$74,'2021'!$N:$N,Category!AC$1,'2021'!$D:$D,Category!$C82)</f>
        <v>0</v>
      </c>
      <c r="AD82" s="332">
        <f>SUMIFS('2021'!$I:$I,'2021'!$E:$E,Category!$B$74,'2021'!$N:$N,Category!AD$1,'2021'!$D:$D,Category!$C82)</f>
        <v>0</v>
      </c>
      <c r="AE82" s="332">
        <f>SUMIFS('2021'!$I:$I,'2021'!$E:$E,Category!$B$74,'2021'!$N:$N,Category!AE$1,'2021'!$D:$D,Category!$C82)</f>
        <v>0</v>
      </c>
      <c r="AF82" s="332">
        <f>SUMIFS('2021'!$I:$I,'2021'!$E:$E,Category!$B$74,'2021'!$N:$N,Category!AF$1,'2021'!$D:$D,Category!$C82)</f>
        <v>0</v>
      </c>
      <c r="AG82" s="332">
        <f>SUMIFS('2021'!$I:$I,'2021'!$E:$E,Category!$B$74,'2021'!$N:$N,Category!AG$1,'2021'!$D:$D,Category!$C82)</f>
        <v>0</v>
      </c>
      <c r="AH82" s="332">
        <f>SUMIFS('2021'!$I:$I,'2021'!$E:$E,Category!$B$74,'2021'!$N:$N,Category!AH$1,'2021'!$D:$D,Category!$C82)</f>
        <v>0</v>
      </c>
      <c r="AI82" s="332">
        <f>SUMIFS('2021'!$I:$I,'2021'!$E:$E,Category!$B$74,'2021'!$N:$N,Category!AI$1,'2021'!$D:$D,Category!$C82)</f>
        <v>0</v>
      </c>
      <c r="AJ82" s="332">
        <f>SUMIFS('2021'!$I:$I,'2021'!$E:$E,Category!$B$74,'2021'!$N:$N,Category!AJ$1,'2021'!$D:$D,Category!$C82)</f>
        <v>0</v>
      </c>
      <c r="AK82" s="332">
        <f>SUMIFS('2021'!$I:$I,'2021'!$E:$E,Category!$B$74,'2021'!$N:$N,Category!AK$1,'2021'!$D:$D,Category!$C82)</f>
        <v>35000000</v>
      </c>
      <c r="AL82" s="333">
        <f t="shared" si="33"/>
        <v>35000000</v>
      </c>
      <c r="AM82" s="501">
        <f>IFERROR(VLOOKUP(C82,'2022'!$D:$G,4,0),0)</f>
        <v>0</v>
      </c>
      <c r="AN82" s="332">
        <f>SUMIFS('2022'!$I:$I,'2022'!$E:$E,Category!$B$74,'2022'!$N:$N,Category!AN$1,'2022'!$D:$D,Category!$C82)</f>
        <v>0</v>
      </c>
      <c r="AO82" s="332">
        <f>SUMIFS('2022'!$I:$I,'2022'!$E:$E,Category!$B$74,'2022'!$N:$N,Category!AO$1,'2022'!$D:$D,Category!$C82)</f>
        <v>0</v>
      </c>
      <c r="AP82" s="332">
        <f>SUMIFS('2022'!$I:$I,'2022'!$E:$E,Category!$B$74,'2022'!$N:$N,Category!AP$1,'2022'!$D:$D,Category!$C82)</f>
        <v>0</v>
      </c>
      <c r="AQ82" s="332">
        <f>SUMIFS('2022'!$I:$I,'2022'!$E:$E,Category!$B$74,'2022'!$N:$N,Category!AQ$1,'2022'!$D:$D,Category!$C82)</f>
        <v>0</v>
      </c>
      <c r="AR82" s="332">
        <f>SUMIFS('2022'!$I:$I,'2022'!$E:$E,Category!$B$74,'2022'!$N:$N,Category!AR$1,'2022'!$D:$D,Category!$C82)</f>
        <v>0</v>
      </c>
      <c r="AS82" s="332">
        <f>SUMIFS('2022'!$I:$I,'2022'!$E:$E,Category!$B$74,'2022'!$N:$N,Category!AS$1,'2022'!$D:$D,Category!$C82)</f>
        <v>0</v>
      </c>
      <c r="AT82" s="332">
        <f>SUMIFS('2022'!$I:$I,'2022'!$E:$E,Category!$B$74,'2022'!$N:$N,Category!AT$1,'2022'!$D:$D,Category!$C82)</f>
        <v>0</v>
      </c>
      <c r="AU82" s="332">
        <f>SUMIFS('2022'!$I:$I,'2022'!$E:$E,Category!$B$74,'2022'!$N:$N,Category!AU$1,'2022'!$D:$D,Category!$C82)</f>
        <v>0</v>
      </c>
      <c r="AV82" s="332">
        <f>SUMIFS('2022'!$I:$I,'2022'!$E:$E,Category!$B$74,'2022'!$N:$N,Category!AV$1,'2022'!$D:$D,Category!$C82)</f>
        <v>0</v>
      </c>
      <c r="AW82" s="332">
        <f>SUMIFS('2022'!$I:$I,'2022'!$E:$E,Category!$B$74,'2022'!$N:$N,Category!AW$1,'2022'!$D:$D,Category!$C82)</f>
        <v>0</v>
      </c>
      <c r="AX82" s="332">
        <f>SUMIFS('2022'!$I:$I,'2022'!$E:$E,Category!$B$74,'2022'!$N:$N,Category!AX$1,'2022'!$D:$D,Category!$C82)</f>
        <v>0</v>
      </c>
      <c r="AY82" s="332">
        <f>SUMIFS('2022'!$I:$I,'2022'!$E:$E,Category!$B$74,'2022'!$N:$N,Category!AY$1,'2022'!$D:$D,Category!$C82)</f>
        <v>0</v>
      </c>
      <c r="AZ82" s="333">
        <f t="shared" si="31"/>
        <v>0</v>
      </c>
      <c r="BA82" s="1036">
        <f>IFERROR(VLOOKUP(C82,'2023'!$D:$G,4,0),0)</f>
        <v>0</v>
      </c>
      <c r="BB82" s="332">
        <f>SUMIFS('2023'!$I:$I,'2023'!$E:$E,Category!$B$74,'2023'!$N:$N,Category!BB$1,'2023'!$D:$D,Category!$C82)</f>
        <v>0</v>
      </c>
      <c r="BC82" s="332">
        <f>SUMIFS('2023'!$I:$I,'2023'!$E:$E,Category!$B$74,'2023'!$N:$N,Category!BC$1,'2023'!$D:$D,Category!$C82)</f>
        <v>0</v>
      </c>
      <c r="BD82" s="332">
        <f>SUMIFS('2023'!$I:$I,'2023'!$E:$E,Category!$B$74,'2023'!$N:$N,Category!BD$1,'2023'!$D:$D,Category!$C82)</f>
        <v>0</v>
      </c>
      <c r="BE82" s="332">
        <f>SUMIFS('2023'!$I:$I,'2023'!$E:$E,Category!$B$74,'2023'!$N:$N,Category!BE$1,'2023'!$D:$D,Category!$C82)</f>
        <v>0</v>
      </c>
      <c r="BF82" s="332">
        <f>SUMIFS('2023'!$I:$I,'2023'!$E:$E,Category!$B$74,'2023'!$N:$N,Category!BF$1,'2023'!$D:$D,Category!$C82)</f>
        <v>0</v>
      </c>
      <c r="BG82" s="332">
        <f>SUMIFS('2023'!$I:$I,'2023'!$E:$E,Category!$B$74,'2023'!$N:$N,Category!BG$1,'2023'!$D:$D,Category!$C82)</f>
        <v>0</v>
      </c>
      <c r="BH82" s="332">
        <f>SUMIFS('2023'!$I:$I,'2023'!$E:$E,Category!$B$74,'2023'!$N:$N,Category!BH$1,'2023'!$D:$D,Category!$C82)</f>
        <v>0</v>
      </c>
      <c r="BI82" s="332">
        <f>SUMIFS('2023'!$I:$I,'2023'!$E:$E,Category!$B$74,'2023'!$N:$N,Category!BI$1,'2023'!$D:$D,Category!$C82)</f>
        <v>0</v>
      </c>
      <c r="BJ82" s="332">
        <f>SUMIFS('2023'!$I:$I,'2023'!$E:$E,Category!$B$74,'2023'!$N:$N,Category!BJ$1,'2023'!$D:$D,Category!$C82)</f>
        <v>0</v>
      </c>
      <c r="BK82" s="332">
        <f>SUMIFS('2023'!$I:$I,'2023'!$E:$E,Category!$B$74,'2023'!$N:$N,Category!BK$1,'2023'!$D:$D,Category!$C82)</f>
        <v>0</v>
      </c>
      <c r="BL82" s="332">
        <f>SUMIFS('2023'!$I:$I,'2023'!$E:$E,Category!$B$74,'2023'!$N:$N,Category!BL$1,'2023'!$D:$D,Category!$C82)</f>
        <v>0</v>
      </c>
      <c r="BM82" s="332">
        <f>SUMIFS('2023'!$I:$I,'2023'!$E:$E,Category!$B$74,'2023'!$N:$N,Category!BM$1,'2023'!$D:$D,Category!$C82)</f>
        <v>0</v>
      </c>
      <c r="BN82" s="333">
        <f t="shared" si="32"/>
        <v>0</v>
      </c>
    </row>
    <row r="83" spans="1:66" ht="59.25" x14ac:dyDescent="0.3">
      <c r="A83" s="330"/>
      <c r="B83" s="331"/>
      <c r="C83" s="331" t="s">
        <v>1065</v>
      </c>
      <c r="D83" s="519">
        <f>IFERROR(VLOOKUP($C83,'2019'!$D:$G,4,0),0)</f>
        <v>0</v>
      </c>
      <c r="E83" s="332">
        <f>SUMIFS('2019'!$I:$I,'2019'!$E:$E,Category!$B$74,'2019'!$N:$N,Category!E$1,'2019'!$D:$D,Category!$C83)</f>
        <v>0</v>
      </c>
      <c r="F83" s="332">
        <f>SUMIFS('2019'!$I:$I,'2019'!$E:$E,Category!$B$74,'2019'!$N:$N,Category!F$1,'2019'!$D:$D,Category!$C83)</f>
        <v>0</v>
      </c>
      <c r="G83" s="332">
        <f>SUMIFS('2019'!$I:$I,'2019'!$E:$E,Category!$B$74,'2019'!$N:$N,Category!G$1,'2019'!$D:$D,Category!$C83)</f>
        <v>0</v>
      </c>
      <c r="H83" s="332">
        <f>SUMIFS('2019'!$I:$I,'2019'!$E:$E,Category!$B$74,'2019'!$N:$N,Category!H$1,'2019'!$D:$D,Category!$C83)</f>
        <v>0</v>
      </c>
      <c r="I83" s="332">
        <f>SUMIFS('2019'!$I:$I,'2019'!$E:$E,Category!$B$74,'2019'!$N:$N,Category!I$1,'2019'!$D:$D,Category!$C83)</f>
        <v>0</v>
      </c>
      <c r="J83" s="333">
        <f t="shared" si="29"/>
        <v>0</v>
      </c>
      <c r="K83" s="501">
        <f>IFERROR(VLOOKUP($C83,'2020'!$D:$G,4,0),0)</f>
        <v>0</v>
      </c>
      <c r="L83" s="332">
        <f>SUMIFS('2020'!$I:$I,'2020'!$E:$E,Category!$B$74,'2020'!$N:$N,Category!L$1,'2020'!$D:$D,Category!$C83)</f>
        <v>0</v>
      </c>
      <c r="M83" s="332">
        <f>SUMIFS('2020'!$I:$I,'2020'!$E:$E,Category!$B$74,'2020'!$N:$N,Category!M$1,'2020'!$D:$D,Category!$C83)</f>
        <v>0</v>
      </c>
      <c r="N83" s="332">
        <f>SUMIFS('2020'!$I:$I,'2020'!$E:$E,Category!$B$74,'2020'!$N:$N,Category!N$1,'2020'!$D:$D,Category!$C83)</f>
        <v>0</v>
      </c>
      <c r="O83" s="332">
        <f>SUMIFS('2020'!$I:$I,'2020'!$E:$E,Category!$B$74,'2020'!$N:$N,Category!O$1,'2020'!$D:$D,Category!$C83)</f>
        <v>0</v>
      </c>
      <c r="P83" s="332">
        <f>SUMIFS('2020'!$I:$I,'2020'!$E:$E,Category!$B$74,'2020'!$N:$N,Category!P$1,'2020'!$D:$D,Category!$C83)</f>
        <v>0</v>
      </c>
      <c r="Q83" s="332">
        <f>SUMIFS('2020'!$I:$I,'2020'!$E:$E,Category!$B$74,'2020'!$N:$N,Category!Q$1,'2020'!$D:$D,Category!$C83)</f>
        <v>0</v>
      </c>
      <c r="R83" s="332">
        <f>SUMIFS('2020'!$I:$I,'2020'!$E:$E,Category!$B$74,'2020'!$N:$N,Category!R$1,'2020'!$D:$D,Category!$C83)</f>
        <v>0</v>
      </c>
      <c r="S83" s="332">
        <f>SUMIFS('2020'!$I:$I,'2020'!$E:$E,Category!$B$74,'2020'!$N:$N,Category!S$1,'2020'!$D:$D,Category!$C83)</f>
        <v>0</v>
      </c>
      <c r="T83" s="332">
        <f>SUMIFS('2020'!$I:$I,'2020'!$E:$E,Category!$B$74,'2020'!$N:$N,Category!T$1,'2020'!$D:$D,Category!$C83)</f>
        <v>0</v>
      </c>
      <c r="U83" s="332">
        <f>SUMIFS('2020'!$I:$I,'2020'!$E:$E,Category!$B$74,'2020'!$N:$N,Category!U$1,'2020'!$D:$D,Category!$C83)</f>
        <v>0</v>
      </c>
      <c r="V83" s="332">
        <f>SUMIFS('2020'!$I:$I,'2020'!$E:$E,Category!$B$74,'2020'!$N:$N,Category!V$1,'2020'!$D:$D,Category!$C83)</f>
        <v>0</v>
      </c>
      <c r="W83" s="332">
        <f>SUMIFS('2020'!$I:$I,'2020'!$E:$E,Category!$B$74,'2020'!$N:$N,Category!W$1,'2020'!$D:$D,Category!$C83)</f>
        <v>0</v>
      </c>
      <c r="X83" s="333">
        <f t="shared" si="30"/>
        <v>0</v>
      </c>
      <c r="Y83" s="501">
        <f>IFERROR(VLOOKUP(C83,'2021'!$D:$G,4,0),0)</f>
        <v>0</v>
      </c>
      <c r="Z83" s="332">
        <f>SUMIFS('2021'!$I:$I,'2021'!$E:$E,Category!$B$74,'2021'!$N:$N,Category!Z$1,'2021'!$D:$D,Category!$C83)</f>
        <v>0</v>
      </c>
      <c r="AA83" s="332">
        <f>SUMIFS('2021'!$I:$I,'2021'!$E:$E,Category!$B$74,'2021'!$N:$N,Category!AA$1,'2021'!$D:$D,Category!$C83)</f>
        <v>0</v>
      </c>
      <c r="AB83" s="332">
        <f>SUMIFS('2021'!$I:$I,'2021'!$E:$E,Category!$B$74,'2021'!$N:$N,Category!AB$1,'2021'!$D:$D,Category!$C83)</f>
        <v>0</v>
      </c>
      <c r="AC83" s="332">
        <f>SUMIFS('2021'!$I:$I,'2021'!$E:$E,Category!$B$74,'2021'!$N:$N,Category!AC$1,'2021'!$D:$D,Category!$C83)</f>
        <v>0</v>
      </c>
      <c r="AD83" s="332">
        <f>SUMIFS('2021'!$I:$I,'2021'!$E:$E,Category!$B$74,'2021'!$N:$N,Category!AD$1,'2021'!$D:$D,Category!$C83)</f>
        <v>0</v>
      </c>
      <c r="AE83" s="332">
        <f>SUMIFS('2021'!$I:$I,'2021'!$E:$E,Category!$B$74,'2021'!$N:$N,Category!AE$1,'2021'!$D:$D,Category!$C83)</f>
        <v>0</v>
      </c>
      <c r="AF83" s="332">
        <f>SUMIFS('2021'!$I:$I,'2021'!$E:$E,Category!$B$74,'2021'!$N:$N,Category!AF$1,'2021'!$D:$D,Category!$C83)</f>
        <v>0</v>
      </c>
      <c r="AG83" s="332">
        <f>SUMIFS('2021'!$I:$I,'2021'!$E:$E,Category!$B$74,'2021'!$N:$N,Category!AG$1,'2021'!$D:$D,Category!$C83)</f>
        <v>0</v>
      </c>
      <c r="AH83" s="332">
        <f>SUMIFS('2021'!$I:$I,'2021'!$E:$E,Category!$B$74,'2021'!$N:$N,Category!AH$1,'2021'!$D:$D,Category!$C83)</f>
        <v>0</v>
      </c>
      <c r="AI83" s="332">
        <f>SUMIFS('2021'!$I:$I,'2021'!$E:$E,Category!$B$74,'2021'!$N:$N,Category!AI$1,'2021'!$D:$D,Category!$C83)</f>
        <v>0</v>
      </c>
      <c r="AJ83" s="332">
        <f>SUMIFS('2021'!$I:$I,'2021'!$E:$E,Category!$B$74,'2021'!$N:$N,Category!AJ$1,'2021'!$D:$D,Category!$C83)</f>
        <v>0</v>
      </c>
      <c r="AK83" s="332">
        <f>SUMIFS('2021'!$I:$I,'2021'!$E:$E,Category!$B$74,'2021'!$N:$N,Category!AK$1,'2021'!$D:$D,Category!$C83)</f>
        <v>0</v>
      </c>
      <c r="AL83" s="333">
        <f t="shared" si="33"/>
        <v>0</v>
      </c>
      <c r="AM83" s="501">
        <f>IFERROR(VLOOKUP(C83,'2022'!$D:$G,4,0),0)</f>
        <v>0</v>
      </c>
      <c r="AN83" s="332">
        <f>SUMIFS('2022'!$I:$I,'2022'!$E:$E,Category!$B$74,'2022'!$N:$N,Category!AN$1,'2022'!$D:$D,Category!$C83)</f>
        <v>0</v>
      </c>
      <c r="AO83" s="332">
        <f>SUMIFS('2022'!$I:$I,'2022'!$E:$E,Category!$B$74,'2022'!$N:$N,Category!AO$1,'2022'!$D:$D,Category!$C83)</f>
        <v>0</v>
      </c>
      <c r="AP83" s="332">
        <f>SUMIFS('2022'!$I:$I,'2022'!$E:$E,Category!$B$74,'2022'!$N:$N,Category!AP$1,'2022'!$D:$D,Category!$C83)</f>
        <v>0</v>
      </c>
      <c r="AQ83" s="332">
        <f>SUMIFS('2022'!$I:$I,'2022'!$E:$E,Category!$B$74,'2022'!$N:$N,Category!AQ$1,'2022'!$D:$D,Category!$C83)</f>
        <v>0</v>
      </c>
      <c r="AR83" s="332">
        <f>SUMIFS('2022'!$I:$I,'2022'!$E:$E,Category!$B$74,'2022'!$N:$N,Category!AR$1,'2022'!$D:$D,Category!$C83)</f>
        <v>35000000</v>
      </c>
      <c r="AS83" s="332">
        <f>SUMIFS('2022'!$I:$I,'2022'!$E:$E,Category!$B$74,'2022'!$N:$N,Category!AS$1,'2022'!$D:$D,Category!$C83)</f>
        <v>0</v>
      </c>
      <c r="AT83" s="332">
        <f>SUMIFS('2022'!$I:$I,'2022'!$E:$E,Category!$B$74,'2022'!$N:$N,Category!AT$1,'2022'!$D:$D,Category!$C83)</f>
        <v>0</v>
      </c>
      <c r="AU83" s="332">
        <f>SUMIFS('2022'!$I:$I,'2022'!$E:$E,Category!$B$74,'2022'!$N:$N,Category!AU$1,'2022'!$D:$D,Category!$C83)</f>
        <v>0</v>
      </c>
      <c r="AV83" s="332">
        <f>SUMIFS('2022'!$I:$I,'2022'!$E:$E,Category!$B$74,'2022'!$N:$N,Category!AV$1,'2022'!$D:$D,Category!$C83)</f>
        <v>0</v>
      </c>
      <c r="AW83" s="332">
        <f>SUMIFS('2022'!$I:$I,'2022'!$E:$E,Category!$B$74,'2022'!$N:$N,Category!AW$1,'2022'!$D:$D,Category!$C83)</f>
        <v>0</v>
      </c>
      <c r="AX83" s="332">
        <f>SUMIFS('2022'!$I:$I,'2022'!$E:$E,Category!$B$74,'2022'!$N:$N,Category!AX$1,'2022'!$D:$D,Category!$C83)</f>
        <v>0</v>
      </c>
      <c r="AY83" s="332">
        <f>SUMIFS('2022'!$I:$I,'2022'!$E:$E,Category!$B$74,'2022'!$N:$N,Category!AY$1,'2022'!$D:$D,Category!$C83)</f>
        <v>0</v>
      </c>
      <c r="AZ83" s="333">
        <f t="shared" si="31"/>
        <v>35000000</v>
      </c>
      <c r="BA83" s="1036">
        <f>IFERROR(VLOOKUP(C83,'2023'!$D:$G,4,0),0)</f>
        <v>0</v>
      </c>
      <c r="BB83" s="332">
        <f>SUMIFS('2023'!$I:$I,'2023'!$E:$E,Category!$B$74,'2023'!$N:$N,Category!BB$1,'2023'!$D:$D,Category!$C83)</f>
        <v>0</v>
      </c>
      <c r="BC83" s="332">
        <f>SUMIFS('2023'!$I:$I,'2023'!$E:$E,Category!$B$74,'2023'!$N:$N,Category!BC$1,'2023'!$D:$D,Category!$C83)</f>
        <v>0</v>
      </c>
      <c r="BD83" s="332">
        <f>SUMIFS('2023'!$I:$I,'2023'!$E:$E,Category!$B$74,'2023'!$N:$N,Category!BD$1,'2023'!$D:$D,Category!$C83)</f>
        <v>0</v>
      </c>
      <c r="BE83" s="332">
        <f>SUMIFS('2023'!$I:$I,'2023'!$E:$E,Category!$B$74,'2023'!$N:$N,Category!BE$1,'2023'!$D:$D,Category!$C83)</f>
        <v>0</v>
      </c>
      <c r="BF83" s="332">
        <f>SUMIFS('2023'!$I:$I,'2023'!$E:$E,Category!$B$74,'2023'!$N:$N,Category!BF$1,'2023'!$D:$D,Category!$C83)</f>
        <v>0</v>
      </c>
      <c r="BG83" s="332">
        <f>SUMIFS('2023'!$I:$I,'2023'!$E:$E,Category!$B$74,'2023'!$N:$N,Category!BG$1,'2023'!$D:$D,Category!$C83)</f>
        <v>0</v>
      </c>
      <c r="BH83" s="332">
        <f>SUMIFS('2023'!$I:$I,'2023'!$E:$E,Category!$B$74,'2023'!$N:$N,Category!BH$1,'2023'!$D:$D,Category!$C83)</f>
        <v>0</v>
      </c>
      <c r="BI83" s="332">
        <f>SUMIFS('2023'!$I:$I,'2023'!$E:$E,Category!$B$74,'2023'!$N:$N,Category!BI$1,'2023'!$D:$D,Category!$C83)</f>
        <v>0</v>
      </c>
      <c r="BJ83" s="332">
        <f>SUMIFS('2023'!$I:$I,'2023'!$E:$E,Category!$B$74,'2023'!$N:$N,Category!BJ$1,'2023'!$D:$D,Category!$C83)</f>
        <v>0</v>
      </c>
      <c r="BK83" s="332">
        <f>SUMIFS('2023'!$I:$I,'2023'!$E:$E,Category!$B$74,'2023'!$N:$N,Category!BK$1,'2023'!$D:$D,Category!$C83)</f>
        <v>0</v>
      </c>
      <c r="BL83" s="332">
        <f>SUMIFS('2023'!$I:$I,'2023'!$E:$E,Category!$B$74,'2023'!$N:$N,Category!BL$1,'2023'!$D:$D,Category!$C83)</f>
        <v>0</v>
      </c>
      <c r="BM83" s="332">
        <f>SUMIFS('2023'!$I:$I,'2023'!$E:$E,Category!$B$74,'2023'!$N:$N,Category!BM$1,'2023'!$D:$D,Category!$C83)</f>
        <v>0</v>
      </c>
      <c r="BN83" s="333">
        <f t="shared" si="32"/>
        <v>0</v>
      </c>
    </row>
    <row r="84" spans="1:66" ht="39.75" x14ac:dyDescent="0.3">
      <c r="A84" s="330"/>
      <c r="B84" s="331"/>
      <c r="C84" s="331" t="s">
        <v>1004</v>
      </c>
      <c r="D84" s="519">
        <f>IFERROR(VLOOKUP($C84,'2019'!$D:$G,4,0),0)</f>
        <v>0</v>
      </c>
      <c r="E84" s="332">
        <f>SUMIFS('2019'!$I:$I,'2019'!$E:$E,Category!$B$74,'2019'!$N:$N,Category!E$1,'2019'!$D:$D,Category!$C84)</f>
        <v>0</v>
      </c>
      <c r="F84" s="332">
        <f>SUMIFS('2019'!$I:$I,'2019'!$E:$E,Category!$B$74,'2019'!$N:$N,Category!F$1,'2019'!$D:$D,Category!$C84)</f>
        <v>0</v>
      </c>
      <c r="G84" s="332">
        <f>SUMIFS('2019'!$I:$I,'2019'!$E:$E,Category!$B$74,'2019'!$N:$N,Category!G$1,'2019'!$D:$D,Category!$C84)</f>
        <v>0</v>
      </c>
      <c r="H84" s="332">
        <f>SUMIFS('2019'!$I:$I,'2019'!$E:$E,Category!$B$74,'2019'!$N:$N,Category!H$1,'2019'!$D:$D,Category!$C84)</f>
        <v>0</v>
      </c>
      <c r="I84" s="332">
        <f>SUMIFS('2019'!$I:$I,'2019'!$E:$E,Category!$B$74,'2019'!$N:$N,Category!I$1,'2019'!$D:$D,Category!$C84)</f>
        <v>0</v>
      </c>
      <c r="J84" s="333">
        <f t="shared" si="29"/>
        <v>0</v>
      </c>
      <c r="K84" s="501">
        <f>IFERROR(VLOOKUP($C84,'2020'!$D:$G,4,0),0)</f>
        <v>0</v>
      </c>
      <c r="L84" s="332">
        <f>SUMIFS('2020'!$I:$I,'2020'!$E:$E,Category!$B$74,'2020'!$N:$N,Category!L$1,'2020'!$D:$D,Category!$C84)</f>
        <v>0</v>
      </c>
      <c r="M84" s="332">
        <f>SUMIFS('2020'!$I:$I,'2020'!$E:$E,Category!$B$74,'2020'!$N:$N,Category!M$1,'2020'!$D:$D,Category!$C84)</f>
        <v>0</v>
      </c>
      <c r="N84" s="332">
        <f>SUMIFS('2020'!$I:$I,'2020'!$E:$E,Category!$B$74,'2020'!$N:$N,Category!N$1,'2020'!$D:$D,Category!$C84)</f>
        <v>0</v>
      </c>
      <c r="O84" s="332">
        <f>SUMIFS('2020'!$I:$I,'2020'!$E:$E,Category!$B$74,'2020'!$N:$N,Category!O$1,'2020'!$D:$D,Category!$C84)</f>
        <v>0</v>
      </c>
      <c r="P84" s="332">
        <f>SUMIFS('2020'!$I:$I,'2020'!$E:$E,Category!$B$74,'2020'!$N:$N,Category!P$1,'2020'!$D:$D,Category!$C84)</f>
        <v>0</v>
      </c>
      <c r="Q84" s="332">
        <f>SUMIFS('2020'!$I:$I,'2020'!$E:$E,Category!$B$74,'2020'!$N:$N,Category!Q$1,'2020'!$D:$D,Category!$C84)</f>
        <v>0</v>
      </c>
      <c r="R84" s="332">
        <f>SUMIFS('2020'!$I:$I,'2020'!$E:$E,Category!$B$74,'2020'!$N:$N,Category!R$1,'2020'!$D:$D,Category!$C84)</f>
        <v>0</v>
      </c>
      <c r="S84" s="332">
        <f>SUMIFS('2020'!$I:$I,'2020'!$E:$E,Category!$B$74,'2020'!$N:$N,Category!S$1,'2020'!$D:$D,Category!$C84)</f>
        <v>0</v>
      </c>
      <c r="T84" s="332">
        <f>SUMIFS('2020'!$I:$I,'2020'!$E:$E,Category!$B$74,'2020'!$N:$N,Category!T$1,'2020'!$D:$D,Category!$C84)</f>
        <v>0</v>
      </c>
      <c r="U84" s="332">
        <f>SUMIFS('2020'!$I:$I,'2020'!$E:$E,Category!$B$74,'2020'!$N:$N,Category!U$1,'2020'!$D:$D,Category!$C84)</f>
        <v>0</v>
      </c>
      <c r="V84" s="332">
        <f>SUMIFS('2020'!$I:$I,'2020'!$E:$E,Category!$B$74,'2020'!$N:$N,Category!V$1,'2020'!$D:$D,Category!$C84)</f>
        <v>0</v>
      </c>
      <c r="W84" s="332">
        <f>SUMIFS('2020'!$I:$I,'2020'!$E:$E,Category!$B$74,'2020'!$N:$N,Category!W$1,'2020'!$D:$D,Category!$C84)</f>
        <v>0</v>
      </c>
      <c r="X84" s="333">
        <f t="shared" si="30"/>
        <v>0</v>
      </c>
      <c r="Y84" s="501">
        <f>IFERROR(VLOOKUP(C84,'2021'!$D:$G,4,0),0)</f>
        <v>0</v>
      </c>
      <c r="Z84" s="332">
        <f>SUMIFS('2021'!$I:$I,'2021'!$E:$E,Category!$B$74,'2021'!$N:$N,Category!Z$1,'2021'!$D:$D,Category!$C84)</f>
        <v>0</v>
      </c>
      <c r="AA84" s="332">
        <f>SUMIFS('2021'!$I:$I,'2021'!$E:$E,Category!$B$74,'2021'!$N:$N,Category!AA$1,'2021'!$D:$D,Category!$C84)</f>
        <v>0</v>
      </c>
      <c r="AB84" s="332">
        <f>SUMIFS('2021'!$I:$I,'2021'!$E:$E,Category!$B$74,'2021'!$N:$N,Category!AB$1,'2021'!$D:$D,Category!$C84)</f>
        <v>0</v>
      </c>
      <c r="AC84" s="332">
        <f>SUMIFS('2021'!$I:$I,'2021'!$E:$E,Category!$B$74,'2021'!$N:$N,Category!AC$1,'2021'!$D:$D,Category!$C84)</f>
        <v>0</v>
      </c>
      <c r="AD84" s="332">
        <f>SUMIFS('2021'!$I:$I,'2021'!$E:$E,Category!$B$74,'2021'!$N:$N,Category!AD$1,'2021'!$D:$D,Category!$C84)</f>
        <v>0</v>
      </c>
      <c r="AE84" s="332">
        <f>SUMIFS('2021'!$I:$I,'2021'!$E:$E,Category!$B$74,'2021'!$N:$N,Category!AE$1,'2021'!$D:$D,Category!$C84)</f>
        <v>0</v>
      </c>
      <c r="AF84" s="332">
        <f>SUMIFS('2021'!$I:$I,'2021'!$E:$E,Category!$B$74,'2021'!$N:$N,Category!AF$1,'2021'!$D:$D,Category!$C84)</f>
        <v>0</v>
      </c>
      <c r="AG84" s="332">
        <f>SUMIFS('2021'!$I:$I,'2021'!$E:$E,Category!$B$74,'2021'!$N:$N,Category!AG$1,'2021'!$D:$D,Category!$C84)</f>
        <v>0</v>
      </c>
      <c r="AH84" s="332">
        <f>SUMIFS('2021'!$I:$I,'2021'!$E:$E,Category!$B$74,'2021'!$N:$N,Category!AH$1,'2021'!$D:$D,Category!$C84)</f>
        <v>0</v>
      </c>
      <c r="AI84" s="332">
        <f>SUMIFS('2021'!$I:$I,'2021'!$E:$E,Category!$B$74,'2021'!$N:$N,Category!AI$1,'2021'!$D:$D,Category!$C84)</f>
        <v>0</v>
      </c>
      <c r="AJ84" s="332">
        <f>SUMIFS('2021'!$I:$I,'2021'!$E:$E,Category!$B$74,'2021'!$N:$N,Category!AJ$1,'2021'!$D:$D,Category!$C84)</f>
        <v>0</v>
      </c>
      <c r="AK84" s="332">
        <f>SUMIFS('2021'!$I:$I,'2021'!$E:$E,Category!$B$74,'2021'!$N:$N,Category!AK$1,'2021'!$D:$D,Category!$C84)</f>
        <v>0</v>
      </c>
      <c r="AL84" s="333">
        <f t="shared" si="33"/>
        <v>0</v>
      </c>
      <c r="AM84" s="501">
        <f>IFERROR(VLOOKUP(C84,'2022'!$D:$G,4,0),0)</f>
        <v>0</v>
      </c>
      <c r="AN84" s="332">
        <f>SUMIFS('2022'!$I:$I,'2022'!$E:$E,Category!$B$74,'2022'!$N:$N,Category!AN$1,'2022'!$D:$D,Category!$C84)</f>
        <v>0</v>
      </c>
      <c r="AO84" s="332">
        <f>SUMIFS('2022'!$I:$I,'2022'!$E:$E,Category!$B$74,'2022'!$N:$N,Category!AO$1,'2022'!$D:$D,Category!$C84)</f>
        <v>0</v>
      </c>
      <c r="AP84" s="332">
        <f>SUMIFS('2022'!$I:$I,'2022'!$E:$E,Category!$B$74,'2022'!$N:$N,Category!AP$1,'2022'!$D:$D,Category!$C84)</f>
        <v>0</v>
      </c>
      <c r="AQ84" s="332">
        <f>SUMIFS('2022'!$I:$I,'2022'!$E:$E,Category!$B$74,'2022'!$N:$N,Category!AQ$1,'2022'!$D:$D,Category!$C84)</f>
        <v>0</v>
      </c>
      <c r="AR84" s="332">
        <f>SUMIFS('2022'!$I:$I,'2022'!$E:$E,Category!$B$74,'2022'!$N:$N,Category!AR$1,'2022'!$D:$D,Category!$C84)</f>
        <v>35000000</v>
      </c>
      <c r="AS84" s="332">
        <f>SUMIFS('2022'!$I:$I,'2022'!$E:$E,Category!$B$74,'2022'!$N:$N,Category!AS$1,'2022'!$D:$D,Category!$C84)</f>
        <v>0</v>
      </c>
      <c r="AT84" s="332">
        <f>SUMIFS('2022'!$I:$I,'2022'!$E:$E,Category!$B$74,'2022'!$N:$N,Category!AT$1,'2022'!$D:$D,Category!$C84)</f>
        <v>0</v>
      </c>
      <c r="AU84" s="332">
        <f>SUMIFS('2022'!$I:$I,'2022'!$E:$E,Category!$B$74,'2022'!$N:$N,Category!AU$1,'2022'!$D:$D,Category!$C84)</f>
        <v>0</v>
      </c>
      <c r="AV84" s="332">
        <f>SUMIFS('2022'!$I:$I,'2022'!$E:$E,Category!$B$74,'2022'!$N:$N,Category!AV$1,'2022'!$D:$D,Category!$C84)</f>
        <v>0</v>
      </c>
      <c r="AW84" s="332">
        <f>SUMIFS('2022'!$I:$I,'2022'!$E:$E,Category!$B$74,'2022'!$N:$N,Category!AW$1,'2022'!$D:$D,Category!$C84)</f>
        <v>0</v>
      </c>
      <c r="AX84" s="332">
        <f>SUMIFS('2022'!$I:$I,'2022'!$E:$E,Category!$B$74,'2022'!$N:$N,Category!AX$1,'2022'!$D:$D,Category!$C84)</f>
        <v>0</v>
      </c>
      <c r="AY84" s="332">
        <f>SUMIFS('2022'!$I:$I,'2022'!$E:$E,Category!$B$74,'2022'!$N:$N,Category!AY$1,'2022'!$D:$D,Category!$C84)</f>
        <v>0</v>
      </c>
      <c r="AZ84" s="333">
        <f t="shared" si="31"/>
        <v>35000000</v>
      </c>
      <c r="BA84" s="1036">
        <f>IFERROR(VLOOKUP(C84,'2023'!$D:$G,4,0),0)</f>
        <v>0</v>
      </c>
      <c r="BB84" s="332">
        <f>SUMIFS('2023'!$I:$I,'2023'!$E:$E,Category!$B$74,'2023'!$N:$N,Category!BB$1,'2023'!$D:$D,Category!$C84)</f>
        <v>0</v>
      </c>
      <c r="BC84" s="332">
        <f>SUMIFS('2023'!$I:$I,'2023'!$E:$E,Category!$B$74,'2023'!$N:$N,Category!BC$1,'2023'!$D:$D,Category!$C84)</f>
        <v>0</v>
      </c>
      <c r="BD84" s="332">
        <f>SUMIFS('2023'!$I:$I,'2023'!$E:$E,Category!$B$74,'2023'!$N:$N,Category!BD$1,'2023'!$D:$D,Category!$C84)</f>
        <v>0</v>
      </c>
      <c r="BE84" s="332">
        <f>SUMIFS('2023'!$I:$I,'2023'!$E:$E,Category!$B$74,'2023'!$N:$N,Category!BE$1,'2023'!$D:$D,Category!$C84)</f>
        <v>0</v>
      </c>
      <c r="BF84" s="332">
        <f>SUMIFS('2023'!$I:$I,'2023'!$E:$E,Category!$B$74,'2023'!$N:$N,Category!BF$1,'2023'!$D:$D,Category!$C84)</f>
        <v>0</v>
      </c>
      <c r="BG84" s="332">
        <f>SUMIFS('2023'!$I:$I,'2023'!$E:$E,Category!$B$74,'2023'!$N:$N,Category!BG$1,'2023'!$D:$D,Category!$C84)</f>
        <v>0</v>
      </c>
      <c r="BH84" s="332">
        <f>SUMIFS('2023'!$I:$I,'2023'!$E:$E,Category!$B$74,'2023'!$N:$N,Category!BH$1,'2023'!$D:$D,Category!$C84)</f>
        <v>0</v>
      </c>
      <c r="BI84" s="332">
        <f>SUMIFS('2023'!$I:$I,'2023'!$E:$E,Category!$B$74,'2023'!$N:$N,Category!BI$1,'2023'!$D:$D,Category!$C84)</f>
        <v>0</v>
      </c>
      <c r="BJ84" s="332">
        <f>SUMIFS('2023'!$I:$I,'2023'!$E:$E,Category!$B$74,'2023'!$N:$N,Category!BJ$1,'2023'!$D:$D,Category!$C84)</f>
        <v>0</v>
      </c>
      <c r="BK84" s="332">
        <f>SUMIFS('2023'!$I:$I,'2023'!$E:$E,Category!$B$74,'2023'!$N:$N,Category!BK$1,'2023'!$D:$D,Category!$C84)</f>
        <v>0</v>
      </c>
      <c r="BL84" s="332">
        <f>SUMIFS('2023'!$I:$I,'2023'!$E:$E,Category!$B$74,'2023'!$N:$N,Category!BL$1,'2023'!$D:$D,Category!$C84)</f>
        <v>0</v>
      </c>
      <c r="BM84" s="332">
        <f>SUMIFS('2023'!$I:$I,'2023'!$E:$E,Category!$B$74,'2023'!$N:$N,Category!BM$1,'2023'!$D:$D,Category!$C84)</f>
        <v>0</v>
      </c>
      <c r="BN84" s="333">
        <f t="shared" si="32"/>
        <v>0</v>
      </c>
    </row>
    <row r="85" spans="1:66" ht="39.75" x14ac:dyDescent="0.3">
      <c r="A85" s="330"/>
      <c r="B85" s="331"/>
      <c r="C85" s="331" t="s">
        <v>1276</v>
      </c>
      <c r="D85" s="519">
        <f>IFERROR(VLOOKUP($C85,'2019'!$D:$G,4,0),0)</f>
        <v>0</v>
      </c>
      <c r="E85" s="332">
        <f>SUMIFS('2019'!$I:$I,'2019'!$E:$E,Category!$B$74,'2019'!$N:$N,Category!E$1,'2019'!$D:$D,Category!$C85)</f>
        <v>0</v>
      </c>
      <c r="F85" s="332">
        <f>SUMIFS('2019'!$I:$I,'2019'!$E:$E,Category!$B$74,'2019'!$N:$N,Category!F$1,'2019'!$D:$D,Category!$C85)</f>
        <v>0</v>
      </c>
      <c r="G85" s="332">
        <f>SUMIFS('2019'!$I:$I,'2019'!$E:$E,Category!$B$74,'2019'!$N:$N,Category!G$1,'2019'!$D:$D,Category!$C85)</f>
        <v>0</v>
      </c>
      <c r="H85" s="332">
        <f>SUMIFS('2019'!$I:$I,'2019'!$E:$E,Category!$B$74,'2019'!$N:$N,Category!H$1,'2019'!$D:$D,Category!$C85)</f>
        <v>0</v>
      </c>
      <c r="I85" s="332">
        <f>SUMIFS('2019'!$I:$I,'2019'!$E:$E,Category!$B$74,'2019'!$N:$N,Category!I$1,'2019'!$D:$D,Category!$C85)</f>
        <v>0</v>
      </c>
      <c r="J85" s="333">
        <f t="shared" si="29"/>
        <v>0</v>
      </c>
      <c r="K85" s="501">
        <f>IFERROR(VLOOKUP($C85,'2020'!$D:$G,4,0),0)</f>
        <v>0</v>
      </c>
      <c r="L85" s="332">
        <f>SUMIFS('2020'!$I:$I,'2020'!$E:$E,Category!$B$74,'2020'!$N:$N,Category!L$1,'2020'!$D:$D,Category!$C85)</f>
        <v>0</v>
      </c>
      <c r="M85" s="332">
        <f>SUMIFS('2020'!$I:$I,'2020'!$E:$E,Category!$B$74,'2020'!$N:$N,Category!M$1,'2020'!$D:$D,Category!$C85)</f>
        <v>0</v>
      </c>
      <c r="N85" s="332">
        <f>SUMIFS('2020'!$I:$I,'2020'!$E:$E,Category!$B$74,'2020'!$N:$N,Category!N$1,'2020'!$D:$D,Category!$C85)</f>
        <v>0</v>
      </c>
      <c r="O85" s="332">
        <f>SUMIFS('2020'!$I:$I,'2020'!$E:$E,Category!$B$74,'2020'!$N:$N,Category!O$1,'2020'!$D:$D,Category!$C85)</f>
        <v>0</v>
      </c>
      <c r="P85" s="332">
        <f>SUMIFS('2020'!$I:$I,'2020'!$E:$E,Category!$B$74,'2020'!$N:$N,Category!P$1,'2020'!$D:$D,Category!$C85)</f>
        <v>0</v>
      </c>
      <c r="Q85" s="332">
        <f>SUMIFS('2020'!$I:$I,'2020'!$E:$E,Category!$B$74,'2020'!$N:$N,Category!Q$1,'2020'!$D:$D,Category!$C85)</f>
        <v>0</v>
      </c>
      <c r="R85" s="332">
        <f>SUMIFS('2020'!$I:$I,'2020'!$E:$E,Category!$B$74,'2020'!$N:$N,Category!R$1,'2020'!$D:$D,Category!$C85)</f>
        <v>0</v>
      </c>
      <c r="S85" s="332">
        <f>SUMIFS('2020'!$I:$I,'2020'!$E:$E,Category!$B$74,'2020'!$N:$N,Category!S$1,'2020'!$D:$D,Category!$C85)</f>
        <v>0</v>
      </c>
      <c r="T85" s="332">
        <f>SUMIFS('2020'!$I:$I,'2020'!$E:$E,Category!$B$74,'2020'!$N:$N,Category!T$1,'2020'!$D:$D,Category!$C85)</f>
        <v>0</v>
      </c>
      <c r="U85" s="332">
        <f>SUMIFS('2020'!$I:$I,'2020'!$E:$E,Category!$B$74,'2020'!$N:$N,Category!U$1,'2020'!$D:$D,Category!$C85)</f>
        <v>0</v>
      </c>
      <c r="V85" s="332">
        <f>SUMIFS('2020'!$I:$I,'2020'!$E:$E,Category!$B$74,'2020'!$N:$N,Category!V$1,'2020'!$D:$D,Category!$C85)</f>
        <v>0</v>
      </c>
      <c r="W85" s="332">
        <f>SUMIFS('2020'!$I:$I,'2020'!$E:$E,Category!$B$74,'2020'!$N:$N,Category!W$1,'2020'!$D:$D,Category!$C85)</f>
        <v>0</v>
      </c>
      <c r="X85" s="333">
        <f t="shared" si="30"/>
        <v>0</v>
      </c>
      <c r="Y85" s="501">
        <f>IFERROR(VLOOKUP(C85,'2021'!$D:$G,4,0),0)</f>
        <v>0</v>
      </c>
      <c r="Z85" s="332">
        <f>SUMIFS('2021'!$I:$I,'2021'!$E:$E,Category!$B$74,'2021'!$N:$N,Category!Z$1,'2021'!$D:$D,Category!$C85)</f>
        <v>0</v>
      </c>
      <c r="AA85" s="332">
        <f>SUMIFS('2021'!$I:$I,'2021'!$E:$E,Category!$B$74,'2021'!$N:$N,Category!AA$1,'2021'!$D:$D,Category!$C85)</f>
        <v>0</v>
      </c>
      <c r="AB85" s="332">
        <f>SUMIFS('2021'!$I:$I,'2021'!$E:$E,Category!$B$74,'2021'!$N:$N,Category!AB$1,'2021'!$D:$D,Category!$C85)</f>
        <v>0</v>
      </c>
      <c r="AC85" s="332">
        <f>SUMIFS('2021'!$I:$I,'2021'!$E:$E,Category!$B$74,'2021'!$N:$N,Category!AC$1,'2021'!$D:$D,Category!$C85)</f>
        <v>0</v>
      </c>
      <c r="AD85" s="332">
        <f>SUMIFS('2021'!$I:$I,'2021'!$E:$E,Category!$B$74,'2021'!$N:$N,Category!AD$1,'2021'!$D:$D,Category!$C85)</f>
        <v>0</v>
      </c>
      <c r="AE85" s="332">
        <f>SUMIFS('2021'!$I:$I,'2021'!$E:$E,Category!$B$74,'2021'!$N:$N,Category!AE$1,'2021'!$D:$D,Category!$C85)</f>
        <v>0</v>
      </c>
      <c r="AF85" s="332">
        <f>SUMIFS('2021'!$I:$I,'2021'!$E:$E,Category!$B$74,'2021'!$N:$N,Category!AF$1,'2021'!$D:$D,Category!$C85)</f>
        <v>0</v>
      </c>
      <c r="AG85" s="332">
        <f>SUMIFS('2021'!$I:$I,'2021'!$E:$E,Category!$B$74,'2021'!$N:$N,Category!AG$1,'2021'!$D:$D,Category!$C85)</f>
        <v>0</v>
      </c>
      <c r="AH85" s="332">
        <f>SUMIFS('2021'!$I:$I,'2021'!$E:$E,Category!$B$74,'2021'!$N:$N,Category!AH$1,'2021'!$D:$D,Category!$C85)</f>
        <v>0</v>
      </c>
      <c r="AI85" s="332">
        <f>SUMIFS('2021'!$I:$I,'2021'!$E:$E,Category!$B$74,'2021'!$N:$N,Category!AI$1,'2021'!$D:$D,Category!$C85)</f>
        <v>0</v>
      </c>
      <c r="AJ85" s="332">
        <f>SUMIFS('2021'!$I:$I,'2021'!$E:$E,Category!$B$74,'2021'!$N:$N,Category!AJ$1,'2021'!$D:$D,Category!$C85)</f>
        <v>0</v>
      </c>
      <c r="AK85" s="332">
        <f>SUMIFS('2021'!$I:$I,'2021'!$E:$E,Category!$B$74,'2021'!$N:$N,Category!AK$1,'2021'!$D:$D,Category!$C85)</f>
        <v>0</v>
      </c>
      <c r="AL85" s="333">
        <f t="shared" si="33"/>
        <v>0</v>
      </c>
      <c r="AM85" s="501">
        <f>IFERROR(VLOOKUP(C85,'2022'!$D:$G,4,0),0)</f>
        <v>1</v>
      </c>
      <c r="AN85" s="332">
        <f>SUMIFS('2022'!$I:$I,'2022'!$E:$E,Category!$B$74,'2022'!$N:$N,Category!AN$1,'2022'!$D:$D,Category!$C85)</f>
        <v>0</v>
      </c>
      <c r="AO85" s="332">
        <f>SUMIFS('2022'!$I:$I,'2022'!$E:$E,Category!$B$74,'2022'!$N:$N,Category!AO$1,'2022'!$D:$D,Category!$C85)</f>
        <v>0</v>
      </c>
      <c r="AP85" s="332">
        <f>SUMIFS('2022'!$I:$I,'2022'!$E:$E,Category!$B$74,'2022'!$N:$N,Category!AP$1,'2022'!$D:$D,Category!$C85)</f>
        <v>0</v>
      </c>
      <c r="AQ85" s="332">
        <f>SUMIFS('2022'!$I:$I,'2022'!$E:$E,Category!$B$74,'2022'!$N:$N,Category!AQ$1,'2022'!$D:$D,Category!$C85)</f>
        <v>0</v>
      </c>
      <c r="AR85" s="332">
        <f>SUMIFS('2022'!$I:$I,'2022'!$E:$E,Category!$B$74,'2022'!$N:$N,Category!AR$1,'2022'!$D:$D,Category!$C85)</f>
        <v>0</v>
      </c>
      <c r="AS85" s="332">
        <f>SUMIFS('2022'!$I:$I,'2022'!$E:$E,Category!$B$74,'2022'!$N:$N,Category!AS$1,'2022'!$D:$D,Category!$C85)</f>
        <v>0</v>
      </c>
      <c r="AT85" s="332">
        <f>SUMIFS('2022'!$I:$I,'2022'!$E:$E,Category!$B$74,'2022'!$N:$N,Category!AT$1,'2022'!$D:$D,Category!$C85)</f>
        <v>0</v>
      </c>
      <c r="AU85" s="332">
        <f>SUMIFS('2022'!$I:$I,'2022'!$E:$E,Category!$B$74,'2022'!$N:$N,Category!AU$1,'2022'!$D:$D,Category!$C85)</f>
        <v>25000000</v>
      </c>
      <c r="AV85" s="332">
        <f>SUMIFS('2022'!$I:$I,'2022'!$E:$E,Category!$B$74,'2022'!$N:$N,Category!AV$1,'2022'!$D:$D,Category!$C85)</f>
        <v>0</v>
      </c>
      <c r="AW85" s="332">
        <f>SUMIFS('2022'!$I:$I,'2022'!$E:$E,Category!$B$74,'2022'!$N:$N,Category!AW$1,'2022'!$D:$D,Category!$C85)</f>
        <v>0</v>
      </c>
      <c r="AX85" s="332">
        <f>SUMIFS('2022'!$I:$I,'2022'!$E:$E,Category!$B$74,'2022'!$N:$N,Category!AX$1,'2022'!$D:$D,Category!$C85)</f>
        <v>0</v>
      </c>
      <c r="AY85" s="332">
        <f>SUMIFS('2022'!$I:$I,'2022'!$E:$E,Category!$B$74,'2022'!$N:$N,Category!AY$1,'2022'!$D:$D,Category!$C85)</f>
        <v>0</v>
      </c>
      <c r="AZ85" s="333">
        <f t="shared" si="31"/>
        <v>25000000</v>
      </c>
      <c r="BA85" s="1036">
        <f>IFERROR(VLOOKUP(C85,'2023'!$D:$G,4,0),0)</f>
        <v>0</v>
      </c>
      <c r="BB85" s="332">
        <f>SUMIFS('2023'!$I:$I,'2023'!$E:$E,Category!$B$74,'2023'!$N:$N,Category!BB$1,'2023'!$D:$D,Category!$C85)</f>
        <v>0</v>
      </c>
      <c r="BC85" s="332">
        <f>SUMIFS('2023'!$I:$I,'2023'!$E:$E,Category!$B$74,'2023'!$N:$N,Category!BC$1,'2023'!$D:$D,Category!$C85)</f>
        <v>0</v>
      </c>
      <c r="BD85" s="332">
        <f>SUMIFS('2023'!$I:$I,'2023'!$E:$E,Category!$B$74,'2023'!$N:$N,Category!BD$1,'2023'!$D:$D,Category!$C85)</f>
        <v>0</v>
      </c>
      <c r="BE85" s="332">
        <f>SUMIFS('2023'!$I:$I,'2023'!$E:$E,Category!$B$74,'2023'!$N:$N,Category!BE$1,'2023'!$D:$D,Category!$C85)</f>
        <v>0</v>
      </c>
      <c r="BF85" s="332">
        <f>SUMIFS('2023'!$I:$I,'2023'!$E:$E,Category!$B$74,'2023'!$N:$N,Category!BF$1,'2023'!$D:$D,Category!$C85)</f>
        <v>0</v>
      </c>
      <c r="BG85" s="332">
        <f>SUMIFS('2023'!$I:$I,'2023'!$E:$E,Category!$B$74,'2023'!$N:$N,Category!BG$1,'2023'!$D:$D,Category!$C85)</f>
        <v>0</v>
      </c>
      <c r="BH85" s="332">
        <f>SUMIFS('2023'!$I:$I,'2023'!$E:$E,Category!$B$74,'2023'!$N:$N,Category!BH$1,'2023'!$D:$D,Category!$C85)</f>
        <v>0</v>
      </c>
      <c r="BI85" s="332">
        <f>SUMIFS('2023'!$I:$I,'2023'!$E:$E,Category!$B$74,'2023'!$N:$N,Category!BI$1,'2023'!$D:$D,Category!$C85)</f>
        <v>0</v>
      </c>
      <c r="BJ85" s="332">
        <f>SUMIFS('2023'!$I:$I,'2023'!$E:$E,Category!$B$74,'2023'!$N:$N,Category!BJ$1,'2023'!$D:$D,Category!$C85)</f>
        <v>0</v>
      </c>
      <c r="BK85" s="332">
        <f>SUMIFS('2023'!$I:$I,'2023'!$E:$E,Category!$B$74,'2023'!$N:$N,Category!BK$1,'2023'!$D:$D,Category!$C85)</f>
        <v>0</v>
      </c>
      <c r="BL85" s="332">
        <f>SUMIFS('2023'!$I:$I,'2023'!$E:$E,Category!$B$74,'2023'!$N:$N,Category!BL$1,'2023'!$D:$D,Category!$C85)</f>
        <v>0</v>
      </c>
      <c r="BM85" s="332">
        <f>SUMIFS('2023'!$I:$I,'2023'!$E:$E,Category!$B$74,'2023'!$N:$N,Category!BM$1,'2023'!$D:$D,Category!$C85)</f>
        <v>0</v>
      </c>
      <c r="BN85" s="333">
        <f t="shared" si="32"/>
        <v>0</v>
      </c>
    </row>
    <row r="86" spans="1:66" ht="39.75" x14ac:dyDescent="0.3">
      <c r="A86" s="330"/>
      <c r="B86" s="331"/>
      <c r="C86" s="331" t="s">
        <v>1280</v>
      </c>
      <c r="D86" s="519">
        <f>IFERROR(VLOOKUP($C86,'2019'!$D:$G,4,0),0)</f>
        <v>0</v>
      </c>
      <c r="E86" s="332">
        <f>SUMIFS('2019'!$I:$I,'2019'!$E:$E,Category!$B$74,'2019'!$N:$N,Category!E$1,'2019'!$D:$D,Category!$C86)</f>
        <v>0</v>
      </c>
      <c r="F86" s="332">
        <f>SUMIFS('2019'!$I:$I,'2019'!$E:$E,Category!$B$74,'2019'!$N:$N,Category!F$1,'2019'!$D:$D,Category!$C86)</f>
        <v>0</v>
      </c>
      <c r="G86" s="332">
        <f>SUMIFS('2019'!$I:$I,'2019'!$E:$E,Category!$B$74,'2019'!$N:$N,Category!G$1,'2019'!$D:$D,Category!$C86)</f>
        <v>0</v>
      </c>
      <c r="H86" s="332">
        <f>SUMIFS('2019'!$I:$I,'2019'!$E:$E,Category!$B$74,'2019'!$N:$N,Category!H$1,'2019'!$D:$D,Category!$C86)</f>
        <v>0</v>
      </c>
      <c r="I86" s="332">
        <f>SUMIFS('2019'!$I:$I,'2019'!$E:$E,Category!$B$74,'2019'!$N:$N,Category!I$1,'2019'!$D:$D,Category!$C86)</f>
        <v>0</v>
      </c>
      <c r="J86" s="333">
        <f t="shared" si="29"/>
        <v>0</v>
      </c>
      <c r="K86" s="501">
        <f>IFERROR(VLOOKUP($C86,'2020'!$D:$G,4,0),0)</f>
        <v>0</v>
      </c>
      <c r="L86" s="332">
        <f>SUMIFS('2020'!$I:$I,'2020'!$E:$E,Category!$B$74,'2020'!$N:$N,Category!L$1,'2020'!$D:$D,Category!$C86)</f>
        <v>0</v>
      </c>
      <c r="M86" s="332">
        <f>SUMIFS('2020'!$I:$I,'2020'!$E:$E,Category!$B$74,'2020'!$N:$N,Category!M$1,'2020'!$D:$D,Category!$C86)</f>
        <v>0</v>
      </c>
      <c r="N86" s="332">
        <f>SUMIFS('2020'!$I:$I,'2020'!$E:$E,Category!$B$74,'2020'!$N:$N,Category!N$1,'2020'!$D:$D,Category!$C86)</f>
        <v>0</v>
      </c>
      <c r="O86" s="332">
        <f>SUMIFS('2020'!$I:$I,'2020'!$E:$E,Category!$B$74,'2020'!$N:$N,Category!O$1,'2020'!$D:$D,Category!$C86)</f>
        <v>0</v>
      </c>
      <c r="P86" s="332">
        <f>SUMIFS('2020'!$I:$I,'2020'!$E:$E,Category!$B$74,'2020'!$N:$N,Category!P$1,'2020'!$D:$D,Category!$C86)</f>
        <v>0</v>
      </c>
      <c r="Q86" s="332">
        <f>SUMIFS('2020'!$I:$I,'2020'!$E:$E,Category!$B$74,'2020'!$N:$N,Category!Q$1,'2020'!$D:$D,Category!$C86)</f>
        <v>0</v>
      </c>
      <c r="R86" s="332">
        <f>SUMIFS('2020'!$I:$I,'2020'!$E:$E,Category!$B$74,'2020'!$N:$N,Category!R$1,'2020'!$D:$D,Category!$C86)</f>
        <v>0</v>
      </c>
      <c r="S86" s="332">
        <f>SUMIFS('2020'!$I:$I,'2020'!$E:$E,Category!$B$74,'2020'!$N:$N,Category!S$1,'2020'!$D:$D,Category!$C86)</f>
        <v>0</v>
      </c>
      <c r="T86" s="332">
        <f>SUMIFS('2020'!$I:$I,'2020'!$E:$E,Category!$B$74,'2020'!$N:$N,Category!T$1,'2020'!$D:$D,Category!$C86)</f>
        <v>0</v>
      </c>
      <c r="U86" s="332">
        <f>SUMIFS('2020'!$I:$I,'2020'!$E:$E,Category!$B$74,'2020'!$N:$N,Category!U$1,'2020'!$D:$D,Category!$C86)</f>
        <v>0</v>
      </c>
      <c r="V86" s="332">
        <f>SUMIFS('2020'!$I:$I,'2020'!$E:$E,Category!$B$74,'2020'!$N:$N,Category!V$1,'2020'!$D:$D,Category!$C86)</f>
        <v>0</v>
      </c>
      <c r="W86" s="332">
        <f>SUMIFS('2020'!$I:$I,'2020'!$E:$E,Category!$B$74,'2020'!$N:$N,Category!W$1,'2020'!$D:$D,Category!$C86)</f>
        <v>0</v>
      </c>
      <c r="X86" s="333">
        <f t="shared" si="30"/>
        <v>0</v>
      </c>
      <c r="Y86" s="501">
        <f>IFERROR(VLOOKUP(C86,'2021'!$D:$G,4,0),0)</f>
        <v>0</v>
      </c>
      <c r="Z86" s="332">
        <f>SUMIFS('2021'!$I:$I,'2021'!$E:$E,Category!$B$74,'2021'!$N:$N,Category!Z$1,'2021'!$D:$D,Category!$C86)</f>
        <v>0</v>
      </c>
      <c r="AA86" s="332">
        <f>SUMIFS('2021'!$I:$I,'2021'!$E:$E,Category!$B$74,'2021'!$N:$N,Category!AA$1,'2021'!$D:$D,Category!$C86)</f>
        <v>0</v>
      </c>
      <c r="AB86" s="332">
        <f>SUMIFS('2021'!$I:$I,'2021'!$E:$E,Category!$B$74,'2021'!$N:$N,Category!AB$1,'2021'!$D:$D,Category!$C86)</f>
        <v>0</v>
      </c>
      <c r="AC86" s="332">
        <f>SUMIFS('2021'!$I:$I,'2021'!$E:$E,Category!$B$74,'2021'!$N:$N,Category!AC$1,'2021'!$D:$D,Category!$C86)</f>
        <v>0</v>
      </c>
      <c r="AD86" s="332">
        <f>SUMIFS('2021'!$I:$I,'2021'!$E:$E,Category!$B$74,'2021'!$N:$N,Category!AD$1,'2021'!$D:$D,Category!$C86)</f>
        <v>0</v>
      </c>
      <c r="AE86" s="332">
        <f>SUMIFS('2021'!$I:$I,'2021'!$E:$E,Category!$B$74,'2021'!$N:$N,Category!AE$1,'2021'!$D:$D,Category!$C86)</f>
        <v>0</v>
      </c>
      <c r="AF86" s="332">
        <f>SUMIFS('2021'!$I:$I,'2021'!$E:$E,Category!$B$74,'2021'!$N:$N,Category!AF$1,'2021'!$D:$D,Category!$C86)</f>
        <v>0</v>
      </c>
      <c r="AG86" s="332">
        <f>SUMIFS('2021'!$I:$I,'2021'!$E:$E,Category!$B$74,'2021'!$N:$N,Category!AG$1,'2021'!$D:$D,Category!$C86)</f>
        <v>0</v>
      </c>
      <c r="AH86" s="332">
        <f>SUMIFS('2021'!$I:$I,'2021'!$E:$E,Category!$B$74,'2021'!$N:$N,Category!AH$1,'2021'!$D:$D,Category!$C86)</f>
        <v>0</v>
      </c>
      <c r="AI86" s="332">
        <f>SUMIFS('2021'!$I:$I,'2021'!$E:$E,Category!$B$74,'2021'!$N:$N,Category!AI$1,'2021'!$D:$D,Category!$C86)</f>
        <v>0</v>
      </c>
      <c r="AJ86" s="332">
        <f>SUMIFS('2021'!$I:$I,'2021'!$E:$E,Category!$B$74,'2021'!$N:$N,Category!AJ$1,'2021'!$D:$D,Category!$C86)</f>
        <v>0</v>
      </c>
      <c r="AK86" s="332">
        <f>SUMIFS('2021'!$I:$I,'2021'!$E:$E,Category!$B$74,'2021'!$N:$N,Category!AK$1,'2021'!$D:$D,Category!$C86)</f>
        <v>0</v>
      </c>
      <c r="AL86" s="333">
        <f t="shared" si="33"/>
        <v>0</v>
      </c>
      <c r="AM86" s="501">
        <f>IFERROR(VLOOKUP(C86,'2022'!$D:$G,4,0),0)</f>
        <v>1</v>
      </c>
      <c r="AN86" s="332">
        <f>SUMIFS('2022'!$I:$I,'2022'!$E:$E,Category!$B$74,'2022'!$N:$N,Category!AN$1,'2022'!$D:$D,Category!$C86)</f>
        <v>0</v>
      </c>
      <c r="AO86" s="332">
        <f>SUMIFS('2022'!$I:$I,'2022'!$E:$E,Category!$B$74,'2022'!$N:$N,Category!AO$1,'2022'!$D:$D,Category!$C86)</f>
        <v>0</v>
      </c>
      <c r="AP86" s="332">
        <f>SUMIFS('2022'!$I:$I,'2022'!$E:$E,Category!$B$74,'2022'!$N:$N,Category!AP$1,'2022'!$D:$D,Category!$C86)</f>
        <v>0</v>
      </c>
      <c r="AQ86" s="332">
        <f>SUMIFS('2022'!$I:$I,'2022'!$E:$E,Category!$B$74,'2022'!$N:$N,Category!AQ$1,'2022'!$D:$D,Category!$C86)</f>
        <v>0</v>
      </c>
      <c r="AR86" s="332">
        <f>SUMIFS('2022'!$I:$I,'2022'!$E:$E,Category!$B$74,'2022'!$N:$N,Category!AR$1,'2022'!$D:$D,Category!$C86)</f>
        <v>0</v>
      </c>
      <c r="AS86" s="332">
        <f>SUMIFS('2022'!$I:$I,'2022'!$E:$E,Category!$B$74,'2022'!$N:$N,Category!AS$1,'2022'!$D:$D,Category!$C86)</f>
        <v>0</v>
      </c>
      <c r="AT86" s="332">
        <f>SUMIFS('2022'!$I:$I,'2022'!$E:$E,Category!$B$74,'2022'!$N:$N,Category!AT$1,'2022'!$D:$D,Category!$C86)</f>
        <v>0</v>
      </c>
      <c r="AU86" s="332">
        <f>SUMIFS('2022'!$I:$I,'2022'!$E:$E,Category!$B$74,'2022'!$N:$N,Category!AU$1,'2022'!$D:$D,Category!$C86)</f>
        <v>40000000</v>
      </c>
      <c r="AV86" s="332">
        <f>SUMIFS('2022'!$I:$I,'2022'!$E:$E,Category!$B$74,'2022'!$N:$N,Category!AV$1,'2022'!$D:$D,Category!$C86)</f>
        <v>0</v>
      </c>
      <c r="AW86" s="332">
        <f>SUMIFS('2022'!$I:$I,'2022'!$E:$E,Category!$B$74,'2022'!$N:$N,Category!AW$1,'2022'!$D:$D,Category!$C86)</f>
        <v>0</v>
      </c>
      <c r="AX86" s="332">
        <f>SUMIFS('2022'!$I:$I,'2022'!$E:$E,Category!$B$74,'2022'!$N:$N,Category!AX$1,'2022'!$D:$D,Category!$C86)</f>
        <v>0</v>
      </c>
      <c r="AY86" s="332">
        <f>SUMIFS('2022'!$I:$I,'2022'!$E:$E,Category!$B$74,'2022'!$N:$N,Category!AY$1,'2022'!$D:$D,Category!$C86)</f>
        <v>0</v>
      </c>
      <c r="AZ86" s="333">
        <f t="shared" si="31"/>
        <v>40000000</v>
      </c>
      <c r="BA86" s="1036">
        <f>IFERROR(VLOOKUP(C86,'2023'!$D:$G,4,0),0)</f>
        <v>0</v>
      </c>
      <c r="BB86" s="332">
        <f>SUMIFS('2023'!$I:$I,'2023'!$E:$E,Category!$B$74,'2023'!$N:$N,Category!BB$1,'2023'!$D:$D,Category!$C86)</f>
        <v>0</v>
      </c>
      <c r="BC86" s="332">
        <f>SUMIFS('2023'!$I:$I,'2023'!$E:$E,Category!$B$74,'2023'!$N:$N,Category!BC$1,'2023'!$D:$D,Category!$C86)</f>
        <v>0</v>
      </c>
      <c r="BD86" s="332">
        <f>SUMIFS('2023'!$I:$I,'2023'!$E:$E,Category!$B$74,'2023'!$N:$N,Category!BD$1,'2023'!$D:$D,Category!$C86)</f>
        <v>0</v>
      </c>
      <c r="BE86" s="332">
        <f>SUMIFS('2023'!$I:$I,'2023'!$E:$E,Category!$B$74,'2023'!$N:$N,Category!BE$1,'2023'!$D:$D,Category!$C86)</f>
        <v>0</v>
      </c>
      <c r="BF86" s="332">
        <f>SUMIFS('2023'!$I:$I,'2023'!$E:$E,Category!$B$74,'2023'!$N:$N,Category!BF$1,'2023'!$D:$D,Category!$C86)</f>
        <v>0</v>
      </c>
      <c r="BG86" s="332">
        <f>SUMIFS('2023'!$I:$I,'2023'!$E:$E,Category!$B$74,'2023'!$N:$N,Category!BG$1,'2023'!$D:$D,Category!$C86)</f>
        <v>0</v>
      </c>
      <c r="BH86" s="332">
        <f>SUMIFS('2023'!$I:$I,'2023'!$E:$E,Category!$B$74,'2023'!$N:$N,Category!BH$1,'2023'!$D:$D,Category!$C86)</f>
        <v>0</v>
      </c>
      <c r="BI86" s="332">
        <f>SUMIFS('2023'!$I:$I,'2023'!$E:$E,Category!$B$74,'2023'!$N:$N,Category!BI$1,'2023'!$D:$D,Category!$C86)</f>
        <v>0</v>
      </c>
      <c r="BJ86" s="332">
        <f>SUMIFS('2023'!$I:$I,'2023'!$E:$E,Category!$B$74,'2023'!$N:$N,Category!BJ$1,'2023'!$D:$D,Category!$C86)</f>
        <v>0</v>
      </c>
      <c r="BK86" s="332">
        <f>SUMIFS('2023'!$I:$I,'2023'!$E:$E,Category!$B$74,'2023'!$N:$N,Category!BK$1,'2023'!$D:$D,Category!$C86)</f>
        <v>0</v>
      </c>
      <c r="BL86" s="332">
        <f>SUMIFS('2023'!$I:$I,'2023'!$E:$E,Category!$B$74,'2023'!$N:$N,Category!BL$1,'2023'!$D:$D,Category!$C86)</f>
        <v>0</v>
      </c>
      <c r="BM86" s="332">
        <f>SUMIFS('2023'!$I:$I,'2023'!$E:$E,Category!$B$74,'2023'!$N:$N,Category!BM$1,'2023'!$D:$D,Category!$C86)</f>
        <v>0</v>
      </c>
      <c r="BN86" s="333">
        <f t="shared" si="32"/>
        <v>0</v>
      </c>
    </row>
    <row r="87" spans="1:66" ht="39.75" x14ac:dyDescent="0.3">
      <c r="A87" s="330"/>
      <c r="B87" s="331"/>
      <c r="C87" s="331" t="s">
        <v>1277</v>
      </c>
      <c r="D87" s="519">
        <f>IFERROR(VLOOKUP($C87,'2019'!$D:$G,4,0),0)</f>
        <v>0</v>
      </c>
      <c r="E87" s="332">
        <f>SUMIFS('2019'!$I:$I,'2019'!$E:$E,Category!$B$74,'2019'!$N:$N,Category!E$1,'2019'!$D:$D,Category!$C87)</f>
        <v>0</v>
      </c>
      <c r="F87" s="332">
        <f>SUMIFS('2019'!$I:$I,'2019'!$E:$E,Category!$B$74,'2019'!$N:$N,Category!F$1,'2019'!$D:$D,Category!$C87)</f>
        <v>0</v>
      </c>
      <c r="G87" s="332">
        <f>SUMIFS('2019'!$I:$I,'2019'!$E:$E,Category!$B$74,'2019'!$N:$N,Category!G$1,'2019'!$D:$D,Category!$C87)</f>
        <v>0</v>
      </c>
      <c r="H87" s="332">
        <f>SUMIFS('2019'!$I:$I,'2019'!$E:$E,Category!$B$74,'2019'!$N:$N,Category!H$1,'2019'!$D:$D,Category!$C87)</f>
        <v>0</v>
      </c>
      <c r="I87" s="332">
        <f>SUMIFS('2019'!$I:$I,'2019'!$E:$E,Category!$B$74,'2019'!$N:$N,Category!I$1,'2019'!$D:$D,Category!$C87)</f>
        <v>0</v>
      </c>
      <c r="J87" s="333">
        <f t="shared" si="29"/>
        <v>0</v>
      </c>
      <c r="K87" s="501">
        <f>IFERROR(VLOOKUP($C87,'2020'!$D:$G,4,0),0)</f>
        <v>0</v>
      </c>
      <c r="L87" s="332">
        <f>SUMIFS('2020'!$I:$I,'2020'!$E:$E,Category!$B$74,'2020'!$N:$N,Category!L$1,'2020'!$D:$D,Category!$C87)</f>
        <v>0</v>
      </c>
      <c r="M87" s="332">
        <f>SUMIFS('2020'!$I:$I,'2020'!$E:$E,Category!$B$74,'2020'!$N:$N,Category!M$1,'2020'!$D:$D,Category!$C87)</f>
        <v>0</v>
      </c>
      <c r="N87" s="332">
        <f>SUMIFS('2020'!$I:$I,'2020'!$E:$E,Category!$B$74,'2020'!$N:$N,Category!N$1,'2020'!$D:$D,Category!$C87)</f>
        <v>0</v>
      </c>
      <c r="O87" s="332">
        <f>SUMIFS('2020'!$I:$I,'2020'!$E:$E,Category!$B$74,'2020'!$N:$N,Category!O$1,'2020'!$D:$D,Category!$C87)</f>
        <v>0</v>
      </c>
      <c r="P87" s="332">
        <f>SUMIFS('2020'!$I:$I,'2020'!$E:$E,Category!$B$74,'2020'!$N:$N,Category!P$1,'2020'!$D:$D,Category!$C87)</f>
        <v>0</v>
      </c>
      <c r="Q87" s="332">
        <f>SUMIFS('2020'!$I:$I,'2020'!$E:$E,Category!$B$74,'2020'!$N:$N,Category!Q$1,'2020'!$D:$D,Category!$C87)</f>
        <v>0</v>
      </c>
      <c r="R87" s="332">
        <f>SUMIFS('2020'!$I:$I,'2020'!$E:$E,Category!$B$74,'2020'!$N:$N,Category!R$1,'2020'!$D:$D,Category!$C87)</f>
        <v>0</v>
      </c>
      <c r="S87" s="332">
        <f>SUMIFS('2020'!$I:$I,'2020'!$E:$E,Category!$B$74,'2020'!$N:$N,Category!S$1,'2020'!$D:$D,Category!$C87)</f>
        <v>0</v>
      </c>
      <c r="T87" s="332">
        <f>SUMIFS('2020'!$I:$I,'2020'!$E:$E,Category!$B$74,'2020'!$N:$N,Category!T$1,'2020'!$D:$D,Category!$C87)</f>
        <v>0</v>
      </c>
      <c r="U87" s="332">
        <f>SUMIFS('2020'!$I:$I,'2020'!$E:$E,Category!$B$74,'2020'!$N:$N,Category!U$1,'2020'!$D:$D,Category!$C87)</f>
        <v>0</v>
      </c>
      <c r="V87" s="332">
        <f>SUMIFS('2020'!$I:$I,'2020'!$E:$E,Category!$B$74,'2020'!$N:$N,Category!V$1,'2020'!$D:$D,Category!$C87)</f>
        <v>0</v>
      </c>
      <c r="W87" s="332">
        <f>SUMIFS('2020'!$I:$I,'2020'!$E:$E,Category!$B$74,'2020'!$N:$N,Category!W$1,'2020'!$D:$D,Category!$C87)</f>
        <v>0</v>
      </c>
      <c r="X87" s="333">
        <f t="shared" si="30"/>
        <v>0</v>
      </c>
      <c r="Y87" s="501">
        <f>IFERROR(VLOOKUP(C87,'2021'!$D:$G,4,0),0)</f>
        <v>0</v>
      </c>
      <c r="Z87" s="332">
        <f>SUMIFS('2021'!$I:$I,'2021'!$E:$E,Category!$B$74,'2021'!$N:$N,Category!Z$1,'2021'!$D:$D,Category!$C87)</f>
        <v>0</v>
      </c>
      <c r="AA87" s="332">
        <f>SUMIFS('2021'!$I:$I,'2021'!$E:$E,Category!$B$74,'2021'!$N:$N,Category!AA$1,'2021'!$D:$D,Category!$C87)</f>
        <v>0</v>
      </c>
      <c r="AB87" s="332">
        <f>SUMIFS('2021'!$I:$I,'2021'!$E:$E,Category!$B$74,'2021'!$N:$N,Category!AB$1,'2021'!$D:$D,Category!$C87)</f>
        <v>0</v>
      </c>
      <c r="AC87" s="332">
        <f>SUMIFS('2021'!$I:$I,'2021'!$E:$E,Category!$B$74,'2021'!$N:$N,Category!AC$1,'2021'!$D:$D,Category!$C87)</f>
        <v>0</v>
      </c>
      <c r="AD87" s="332">
        <f>SUMIFS('2021'!$I:$I,'2021'!$E:$E,Category!$B$74,'2021'!$N:$N,Category!AD$1,'2021'!$D:$D,Category!$C87)</f>
        <v>0</v>
      </c>
      <c r="AE87" s="332">
        <f>SUMIFS('2021'!$I:$I,'2021'!$E:$E,Category!$B$74,'2021'!$N:$N,Category!AE$1,'2021'!$D:$D,Category!$C87)</f>
        <v>0</v>
      </c>
      <c r="AF87" s="332">
        <f>SUMIFS('2021'!$I:$I,'2021'!$E:$E,Category!$B$74,'2021'!$N:$N,Category!AF$1,'2021'!$D:$D,Category!$C87)</f>
        <v>0</v>
      </c>
      <c r="AG87" s="332">
        <f>SUMIFS('2021'!$I:$I,'2021'!$E:$E,Category!$B$74,'2021'!$N:$N,Category!AG$1,'2021'!$D:$D,Category!$C87)</f>
        <v>0</v>
      </c>
      <c r="AH87" s="332">
        <f>SUMIFS('2021'!$I:$I,'2021'!$E:$E,Category!$B$74,'2021'!$N:$N,Category!AH$1,'2021'!$D:$D,Category!$C87)</f>
        <v>0</v>
      </c>
      <c r="AI87" s="332">
        <f>SUMIFS('2021'!$I:$I,'2021'!$E:$E,Category!$B$74,'2021'!$N:$N,Category!AI$1,'2021'!$D:$D,Category!$C87)</f>
        <v>0</v>
      </c>
      <c r="AJ87" s="332">
        <f>SUMIFS('2021'!$I:$I,'2021'!$E:$E,Category!$B$74,'2021'!$N:$N,Category!AJ$1,'2021'!$D:$D,Category!$C87)</f>
        <v>0</v>
      </c>
      <c r="AK87" s="332">
        <f>SUMIFS('2021'!$I:$I,'2021'!$E:$E,Category!$B$74,'2021'!$N:$N,Category!AK$1,'2021'!$D:$D,Category!$C87)</f>
        <v>0</v>
      </c>
      <c r="AL87" s="333">
        <f t="shared" si="33"/>
        <v>0</v>
      </c>
      <c r="AM87" s="501">
        <f>IFERROR(VLOOKUP(C87,'2022'!$D:$G,4,0),0)</f>
        <v>1</v>
      </c>
      <c r="AN87" s="332">
        <f>SUMIFS('2022'!$I:$I,'2022'!$E:$E,Category!$B$74,'2022'!$N:$N,Category!AN$1,'2022'!$D:$D,Category!$C87)</f>
        <v>0</v>
      </c>
      <c r="AO87" s="332">
        <f>SUMIFS('2022'!$I:$I,'2022'!$E:$E,Category!$B$74,'2022'!$N:$N,Category!AO$1,'2022'!$D:$D,Category!$C87)</f>
        <v>0</v>
      </c>
      <c r="AP87" s="332">
        <f>SUMIFS('2022'!$I:$I,'2022'!$E:$E,Category!$B$74,'2022'!$N:$N,Category!AP$1,'2022'!$D:$D,Category!$C87)</f>
        <v>0</v>
      </c>
      <c r="AQ87" s="332">
        <f>SUMIFS('2022'!$I:$I,'2022'!$E:$E,Category!$B$74,'2022'!$N:$N,Category!AQ$1,'2022'!$D:$D,Category!$C87)</f>
        <v>0</v>
      </c>
      <c r="AR87" s="332">
        <f>SUMIFS('2022'!$I:$I,'2022'!$E:$E,Category!$B$74,'2022'!$N:$N,Category!AR$1,'2022'!$D:$D,Category!$C87)</f>
        <v>0</v>
      </c>
      <c r="AS87" s="332">
        <f>SUMIFS('2022'!$I:$I,'2022'!$E:$E,Category!$B$74,'2022'!$N:$N,Category!AS$1,'2022'!$D:$D,Category!$C87)</f>
        <v>0</v>
      </c>
      <c r="AT87" s="332">
        <f>SUMIFS('2022'!$I:$I,'2022'!$E:$E,Category!$B$74,'2022'!$N:$N,Category!AT$1,'2022'!$D:$D,Category!$C87)</f>
        <v>0</v>
      </c>
      <c r="AU87" s="332">
        <f>SUMIFS('2022'!$I:$I,'2022'!$E:$E,Category!$B$74,'2022'!$N:$N,Category!AU$1,'2022'!$D:$D,Category!$C87)</f>
        <v>25000000</v>
      </c>
      <c r="AV87" s="332">
        <f>SUMIFS('2022'!$I:$I,'2022'!$E:$E,Category!$B$74,'2022'!$N:$N,Category!AV$1,'2022'!$D:$D,Category!$C87)</f>
        <v>0</v>
      </c>
      <c r="AW87" s="332">
        <f>SUMIFS('2022'!$I:$I,'2022'!$E:$E,Category!$B$74,'2022'!$N:$N,Category!AW$1,'2022'!$D:$D,Category!$C87)</f>
        <v>0</v>
      </c>
      <c r="AX87" s="332">
        <f>SUMIFS('2022'!$I:$I,'2022'!$E:$E,Category!$B$74,'2022'!$N:$N,Category!AX$1,'2022'!$D:$D,Category!$C87)</f>
        <v>0</v>
      </c>
      <c r="AY87" s="332">
        <f>SUMIFS('2022'!$I:$I,'2022'!$E:$E,Category!$B$74,'2022'!$N:$N,Category!AY$1,'2022'!$D:$D,Category!$C87)</f>
        <v>0</v>
      </c>
      <c r="AZ87" s="333">
        <f t="shared" si="31"/>
        <v>25000000</v>
      </c>
      <c r="BA87" s="1036">
        <f>IFERROR(VLOOKUP(C87,'2023'!$D:$G,4,0),0)</f>
        <v>0</v>
      </c>
      <c r="BB87" s="332">
        <f>SUMIFS('2023'!$I:$I,'2023'!$E:$E,Category!$B$74,'2023'!$N:$N,Category!BB$1,'2023'!$D:$D,Category!$C87)</f>
        <v>0</v>
      </c>
      <c r="BC87" s="332">
        <f>SUMIFS('2023'!$I:$I,'2023'!$E:$E,Category!$B$74,'2023'!$N:$N,Category!BC$1,'2023'!$D:$D,Category!$C87)</f>
        <v>0</v>
      </c>
      <c r="BD87" s="332">
        <f>SUMIFS('2023'!$I:$I,'2023'!$E:$E,Category!$B$74,'2023'!$N:$N,Category!BD$1,'2023'!$D:$D,Category!$C87)</f>
        <v>0</v>
      </c>
      <c r="BE87" s="332">
        <f>SUMIFS('2023'!$I:$I,'2023'!$E:$E,Category!$B$74,'2023'!$N:$N,Category!BE$1,'2023'!$D:$D,Category!$C87)</f>
        <v>0</v>
      </c>
      <c r="BF87" s="332">
        <f>SUMIFS('2023'!$I:$I,'2023'!$E:$E,Category!$B$74,'2023'!$N:$N,Category!BF$1,'2023'!$D:$D,Category!$C87)</f>
        <v>0</v>
      </c>
      <c r="BG87" s="332">
        <f>SUMIFS('2023'!$I:$I,'2023'!$E:$E,Category!$B$74,'2023'!$N:$N,Category!BG$1,'2023'!$D:$D,Category!$C87)</f>
        <v>0</v>
      </c>
      <c r="BH87" s="332">
        <f>SUMIFS('2023'!$I:$I,'2023'!$E:$E,Category!$B$74,'2023'!$N:$N,Category!BH$1,'2023'!$D:$D,Category!$C87)</f>
        <v>0</v>
      </c>
      <c r="BI87" s="332">
        <f>SUMIFS('2023'!$I:$I,'2023'!$E:$E,Category!$B$74,'2023'!$N:$N,Category!BI$1,'2023'!$D:$D,Category!$C87)</f>
        <v>0</v>
      </c>
      <c r="BJ87" s="332">
        <f>SUMIFS('2023'!$I:$I,'2023'!$E:$E,Category!$B$74,'2023'!$N:$N,Category!BJ$1,'2023'!$D:$D,Category!$C87)</f>
        <v>0</v>
      </c>
      <c r="BK87" s="332">
        <f>SUMIFS('2023'!$I:$I,'2023'!$E:$E,Category!$B$74,'2023'!$N:$N,Category!BK$1,'2023'!$D:$D,Category!$C87)</f>
        <v>0</v>
      </c>
      <c r="BL87" s="332">
        <f>SUMIFS('2023'!$I:$I,'2023'!$E:$E,Category!$B$74,'2023'!$N:$N,Category!BL$1,'2023'!$D:$D,Category!$C87)</f>
        <v>0</v>
      </c>
      <c r="BM87" s="332">
        <f>SUMIFS('2023'!$I:$I,'2023'!$E:$E,Category!$B$74,'2023'!$N:$N,Category!BM$1,'2023'!$D:$D,Category!$C87)</f>
        <v>0</v>
      </c>
      <c r="BN87" s="333">
        <f t="shared" si="32"/>
        <v>0</v>
      </c>
    </row>
    <row r="88" spans="1:66" ht="39.75" x14ac:dyDescent="0.3">
      <c r="A88" s="330"/>
      <c r="B88" s="331"/>
      <c r="C88" s="331" t="s">
        <v>1278</v>
      </c>
      <c r="D88" s="519">
        <f>IFERROR(VLOOKUP($C88,'2019'!$D:$G,4,0),0)</f>
        <v>0</v>
      </c>
      <c r="E88" s="332">
        <f>SUMIFS('2019'!$I:$I,'2019'!$E:$E,Category!$B$74,'2019'!$N:$N,Category!E$1,'2019'!$D:$D,Category!$C88)</f>
        <v>0</v>
      </c>
      <c r="F88" s="332">
        <f>SUMIFS('2019'!$I:$I,'2019'!$E:$E,Category!$B$74,'2019'!$N:$N,Category!F$1,'2019'!$D:$D,Category!$C88)</f>
        <v>0</v>
      </c>
      <c r="G88" s="332">
        <f>SUMIFS('2019'!$I:$I,'2019'!$E:$E,Category!$B$74,'2019'!$N:$N,Category!G$1,'2019'!$D:$D,Category!$C88)</f>
        <v>0</v>
      </c>
      <c r="H88" s="332">
        <f>SUMIFS('2019'!$I:$I,'2019'!$E:$E,Category!$B$74,'2019'!$N:$N,Category!H$1,'2019'!$D:$D,Category!$C88)</f>
        <v>0</v>
      </c>
      <c r="I88" s="332">
        <f>SUMIFS('2019'!$I:$I,'2019'!$E:$E,Category!$B$74,'2019'!$N:$N,Category!I$1,'2019'!$D:$D,Category!$C88)</f>
        <v>0</v>
      </c>
      <c r="J88" s="333">
        <f t="shared" si="29"/>
        <v>0</v>
      </c>
      <c r="K88" s="501">
        <f>IFERROR(VLOOKUP($C88,'2020'!$D:$G,4,0),0)</f>
        <v>0</v>
      </c>
      <c r="L88" s="332">
        <f>SUMIFS('2020'!$I:$I,'2020'!$E:$E,Category!$B$74,'2020'!$N:$N,Category!L$1,'2020'!$D:$D,Category!$C88)</f>
        <v>0</v>
      </c>
      <c r="M88" s="332">
        <f>SUMIFS('2020'!$I:$I,'2020'!$E:$E,Category!$B$74,'2020'!$N:$N,Category!M$1,'2020'!$D:$D,Category!$C88)</f>
        <v>0</v>
      </c>
      <c r="N88" s="332">
        <f>SUMIFS('2020'!$I:$I,'2020'!$E:$E,Category!$B$74,'2020'!$N:$N,Category!N$1,'2020'!$D:$D,Category!$C88)</f>
        <v>0</v>
      </c>
      <c r="O88" s="332">
        <f>SUMIFS('2020'!$I:$I,'2020'!$E:$E,Category!$B$74,'2020'!$N:$N,Category!O$1,'2020'!$D:$D,Category!$C88)</f>
        <v>0</v>
      </c>
      <c r="P88" s="332">
        <f>SUMIFS('2020'!$I:$I,'2020'!$E:$E,Category!$B$74,'2020'!$N:$N,Category!P$1,'2020'!$D:$D,Category!$C88)</f>
        <v>0</v>
      </c>
      <c r="Q88" s="332">
        <f>SUMIFS('2020'!$I:$I,'2020'!$E:$E,Category!$B$74,'2020'!$N:$N,Category!Q$1,'2020'!$D:$D,Category!$C88)</f>
        <v>0</v>
      </c>
      <c r="R88" s="332">
        <f>SUMIFS('2020'!$I:$I,'2020'!$E:$E,Category!$B$74,'2020'!$N:$N,Category!R$1,'2020'!$D:$D,Category!$C88)</f>
        <v>0</v>
      </c>
      <c r="S88" s="332">
        <f>SUMIFS('2020'!$I:$I,'2020'!$E:$E,Category!$B$74,'2020'!$N:$N,Category!S$1,'2020'!$D:$D,Category!$C88)</f>
        <v>0</v>
      </c>
      <c r="T88" s="332">
        <f>SUMIFS('2020'!$I:$I,'2020'!$E:$E,Category!$B$74,'2020'!$N:$N,Category!T$1,'2020'!$D:$D,Category!$C88)</f>
        <v>0</v>
      </c>
      <c r="U88" s="332">
        <f>SUMIFS('2020'!$I:$I,'2020'!$E:$E,Category!$B$74,'2020'!$N:$N,Category!U$1,'2020'!$D:$D,Category!$C88)</f>
        <v>0</v>
      </c>
      <c r="V88" s="332">
        <f>SUMIFS('2020'!$I:$I,'2020'!$E:$E,Category!$B$74,'2020'!$N:$N,Category!V$1,'2020'!$D:$D,Category!$C88)</f>
        <v>0</v>
      </c>
      <c r="W88" s="332">
        <f>SUMIFS('2020'!$I:$I,'2020'!$E:$E,Category!$B$74,'2020'!$N:$N,Category!W$1,'2020'!$D:$D,Category!$C88)</f>
        <v>0</v>
      </c>
      <c r="X88" s="333">
        <f t="shared" si="30"/>
        <v>0</v>
      </c>
      <c r="Y88" s="501">
        <f>IFERROR(VLOOKUP(C88,'2021'!$D:$G,4,0),0)</f>
        <v>0</v>
      </c>
      <c r="Z88" s="332">
        <f>SUMIFS('2021'!$I:$I,'2021'!$E:$E,Category!$B$74,'2021'!$N:$N,Category!Z$1,'2021'!$D:$D,Category!$C88)</f>
        <v>0</v>
      </c>
      <c r="AA88" s="332">
        <f>SUMIFS('2021'!$I:$I,'2021'!$E:$E,Category!$B$74,'2021'!$N:$N,Category!AA$1,'2021'!$D:$D,Category!$C88)</f>
        <v>0</v>
      </c>
      <c r="AB88" s="332">
        <f>SUMIFS('2021'!$I:$I,'2021'!$E:$E,Category!$B$74,'2021'!$N:$N,Category!AB$1,'2021'!$D:$D,Category!$C88)</f>
        <v>0</v>
      </c>
      <c r="AC88" s="332">
        <f>SUMIFS('2021'!$I:$I,'2021'!$E:$E,Category!$B$74,'2021'!$N:$N,Category!AC$1,'2021'!$D:$D,Category!$C88)</f>
        <v>0</v>
      </c>
      <c r="AD88" s="332">
        <f>SUMIFS('2021'!$I:$I,'2021'!$E:$E,Category!$B$74,'2021'!$N:$N,Category!AD$1,'2021'!$D:$D,Category!$C88)</f>
        <v>0</v>
      </c>
      <c r="AE88" s="332">
        <f>SUMIFS('2021'!$I:$I,'2021'!$E:$E,Category!$B$74,'2021'!$N:$N,Category!AE$1,'2021'!$D:$D,Category!$C88)</f>
        <v>0</v>
      </c>
      <c r="AF88" s="332">
        <f>SUMIFS('2021'!$I:$I,'2021'!$E:$E,Category!$B$74,'2021'!$N:$N,Category!AF$1,'2021'!$D:$D,Category!$C88)</f>
        <v>0</v>
      </c>
      <c r="AG88" s="332">
        <f>SUMIFS('2021'!$I:$I,'2021'!$E:$E,Category!$B$74,'2021'!$N:$N,Category!AG$1,'2021'!$D:$D,Category!$C88)</f>
        <v>0</v>
      </c>
      <c r="AH88" s="332">
        <f>SUMIFS('2021'!$I:$I,'2021'!$E:$E,Category!$B$74,'2021'!$N:$N,Category!AH$1,'2021'!$D:$D,Category!$C88)</f>
        <v>0</v>
      </c>
      <c r="AI88" s="332">
        <f>SUMIFS('2021'!$I:$I,'2021'!$E:$E,Category!$B$74,'2021'!$N:$N,Category!AI$1,'2021'!$D:$D,Category!$C88)</f>
        <v>0</v>
      </c>
      <c r="AJ88" s="332">
        <f>SUMIFS('2021'!$I:$I,'2021'!$E:$E,Category!$B$74,'2021'!$N:$N,Category!AJ$1,'2021'!$D:$D,Category!$C88)</f>
        <v>0</v>
      </c>
      <c r="AK88" s="332">
        <f>SUMIFS('2021'!$I:$I,'2021'!$E:$E,Category!$B$74,'2021'!$N:$N,Category!AK$1,'2021'!$D:$D,Category!$C88)</f>
        <v>0</v>
      </c>
      <c r="AL88" s="333">
        <f t="shared" si="33"/>
        <v>0</v>
      </c>
      <c r="AM88" s="501">
        <f>IFERROR(VLOOKUP(C88,'2022'!$D:$G,4,0),0)</f>
        <v>1</v>
      </c>
      <c r="AN88" s="332">
        <f>SUMIFS('2022'!$I:$I,'2022'!$E:$E,Category!$B$74,'2022'!$N:$N,Category!AN$1,'2022'!$D:$D,Category!$C88)</f>
        <v>0</v>
      </c>
      <c r="AO88" s="332">
        <f>SUMIFS('2022'!$I:$I,'2022'!$E:$E,Category!$B$74,'2022'!$N:$N,Category!AO$1,'2022'!$D:$D,Category!$C88)</f>
        <v>0</v>
      </c>
      <c r="AP88" s="332">
        <f>SUMIFS('2022'!$I:$I,'2022'!$E:$E,Category!$B$74,'2022'!$N:$N,Category!AP$1,'2022'!$D:$D,Category!$C88)</f>
        <v>0</v>
      </c>
      <c r="AQ88" s="332">
        <f>SUMIFS('2022'!$I:$I,'2022'!$E:$E,Category!$B$74,'2022'!$N:$N,Category!AQ$1,'2022'!$D:$D,Category!$C88)</f>
        <v>0</v>
      </c>
      <c r="AR88" s="332">
        <f>SUMIFS('2022'!$I:$I,'2022'!$E:$E,Category!$B$74,'2022'!$N:$N,Category!AR$1,'2022'!$D:$D,Category!$C88)</f>
        <v>0</v>
      </c>
      <c r="AS88" s="332">
        <f>SUMIFS('2022'!$I:$I,'2022'!$E:$E,Category!$B$74,'2022'!$N:$N,Category!AS$1,'2022'!$D:$D,Category!$C88)</f>
        <v>0</v>
      </c>
      <c r="AT88" s="332">
        <f>SUMIFS('2022'!$I:$I,'2022'!$E:$E,Category!$B$74,'2022'!$N:$N,Category!AT$1,'2022'!$D:$D,Category!$C88)</f>
        <v>0</v>
      </c>
      <c r="AU88" s="332">
        <f>SUMIFS('2022'!$I:$I,'2022'!$E:$E,Category!$B$74,'2022'!$N:$N,Category!AU$1,'2022'!$D:$D,Category!$C88)</f>
        <v>25000000</v>
      </c>
      <c r="AV88" s="332">
        <f>SUMIFS('2022'!$I:$I,'2022'!$E:$E,Category!$B$74,'2022'!$N:$N,Category!AV$1,'2022'!$D:$D,Category!$C88)</f>
        <v>0</v>
      </c>
      <c r="AW88" s="332">
        <f>SUMIFS('2022'!$I:$I,'2022'!$E:$E,Category!$B$74,'2022'!$N:$N,Category!AW$1,'2022'!$D:$D,Category!$C88)</f>
        <v>0</v>
      </c>
      <c r="AX88" s="332">
        <f>SUMIFS('2022'!$I:$I,'2022'!$E:$E,Category!$B$74,'2022'!$N:$N,Category!AX$1,'2022'!$D:$D,Category!$C88)</f>
        <v>0</v>
      </c>
      <c r="AY88" s="332">
        <f>SUMIFS('2022'!$I:$I,'2022'!$E:$E,Category!$B$74,'2022'!$N:$N,Category!AY$1,'2022'!$D:$D,Category!$C88)</f>
        <v>0</v>
      </c>
      <c r="AZ88" s="333">
        <f t="shared" si="31"/>
        <v>25000000</v>
      </c>
      <c r="BA88" s="1036">
        <f>IFERROR(VLOOKUP(C88,'2023'!$D:$G,4,0),0)</f>
        <v>0</v>
      </c>
      <c r="BB88" s="332">
        <f>SUMIFS('2023'!$I:$I,'2023'!$E:$E,Category!$B$74,'2023'!$N:$N,Category!BB$1,'2023'!$D:$D,Category!$C88)</f>
        <v>0</v>
      </c>
      <c r="BC88" s="332">
        <f>SUMIFS('2023'!$I:$I,'2023'!$E:$E,Category!$B$74,'2023'!$N:$N,Category!BC$1,'2023'!$D:$D,Category!$C88)</f>
        <v>0</v>
      </c>
      <c r="BD88" s="332">
        <f>SUMIFS('2023'!$I:$I,'2023'!$E:$E,Category!$B$74,'2023'!$N:$N,Category!BD$1,'2023'!$D:$D,Category!$C88)</f>
        <v>0</v>
      </c>
      <c r="BE88" s="332">
        <f>SUMIFS('2023'!$I:$I,'2023'!$E:$E,Category!$B$74,'2023'!$N:$N,Category!BE$1,'2023'!$D:$D,Category!$C88)</f>
        <v>0</v>
      </c>
      <c r="BF88" s="332">
        <f>SUMIFS('2023'!$I:$I,'2023'!$E:$E,Category!$B$74,'2023'!$N:$N,Category!BF$1,'2023'!$D:$D,Category!$C88)</f>
        <v>0</v>
      </c>
      <c r="BG88" s="332">
        <f>SUMIFS('2023'!$I:$I,'2023'!$E:$E,Category!$B$74,'2023'!$N:$N,Category!BG$1,'2023'!$D:$D,Category!$C88)</f>
        <v>0</v>
      </c>
      <c r="BH88" s="332">
        <f>SUMIFS('2023'!$I:$I,'2023'!$E:$E,Category!$B$74,'2023'!$N:$N,Category!BH$1,'2023'!$D:$D,Category!$C88)</f>
        <v>0</v>
      </c>
      <c r="BI88" s="332">
        <f>SUMIFS('2023'!$I:$I,'2023'!$E:$E,Category!$B$74,'2023'!$N:$N,Category!BI$1,'2023'!$D:$D,Category!$C88)</f>
        <v>0</v>
      </c>
      <c r="BJ88" s="332">
        <f>SUMIFS('2023'!$I:$I,'2023'!$E:$E,Category!$B$74,'2023'!$N:$N,Category!BJ$1,'2023'!$D:$D,Category!$C88)</f>
        <v>0</v>
      </c>
      <c r="BK88" s="332">
        <f>SUMIFS('2023'!$I:$I,'2023'!$E:$E,Category!$B$74,'2023'!$N:$N,Category!BK$1,'2023'!$D:$D,Category!$C88)</f>
        <v>0</v>
      </c>
      <c r="BL88" s="332">
        <f>SUMIFS('2023'!$I:$I,'2023'!$E:$E,Category!$B$74,'2023'!$N:$N,Category!BL$1,'2023'!$D:$D,Category!$C88)</f>
        <v>0</v>
      </c>
      <c r="BM88" s="332">
        <f>SUMIFS('2023'!$I:$I,'2023'!$E:$E,Category!$B$74,'2023'!$N:$N,Category!BM$1,'2023'!$D:$D,Category!$C88)</f>
        <v>0</v>
      </c>
      <c r="BN88" s="333">
        <f t="shared" si="32"/>
        <v>0</v>
      </c>
    </row>
    <row r="89" spans="1:66" ht="39.75" x14ac:dyDescent="0.3">
      <c r="A89" s="330"/>
      <c r="B89" s="331"/>
      <c r="C89" s="331" t="s">
        <v>1293</v>
      </c>
      <c r="D89" s="519">
        <f>IFERROR(VLOOKUP($C89,'2019'!$D:$G,4,0),0)</f>
        <v>0</v>
      </c>
      <c r="E89" s="332">
        <f>SUMIFS('2019'!$I:$I,'2019'!$E:$E,Category!$B$74,'2019'!$N:$N,Category!E$1,'2019'!$D:$D,Category!$C89)</f>
        <v>0</v>
      </c>
      <c r="F89" s="332">
        <f>SUMIFS('2019'!$I:$I,'2019'!$E:$E,Category!$B$74,'2019'!$N:$N,Category!F$1,'2019'!$D:$D,Category!$C89)</f>
        <v>0</v>
      </c>
      <c r="G89" s="332">
        <f>SUMIFS('2019'!$I:$I,'2019'!$E:$E,Category!$B$74,'2019'!$N:$N,Category!G$1,'2019'!$D:$D,Category!$C89)</f>
        <v>0</v>
      </c>
      <c r="H89" s="332">
        <f>SUMIFS('2019'!$I:$I,'2019'!$E:$E,Category!$B$74,'2019'!$N:$N,Category!H$1,'2019'!$D:$D,Category!$C89)</f>
        <v>0</v>
      </c>
      <c r="I89" s="332">
        <f>SUMIFS('2019'!$I:$I,'2019'!$E:$E,Category!$B$74,'2019'!$N:$N,Category!I$1,'2019'!$D:$D,Category!$C89)</f>
        <v>0</v>
      </c>
      <c r="J89" s="333">
        <f t="shared" si="29"/>
        <v>0</v>
      </c>
      <c r="K89" s="501">
        <f>IFERROR(VLOOKUP($C89,'2020'!$D:$G,4,0),0)</f>
        <v>0</v>
      </c>
      <c r="L89" s="332">
        <f>SUMIFS('2020'!$I:$I,'2020'!$E:$E,Category!$B$74,'2020'!$N:$N,Category!L$1,'2020'!$D:$D,Category!$C89)</f>
        <v>0</v>
      </c>
      <c r="M89" s="332">
        <f>SUMIFS('2020'!$I:$I,'2020'!$E:$E,Category!$B$74,'2020'!$N:$N,Category!M$1,'2020'!$D:$D,Category!$C89)</f>
        <v>0</v>
      </c>
      <c r="N89" s="332">
        <f>SUMIFS('2020'!$I:$I,'2020'!$E:$E,Category!$B$74,'2020'!$N:$N,Category!N$1,'2020'!$D:$D,Category!$C89)</f>
        <v>0</v>
      </c>
      <c r="O89" s="332">
        <f>SUMIFS('2020'!$I:$I,'2020'!$E:$E,Category!$B$74,'2020'!$N:$N,Category!O$1,'2020'!$D:$D,Category!$C89)</f>
        <v>0</v>
      </c>
      <c r="P89" s="332">
        <f>SUMIFS('2020'!$I:$I,'2020'!$E:$E,Category!$B$74,'2020'!$N:$N,Category!P$1,'2020'!$D:$D,Category!$C89)</f>
        <v>0</v>
      </c>
      <c r="Q89" s="332">
        <f>SUMIFS('2020'!$I:$I,'2020'!$E:$E,Category!$B$74,'2020'!$N:$N,Category!Q$1,'2020'!$D:$D,Category!$C89)</f>
        <v>0</v>
      </c>
      <c r="R89" s="332">
        <f>SUMIFS('2020'!$I:$I,'2020'!$E:$E,Category!$B$74,'2020'!$N:$N,Category!R$1,'2020'!$D:$D,Category!$C89)</f>
        <v>0</v>
      </c>
      <c r="S89" s="332">
        <f>SUMIFS('2020'!$I:$I,'2020'!$E:$E,Category!$B$74,'2020'!$N:$N,Category!S$1,'2020'!$D:$D,Category!$C89)</f>
        <v>0</v>
      </c>
      <c r="T89" s="332">
        <f>SUMIFS('2020'!$I:$I,'2020'!$E:$E,Category!$B$74,'2020'!$N:$N,Category!T$1,'2020'!$D:$D,Category!$C89)</f>
        <v>0</v>
      </c>
      <c r="U89" s="332">
        <f>SUMIFS('2020'!$I:$I,'2020'!$E:$E,Category!$B$74,'2020'!$N:$N,Category!U$1,'2020'!$D:$D,Category!$C89)</f>
        <v>0</v>
      </c>
      <c r="V89" s="332">
        <f>SUMIFS('2020'!$I:$I,'2020'!$E:$E,Category!$B$74,'2020'!$N:$N,Category!V$1,'2020'!$D:$D,Category!$C89)</f>
        <v>0</v>
      </c>
      <c r="W89" s="332">
        <f>SUMIFS('2020'!$I:$I,'2020'!$E:$E,Category!$B$74,'2020'!$N:$N,Category!W$1,'2020'!$D:$D,Category!$C89)</f>
        <v>0</v>
      </c>
      <c r="X89" s="333">
        <f t="shared" si="30"/>
        <v>0</v>
      </c>
      <c r="Y89" s="501">
        <f>IFERROR(VLOOKUP(C89,'2021'!$D:$G,4,0),0)</f>
        <v>0</v>
      </c>
      <c r="Z89" s="332">
        <f>SUMIFS('2021'!$I:$I,'2021'!$E:$E,Category!$B$74,'2021'!$N:$N,Category!Z$1,'2021'!$D:$D,Category!$C89)</f>
        <v>0</v>
      </c>
      <c r="AA89" s="332">
        <f>SUMIFS('2021'!$I:$I,'2021'!$E:$E,Category!$B$74,'2021'!$N:$N,Category!AA$1,'2021'!$D:$D,Category!$C89)</f>
        <v>0</v>
      </c>
      <c r="AB89" s="332">
        <f>SUMIFS('2021'!$I:$I,'2021'!$E:$E,Category!$B$74,'2021'!$N:$N,Category!AB$1,'2021'!$D:$D,Category!$C89)</f>
        <v>0</v>
      </c>
      <c r="AC89" s="332">
        <f>SUMIFS('2021'!$I:$I,'2021'!$E:$E,Category!$B$74,'2021'!$N:$N,Category!AC$1,'2021'!$D:$D,Category!$C89)</f>
        <v>0</v>
      </c>
      <c r="AD89" s="332">
        <f>SUMIFS('2021'!$I:$I,'2021'!$E:$E,Category!$B$74,'2021'!$N:$N,Category!AD$1,'2021'!$D:$D,Category!$C89)</f>
        <v>0</v>
      </c>
      <c r="AE89" s="332">
        <f>SUMIFS('2021'!$I:$I,'2021'!$E:$E,Category!$B$74,'2021'!$N:$N,Category!AE$1,'2021'!$D:$D,Category!$C89)</f>
        <v>0</v>
      </c>
      <c r="AF89" s="332">
        <f>SUMIFS('2021'!$I:$I,'2021'!$E:$E,Category!$B$74,'2021'!$N:$N,Category!AF$1,'2021'!$D:$D,Category!$C89)</f>
        <v>0</v>
      </c>
      <c r="AG89" s="332">
        <f>SUMIFS('2021'!$I:$I,'2021'!$E:$E,Category!$B$74,'2021'!$N:$N,Category!AG$1,'2021'!$D:$D,Category!$C89)</f>
        <v>0</v>
      </c>
      <c r="AH89" s="332">
        <f>SUMIFS('2021'!$I:$I,'2021'!$E:$E,Category!$B$74,'2021'!$N:$N,Category!AH$1,'2021'!$D:$D,Category!$C89)</f>
        <v>0</v>
      </c>
      <c r="AI89" s="332">
        <f>SUMIFS('2021'!$I:$I,'2021'!$E:$E,Category!$B$74,'2021'!$N:$N,Category!AI$1,'2021'!$D:$D,Category!$C89)</f>
        <v>0</v>
      </c>
      <c r="AJ89" s="332">
        <f>SUMIFS('2021'!$I:$I,'2021'!$E:$E,Category!$B$74,'2021'!$N:$N,Category!AJ$1,'2021'!$D:$D,Category!$C89)</f>
        <v>0</v>
      </c>
      <c r="AK89" s="332">
        <f>SUMIFS('2021'!$I:$I,'2021'!$E:$E,Category!$B$74,'2021'!$N:$N,Category!AK$1,'2021'!$D:$D,Category!$C89)</f>
        <v>0</v>
      </c>
      <c r="AL89" s="333">
        <f t="shared" si="33"/>
        <v>0</v>
      </c>
      <c r="AM89" s="501">
        <f>IFERROR(VLOOKUP(C89,'2022'!$D:$G,4,0),0)</f>
        <v>1</v>
      </c>
      <c r="AN89" s="332">
        <f>SUMIFS('2022'!$I:$I,'2022'!$E:$E,Category!$B$74,'2022'!$N:$N,Category!AN$1,'2022'!$D:$D,Category!$C89)</f>
        <v>0</v>
      </c>
      <c r="AO89" s="332">
        <f>SUMIFS('2022'!$I:$I,'2022'!$E:$E,Category!$B$74,'2022'!$N:$N,Category!AO$1,'2022'!$D:$D,Category!$C89)</f>
        <v>0</v>
      </c>
      <c r="AP89" s="332">
        <f>SUMIFS('2022'!$I:$I,'2022'!$E:$E,Category!$B$74,'2022'!$N:$N,Category!AP$1,'2022'!$D:$D,Category!$C89)</f>
        <v>0</v>
      </c>
      <c r="AQ89" s="332">
        <f>SUMIFS('2022'!$I:$I,'2022'!$E:$E,Category!$B$74,'2022'!$N:$N,Category!AQ$1,'2022'!$D:$D,Category!$C89)</f>
        <v>0</v>
      </c>
      <c r="AR89" s="332">
        <f>SUMIFS('2022'!$I:$I,'2022'!$E:$E,Category!$B$74,'2022'!$N:$N,Category!AR$1,'2022'!$D:$D,Category!$C89)</f>
        <v>0</v>
      </c>
      <c r="AS89" s="332">
        <f>SUMIFS('2022'!$I:$I,'2022'!$E:$E,Category!$B$74,'2022'!$N:$N,Category!AS$1,'2022'!$D:$D,Category!$C89)</f>
        <v>0</v>
      </c>
      <c r="AT89" s="332">
        <f>SUMIFS('2022'!$I:$I,'2022'!$E:$E,Category!$B$74,'2022'!$N:$N,Category!AT$1,'2022'!$D:$D,Category!$C89)</f>
        <v>0</v>
      </c>
      <c r="AU89" s="332">
        <f>SUMIFS('2022'!$I:$I,'2022'!$E:$E,Category!$B$74,'2022'!$N:$N,Category!AU$1,'2022'!$D:$D,Category!$C89)</f>
        <v>25000000</v>
      </c>
      <c r="AV89" s="332">
        <f>SUMIFS('2022'!$I:$I,'2022'!$E:$E,Category!$B$74,'2022'!$N:$N,Category!AV$1,'2022'!$D:$D,Category!$C89)</f>
        <v>0</v>
      </c>
      <c r="AW89" s="332">
        <f>SUMIFS('2022'!$I:$I,'2022'!$E:$E,Category!$B$74,'2022'!$N:$N,Category!AW$1,'2022'!$D:$D,Category!$C89)</f>
        <v>0</v>
      </c>
      <c r="AX89" s="332">
        <f>SUMIFS('2022'!$I:$I,'2022'!$E:$E,Category!$B$74,'2022'!$N:$N,Category!AX$1,'2022'!$D:$D,Category!$C89)</f>
        <v>0</v>
      </c>
      <c r="AY89" s="332">
        <f>SUMIFS('2022'!$I:$I,'2022'!$E:$E,Category!$B$74,'2022'!$N:$N,Category!AY$1,'2022'!$D:$D,Category!$C89)</f>
        <v>0</v>
      </c>
      <c r="AZ89" s="333">
        <f t="shared" si="31"/>
        <v>25000000</v>
      </c>
      <c r="BA89" s="1036">
        <f>IFERROR(VLOOKUP(C89,'2023'!$D:$G,4,0),0)</f>
        <v>0</v>
      </c>
      <c r="BB89" s="332">
        <f>SUMIFS('2023'!$I:$I,'2023'!$E:$E,Category!$B$74,'2023'!$N:$N,Category!BB$1,'2023'!$D:$D,Category!$C89)</f>
        <v>0</v>
      </c>
      <c r="BC89" s="332">
        <f>SUMIFS('2023'!$I:$I,'2023'!$E:$E,Category!$B$74,'2023'!$N:$N,Category!BC$1,'2023'!$D:$D,Category!$C89)</f>
        <v>0</v>
      </c>
      <c r="BD89" s="332">
        <f>SUMIFS('2023'!$I:$I,'2023'!$E:$E,Category!$B$74,'2023'!$N:$N,Category!BD$1,'2023'!$D:$D,Category!$C89)</f>
        <v>0</v>
      </c>
      <c r="BE89" s="332">
        <f>SUMIFS('2023'!$I:$I,'2023'!$E:$E,Category!$B$74,'2023'!$N:$N,Category!BE$1,'2023'!$D:$D,Category!$C89)</f>
        <v>0</v>
      </c>
      <c r="BF89" s="332">
        <f>SUMIFS('2023'!$I:$I,'2023'!$E:$E,Category!$B$74,'2023'!$N:$N,Category!BF$1,'2023'!$D:$D,Category!$C89)</f>
        <v>0</v>
      </c>
      <c r="BG89" s="332">
        <f>SUMIFS('2023'!$I:$I,'2023'!$E:$E,Category!$B$74,'2023'!$N:$N,Category!BG$1,'2023'!$D:$D,Category!$C89)</f>
        <v>0</v>
      </c>
      <c r="BH89" s="332">
        <f>SUMIFS('2023'!$I:$I,'2023'!$E:$E,Category!$B$74,'2023'!$N:$N,Category!BH$1,'2023'!$D:$D,Category!$C89)</f>
        <v>0</v>
      </c>
      <c r="BI89" s="332">
        <f>SUMIFS('2023'!$I:$I,'2023'!$E:$E,Category!$B$74,'2023'!$N:$N,Category!BI$1,'2023'!$D:$D,Category!$C89)</f>
        <v>0</v>
      </c>
      <c r="BJ89" s="332">
        <f>SUMIFS('2023'!$I:$I,'2023'!$E:$E,Category!$B$74,'2023'!$N:$N,Category!BJ$1,'2023'!$D:$D,Category!$C89)</f>
        <v>0</v>
      </c>
      <c r="BK89" s="332">
        <f>SUMIFS('2023'!$I:$I,'2023'!$E:$E,Category!$B$74,'2023'!$N:$N,Category!BK$1,'2023'!$D:$D,Category!$C89)</f>
        <v>0</v>
      </c>
      <c r="BL89" s="332">
        <f>SUMIFS('2023'!$I:$I,'2023'!$E:$E,Category!$B$74,'2023'!$N:$N,Category!BL$1,'2023'!$D:$D,Category!$C89)</f>
        <v>0</v>
      </c>
      <c r="BM89" s="332">
        <f>SUMIFS('2023'!$I:$I,'2023'!$E:$E,Category!$B$74,'2023'!$N:$N,Category!BM$1,'2023'!$D:$D,Category!$C89)</f>
        <v>0</v>
      </c>
      <c r="BN89" s="333">
        <f t="shared" si="32"/>
        <v>0</v>
      </c>
    </row>
    <row r="90" spans="1:66" ht="59.25" x14ac:dyDescent="0.3">
      <c r="A90" s="330"/>
      <c r="B90" s="331"/>
      <c r="C90" s="331" t="s">
        <v>1302</v>
      </c>
      <c r="D90" s="519">
        <f>IFERROR(VLOOKUP($C90,'2019'!$D:$G,4,0),0)</f>
        <v>0</v>
      </c>
      <c r="E90" s="332">
        <f>SUMIFS('2019'!$I:$I,'2019'!$E:$E,Category!$B$74,'2019'!$N:$N,Category!E$1,'2019'!$D:$D,Category!$C90)</f>
        <v>0</v>
      </c>
      <c r="F90" s="332">
        <f>SUMIFS('2019'!$I:$I,'2019'!$E:$E,Category!$B$74,'2019'!$N:$N,Category!F$1,'2019'!$D:$D,Category!$C90)</f>
        <v>0</v>
      </c>
      <c r="G90" s="332">
        <f>SUMIFS('2019'!$I:$I,'2019'!$E:$E,Category!$B$74,'2019'!$N:$N,Category!G$1,'2019'!$D:$D,Category!$C90)</f>
        <v>0</v>
      </c>
      <c r="H90" s="332">
        <f>SUMIFS('2019'!$I:$I,'2019'!$E:$E,Category!$B$74,'2019'!$N:$N,Category!H$1,'2019'!$D:$D,Category!$C90)</f>
        <v>0</v>
      </c>
      <c r="I90" s="332">
        <f>SUMIFS('2019'!$I:$I,'2019'!$E:$E,Category!$B$74,'2019'!$N:$N,Category!I$1,'2019'!$D:$D,Category!$C90)</f>
        <v>0</v>
      </c>
      <c r="J90" s="333">
        <f t="shared" si="29"/>
        <v>0</v>
      </c>
      <c r="K90" s="501">
        <f>IFERROR(VLOOKUP($C90,'2020'!$D:$G,4,0),0)</f>
        <v>0</v>
      </c>
      <c r="L90" s="332">
        <f>SUMIFS('2020'!$I:$I,'2020'!$E:$E,Category!$B$74,'2020'!$N:$N,Category!L$1,'2020'!$D:$D,Category!$C90)</f>
        <v>0</v>
      </c>
      <c r="M90" s="332">
        <f>SUMIFS('2020'!$I:$I,'2020'!$E:$E,Category!$B$74,'2020'!$N:$N,Category!M$1,'2020'!$D:$D,Category!$C90)</f>
        <v>0</v>
      </c>
      <c r="N90" s="332">
        <f>SUMIFS('2020'!$I:$I,'2020'!$E:$E,Category!$B$74,'2020'!$N:$N,Category!N$1,'2020'!$D:$D,Category!$C90)</f>
        <v>0</v>
      </c>
      <c r="O90" s="332">
        <f>SUMIFS('2020'!$I:$I,'2020'!$E:$E,Category!$B$74,'2020'!$N:$N,Category!O$1,'2020'!$D:$D,Category!$C90)</f>
        <v>0</v>
      </c>
      <c r="P90" s="332">
        <f>SUMIFS('2020'!$I:$I,'2020'!$E:$E,Category!$B$74,'2020'!$N:$N,Category!P$1,'2020'!$D:$D,Category!$C90)</f>
        <v>0</v>
      </c>
      <c r="Q90" s="332">
        <f>SUMIFS('2020'!$I:$I,'2020'!$E:$E,Category!$B$74,'2020'!$N:$N,Category!Q$1,'2020'!$D:$D,Category!$C90)</f>
        <v>0</v>
      </c>
      <c r="R90" s="332">
        <f>SUMIFS('2020'!$I:$I,'2020'!$E:$E,Category!$B$74,'2020'!$N:$N,Category!R$1,'2020'!$D:$D,Category!$C90)</f>
        <v>0</v>
      </c>
      <c r="S90" s="332">
        <f>SUMIFS('2020'!$I:$I,'2020'!$E:$E,Category!$B$74,'2020'!$N:$N,Category!S$1,'2020'!$D:$D,Category!$C90)</f>
        <v>0</v>
      </c>
      <c r="T90" s="332">
        <f>SUMIFS('2020'!$I:$I,'2020'!$E:$E,Category!$B$74,'2020'!$N:$N,Category!T$1,'2020'!$D:$D,Category!$C90)</f>
        <v>0</v>
      </c>
      <c r="U90" s="332">
        <f>SUMIFS('2020'!$I:$I,'2020'!$E:$E,Category!$B$74,'2020'!$N:$N,Category!U$1,'2020'!$D:$D,Category!$C90)</f>
        <v>0</v>
      </c>
      <c r="V90" s="332">
        <f>SUMIFS('2020'!$I:$I,'2020'!$E:$E,Category!$B$74,'2020'!$N:$N,Category!V$1,'2020'!$D:$D,Category!$C90)</f>
        <v>0</v>
      </c>
      <c r="W90" s="332">
        <f>SUMIFS('2020'!$I:$I,'2020'!$E:$E,Category!$B$74,'2020'!$N:$N,Category!W$1,'2020'!$D:$D,Category!$C90)</f>
        <v>0</v>
      </c>
      <c r="X90" s="333">
        <f t="shared" si="30"/>
        <v>0</v>
      </c>
      <c r="Y90" s="501">
        <f>IFERROR(VLOOKUP(C90,'2021'!$D:$G,4,0),0)</f>
        <v>0</v>
      </c>
      <c r="Z90" s="332">
        <f>SUMIFS('2021'!$I:$I,'2021'!$E:$E,Category!$B$74,'2021'!$N:$N,Category!Z$1,'2021'!$D:$D,Category!$C90)</f>
        <v>0</v>
      </c>
      <c r="AA90" s="332">
        <f>SUMIFS('2021'!$I:$I,'2021'!$E:$E,Category!$B$74,'2021'!$N:$N,Category!AA$1,'2021'!$D:$D,Category!$C90)</f>
        <v>0</v>
      </c>
      <c r="AB90" s="332">
        <f>SUMIFS('2021'!$I:$I,'2021'!$E:$E,Category!$B$74,'2021'!$N:$N,Category!AB$1,'2021'!$D:$D,Category!$C90)</f>
        <v>0</v>
      </c>
      <c r="AC90" s="332">
        <f>SUMIFS('2021'!$I:$I,'2021'!$E:$E,Category!$B$74,'2021'!$N:$N,Category!AC$1,'2021'!$D:$D,Category!$C90)</f>
        <v>0</v>
      </c>
      <c r="AD90" s="332">
        <f>SUMIFS('2021'!$I:$I,'2021'!$E:$E,Category!$B$74,'2021'!$N:$N,Category!AD$1,'2021'!$D:$D,Category!$C90)</f>
        <v>0</v>
      </c>
      <c r="AE90" s="332">
        <f>SUMIFS('2021'!$I:$I,'2021'!$E:$E,Category!$B$74,'2021'!$N:$N,Category!AE$1,'2021'!$D:$D,Category!$C90)</f>
        <v>0</v>
      </c>
      <c r="AF90" s="332">
        <f>SUMIFS('2021'!$I:$I,'2021'!$E:$E,Category!$B$74,'2021'!$N:$N,Category!AF$1,'2021'!$D:$D,Category!$C90)</f>
        <v>0</v>
      </c>
      <c r="AG90" s="332">
        <f>SUMIFS('2021'!$I:$I,'2021'!$E:$E,Category!$B$74,'2021'!$N:$N,Category!AG$1,'2021'!$D:$D,Category!$C90)</f>
        <v>0</v>
      </c>
      <c r="AH90" s="332">
        <f>SUMIFS('2021'!$I:$I,'2021'!$E:$E,Category!$B$74,'2021'!$N:$N,Category!AH$1,'2021'!$D:$D,Category!$C90)</f>
        <v>0</v>
      </c>
      <c r="AI90" s="332">
        <f>SUMIFS('2021'!$I:$I,'2021'!$E:$E,Category!$B$74,'2021'!$N:$N,Category!AI$1,'2021'!$D:$D,Category!$C90)</f>
        <v>0</v>
      </c>
      <c r="AJ90" s="332">
        <f>SUMIFS('2021'!$I:$I,'2021'!$E:$E,Category!$B$74,'2021'!$N:$N,Category!AJ$1,'2021'!$D:$D,Category!$C90)</f>
        <v>0</v>
      </c>
      <c r="AK90" s="332">
        <f>SUMIFS('2021'!$I:$I,'2021'!$E:$E,Category!$B$74,'2021'!$N:$N,Category!AK$1,'2021'!$D:$D,Category!$C90)</f>
        <v>0</v>
      </c>
      <c r="AL90" s="333">
        <f t="shared" si="33"/>
        <v>0</v>
      </c>
      <c r="AM90" s="501">
        <f>IFERROR(VLOOKUP(C90,'2022'!$D:$G,4,0),0)</f>
        <v>1</v>
      </c>
      <c r="AN90" s="332">
        <f>SUMIFS('2022'!$I:$I,'2022'!$E:$E,Category!$B$74,'2022'!$N:$N,Category!AN$1,'2022'!$D:$D,Category!$C90)</f>
        <v>0</v>
      </c>
      <c r="AO90" s="332">
        <f>SUMIFS('2022'!$I:$I,'2022'!$E:$E,Category!$B$74,'2022'!$N:$N,Category!AO$1,'2022'!$D:$D,Category!$C90)</f>
        <v>0</v>
      </c>
      <c r="AP90" s="332">
        <f>SUMIFS('2022'!$I:$I,'2022'!$E:$E,Category!$B$74,'2022'!$N:$N,Category!AP$1,'2022'!$D:$D,Category!$C90)</f>
        <v>0</v>
      </c>
      <c r="AQ90" s="332">
        <f>SUMIFS('2022'!$I:$I,'2022'!$E:$E,Category!$B$74,'2022'!$N:$N,Category!AQ$1,'2022'!$D:$D,Category!$C90)</f>
        <v>0</v>
      </c>
      <c r="AR90" s="332">
        <f>SUMIFS('2022'!$I:$I,'2022'!$E:$E,Category!$B$74,'2022'!$N:$N,Category!AR$1,'2022'!$D:$D,Category!$C90)</f>
        <v>0</v>
      </c>
      <c r="AS90" s="332">
        <f>SUMIFS('2022'!$I:$I,'2022'!$E:$E,Category!$B$74,'2022'!$N:$N,Category!AS$1,'2022'!$D:$D,Category!$C90)</f>
        <v>0</v>
      </c>
      <c r="AT90" s="332">
        <f>SUMIFS('2022'!$I:$I,'2022'!$E:$E,Category!$B$74,'2022'!$N:$N,Category!AT$1,'2022'!$D:$D,Category!$C90)</f>
        <v>0</v>
      </c>
      <c r="AU90" s="332">
        <f>SUMIFS('2022'!$I:$I,'2022'!$E:$E,Category!$B$74,'2022'!$N:$N,Category!AU$1,'2022'!$D:$D,Category!$C90)</f>
        <v>50000000</v>
      </c>
      <c r="AV90" s="332">
        <f>SUMIFS('2022'!$I:$I,'2022'!$E:$E,Category!$B$74,'2022'!$N:$N,Category!AV$1,'2022'!$D:$D,Category!$C90)</f>
        <v>0</v>
      </c>
      <c r="AW90" s="332">
        <f>SUMIFS('2022'!$I:$I,'2022'!$E:$E,Category!$B$74,'2022'!$N:$N,Category!AW$1,'2022'!$D:$D,Category!$C90)</f>
        <v>0</v>
      </c>
      <c r="AX90" s="332">
        <f>SUMIFS('2022'!$I:$I,'2022'!$E:$E,Category!$B$74,'2022'!$N:$N,Category!AX$1,'2022'!$D:$D,Category!$C90)</f>
        <v>0</v>
      </c>
      <c r="AY90" s="332">
        <f>SUMIFS('2022'!$I:$I,'2022'!$E:$E,Category!$B$74,'2022'!$N:$N,Category!AY$1,'2022'!$D:$D,Category!$C90)</f>
        <v>0</v>
      </c>
      <c r="AZ90" s="333">
        <f t="shared" si="31"/>
        <v>50000000</v>
      </c>
      <c r="BA90" s="1036">
        <f>IFERROR(VLOOKUP(C90,'2023'!$D:$G,4,0),0)</f>
        <v>0</v>
      </c>
      <c r="BB90" s="332">
        <f>SUMIFS('2023'!$I:$I,'2023'!$E:$E,Category!$B$74,'2023'!$N:$N,Category!BB$1,'2023'!$D:$D,Category!$C90)</f>
        <v>0</v>
      </c>
      <c r="BC90" s="332">
        <f>SUMIFS('2023'!$I:$I,'2023'!$E:$E,Category!$B$74,'2023'!$N:$N,Category!BC$1,'2023'!$D:$D,Category!$C90)</f>
        <v>0</v>
      </c>
      <c r="BD90" s="332">
        <f>SUMIFS('2023'!$I:$I,'2023'!$E:$E,Category!$B$74,'2023'!$N:$N,Category!BD$1,'2023'!$D:$D,Category!$C90)</f>
        <v>0</v>
      </c>
      <c r="BE90" s="332">
        <f>SUMIFS('2023'!$I:$I,'2023'!$E:$E,Category!$B$74,'2023'!$N:$N,Category!BE$1,'2023'!$D:$D,Category!$C90)</f>
        <v>0</v>
      </c>
      <c r="BF90" s="332">
        <f>SUMIFS('2023'!$I:$I,'2023'!$E:$E,Category!$B$74,'2023'!$N:$N,Category!BF$1,'2023'!$D:$D,Category!$C90)</f>
        <v>0</v>
      </c>
      <c r="BG90" s="332">
        <f>SUMIFS('2023'!$I:$I,'2023'!$E:$E,Category!$B$74,'2023'!$N:$N,Category!BG$1,'2023'!$D:$D,Category!$C90)</f>
        <v>0</v>
      </c>
      <c r="BH90" s="332">
        <f>SUMIFS('2023'!$I:$I,'2023'!$E:$E,Category!$B$74,'2023'!$N:$N,Category!BH$1,'2023'!$D:$D,Category!$C90)</f>
        <v>0</v>
      </c>
      <c r="BI90" s="332">
        <f>SUMIFS('2023'!$I:$I,'2023'!$E:$E,Category!$B$74,'2023'!$N:$N,Category!BI$1,'2023'!$D:$D,Category!$C90)</f>
        <v>0</v>
      </c>
      <c r="BJ90" s="332">
        <f>SUMIFS('2023'!$I:$I,'2023'!$E:$E,Category!$B$74,'2023'!$N:$N,Category!BJ$1,'2023'!$D:$D,Category!$C90)</f>
        <v>0</v>
      </c>
      <c r="BK90" s="332">
        <f>SUMIFS('2023'!$I:$I,'2023'!$E:$E,Category!$B$74,'2023'!$N:$N,Category!BK$1,'2023'!$D:$D,Category!$C90)</f>
        <v>0</v>
      </c>
      <c r="BL90" s="332">
        <f>SUMIFS('2023'!$I:$I,'2023'!$E:$E,Category!$B$74,'2023'!$N:$N,Category!BL$1,'2023'!$D:$D,Category!$C90)</f>
        <v>0</v>
      </c>
      <c r="BM90" s="332">
        <f>SUMIFS('2023'!$I:$I,'2023'!$E:$E,Category!$B$74,'2023'!$N:$N,Category!BM$1,'2023'!$D:$D,Category!$C90)</f>
        <v>0</v>
      </c>
      <c r="BN90" s="333">
        <f t="shared" si="32"/>
        <v>0</v>
      </c>
    </row>
    <row r="91" spans="1:66" x14ac:dyDescent="0.3">
      <c r="A91" s="330"/>
      <c r="B91" s="331"/>
      <c r="C91" s="331" t="s">
        <v>1303</v>
      </c>
      <c r="D91" s="519">
        <f>IFERROR(VLOOKUP($C91,'2019'!$D:$G,4,0),0)</f>
        <v>0</v>
      </c>
      <c r="E91" s="332">
        <f>SUMIFS('2019'!$I:$I,'2019'!$E:$E,Category!$B$74,'2019'!$N:$N,Category!E$1,'2019'!$D:$D,Category!$C91)</f>
        <v>0</v>
      </c>
      <c r="F91" s="332">
        <f>SUMIFS('2019'!$I:$I,'2019'!$E:$E,Category!$B$74,'2019'!$N:$N,Category!F$1,'2019'!$D:$D,Category!$C91)</f>
        <v>0</v>
      </c>
      <c r="G91" s="332">
        <f>SUMIFS('2019'!$I:$I,'2019'!$E:$E,Category!$B$74,'2019'!$N:$N,Category!G$1,'2019'!$D:$D,Category!$C91)</f>
        <v>0</v>
      </c>
      <c r="H91" s="332">
        <f>SUMIFS('2019'!$I:$I,'2019'!$E:$E,Category!$B$74,'2019'!$N:$N,Category!H$1,'2019'!$D:$D,Category!$C91)</f>
        <v>0</v>
      </c>
      <c r="I91" s="332">
        <f>SUMIFS('2019'!$I:$I,'2019'!$E:$E,Category!$B$74,'2019'!$N:$N,Category!I$1,'2019'!$D:$D,Category!$C91)</f>
        <v>0</v>
      </c>
      <c r="J91" s="333">
        <f t="shared" si="29"/>
        <v>0</v>
      </c>
      <c r="K91" s="501">
        <f>IFERROR(VLOOKUP($C91,'2020'!$D:$G,4,0),0)</f>
        <v>0</v>
      </c>
      <c r="L91" s="332">
        <f>SUMIFS('2020'!$I:$I,'2020'!$E:$E,Category!$B$74,'2020'!$N:$N,Category!L$1,'2020'!$D:$D,Category!$C91)</f>
        <v>0</v>
      </c>
      <c r="M91" s="332">
        <f>SUMIFS('2020'!$I:$I,'2020'!$E:$E,Category!$B$74,'2020'!$N:$N,Category!M$1,'2020'!$D:$D,Category!$C91)</f>
        <v>0</v>
      </c>
      <c r="N91" s="332">
        <f>SUMIFS('2020'!$I:$I,'2020'!$E:$E,Category!$B$74,'2020'!$N:$N,Category!N$1,'2020'!$D:$D,Category!$C91)</f>
        <v>0</v>
      </c>
      <c r="O91" s="332">
        <f>SUMIFS('2020'!$I:$I,'2020'!$E:$E,Category!$B$74,'2020'!$N:$N,Category!O$1,'2020'!$D:$D,Category!$C91)</f>
        <v>0</v>
      </c>
      <c r="P91" s="332">
        <f>SUMIFS('2020'!$I:$I,'2020'!$E:$E,Category!$B$74,'2020'!$N:$N,Category!P$1,'2020'!$D:$D,Category!$C91)</f>
        <v>0</v>
      </c>
      <c r="Q91" s="332">
        <f>SUMIFS('2020'!$I:$I,'2020'!$E:$E,Category!$B$74,'2020'!$N:$N,Category!Q$1,'2020'!$D:$D,Category!$C91)</f>
        <v>0</v>
      </c>
      <c r="R91" s="332">
        <f>SUMIFS('2020'!$I:$I,'2020'!$E:$E,Category!$B$74,'2020'!$N:$N,Category!R$1,'2020'!$D:$D,Category!$C91)</f>
        <v>0</v>
      </c>
      <c r="S91" s="332">
        <f>SUMIFS('2020'!$I:$I,'2020'!$E:$E,Category!$B$74,'2020'!$N:$N,Category!S$1,'2020'!$D:$D,Category!$C91)</f>
        <v>0</v>
      </c>
      <c r="T91" s="332">
        <f>SUMIFS('2020'!$I:$I,'2020'!$E:$E,Category!$B$74,'2020'!$N:$N,Category!T$1,'2020'!$D:$D,Category!$C91)</f>
        <v>0</v>
      </c>
      <c r="U91" s="332">
        <f>SUMIFS('2020'!$I:$I,'2020'!$E:$E,Category!$B$74,'2020'!$N:$N,Category!U$1,'2020'!$D:$D,Category!$C91)</f>
        <v>0</v>
      </c>
      <c r="V91" s="332">
        <f>SUMIFS('2020'!$I:$I,'2020'!$E:$E,Category!$B$74,'2020'!$N:$N,Category!V$1,'2020'!$D:$D,Category!$C91)</f>
        <v>0</v>
      </c>
      <c r="W91" s="332">
        <f>SUMIFS('2020'!$I:$I,'2020'!$E:$E,Category!$B$74,'2020'!$N:$N,Category!W$1,'2020'!$D:$D,Category!$C91)</f>
        <v>0</v>
      </c>
      <c r="X91" s="333">
        <f t="shared" si="30"/>
        <v>0</v>
      </c>
      <c r="Y91" s="501">
        <f>IFERROR(VLOOKUP(C91,'2021'!$D:$G,4,0),0)</f>
        <v>0</v>
      </c>
      <c r="Z91" s="332">
        <f>SUMIFS('2021'!$I:$I,'2021'!$E:$E,Category!$B$74,'2021'!$N:$N,Category!Z$1,'2021'!$D:$D,Category!$C91)</f>
        <v>0</v>
      </c>
      <c r="AA91" s="332">
        <f>SUMIFS('2021'!$I:$I,'2021'!$E:$E,Category!$B$74,'2021'!$N:$N,Category!AA$1,'2021'!$D:$D,Category!$C91)</f>
        <v>0</v>
      </c>
      <c r="AB91" s="332">
        <f>SUMIFS('2021'!$I:$I,'2021'!$E:$E,Category!$B$74,'2021'!$N:$N,Category!AB$1,'2021'!$D:$D,Category!$C91)</f>
        <v>0</v>
      </c>
      <c r="AC91" s="332">
        <f>SUMIFS('2021'!$I:$I,'2021'!$E:$E,Category!$B$74,'2021'!$N:$N,Category!AC$1,'2021'!$D:$D,Category!$C91)</f>
        <v>0</v>
      </c>
      <c r="AD91" s="332">
        <f>SUMIFS('2021'!$I:$I,'2021'!$E:$E,Category!$B$74,'2021'!$N:$N,Category!AD$1,'2021'!$D:$D,Category!$C91)</f>
        <v>0</v>
      </c>
      <c r="AE91" s="332">
        <f>SUMIFS('2021'!$I:$I,'2021'!$E:$E,Category!$B$74,'2021'!$N:$N,Category!AE$1,'2021'!$D:$D,Category!$C91)</f>
        <v>0</v>
      </c>
      <c r="AF91" s="332">
        <f>SUMIFS('2021'!$I:$I,'2021'!$E:$E,Category!$B$74,'2021'!$N:$N,Category!AF$1,'2021'!$D:$D,Category!$C91)</f>
        <v>0</v>
      </c>
      <c r="AG91" s="332">
        <f>SUMIFS('2021'!$I:$I,'2021'!$E:$E,Category!$B$74,'2021'!$N:$N,Category!AG$1,'2021'!$D:$D,Category!$C91)</f>
        <v>0</v>
      </c>
      <c r="AH91" s="332">
        <f>SUMIFS('2021'!$I:$I,'2021'!$E:$E,Category!$B$74,'2021'!$N:$N,Category!AH$1,'2021'!$D:$D,Category!$C91)</f>
        <v>0</v>
      </c>
      <c r="AI91" s="332">
        <f>SUMIFS('2021'!$I:$I,'2021'!$E:$E,Category!$B$74,'2021'!$N:$N,Category!AI$1,'2021'!$D:$D,Category!$C91)</f>
        <v>0</v>
      </c>
      <c r="AJ91" s="332">
        <f>SUMIFS('2021'!$I:$I,'2021'!$E:$E,Category!$B$74,'2021'!$N:$N,Category!AJ$1,'2021'!$D:$D,Category!$C91)</f>
        <v>0</v>
      </c>
      <c r="AK91" s="332">
        <f>SUMIFS('2021'!$I:$I,'2021'!$E:$E,Category!$B$74,'2021'!$N:$N,Category!AK$1,'2021'!$D:$D,Category!$C91)</f>
        <v>0</v>
      </c>
      <c r="AL91" s="333">
        <f t="shared" si="33"/>
        <v>0</v>
      </c>
      <c r="AM91" s="501">
        <f>IFERROR(VLOOKUP(C91,'2022'!$D:$G,4,0),0)</f>
        <v>1</v>
      </c>
      <c r="AN91" s="332">
        <f>SUMIFS('2022'!$I:$I,'2022'!$E:$E,Category!$B$74,'2022'!$N:$N,Category!AN$1,'2022'!$D:$D,Category!$C91)</f>
        <v>0</v>
      </c>
      <c r="AO91" s="332">
        <f>SUMIFS('2022'!$I:$I,'2022'!$E:$E,Category!$B$74,'2022'!$N:$N,Category!AO$1,'2022'!$D:$D,Category!$C91)</f>
        <v>0</v>
      </c>
      <c r="AP91" s="332">
        <f>SUMIFS('2022'!$I:$I,'2022'!$E:$E,Category!$B$74,'2022'!$N:$N,Category!AP$1,'2022'!$D:$D,Category!$C91)</f>
        <v>0</v>
      </c>
      <c r="AQ91" s="332">
        <f>SUMIFS('2022'!$I:$I,'2022'!$E:$E,Category!$B$74,'2022'!$N:$N,Category!AQ$1,'2022'!$D:$D,Category!$C91)</f>
        <v>0</v>
      </c>
      <c r="AR91" s="332">
        <f>SUMIFS('2022'!$I:$I,'2022'!$E:$E,Category!$B$74,'2022'!$N:$N,Category!AR$1,'2022'!$D:$D,Category!$C91)</f>
        <v>0</v>
      </c>
      <c r="AS91" s="332">
        <f>SUMIFS('2022'!$I:$I,'2022'!$E:$E,Category!$B$74,'2022'!$N:$N,Category!AS$1,'2022'!$D:$D,Category!$C91)</f>
        <v>0</v>
      </c>
      <c r="AT91" s="332">
        <f>SUMIFS('2022'!$I:$I,'2022'!$E:$E,Category!$B$74,'2022'!$N:$N,Category!AT$1,'2022'!$D:$D,Category!$C91)</f>
        <v>0</v>
      </c>
      <c r="AU91" s="332">
        <f>SUMIFS('2022'!$I:$I,'2022'!$E:$E,Category!$B$74,'2022'!$N:$N,Category!AU$1,'2022'!$D:$D,Category!$C91)</f>
        <v>25000000</v>
      </c>
      <c r="AV91" s="332">
        <f>SUMIFS('2022'!$I:$I,'2022'!$E:$E,Category!$B$74,'2022'!$N:$N,Category!AV$1,'2022'!$D:$D,Category!$C91)</f>
        <v>0</v>
      </c>
      <c r="AW91" s="332">
        <f>SUMIFS('2022'!$I:$I,'2022'!$E:$E,Category!$B$74,'2022'!$N:$N,Category!AW$1,'2022'!$D:$D,Category!$C91)</f>
        <v>0</v>
      </c>
      <c r="AX91" s="332">
        <f>SUMIFS('2022'!$I:$I,'2022'!$E:$E,Category!$B$74,'2022'!$N:$N,Category!AX$1,'2022'!$D:$D,Category!$C91)</f>
        <v>0</v>
      </c>
      <c r="AY91" s="332">
        <f>SUMIFS('2022'!$I:$I,'2022'!$E:$E,Category!$B$74,'2022'!$N:$N,Category!AY$1,'2022'!$D:$D,Category!$C91)</f>
        <v>0</v>
      </c>
      <c r="AZ91" s="333">
        <f t="shared" si="31"/>
        <v>25000000</v>
      </c>
      <c r="BA91" s="1036">
        <f>IFERROR(VLOOKUP(C91,'2023'!$D:$G,4,0),0)</f>
        <v>0</v>
      </c>
      <c r="BB91" s="332">
        <f>SUMIFS('2023'!$I:$I,'2023'!$E:$E,Category!$B$74,'2023'!$N:$N,Category!BB$1,'2023'!$D:$D,Category!$C91)</f>
        <v>0</v>
      </c>
      <c r="BC91" s="332">
        <f>SUMIFS('2023'!$I:$I,'2023'!$E:$E,Category!$B$74,'2023'!$N:$N,Category!BC$1,'2023'!$D:$D,Category!$C91)</f>
        <v>0</v>
      </c>
      <c r="BD91" s="332">
        <f>SUMIFS('2023'!$I:$I,'2023'!$E:$E,Category!$B$74,'2023'!$N:$N,Category!BD$1,'2023'!$D:$D,Category!$C91)</f>
        <v>0</v>
      </c>
      <c r="BE91" s="332">
        <f>SUMIFS('2023'!$I:$I,'2023'!$E:$E,Category!$B$74,'2023'!$N:$N,Category!BE$1,'2023'!$D:$D,Category!$C91)</f>
        <v>0</v>
      </c>
      <c r="BF91" s="332">
        <f>SUMIFS('2023'!$I:$I,'2023'!$E:$E,Category!$B$74,'2023'!$N:$N,Category!BF$1,'2023'!$D:$D,Category!$C91)</f>
        <v>0</v>
      </c>
      <c r="BG91" s="332">
        <f>SUMIFS('2023'!$I:$I,'2023'!$E:$E,Category!$B$74,'2023'!$N:$N,Category!BG$1,'2023'!$D:$D,Category!$C91)</f>
        <v>0</v>
      </c>
      <c r="BH91" s="332">
        <f>SUMIFS('2023'!$I:$I,'2023'!$E:$E,Category!$B$74,'2023'!$N:$N,Category!BH$1,'2023'!$D:$D,Category!$C91)</f>
        <v>0</v>
      </c>
      <c r="BI91" s="332">
        <f>SUMIFS('2023'!$I:$I,'2023'!$E:$E,Category!$B$74,'2023'!$N:$N,Category!BI$1,'2023'!$D:$D,Category!$C91)</f>
        <v>0</v>
      </c>
      <c r="BJ91" s="332">
        <f>SUMIFS('2023'!$I:$I,'2023'!$E:$E,Category!$B$74,'2023'!$N:$N,Category!BJ$1,'2023'!$D:$D,Category!$C91)</f>
        <v>0</v>
      </c>
      <c r="BK91" s="332">
        <f>SUMIFS('2023'!$I:$I,'2023'!$E:$E,Category!$B$74,'2023'!$N:$N,Category!BK$1,'2023'!$D:$D,Category!$C91)</f>
        <v>0</v>
      </c>
      <c r="BL91" s="332">
        <f>SUMIFS('2023'!$I:$I,'2023'!$E:$E,Category!$B$74,'2023'!$N:$N,Category!BL$1,'2023'!$D:$D,Category!$C91)</f>
        <v>0</v>
      </c>
      <c r="BM91" s="332">
        <f>SUMIFS('2023'!$I:$I,'2023'!$E:$E,Category!$B$74,'2023'!$N:$N,Category!BM$1,'2023'!$D:$D,Category!$C91)</f>
        <v>0</v>
      </c>
      <c r="BN91" s="333">
        <f t="shared" si="32"/>
        <v>0</v>
      </c>
    </row>
    <row r="92" spans="1:66" x14ac:dyDescent="0.3">
      <c r="A92" s="330"/>
      <c r="B92" s="331"/>
      <c r="C92" s="331" t="s">
        <v>1398</v>
      </c>
      <c r="D92" s="519">
        <f>IFERROR(VLOOKUP($C92,'2019'!$D:$G,4,0),0)</f>
        <v>0</v>
      </c>
      <c r="E92" s="332">
        <f>SUMIFS('2019'!$I:$I,'2019'!$E:$E,Category!$B$74,'2019'!$N:$N,Category!E$1,'2019'!$D:$D,Category!$C92)</f>
        <v>0</v>
      </c>
      <c r="F92" s="332">
        <f>SUMIFS('2019'!$I:$I,'2019'!$E:$E,Category!$B$74,'2019'!$N:$N,Category!F$1,'2019'!$D:$D,Category!$C92)</f>
        <v>0</v>
      </c>
      <c r="G92" s="332">
        <f>SUMIFS('2019'!$I:$I,'2019'!$E:$E,Category!$B$74,'2019'!$N:$N,Category!G$1,'2019'!$D:$D,Category!$C92)</f>
        <v>0</v>
      </c>
      <c r="H92" s="332">
        <f>SUMIFS('2019'!$I:$I,'2019'!$E:$E,Category!$B$74,'2019'!$N:$N,Category!H$1,'2019'!$D:$D,Category!$C92)</f>
        <v>0</v>
      </c>
      <c r="I92" s="332">
        <f>SUMIFS('2019'!$I:$I,'2019'!$E:$E,Category!$B$74,'2019'!$N:$N,Category!I$1,'2019'!$D:$D,Category!$C92)</f>
        <v>0</v>
      </c>
      <c r="J92" s="333">
        <f t="shared" si="29"/>
        <v>0</v>
      </c>
      <c r="K92" s="501">
        <f>IFERROR(VLOOKUP($C92,'2020'!$D:$G,4,0),0)</f>
        <v>0</v>
      </c>
      <c r="L92" s="332">
        <f>SUMIFS('2020'!$I:$I,'2020'!$E:$E,Category!$B$74,'2020'!$N:$N,Category!L$1,'2020'!$D:$D,Category!$C92)</f>
        <v>0</v>
      </c>
      <c r="M92" s="332">
        <f>SUMIFS('2020'!$I:$I,'2020'!$E:$E,Category!$B$74,'2020'!$N:$N,Category!M$1,'2020'!$D:$D,Category!$C92)</f>
        <v>0</v>
      </c>
      <c r="N92" s="332">
        <f>SUMIFS('2020'!$I:$I,'2020'!$E:$E,Category!$B$74,'2020'!$N:$N,Category!N$1,'2020'!$D:$D,Category!$C92)</f>
        <v>0</v>
      </c>
      <c r="O92" s="332">
        <f>SUMIFS('2020'!$I:$I,'2020'!$E:$E,Category!$B$74,'2020'!$N:$N,Category!O$1,'2020'!$D:$D,Category!$C92)</f>
        <v>0</v>
      </c>
      <c r="P92" s="332">
        <f>SUMIFS('2020'!$I:$I,'2020'!$E:$E,Category!$B$74,'2020'!$N:$N,Category!P$1,'2020'!$D:$D,Category!$C92)</f>
        <v>0</v>
      </c>
      <c r="Q92" s="332">
        <f>SUMIFS('2020'!$I:$I,'2020'!$E:$E,Category!$B$74,'2020'!$N:$N,Category!Q$1,'2020'!$D:$D,Category!$C92)</f>
        <v>0</v>
      </c>
      <c r="R92" s="332">
        <f>SUMIFS('2020'!$I:$I,'2020'!$E:$E,Category!$B$74,'2020'!$N:$N,Category!R$1,'2020'!$D:$D,Category!$C92)</f>
        <v>0</v>
      </c>
      <c r="S92" s="332">
        <f>SUMIFS('2020'!$I:$I,'2020'!$E:$E,Category!$B$74,'2020'!$N:$N,Category!S$1,'2020'!$D:$D,Category!$C92)</f>
        <v>0</v>
      </c>
      <c r="T92" s="332">
        <f>SUMIFS('2020'!$I:$I,'2020'!$E:$E,Category!$B$74,'2020'!$N:$N,Category!T$1,'2020'!$D:$D,Category!$C92)</f>
        <v>0</v>
      </c>
      <c r="U92" s="332">
        <f>SUMIFS('2020'!$I:$I,'2020'!$E:$E,Category!$B$74,'2020'!$N:$N,Category!U$1,'2020'!$D:$D,Category!$C92)</f>
        <v>0</v>
      </c>
      <c r="V92" s="332">
        <f>SUMIFS('2020'!$I:$I,'2020'!$E:$E,Category!$B$74,'2020'!$N:$N,Category!V$1,'2020'!$D:$D,Category!$C92)</f>
        <v>0</v>
      </c>
      <c r="W92" s="332">
        <f>SUMIFS('2020'!$I:$I,'2020'!$E:$E,Category!$B$74,'2020'!$N:$N,Category!W$1,'2020'!$D:$D,Category!$C92)</f>
        <v>0</v>
      </c>
      <c r="X92" s="333">
        <f t="shared" si="30"/>
        <v>0</v>
      </c>
      <c r="Y92" s="501">
        <f>IFERROR(VLOOKUP(C92,'2021'!$D:$G,4,0),0)</f>
        <v>0</v>
      </c>
      <c r="Z92" s="332">
        <f>SUMIFS('2021'!$I:$I,'2021'!$E:$E,Category!$B$74,'2021'!$N:$N,Category!Z$1,'2021'!$D:$D,Category!$C92)</f>
        <v>0</v>
      </c>
      <c r="AA92" s="332">
        <f>SUMIFS('2021'!$I:$I,'2021'!$E:$E,Category!$B$74,'2021'!$N:$N,Category!AA$1,'2021'!$D:$D,Category!$C92)</f>
        <v>0</v>
      </c>
      <c r="AB92" s="332">
        <f>SUMIFS('2021'!$I:$I,'2021'!$E:$E,Category!$B$74,'2021'!$N:$N,Category!AB$1,'2021'!$D:$D,Category!$C92)</f>
        <v>0</v>
      </c>
      <c r="AC92" s="332">
        <f>SUMIFS('2021'!$I:$I,'2021'!$E:$E,Category!$B$74,'2021'!$N:$N,Category!AC$1,'2021'!$D:$D,Category!$C92)</f>
        <v>0</v>
      </c>
      <c r="AD92" s="332">
        <f>SUMIFS('2021'!$I:$I,'2021'!$E:$E,Category!$B$74,'2021'!$N:$N,Category!AD$1,'2021'!$D:$D,Category!$C92)</f>
        <v>0</v>
      </c>
      <c r="AE92" s="332">
        <f>SUMIFS('2021'!$I:$I,'2021'!$E:$E,Category!$B$74,'2021'!$N:$N,Category!AE$1,'2021'!$D:$D,Category!$C92)</f>
        <v>35000000</v>
      </c>
      <c r="AF92" s="332">
        <f>SUMIFS('2021'!$I:$I,'2021'!$E:$E,Category!$B$74,'2021'!$N:$N,Category!AF$1,'2021'!$D:$D,Category!$C92)</f>
        <v>0</v>
      </c>
      <c r="AG92" s="332">
        <f>SUMIFS('2021'!$I:$I,'2021'!$E:$E,Category!$B$74,'2021'!$N:$N,Category!AG$1,'2021'!$D:$D,Category!$C92)</f>
        <v>0</v>
      </c>
      <c r="AH92" s="332">
        <f>SUMIFS('2021'!$I:$I,'2021'!$E:$E,Category!$B$74,'2021'!$N:$N,Category!AH$1,'2021'!$D:$D,Category!$C92)</f>
        <v>0</v>
      </c>
      <c r="AI92" s="332">
        <f>SUMIFS('2021'!$I:$I,'2021'!$E:$E,Category!$B$74,'2021'!$N:$N,Category!AI$1,'2021'!$D:$D,Category!$C92)</f>
        <v>0</v>
      </c>
      <c r="AJ92" s="332">
        <f>SUMIFS('2021'!$I:$I,'2021'!$E:$E,Category!$B$74,'2021'!$N:$N,Category!AJ$1,'2021'!$D:$D,Category!$C92)</f>
        <v>0</v>
      </c>
      <c r="AK92" s="332">
        <f>SUMIFS('2021'!$I:$I,'2021'!$E:$E,Category!$B$74,'2021'!$N:$N,Category!AK$1,'2021'!$D:$D,Category!$C92)</f>
        <v>0</v>
      </c>
      <c r="AL92" s="333">
        <f t="shared" si="33"/>
        <v>35000000</v>
      </c>
      <c r="AM92" s="501">
        <f>IFERROR(VLOOKUP(C92,'2022'!$D:$G,4,0),0)</f>
        <v>0</v>
      </c>
      <c r="AN92" s="332">
        <f>SUMIFS('2022'!$I:$I,'2022'!$E:$E,Category!$B$74,'2022'!$N:$N,Category!AN$1,'2022'!$D:$D,Category!$C92)</f>
        <v>0</v>
      </c>
      <c r="AO92" s="332">
        <f>SUMIFS('2022'!$I:$I,'2022'!$E:$E,Category!$B$74,'2022'!$N:$N,Category!AO$1,'2022'!$D:$D,Category!$C92)</f>
        <v>0</v>
      </c>
      <c r="AP92" s="332">
        <f>SUMIFS('2022'!$I:$I,'2022'!$E:$E,Category!$B$74,'2022'!$N:$N,Category!AP$1,'2022'!$D:$D,Category!$C92)</f>
        <v>0</v>
      </c>
      <c r="AQ92" s="332">
        <f>SUMIFS('2022'!$I:$I,'2022'!$E:$E,Category!$B$74,'2022'!$N:$N,Category!AQ$1,'2022'!$D:$D,Category!$C92)</f>
        <v>0</v>
      </c>
      <c r="AR92" s="332">
        <f>SUMIFS('2022'!$I:$I,'2022'!$E:$E,Category!$B$74,'2022'!$N:$N,Category!AR$1,'2022'!$D:$D,Category!$C92)</f>
        <v>0</v>
      </c>
      <c r="AS92" s="332">
        <f>SUMIFS('2022'!$I:$I,'2022'!$E:$E,Category!$B$74,'2022'!$N:$N,Category!AS$1,'2022'!$D:$D,Category!$C92)</f>
        <v>0</v>
      </c>
      <c r="AT92" s="332">
        <f>SUMIFS('2022'!$I:$I,'2022'!$E:$E,Category!$B$74,'2022'!$N:$N,Category!AT$1,'2022'!$D:$D,Category!$C92)</f>
        <v>0</v>
      </c>
      <c r="AU92" s="332">
        <f>SUMIFS('2022'!$I:$I,'2022'!$E:$E,Category!$B$74,'2022'!$N:$N,Category!AU$1,'2022'!$D:$D,Category!$C92)</f>
        <v>0</v>
      </c>
      <c r="AV92" s="332">
        <f>SUMIFS('2022'!$I:$I,'2022'!$E:$E,Category!$B$74,'2022'!$N:$N,Category!AV$1,'2022'!$D:$D,Category!$C92)</f>
        <v>0</v>
      </c>
      <c r="AW92" s="332">
        <f>SUMIFS('2022'!$I:$I,'2022'!$E:$E,Category!$B$74,'2022'!$N:$N,Category!AW$1,'2022'!$D:$D,Category!$C92)</f>
        <v>0</v>
      </c>
      <c r="AX92" s="332">
        <f>SUMIFS('2022'!$I:$I,'2022'!$E:$E,Category!$B$74,'2022'!$N:$N,Category!AX$1,'2022'!$D:$D,Category!$C92)</f>
        <v>0</v>
      </c>
      <c r="AY92" s="332">
        <f>SUMIFS('2022'!$I:$I,'2022'!$E:$E,Category!$B$74,'2022'!$N:$N,Category!AY$1,'2022'!$D:$D,Category!$C92)</f>
        <v>0</v>
      </c>
      <c r="AZ92" s="333">
        <f t="shared" si="31"/>
        <v>0</v>
      </c>
      <c r="BA92" s="1036">
        <f>IFERROR(VLOOKUP(C92,'2023'!$D:$G,4,0),0)</f>
        <v>0</v>
      </c>
      <c r="BB92" s="332">
        <f>SUMIFS('2023'!$I:$I,'2023'!$E:$E,Category!$B$74,'2023'!$N:$N,Category!BB$1,'2023'!$D:$D,Category!$C92)</f>
        <v>0</v>
      </c>
      <c r="BC92" s="332">
        <f>SUMIFS('2023'!$I:$I,'2023'!$E:$E,Category!$B$74,'2023'!$N:$N,Category!BC$1,'2023'!$D:$D,Category!$C92)</f>
        <v>0</v>
      </c>
      <c r="BD92" s="332">
        <f>SUMIFS('2023'!$I:$I,'2023'!$E:$E,Category!$B$74,'2023'!$N:$N,Category!BD$1,'2023'!$D:$D,Category!$C92)</f>
        <v>0</v>
      </c>
      <c r="BE92" s="332">
        <f>SUMIFS('2023'!$I:$I,'2023'!$E:$E,Category!$B$74,'2023'!$N:$N,Category!BE$1,'2023'!$D:$D,Category!$C92)</f>
        <v>0</v>
      </c>
      <c r="BF92" s="332">
        <f>SUMIFS('2023'!$I:$I,'2023'!$E:$E,Category!$B$74,'2023'!$N:$N,Category!BF$1,'2023'!$D:$D,Category!$C92)</f>
        <v>0</v>
      </c>
      <c r="BG92" s="332">
        <f>SUMIFS('2023'!$I:$I,'2023'!$E:$E,Category!$B$74,'2023'!$N:$N,Category!BG$1,'2023'!$D:$D,Category!$C92)</f>
        <v>0</v>
      </c>
      <c r="BH92" s="332">
        <f>SUMIFS('2023'!$I:$I,'2023'!$E:$E,Category!$B$74,'2023'!$N:$N,Category!BH$1,'2023'!$D:$D,Category!$C92)</f>
        <v>0</v>
      </c>
      <c r="BI92" s="332">
        <f>SUMIFS('2023'!$I:$I,'2023'!$E:$E,Category!$B$74,'2023'!$N:$N,Category!BI$1,'2023'!$D:$D,Category!$C92)</f>
        <v>0</v>
      </c>
      <c r="BJ92" s="332">
        <f>SUMIFS('2023'!$I:$I,'2023'!$E:$E,Category!$B$74,'2023'!$N:$N,Category!BJ$1,'2023'!$D:$D,Category!$C92)</f>
        <v>0</v>
      </c>
      <c r="BK92" s="332">
        <f>SUMIFS('2023'!$I:$I,'2023'!$E:$E,Category!$B$74,'2023'!$N:$N,Category!BK$1,'2023'!$D:$D,Category!$C92)</f>
        <v>0</v>
      </c>
      <c r="BL92" s="332">
        <f>SUMIFS('2023'!$I:$I,'2023'!$E:$E,Category!$B$74,'2023'!$N:$N,Category!BL$1,'2023'!$D:$D,Category!$C92)</f>
        <v>0</v>
      </c>
      <c r="BM92" s="332">
        <f>SUMIFS('2023'!$I:$I,'2023'!$E:$E,Category!$B$74,'2023'!$N:$N,Category!BM$1,'2023'!$D:$D,Category!$C92)</f>
        <v>0</v>
      </c>
      <c r="BN92" s="333">
        <f t="shared" si="32"/>
        <v>0</v>
      </c>
    </row>
    <row r="93" spans="1:66" ht="39.75" x14ac:dyDescent="0.3">
      <c r="A93" s="330"/>
      <c r="B93" s="331"/>
      <c r="C93" s="331" t="s">
        <v>964</v>
      </c>
      <c r="D93" s="519">
        <f>IFERROR(VLOOKUP($C93,'2019'!$D:$G,4,0),0)</f>
        <v>0</v>
      </c>
      <c r="E93" s="332">
        <f>SUMIFS('2019'!$I:$I,'2019'!$E:$E,Category!$B$74,'2019'!$N:$N,Category!E$1,'2019'!$D:$D,Category!$C93)</f>
        <v>0</v>
      </c>
      <c r="F93" s="332">
        <f>SUMIFS('2019'!$I:$I,'2019'!$E:$E,Category!$B$74,'2019'!$N:$N,Category!F$1,'2019'!$D:$D,Category!$C93)</f>
        <v>0</v>
      </c>
      <c r="G93" s="332">
        <f>SUMIFS('2019'!$I:$I,'2019'!$E:$E,Category!$B$74,'2019'!$N:$N,Category!G$1,'2019'!$D:$D,Category!$C93)</f>
        <v>0</v>
      </c>
      <c r="H93" s="332">
        <f>SUMIFS('2019'!$I:$I,'2019'!$E:$E,Category!$B$74,'2019'!$N:$N,Category!H$1,'2019'!$D:$D,Category!$C93)</f>
        <v>0</v>
      </c>
      <c r="I93" s="332">
        <f>SUMIFS('2019'!$I:$I,'2019'!$E:$E,Category!$B$74,'2019'!$N:$N,Category!I$1,'2019'!$D:$D,Category!$C93)</f>
        <v>0</v>
      </c>
      <c r="J93" s="333">
        <f t="shared" si="29"/>
        <v>0</v>
      </c>
      <c r="K93" s="501">
        <f>IFERROR(VLOOKUP($C93,'2020'!$D:$G,4,0),0)</f>
        <v>0</v>
      </c>
      <c r="L93" s="332">
        <f>SUMIFS('2020'!$I:$I,'2020'!$E:$E,Category!$B$74,'2020'!$N:$N,Category!L$1,'2020'!$D:$D,Category!$C93)</f>
        <v>0</v>
      </c>
      <c r="M93" s="332">
        <f>SUMIFS('2020'!$I:$I,'2020'!$E:$E,Category!$B$74,'2020'!$N:$N,Category!M$1,'2020'!$D:$D,Category!$C93)</f>
        <v>0</v>
      </c>
      <c r="N93" s="332">
        <f>SUMIFS('2020'!$I:$I,'2020'!$E:$E,Category!$B$74,'2020'!$N:$N,Category!N$1,'2020'!$D:$D,Category!$C93)</f>
        <v>0</v>
      </c>
      <c r="O93" s="332">
        <f>SUMIFS('2020'!$I:$I,'2020'!$E:$E,Category!$B$74,'2020'!$N:$N,Category!O$1,'2020'!$D:$D,Category!$C93)</f>
        <v>0</v>
      </c>
      <c r="P93" s="332">
        <f>SUMIFS('2020'!$I:$I,'2020'!$E:$E,Category!$B$74,'2020'!$N:$N,Category!P$1,'2020'!$D:$D,Category!$C93)</f>
        <v>0</v>
      </c>
      <c r="Q93" s="332">
        <f>SUMIFS('2020'!$I:$I,'2020'!$E:$E,Category!$B$74,'2020'!$N:$N,Category!Q$1,'2020'!$D:$D,Category!$C93)</f>
        <v>0</v>
      </c>
      <c r="R93" s="332">
        <f>SUMIFS('2020'!$I:$I,'2020'!$E:$E,Category!$B$74,'2020'!$N:$N,Category!R$1,'2020'!$D:$D,Category!$C93)</f>
        <v>0</v>
      </c>
      <c r="S93" s="332">
        <f>SUMIFS('2020'!$I:$I,'2020'!$E:$E,Category!$B$74,'2020'!$N:$N,Category!S$1,'2020'!$D:$D,Category!$C93)</f>
        <v>0</v>
      </c>
      <c r="T93" s="332">
        <f>SUMIFS('2020'!$I:$I,'2020'!$E:$E,Category!$B$74,'2020'!$N:$N,Category!T$1,'2020'!$D:$D,Category!$C93)</f>
        <v>0</v>
      </c>
      <c r="U93" s="332">
        <f>SUMIFS('2020'!$I:$I,'2020'!$E:$E,Category!$B$74,'2020'!$N:$N,Category!U$1,'2020'!$D:$D,Category!$C93)</f>
        <v>0</v>
      </c>
      <c r="V93" s="332">
        <f>SUMIFS('2020'!$I:$I,'2020'!$E:$E,Category!$B$74,'2020'!$N:$N,Category!V$1,'2020'!$D:$D,Category!$C93)</f>
        <v>0</v>
      </c>
      <c r="W93" s="332">
        <f>SUMIFS('2020'!$I:$I,'2020'!$E:$E,Category!$B$74,'2020'!$N:$N,Category!W$1,'2020'!$D:$D,Category!$C93)</f>
        <v>0</v>
      </c>
      <c r="X93" s="333">
        <f t="shared" si="30"/>
        <v>0</v>
      </c>
      <c r="Y93" s="501">
        <f>IFERROR(VLOOKUP(C93,'2021'!$D:$G,4,0),0)</f>
        <v>0</v>
      </c>
      <c r="Z93" s="332">
        <f>SUMIFS('2021'!$I:$I,'2021'!$E:$E,Category!$B$74,'2021'!$N:$N,Category!Z$1,'2021'!$D:$D,Category!$C93)</f>
        <v>0</v>
      </c>
      <c r="AA93" s="332">
        <f>SUMIFS('2021'!$I:$I,'2021'!$E:$E,Category!$B$74,'2021'!$N:$N,Category!AA$1,'2021'!$D:$D,Category!$C93)</f>
        <v>0</v>
      </c>
      <c r="AB93" s="332">
        <f>SUMIFS('2021'!$I:$I,'2021'!$E:$E,Category!$B$74,'2021'!$N:$N,Category!AB$1,'2021'!$D:$D,Category!$C93)</f>
        <v>0</v>
      </c>
      <c r="AC93" s="332">
        <f>SUMIFS('2021'!$I:$I,'2021'!$E:$E,Category!$B$74,'2021'!$N:$N,Category!AC$1,'2021'!$D:$D,Category!$C93)</f>
        <v>0</v>
      </c>
      <c r="AD93" s="332">
        <f>SUMIFS('2021'!$I:$I,'2021'!$E:$E,Category!$B$74,'2021'!$N:$N,Category!AD$1,'2021'!$D:$D,Category!$C93)</f>
        <v>0</v>
      </c>
      <c r="AE93" s="332">
        <f>SUMIFS('2021'!$I:$I,'2021'!$E:$E,Category!$B$74,'2021'!$N:$N,Category!AE$1,'2021'!$D:$D,Category!$C93)</f>
        <v>0</v>
      </c>
      <c r="AF93" s="332">
        <f>SUMIFS('2021'!$I:$I,'2021'!$E:$E,Category!$B$74,'2021'!$N:$N,Category!AF$1,'2021'!$D:$D,Category!$C93)</f>
        <v>0</v>
      </c>
      <c r="AG93" s="332">
        <f>SUMIFS('2021'!$I:$I,'2021'!$E:$E,Category!$B$74,'2021'!$N:$N,Category!AG$1,'2021'!$D:$D,Category!$C93)</f>
        <v>0</v>
      </c>
      <c r="AH93" s="332">
        <f>SUMIFS('2021'!$I:$I,'2021'!$E:$E,Category!$B$74,'2021'!$N:$N,Category!AH$1,'2021'!$D:$D,Category!$C93)</f>
        <v>0</v>
      </c>
      <c r="AI93" s="332">
        <f>SUMIFS('2021'!$I:$I,'2021'!$E:$E,Category!$B$74,'2021'!$N:$N,Category!AI$1,'2021'!$D:$D,Category!$C93)</f>
        <v>0</v>
      </c>
      <c r="AJ93" s="332">
        <f>SUMIFS('2021'!$I:$I,'2021'!$E:$E,Category!$B$74,'2021'!$N:$N,Category!AJ$1,'2021'!$D:$D,Category!$C93)</f>
        <v>0</v>
      </c>
      <c r="AK93" s="332">
        <f>SUMIFS('2021'!$I:$I,'2021'!$E:$E,Category!$B$74,'2021'!$N:$N,Category!AK$1,'2021'!$D:$D,Category!$C93)</f>
        <v>0</v>
      </c>
      <c r="AL93" s="333">
        <f t="shared" si="33"/>
        <v>0</v>
      </c>
      <c r="AM93" s="501">
        <f>IFERROR(VLOOKUP(C93,'2022'!$D:$G,4,0),0)</f>
        <v>0</v>
      </c>
      <c r="AN93" s="332">
        <f>SUMIFS('2022'!$I:$I,'2022'!$E:$E,Category!$B$74,'2022'!$N:$N,Category!AN$1,'2022'!$D:$D,Category!$C93)</f>
        <v>35000000</v>
      </c>
      <c r="AO93" s="332">
        <f>SUMIFS('2022'!$I:$I,'2022'!$E:$E,Category!$B$74,'2022'!$N:$N,Category!AO$1,'2022'!$D:$D,Category!$C93)</f>
        <v>0</v>
      </c>
      <c r="AP93" s="332">
        <f>SUMIFS('2022'!$I:$I,'2022'!$E:$E,Category!$B$74,'2022'!$N:$N,Category!AP$1,'2022'!$D:$D,Category!$C93)</f>
        <v>0</v>
      </c>
      <c r="AQ93" s="332">
        <f>SUMIFS('2022'!$I:$I,'2022'!$E:$E,Category!$B$74,'2022'!$N:$N,Category!AQ$1,'2022'!$D:$D,Category!$C93)</f>
        <v>0</v>
      </c>
      <c r="AR93" s="332">
        <f>SUMIFS('2022'!$I:$I,'2022'!$E:$E,Category!$B$74,'2022'!$N:$N,Category!AR$1,'2022'!$D:$D,Category!$C93)</f>
        <v>0</v>
      </c>
      <c r="AS93" s="332">
        <f>SUMIFS('2022'!$I:$I,'2022'!$E:$E,Category!$B$74,'2022'!$N:$N,Category!AS$1,'2022'!$D:$D,Category!$C93)</f>
        <v>0</v>
      </c>
      <c r="AT93" s="332">
        <f>SUMIFS('2022'!$I:$I,'2022'!$E:$E,Category!$B$74,'2022'!$N:$N,Category!AT$1,'2022'!$D:$D,Category!$C93)</f>
        <v>0</v>
      </c>
      <c r="AU93" s="332">
        <f>SUMIFS('2022'!$I:$I,'2022'!$E:$E,Category!$B$74,'2022'!$N:$N,Category!AU$1,'2022'!$D:$D,Category!$C93)</f>
        <v>0</v>
      </c>
      <c r="AV93" s="332">
        <f>SUMIFS('2022'!$I:$I,'2022'!$E:$E,Category!$B$74,'2022'!$N:$N,Category!AV$1,'2022'!$D:$D,Category!$C93)</f>
        <v>0</v>
      </c>
      <c r="AW93" s="332">
        <f>SUMIFS('2022'!$I:$I,'2022'!$E:$E,Category!$B$74,'2022'!$N:$N,Category!AW$1,'2022'!$D:$D,Category!$C93)</f>
        <v>0</v>
      </c>
      <c r="AX93" s="332">
        <f>SUMIFS('2022'!$I:$I,'2022'!$E:$E,Category!$B$74,'2022'!$N:$N,Category!AX$1,'2022'!$D:$D,Category!$C93)</f>
        <v>0</v>
      </c>
      <c r="AY93" s="332">
        <f>SUMIFS('2022'!$I:$I,'2022'!$E:$E,Category!$B$74,'2022'!$N:$N,Category!AY$1,'2022'!$D:$D,Category!$C93)</f>
        <v>0</v>
      </c>
      <c r="AZ93" s="333">
        <f t="shared" si="31"/>
        <v>35000000</v>
      </c>
      <c r="BA93" s="1036">
        <f>IFERROR(VLOOKUP(C93,'2023'!$D:$G,4,0),0)</f>
        <v>0</v>
      </c>
      <c r="BB93" s="332">
        <f>SUMIFS('2023'!$I:$I,'2023'!$E:$E,Category!$B$74,'2023'!$N:$N,Category!BB$1,'2023'!$D:$D,Category!$C93)</f>
        <v>0</v>
      </c>
      <c r="BC93" s="332">
        <f>SUMIFS('2023'!$I:$I,'2023'!$E:$E,Category!$B$74,'2023'!$N:$N,Category!BC$1,'2023'!$D:$D,Category!$C93)</f>
        <v>0</v>
      </c>
      <c r="BD93" s="332">
        <f>SUMIFS('2023'!$I:$I,'2023'!$E:$E,Category!$B$74,'2023'!$N:$N,Category!BD$1,'2023'!$D:$D,Category!$C93)</f>
        <v>0</v>
      </c>
      <c r="BE93" s="332">
        <f>SUMIFS('2023'!$I:$I,'2023'!$E:$E,Category!$B$74,'2023'!$N:$N,Category!BE$1,'2023'!$D:$D,Category!$C93)</f>
        <v>0</v>
      </c>
      <c r="BF93" s="332">
        <f>SUMIFS('2023'!$I:$I,'2023'!$E:$E,Category!$B$74,'2023'!$N:$N,Category!BF$1,'2023'!$D:$D,Category!$C93)</f>
        <v>0</v>
      </c>
      <c r="BG93" s="332">
        <f>SUMIFS('2023'!$I:$I,'2023'!$E:$E,Category!$B$74,'2023'!$N:$N,Category!BG$1,'2023'!$D:$D,Category!$C93)</f>
        <v>0</v>
      </c>
      <c r="BH93" s="332">
        <f>SUMIFS('2023'!$I:$I,'2023'!$E:$E,Category!$B$74,'2023'!$N:$N,Category!BH$1,'2023'!$D:$D,Category!$C93)</f>
        <v>0</v>
      </c>
      <c r="BI93" s="332">
        <f>SUMIFS('2023'!$I:$I,'2023'!$E:$E,Category!$B$74,'2023'!$N:$N,Category!BI$1,'2023'!$D:$D,Category!$C93)</f>
        <v>0</v>
      </c>
      <c r="BJ93" s="332">
        <f>SUMIFS('2023'!$I:$I,'2023'!$E:$E,Category!$B$74,'2023'!$N:$N,Category!BJ$1,'2023'!$D:$D,Category!$C93)</f>
        <v>0</v>
      </c>
      <c r="BK93" s="332">
        <f>SUMIFS('2023'!$I:$I,'2023'!$E:$E,Category!$B$74,'2023'!$N:$N,Category!BK$1,'2023'!$D:$D,Category!$C93)</f>
        <v>0</v>
      </c>
      <c r="BL93" s="332">
        <f>SUMIFS('2023'!$I:$I,'2023'!$E:$E,Category!$B$74,'2023'!$N:$N,Category!BL$1,'2023'!$D:$D,Category!$C93)</f>
        <v>0</v>
      </c>
      <c r="BM93" s="332">
        <f>SUMIFS('2023'!$I:$I,'2023'!$E:$E,Category!$B$74,'2023'!$N:$N,Category!BM$1,'2023'!$D:$D,Category!$C93)</f>
        <v>0</v>
      </c>
      <c r="BN93" s="333">
        <f t="shared" si="32"/>
        <v>0</v>
      </c>
    </row>
    <row r="94" spans="1:66" ht="59.25" x14ac:dyDescent="0.3">
      <c r="A94" s="330"/>
      <c r="B94" s="331"/>
      <c r="C94" s="331" t="s">
        <v>1556</v>
      </c>
      <c r="D94" s="519">
        <f>IFERROR(VLOOKUP($C94,'2019'!$D:$G,4,0),0)</f>
        <v>0</v>
      </c>
      <c r="E94" s="332">
        <f>SUMIFS('2019'!$I:$I,'2019'!$E:$E,Category!$B$74,'2019'!$N:$N,Category!E$1,'2019'!$D:$D,Category!$C94)</f>
        <v>0</v>
      </c>
      <c r="F94" s="332">
        <f>SUMIFS('2019'!$I:$I,'2019'!$E:$E,Category!$B$74,'2019'!$N:$N,Category!F$1,'2019'!$D:$D,Category!$C94)</f>
        <v>0</v>
      </c>
      <c r="G94" s="332">
        <f>SUMIFS('2019'!$I:$I,'2019'!$E:$E,Category!$B$74,'2019'!$N:$N,Category!G$1,'2019'!$D:$D,Category!$C94)</f>
        <v>0</v>
      </c>
      <c r="H94" s="332">
        <f>SUMIFS('2019'!$I:$I,'2019'!$E:$E,Category!$B$74,'2019'!$N:$N,Category!H$1,'2019'!$D:$D,Category!$C94)</f>
        <v>0</v>
      </c>
      <c r="I94" s="332">
        <f>SUMIFS('2019'!$I:$I,'2019'!$E:$E,Category!$B$74,'2019'!$N:$N,Category!I$1,'2019'!$D:$D,Category!$C94)</f>
        <v>0</v>
      </c>
      <c r="J94" s="333">
        <f t="shared" si="29"/>
        <v>0</v>
      </c>
      <c r="K94" s="501">
        <f>IFERROR(VLOOKUP($C94,'2020'!$D:$G,4,0),0)</f>
        <v>0</v>
      </c>
      <c r="L94" s="332">
        <f>SUMIFS('2020'!$I:$I,'2020'!$E:$E,Category!$B$74,'2020'!$N:$N,Category!L$1,'2020'!$D:$D,Category!$C94)</f>
        <v>0</v>
      </c>
      <c r="M94" s="332">
        <f>SUMIFS('2020'!$I:$I,'2020'!$E:$E,Category!$B$74,'2020'!$N:$N,Category!M$1,'2020'!$D:$D,Category!$C94)</f>
        <v>0</v>
      </c>
      <c r="N94" s="332">
        <f>SUMIFS('2020'!$I:$I,'2020'!$E:$E,Category!$B$74,'2020'!$N:$N,Category!N$1,'2020'!$D:$D,Category!$C94)</f>
        <v>0</v>
      </c>
      <c r="O94" s="332">
        <f>SUMIFS('2020'!$I:$I,'2020'!$E:$E,Category!$B$74,'2020'!$N:$N,Category!O$1,'2020'!$D:$D,Category!$C94)</f>
        <v>0</v>
      </c>
      <c r="P94" s="332">
        <f>SUMIFS('2020'!$I:$I,'2020'!$E:$E,Category!$B$74,'2020'!$N:$N,Category!P$1,'2020'!$D:$D,Category!$C94)</f>
        <v>0</v>
      </c>
      <c r="Q94" s="332">
        <f>SUMIFS('2020'!$I:$I,'2020'!$E:$E,Category!$B$74,'2020'!$N:$N,Category!Q$1,'2020'!$D:$D,Category!$C94)</f>
        <v>0</v>
      </c>
      <c r="R94" s="332">
        <f>SUMIFS('2020'!$I:$I,'2020'!$E:$E,Category!$B$74,'2020'!$N:$N,Category!R$1,'2020'!$D:$D,Category!$C94)</f>
        <v>0</v>
      </c>
      <c r="S94" s="332">
        <f>SUMIFS('2020'!$I:$I,'2020'!$E:$E,Category!$B$74,'2020'!$N:$N,Category!S$1,'2020'!$D:$D,Category!$C94)</f>
        <v>0</v>
      </c>
      <c r="T94" s="332">
        <f>SUMIFS('2020'!$I:$I,'2020'!$E:$E,Category!$B$74,'2020'!$N:$N,Category!T$1,'2020'!$D:$D,Category!$C94)</f>
        <v>0</v>
      </c>
      <c r="U94" s="332">
        <f>SUMIFS('2020'!$I:$I,'2020'!$E:$E,Category!$B$74,'2020'!$N:$N,Category!U$1,'2020'!$D:$D,Category!$C94)</f>
        <v>0</v>
      </c>
      <c r="V94" s="332">
        <f>SUMIFS('2020'!$I:$I,'2020'!$E:$E,Category!$B$74,'2020'!$N:$N,Category!V$1,'2020'!$D:$D,Category!$C94)</f>
        <v>0</v>
      </c>
      <c r="W94" s="332">
        <f>SUMIFS('2020'!$I:$I,'2020'!$E:$E,Category!$B$74,'2020'!$N:$N,Category!W$1,'2020'!$D:$D,Category!$C94)</f>
        <v>0</v>
      </c>
      <c r="X94" s="333">
        <f t="shared" si="30"/>
        <v>0</v>
      </c>
      <c r="Y94" s="501">
        <f>IFERROR(VLOOKUP(C94,'2021'!$D:$G,4,0),0)</f>
        <v>0</v>
      </c>
      <c r="Z94" s="332">
        <f>SUMIFS('2021'!$I:$I,'2021'!$E:$E,Category!$B$74,'2021'!$N:$N,Category!Z$1,'2021'!$D:$D,Category!$C94)</f>
        <v>0</v>
      </c>
      <c r="AA94" s="332">
        <f>SUMIFS('2021'!$I:$I,'2021'!$E:$E,Category!$B$74,'2021'!$N:$N,Category!AA$1,'2021'!$D:$D,Category!$C94)</f>
        <v>0</v>
      </c>
      <c r="AB94" s="332">
        <f>SUMIFS('2021'!$I:$I,'2021'!$E:$E,Category!$B$74,'2021'!$N:$N,Category!AB$1,'2021'!$D:$D,Category!$C94)</f>
        <v>0</v>
      </c>
      <c r="AC94" s="332">
        <f>SUMIFS('2021'!$I:$I,'2021'!$E:$E,Category!$B$74,'2021'!$N:$N,Category!AC$1,'2021'!$D:$D,Category!$C94)</f>
        <v>0</v>
      </c>
      <c r="AD94" s="332">
        <f>SUMIFS('2021'!$I:$I,'2021'!$E:$E,Category!$B$74,'2021'!$N:$N,Category!AD$1,'2021'!$D:$D,Category!$C94)</f>
        <v>0</v>
      </c>
      <c r="AE94" s="332">
        <f>SUMIFS('2021'!$I:$I,'2021'!$E:$E,Category!$B$74,'2021'!$N:$N,Category!AE$1,'2021'!$D:$D,Category!$C94)</f>
        <v>0</v>
      </c>
      <c r="AF94" s="332">
        <f>SUMIFS('2021'!$I:$I,'2021'!$E:$E,Category!$B$74,'2021'!$N:$N,Category!AF$1,'2021'!$D:$D,Category!$C94)</f>
        <v>0</v>
      </c>
      <c r="AG94" s="332">
        <f>SUMIFS('2021'!$I:$I,'2021'!$E:$E,Category!$B$74,'2021'!$N:$N,Category!AG$1,'2021'!$D:$D,Category!$C94)</f>
        <v>0</v>
      </c>
      <c r="AH94" s="332">
        <f>SUMIFS('2021'!$I:$I,'2021'!$E:$E,Category!$B$74,'2021'!$N:$N,Category!AH$1,'2021'!$D:$D,Category!$C94)</f>
        <v>0</v>
      </c>
      <c r="AI94" s="332">
        <f>SUMIFS('2021'!$I:$I,'2021'!$E:$E,Category!$B$74,'2021'!$N:$N,Category!AI$1,'2021'!$D:$D,Category!$C94)</f>
        <v>0</v>
      </c>
      <c r="AJ94" s="332">
        <f>SUMIFS('2021'!$I:$I,'2021'!$E:$E,Category!$B$74,'2021'!$N:$N,Category!AJ$1,'2021'!$D:$D,Category!$C94)</f>
        <v>0</v>
      </c>
      <c r="AK94" s="332">
        <f>SUMIFS('2021'!$I:$I,'2021'!$E:$E,Category!$B$74,'2021'!$N:$N,Category!AK$1,'2021'!$D:$D,Category!$C94)</f>
        <v>0</v>
      </c>
      <c r="AL94" s="333">
        <f t="shared" si="33"/>
        <v>0</v>
      </c>
      <c r="AM94" s="501">
        <f>IFERROR(VLOOKUP(C94,'2022'!$D:$G,4,0),0)</f>
        <v>0</v>
      </c>
      <c r="AN94" s="332">
        <f>SUMIFS('2022'!$I:$I,'2022'!$E:$E,Category!$B$74,'2022'!$N:$N,Category!AN$1,'2022'!$D:$D,Category!$C94)</f>
        <v>0</v>
      </c>
      <c r="AO94" s="332">
        <f>SUMIFS('2022'!$I:$I,'2022'!$E:$E,Category!$B$74,'2022'!$N:$N,Category!AO$1,'2022'!$D:$D,Category!$C94)</f>
        <v>0</v>
      </c>
      <c r="AP94" s="332">
        <f>SUMIFS('2022'!$I:$I,'2022'!$E:$E,Category!$B$74,'2022'!$N:$N,Category!AP$1,'2022'!$D:$D,Category!$C94)</f>
        <v>0</v>
      </c>
      <c r="AQ94" s="332">
        <f>SUMIFS('2022'!$I:$I,'2022'!$E:$E,Category!$B$74,'2022'!$N:$N,Category!AQ$1,'2022'!$D:$D,Category!$C94)</f>
        <v>0</v>
      </c>
      <c r="AR94" s="332">
        <f>SUMIFS('2022'!$I:$I,'2022'!$E:$E,Category!$B$74,'2022'!$N:$N,Category!AR$1,'2022'!$D:$D,Category!$C94)</f>
        <v>0</v>
      </c>
      <c r="AS94" s="332">
        <f>SUMIFS('2022'!$I:$I,'2022'!$E:$E,Category!$B$74,'2022'!$N:$N,Category!AS$1,'2022'!$D:$D,Category!$C94)</f>
        <v>0</v>
      </c>
      <c r="AT94" s="332">
        <f>SUMIFS('2022'!$I:$I,'2022'!$E:$E,Category!$B$74,'2022'!$N:$N,Category!AT$1,'2022'!$D:$D,Category!$C94)</f>
        <v>0</v>
      </c>
      <c r="AU94" s="332">
        <f>SUMIFS('2022'!$I:$I,'2022'!$E:$E,Category!$B$74,'2022'!$N:$N,Category!AU$1,'2022'!$D:$D,Category!$C94)</f>
        <v>0</v>
      </c>
      <c r="AV94" s="332">
        <f>SUMIFS('2022'!$I:$I,'2022'!$E:$E,Category!$B$74,'2022'!$N:$N,Category!AV$1,'2022'!$D:$D,Category!$C94)</f>
        <v>15000000</v>
      </c>
      <c r="AW94" s="332">
        <f>SUMIFS('2022'!$I:$I,'2022'!$E:$E,Category!$B$74,'2022'!$N:$N,Category!AW$1,'2022'!$D:$D,Category!$C94)</f>
        <v>0</v>
      </c>
      <c r="AX94" s="332">
        <f>SUMIFS('2022'!$I:$I,'2022'!$E:$E,Category!$B$74,'2022'!$N:$N,Category!AX$1,'2022'!$D:$D,Category!$C94)</f>
        <v>15000000</v>
      </c>
      <c r="AY94" s="332">
        <f>SUMIFS('2022'!$I:$I,'2022'!$E:$E,Category!$B$74,'2022'!$N:$N,Category!AY$1,'2022'!$D:$D,Category!$C94)</f>
        <v>15000000</v>
      </c>
      <c r="AZ94" s="333">
        <f t="shared" si="31"/>
        <v>45000000</v>
      </c>
      <c r="BA94" s="1036">
        <f>IFERROR(VLOOKUP(C94,'2023'!$D:$G,4,0),0)</f>
        <v>1</v>
      </c>
      <c r="BB94" s="332">
        <f>SUMIFS('2023'!$I:$I,'2023'!$E:$E,Category!$B$74,'2023'!$N:$N,Category!BB$1,'2023'!$D:$D,Category!$C94)</f>
        <v>15000000</v>
      </c>
      <c r="BC94" s="332">
        <f>SUMIFS('2023'!$I:$I,'2023'!$E:$E,Category!$B$74,'2023'!$N:$N,Category!BC$1,'2023'!$D:$D,Category!$C94)</f>
        <v>15000000</v>
      </c>
      <c r="BD94" s="332">
        <f>SUMIFS('2023'!$I:$I,'2023'!$E:$E,Category!$B$74,'2023'!$N:$N,Category!BD$1,'2023'!$D:$D,Category!$C94)</f>
        <v>0</v>
      </c>
      <c r="BE94" s="332">
        <f>SUMIFS('2023'!$I:$I,'2023'!$E:$E,Category!$B$74,'2023'!$N:$N,Category!BE$1,'2023'!$D:$D,Category!$C94)</f>
        <v>0</v>
      </c>
      <c r="BF94" s="332">
        <f>SUMIFS('2023'!$I:$I,'2023'!$E:$E,Category!$B$74,'2023'!$N:$N,Category!BF$1,'2023'!$D:$D,Category!$C94)</f>
        <v>0</v>
      </c>
      <c r="BG94" s="332">
        <f>SUMIFS('2023'!$I:$I,'2023'!$E:$E,Category!$B$74,'2023'!$N:$N,Category!BG$1,'2023'!$D:$D,Category!$C94)</f>
        <v>0</v>
      </c>
      <c r="BH94" s="332">
        <f>SUMIFS('2023'!$I:$I,'2023'!$E:$E,Category!$B$74,'2023'!$N:$N,Category!BH$1,'2023'!$D:$D,Category!$C94)</f>
        <v>0</v>
      </c>
      <c r="BI94" s="332">
        <f>SUMIFS('2023'!$I:$I,'2023'!$E:$E,Category!$B$74,'2023'!$N:$N,Category!BI$1,'2023'!$D:$D,Category!$C94)</f>
        <v>0</v>
      </c>
      <c r="BJ94" s="332">
        <f>SUMIFS('2023'!$I:$I,'2023'!$E:$E,Category!$B$74,'2023'!$N:$N,Category!BJ$1,'2023'!$D:$D,Category!$C94)</f>
        <v>0</v>
      </c>
      <c r="BK94" s="332">
        <f>SUMIFS('2023'!$I:$I,'2023'!$E:$E,Category!$B$74,'2023'!$N:$N,Category!BK$1,'2023'!$D:$D,Category!$C94)</f>
        <v>0</v>
      </c>
      <c r="BL94" s="332">
        <f>SUMIFS('2023'!$I:$I,'2023'!$E:$E,Category!$B$74,'2023'!$N:$N,Category!BL$1,'2023'!$D:$D,Category!$C94)</f>
        <v>0</v>
      </c>
      <c r="BM94" s="332">
        <f>SUMIFS('2023'!$I:$I,'2023'!$E:$E,Category!$B$74,'2023'!$N:$N,Category!BM$1,'2023'!$D:$D,Category!$C94)</f>
        <v>0</v>
      </c>
      <c r="BN94" s="333">
        <f t="shared" si="32"/>
        <v>30000000</v>
      </c>
    </row>
    <row r="95" spans="1:66" ht="59.25" x14ac:dyDescent="0.3">
      <c r="A95" s="330"/>
      <c r="B95" s="331"/>
      <c r="C95" s="331" t="s">
        <v>1562</v>
      </c>
      <c r="D95" s="519">
        <f>IFERROR(VLOOKUP($C95,'2019'!$D:$G,4,0),0)</f>
        <v>0</v>
      </c>
      <c r="E95" s="332">
        <f>SUMIFS('2019'!$I:$I,'2019'!$E:$E,Category!$B$74,'2019'!$N:$N,Category!E$1,'2019'!$D:$D,Category!$C95)</f>
        <v>0</v>
      </c>
      <c r="F95" s="332">
        <f>SUMIFS('2019'!$I:$I,'2019'!$E:$E,Category!$B$74,'2019'!$N:$N,Category!F$1,'2019'!$D:$D,Category!$C95)</f>
        <v>0</v>
      </c>
      <c r="G95" s="332">
        <f>SUMIFS('2019'!$I:$I,'2019'!$E:$E,Category!$B$74,'2019'!$N:$N,Category!G$1,'2019'!$D:$D,Category!$C95)</f>
        <v>0</v>
      </c>
      <c r="H95" s="332">
        <f>SUMIFS('2019'!$I:$I,'2019'!$E:$E,Category!$B$74,'2019'!$N:$N,Category!H$1,'2019'!$D:$D,Category!$C95)</f>
        <v>0</v>
      </c>
      <c r="I95" s="332">
        <f>SUMIFS('2019'!$I:$I,'2019'!$E:$E,Category!$B$74,'2019'!$N:$N,Category!I$1,'2019'!$D:$D,Category!$C95)</f>
        <v>0</v>
      </c>
      <c r="J95" s="333">
        <f t="shared" si="29"/>
        <v>0</v>
      </c>
      <c r="K95" s="501">
        <f>IFERROR(VLOOKUP($C95,'2020'!$D:$G,4,0),0)</f>
        <v>0</v>
      </c>
      <c r="L95" s="332">
        <f>SUMIFS('2020'!$I:$I,'2020'!$E:$E,Category!$B$74,'2020'!$N:$N,Category!L$1,'2020'!$D:$D,Category!$C95)</f>
        <v>0</v>
      </c>
      <c r="M95" s="332">
        <f>SUMIFS('2020'!$I:$I,'2020'!$E:$E,Category!$B$74,'2020'!$N:$N,Category!M$1,'2020'!$D:$D,Category!$C95)</f>
        <v>0</v>
      </c>
      <c r="N95" s="332">
        <f>SUMIFS('2020'!$I:$I,'2020'!$E:$E,Category!$B$74,'2020'!$N:$N,Category!N$1,'2020'!$D:$D,Category!$C95)</f>
        <v>0</v>
      </c>
      <c r="O95" s="332">
        <f>SUMIFS('2020'!$I:$I,'2020'!$E:$E,Category!$B$74,'2020'!$N:$N,Category!O$1,'2020'!$D:$D,Category!$C95)</f>
        <v>0</v>
      </c>
      <c r="P95" s="332">
        <f>SUMIFS('2020'!$I:$I,'2020'!$E:$E,Category!$B$74,'2020'!$N:$N,Category!P$1,'2020'!$D:$D,Category!$C95)</f>
        <v>0</v>
      </c>
      <c r="Q95" s="332">
        <f>SUMIFS('2020'!$I:$I,'2020'!$E:$E,Category!$B$74,'2020'!$N:$N,Category!Q$1,'2020'!$D:$D,Category!$C95)</f>
        <v>0</v>
      </c>
      <c r="R95" s="332">
        <f>SUMIFS('2020'!$I:$I,'2020'!$E:$E,Category!$B$74,'2020'!$N:$N,Category!R$1,'2020'!$D:$D,Category!$C95)</f>
        <v>0</v>
      </c>
      <c r="S95" s="332">
        <f>SUMIFS('2020'!$I:$I,'2020'!$E:$E,Category!$B$74,'2020'!$N:$N,Category!S$1,'2020'!$D:$D,Category!$C95)</f>
        <v>0</v>
      </c>
      <c r="T95" s="332">
        <f>SUMIFS('2020'!$I:$I,'2020'!$E:$E,Category!$B$74,'2020'!$N:$N,Category!T$1,'2020'!$D:$D,Category!$C95)</f>
        <v>0</v>
      </c>
      <c r="U95" s="332">
        <f>SUMIFS('2020'!$I:$I,'2020'!$E:$E,Category!$B$74,'2020'!$N:$N,Category!U$1,'2020'!$D:$D,Category!$C95)</f>
        <v>0</v>
      </c>
      <c r="V95" s="332">
        <f>SUMIFS('2020'!$I:$I,'2020'!$E:$E,Category!$B$74,'2020'!$N:$N,Category!V$1,'2020'!$D:$D,Category!$C95)</f>
        <v>0</v>
      </c>
      <c r="W95" s="332">
        <f>SUMIFS('2020'!$I:$I,'2020'!$E:$E,Category!$B$74,'2020'!$N:$N,Category!W$1,'2020'!$D:$D,Category!$C95)</f>
        <v>0</v>
      </c>
      <c r="X95" s="333">
        <f t="shared" si="30"/>
        <v>0</v>
      </c>
      <c r="Y95" s="501">
        <f>IFERROR(VLOOKUP(C95,'2021'!$D:$G,4,0),0)</f>
        <v>0</v>
      </c>
      <c r="Z95" s="332">
        <f>SUMIFS('2021'!$I:$I,'2021'!$E:$E,Category!$B$74,'2021'!$N:$N,Category!Z$1,'2021'!$D:$D,Category!$C95)</f>
        <v>0</v>
      </c>
      <c r="AA95" s="332">
        <f>SUMIFS('2021'!$I:$I,'2021'!$E:$E,Category!$B$74,'2021'!$N:$N,Category!AA$1,'2021'!$D:$D,Category!$C95)</f>
        <v>0</v>
      </c>
      <c r="AB95" s="332">
        <f>SUMIFS('2021'!$I:$I,'2021'!$E:$E,Category!$B$74,'2021'!$N:$N,Category!AB$1,'2021'!$D:$D,Category!$C95)</f>
        <v>0</v>
      </c>
      <c r="AC95" s="332">
        <f>SUMIFS('2021'!$I:$I,'2021'!$E:$E,Category!$B$74,'2021'!$N:$N,Category!AC$1,'2021'!$D:$D,Category!$C95)</f>
        <v>0</v>
      </c>
      <c r="AD95" s="332">
        <f>SUMIFS('2021'!$I:$I,'2021'!$E:$E,Category!$B$74,'2021'!$N:$N,Category!AD$1,'2021'!$D:$D,Category!$C95)</f>
        <v>0</v>
      </c>
      <c r="AE95" s="332">
        <f>SUMIFS('2021'!$I:$I,'2021'!$E:$E,Category!$B$74,'2021'!$N:$N,Category!AE$1,'2021'!$D:$D,Category!$C95)</f>
        <v>0</v>
      </c>
      <c r="AF95" s="332">
        <f>SUMIFS('2021'!$I:$I,'2021'!$E:$E,Category!$B$74,'2021'!$N:$N,Category!AF$1,'2021'!$D:$D,Category!$C95)</f>
        <v>0</v>
      </c>
      <c r="AG95" s="332">
        <f>SUMIFS('2021'!$I:$I,'2021'!$E:$E,Category!$B$74,'2021'!$N:$N,Category!AG$1,'2021'!$D:$D,Category!$C95)</f>
        <v>0</v>
      </c>
      <c r="AH95" s="332">
        <f>SUMIFS('2021'!$I:$I,'2021'!$E:$E,Category!$B$74,'2021'!$N:$N,Category!AH$1,'2021'!$D:$D,Category!$C95)</f>
        <v>0</v>
      </c>
      <c r="AI95" s="332">
        <f>SUMIFS('2021'!$I:$I,'2021'!$E:$E,Category!$B$74,'2021'!$N:$N,Category!AI$1,'2021'!$D:$D,Category!$C95)</f>
        <v>0</v>
      </c>
      <c r="AJ95" s="332">
        <f>SUMIFS('2021'!$I:$I,'2021'!$E:$E,Category!$B$74,'2021'!$N:$N,Category!AJ$1,'2021'!$D:$D,Category!$C95)</f>
        <v>0</v>
      </c>
      <c r="AK95" s="332">
        <f>SUMIFS('2021'!$I:$I,'2021'!$E:$E,Category!$B$74,'2021'!$N:$N,Category!AK$1,'2021'!$D:$D,Category!$C95)</f>
        <v>0</v>
      </c>
      <c r="AL95" s="333">
        <f t="shared" si="33"/>
        <v>0</v>
      </c>
      <c r="AM95" s="501">
        <f>IFERROR(VLOOKUP(C95,'2022'!$D:$G,4,0),0)</f>
        <v>0</v>
      </c>
      <c r="AN95" s="332">
        <f>SUMIFS('2022'!$I:$I,'2022'!$E:$E,Category!$B$74,'2022'!$N:$N,Category!AN$1,'2022'!$D:$D,Category!$C95)</f>
        <v>0</v>
      </c>
      <c r="AO95" s="332">
        <f>SUMIFS('2022'!$I:$I,'2022'!$E:$E,Category!$B$74,'2022'!$N:$N,Category!AO$1,'2022'!$D:$D,Category!$C95)</f>
        <v>0</v>
      </c>
      <c r="AP95" s="332">
        <f>SUMIFS('2022'!$I:$I,'2022'!$E:$E,Category!$B$74,'2022'!$N:$N,Category!AP$1,'2022'!$D:$D,Category!$C95)</f>
        <v>0</v>
      </c>
      <c r="AQ95" s="332">
        <f>SUMIFS('2022'!$I:$I,'2022'!$E:$E,Category!$B$74,'2022'!$N:$N,Category!AQ$1,'2022'!$D:$D,Category!$C95)</f>
        <v>0</v>
      </c>
      <c r="AR95" s="332">
        <f>SUMIFS('2022'!$I:$I,'2022'!$E:$E,Category!$B$74,'2022'!$N:$N,Category!AR$1,'2022'!$D:$D,Category!$C95)</f>
        <v>0</v>
      </c>
      <c r="AS95" s="332">
        <f>SUMIFS('2022'!$I:$I,'2022'!$E:$E,Category!$B$74,'2022'!$N:$N,Category!AS$1,'2022'!$D:$D,Category!$C95)</f>
        <v>0</v>
      </c>
      <c r="AT95" s="332">
        <f>SUMIFS('2022'!$I:$I,'2022'!$E:$E,Category!$B$74,'2022'!$N:$N,Category!AT$1,'2022'!$D:$D,Category!$C95)</f>
        <v>0</v>
      </c>
      <c r="AU95" s="332">
        <f>SUMIFS('2022'!$I:$I,'2022'!$E:$E,Category!$B$74,'2022'!$N:$N,Category!AU$1,'2022'!$D:$D,Category!$C95)</f>
        <v>0</v>
      </c>
      <c r="AV95" s="332">
        <f>SUMIFS('2022'!$I:$I,'2022'!$E:$E,Category!$B$74,'2022'!$N:$N,Category!AV$1,'2022'!$D:$D,Category!$C95)</f>
        <v>30000000</v>
      </c>
      <c r="AW95" s="332">
        <f>SUMIFS('2022'!$I:$I,'2022'!$E:$E,Category!$B$74,'2022'!$N:$N,Category!AW$1,'2022'!$D:$D,Category!$C95)</f>
        <v>0</v>
      </c>
      <c r="AX95" s="332">
        <f>SUMIFS('2022'!$I:$I,'2022'!$E:$E,Category!$B$74,'2022'!$N:$N,Category!AX$1,'2022'!$D:$D,Category!$C95)</f>
        <v>0</v>
      </c>
      <c r="AY95" s="332">
        <f>SUMIFS('2022'!$I:$I,'2022'!$E:$E,Category!$B$74,'2022'!$N:$N,Category!AY$1,'2022'!$D:$D,Category!$C95)</f>
        <v>0</v>
      </c>
      <c r="AZ95" s="333">
        <f t="shared" si="31"/>
        <v>30000000</v>
      </c>
      <c r="BA95" s="1036">
        <f>IFERROR(VLOOKUP(C95,'2023'!$D:$G,4,0),0)</f>
        <v>0</v>
      </c>
      <c r="BB95" s="332">
        <f>SUMIFS('2023'!$I:$I,'2023'!$E:$E,Category!$B$74,'2023'!$N:$N,Category!BB$1,'2023'!$D:$D,Category!$C95)</f>
        <v>0</v>
      </c>
      <c r="BC95" s="332">
        <f>SUMIFS('2023'!$I:$I,'2023'!$E:$E,Category!$B$74,'2023'!$N:$N,Category!BC$1,'2023'!$D:$D,Category!$C95)</f>
        <v>0</v>
      </c>
      <c r="BD95" s="332">
        <f>SUMIFS('2023'!$I:$I,'2023'!$E:$E,Category!$B$74,'2023'!$N:$N,Category!BD$1,'2023'!$D:$D,Category!$C95)</f>
        <v>0</v>
      </c>
      <c r="BE95" s="332">
        <f>SUMIFS('2023'!$I:$I,'2023'!$E:$E,Category!$B$74,'2023'!$N:$N,Category!BE$1,'2023'!$D:$D,Category!$C95)</f>
        <v>0</v>
      </c>
      <c r="BF95" s="332">
        <f>SUMIFS('2023'!$I:$I,'2023'!$E:$E,Category!$B$74,'2023'!$N:$N,Category!BF$1,'2023'!$D:$D,Category!$C95)</f>
        <v>0</v>
      </c>
      <c r="BG95" s="332">
        <f>SUMIFS('2023'!$I:$I,'2023'!$E:$E,Category!$B$74,'2023'!$N:$N,Category!BG$1,'2023'!$D:$D,Category!$C95)</f>
        <v>0</v>
      </c>
      <c r="BH95" s="332">
        <f>SUMIFS('2023'!$I:$I,'2023'!$E:$E,Category!$B$74,'2023'!$N:$N,Category!BH$1,'2023'!$D:$D,Category!$C95)</f>
        <v>0</v>
      </c>
      <c r="BI95" s="332">
        <f>SUMIFS('2023'!$I:$I,'2023'!$E:$E,Category!$B$74,'2023'!$N:$N,Category!BI$1,'2023'!$D:$D,Category!$C95)</f>
        <v>0</v>
      </c>
      <c r="BJ95" s="332">
        <f>SUMIFS('2023'!$I:$I,'2023'!$E:$E,Category!$B$74,'2023'!$N:$N,Category!BJ$1,'2023'!$D:$D,Category!$C95)</f>
        <v>0</v>
      </c>
      <c r="BK95" s="332">
        <f>SUMIFS('2023'!$I:$I,'2023'!$E:$E,Category!$B$74,'2023'!$N:$N,Category!BK$1,'2023'!$D:$D,Category!$C95)</f>
        <v>0</v>
      </c>
      <c r="BL95" s="332">
        <f>SUMIFS('2023'!$I:$I,'2023'!$E:$E,Category!$B$74,'2023'!$N:$N,Category!BL$1,'2023'!$D:$D,Category!$C95)</f>
        <v>0</v>
      </c>
      <c r="BM95" s="332">
        <f>SUMIFS('2023'!$I:$I,'2023'!$E:$E,Category!$B$74,'2023'!$N:$N,Category!BM$1,'2023'!$D:$D,Category!$C95)</f>
        <v>0</v>
      </c>
      <c r="BN95" s="333">
        <f t="shared" si="32"/>
        <v>0</v>
      </c>
    </row>
    <row r="96" spans="1:66" ht="59.25" x14ac:dyDescent="0.3">
      <c r="A96" s="330"/>
      <c r="B96" s="331"/>
      <c r="C96" s="331" t="s">
        <v>1622</v>
      </c>
      <c r="D96" s="519">
        <f>IFERROR(VLOOKUP($C96,'2019'!$D:$G,4,0),0)</f>
        <v>0</v>
      </c>
      <c r="E96" s="332">
        <f>SUMIFS('2019'!$I:$I,'2019'!$E:$E,Category!$B$74,'2019'!$N:$N,Category!E$1,'2019'!$D:$D,Category!$C96)</f>
        <v>0</v>
      </c>
      <c r="F96" s="332">
        <f>SUMIFS('2019'!$I:$I,'2019'!$E:$E,Category!$B$74,'2019'!$N:$N,Category!F$1,'2019'!$D:$D,Category!$C96)</f>
        <v>0</v>
      </c>
      <c r="G96" s="332">
        <f>SUMIFS('2019'!$I:$I,'2019'!$E:$E,Category!$B$74,'2019'!$N:$N,Category!G$1,'2019'!$D:$D,Category!$C96)</f>
        <v>0</v>
      </c>
      <c r="H96" s="332">
        <f>SUMIFS('2019'!$I:$I,'2019'!$E:$E,Category!$B$74,'2019'!$N:$N,Category!H$1,'2019'!$D:$D,Category!$C96)</f>
        <v>0</v>
      </c>
      <c r="I96" s="332">
        <f>SUMIFS('2019'!$I:$I,'2019'!$E:$E,Category!$B$74,'2019'!$N:$N,Category!I$1,'2019'!$D:$D,Category!$C96)</f>
        <v>0</v>
      </c>
      <c r="J96" s="333">
        <f t="shared" si="29"/>
        <v>0</v>
      </c>
      <c r="K96" s="501">
        <f>IFERROR(VLOOKUP($C96,'2020'!$D:$G,4,0),0)</f>
        <v>0</v>
      </c>
      <c r="L96" s="332">
        <f>SUMIFS('2020'!$I:$I,'2020'!$E:$E,Category!$B$74,'2020'!$N:$N,Category!L$1,'2020'!$D:$D,Category!$C96)</f>
        <v>0</v>
      </c>
      <c r="M96" s="332">
        <f>SUMIFS('2020'!$I:$I,'2020'!$E:$E,Category!$B$74,'2020'!$N:$N,Category!M$1,'2020'!$D:$D,Category!$C96)</f>
        <v>0</v>
      </c>
      <c r="N96" s="332">
        <f>SUMIFS('2020'!$I:$I,'2020'!$E:$E,Category!$B$74,'2020'!$N:$N,Category!N$1,'2020'!$D:$D,Category!$C96)</f>
        <v>0</v>
      </c>
      <c r="O96" s="332">
        <f>SUMIFS('2020'!$I:$I,'2020'!$E:$E,Category!$B$74,'2020'!$N:$N,Category!O$1,'2020'!$D:$D,Category!$C96)</f>
        <v>0</v>
      </c>
      <c r="P96" s="332">
        <f>SUMIFS('2020'!$I:$I,'2020'!$E:$E,Category!$B$74,'2020'!$N:$N,Category!P$1,'2020'!$D:$D,Category!$C96)</f>
        <v>0</v>
      </c>
      <c r="Q96" s="332">
        <f>SUMIFS('2020'!$I:$I,'2020'!$E:$E,Category!$B$74,'2020'!$N:$N,Category!Q$1,'2020'!$D:$D,Category!$C96)</f>
        <v>0</v>
      </c>
      <c r="R96" s="332">
        <f>SUMIFS('2020'!$I:$I,'2020'!$E:$E,Category!$B$74,'2020'!$N:$N,Category!R$1,'2020'!$D:$D,Category!$C96)</f>
        <v>0</v>
      </c>
      <c r="S96" s="332">
        <f>SUMIFS('2020'!$I:$I,'2020'!$E:$E,Category!$B$74,'2020'!$N:$N,Category!S$1,'2020'!$D:$D,Category!$C96)</f>
        <v>0</v>
      </c>
      <c r="T96" s="332">
        <f>SUMIFS('2020'!$I:$I,'2020'!$E:$E,Category!$B$74,'2020'!$N:$N,Category!T$1,'2020'!$D:$D,Category!$C96)</f>
        <v>0</v>
      </c>
      <c r="U96" s="332">
        <f>SUMIFS('2020'!$I:$I,'2020'!$E:$E,Category!$B$74,'2020'!$N:$N,Category!U$1,'2020'!$D:$D,Category!$C96)</f>
        <v>0</v>
      </c>
      <c r="V96" s="332">
        <f>SUMIFS('2020'!$I:$I,'2020'!$E:$E,Category!$B$74,'2020'!$N:$N,Category!V$1,'2020'!$D:$D,Category!$C96)</f>
        <v>0</v>
      </c>
      <c r="W96" s="332">
        <f>SUMIFS('2020'!$I:$I,'2020'!$E:$E,Category!$B$74,'2020'!$N:$N,Category!W$1,'2020'!$D:$D,Category!$C96)</f>
        <v>0</v>
      </c>
      <c r="X96" s="333">
        <f t="shared" si="30"/>
        <v>0</v>
      </c>
      <c r="Y96" s="501">
        <f>IFERROR(VLOOKUP(C96,'2021'!$D:$G,4,0),0)</f>
        <v>0</v>
      </c>
      <c r="Z96" s="332">
        <f>SUMIFS('2021'!$I:$I,'2021'!$E:$E,Category!$B$74,'2021'!$N:$N,Category!Z$1,'2021'!$D:$D,Category!$C96)</f>
        <v>0</v>
      </c>
      <c r="AA96" s="332">
        <f>SUMIFS('2021'!$I:$I,'2021'!$E:$E,Category!$B$74,'2021'!$N:$N,Category!AA$1,'2021'!$D:$D,Category!$C96)</f>
        <v>0</v>
      </c>
      <c r="AB96" s="332">
        <f>SUMIFS('2021'!$I:$I,'2021'!$E:$E,Category!$B$74,'2021'!$N:$N,Category!AB$1,'2021'!$D:$D,Category!$C96)</f>
        <v>0</v>
      </c>
      <c r="AC96" s="332">
        <f>SUMIFS('2021'!$I:$I,'2021'!$E:$E,Category!$B$74,'2021'!$N:$N,Category!AC$1,'2021'!$D:$D,Category!$C96)</f>
        <v>0</v>
      </c>
      <c r="AD96" s="332">
        <f>SUMIFS('2021'!$I:$I,'2021'!$E:$E,Category!$B$74,'2021'!$N:$N,Category!AD$1,'2021'!$D:$D,Category!$C96)</f>
        <v>0</v>
      </c>
      <c r="AE96" s="332">
        <f>SUMIFS('2021'!$I:$I,'2021'!$E:$E,Category!$B$74,'2021'!$N:$N,Category!AE$1,'2021'!$D:$D,Category!$C96)</f>
        <v>0</v>
      </c>
      <c r="AF96" s="332">
        <f>SUMIFS('2021'!$I:$I,'2021'!$E:$E,Category!$B$74,'2021'!$N:$N,Category!AF$1,'2021'!$D:$D,Category!$C96)</f>
        <v>0</v>
      </c>
      <c r="AG96" s="332">
        <f>SUMIFS('2021'!$I:$I,'2021'!$E:$E,Category!$B$74,'2021'!$N:$N,Category!AG$1,'2021'!$D:$D,Category!$C96)</f>
        <v>0</v>
      </c>
      <c r="AH96" s="332">
        <f>SUMIFS('2021'!$I:$I,'2021'!$E:$E,Category!$B$74,'2021'!$N:$N,Category!AH$1,'2021'!$D:$D,Category!$C96)</f>
        <v>0</v>
      </c>
      <c r="AI96" s="332">
        <f>SUMIFS('2021'!$I:$I,'2021'!$E:$E,Category!$B$74,'2021'!$N:$N,Category!AI$1,'2021'!$D:$D,Category!$C96)</f>
        <v>0</v>
      </c>
      <c r="AJ96" s="332">
        <f>SUMIFS('2021'!$I:$I,'2021'!$E:$E,Category!$B$74,'2021'!$N:$N,Category!AJ$1,'2021'!$D:$D,Category!$C96)</f>
        <v>0</v>
      </c>
      <c r="AK96" s="332">
        <f>SUMIFS('2021'!$I:$I,'2021'!$E:$E,Category!$B$74,'2021'!$N:$N,Category!AK$1,'2021'!$D:$D,Category!$C96)</f>
        <v>0</v>
      </c>
      <c r="AL96" s="333">
        <f t="shared" si="33"/>
        <v>0</v>
      </c>
      <c r="AM96" s="501">
        <f>IFERROR(VLOOKUP(C96,'2022'!$D:$G,4,0),0)</f>
        <v>0</v>
      </c>
      <c r="AN96" s="332">
        <f>SUMIFS('2022'!$I:$I,'2022'!$E:$E,Category!$B$74,'2022'!$N:$N,Category!AN$1,'2022'!$D:$D,Category!$C96)</f>
        <v>0</v>
      </c>
      <c r="AO96" s="332">
        <f>SUMIFS('2022'!$I:$I,'2022'!$E:$E,Category!$B$74,'2022'!$N:$N,Category!AO$1,'2022'!$D:$D,Category!$C96)</f>
        <v>0</v>
      </c>
      <c r="AP96" s="332">
        <f>SUMIFS('2022'!$I:$I,'2022'!$E:$E,Category!$B$74,'2022'!$N:$N,Category!AP$1,'2022'!$D:$D,Category!$C96)</f>
        <v>0</v>
      </c>
      <c r="AQ96" s="332">
        <f>SUMIFS('2022'!$I:$I,'2022'!$E:$E,Category!$B$74,'2022'!$N:$N,Category!AQ$1,'2022'!$D:$D,Category!$C96)</f>
        <v>0</v>
      </c>
      <c r="AR96" s="332">
        <f>SUMIFS('2022'!$I:$I,'2022'!$E:$E,Category!$B$74,'2022'!$N:$N,Category!AR$1,'2022'!$D:$D,Category!$C96)</f>
        <v>0</v>
      </c>
      <c r="AS96" s="332">
        <f>SUMIFS('2022'!$I:$I,'2022'!$E:$E,Category!$B$74,'2022'!$N:$N,Category!AS$1,'2022'!$D:$D,Category!$C96)</f>
        <v>0</v>
      </c>
      <c r="AT96" s="332">
        <f>SUMIFS('2022'!$I:$I,'2022'!$E:$E,Category!$B$74,'2022'!$N:$N,Category!AT$1,'2022'!$D:$D,Category!$C96)</f>
        <v>0</v>
      </c>
      <c r="AU96" s="332">
        <f>SUMIFS('2022'!$I:$I,'2022'!$E:$E,Category!$B$74,'2022'!$N:$N,Category!AU$1,'2022'!$D:$D,Category!$C96)</f>
        <v>0</v>
      </c>
      <c r="AV96" s="332">
        <f>SUMIFS('2022'!$I:$I,'2022'!$E:$E,Category!$B$74,'2022'!$N:$N,Category!AV$1,'2022'!$D:$D,Category!$C96)</f>
        <v>0</v>
      </c>
      <c r="AW96" s="332">
        <f>SUMIFS('2022'!$I:$I,'2022'!$E:$E,Category!$B$74,'2022'!$N:$N,Category!AW$1,'2022'!$D:$D,Category!$C96)</f>
        <v>30000000</v>
      </c>
      <c r="AX96" s="332">
        <f>SUMIFS('2022'!$I:$I,'2022'!$E:$E,Category!$B$74,'2022'!$N:$N,Category!AX$1,'2022'!$D:$D,Category!$C96)</f>
        <v>0</v>
      </c>
      <c r="AY96" s="332">
        <f>SUMIFS('2022'!$I:$I,'2022'!$E:$E,Category!$B$74,'2022'!$N:$N,Category!AY$1,'2022'!$D:$D,Category!$C96)</f>
        <v>0</v>
      </c>
      <c r="AZ96" s="333">
        <f t="shared" si="31"/>
        <v>30000000</v>
      </c>
      <c r="BA96" s="1036">
        <f>IFERROR(VLOOKUP(C96,'2023'!$D:$G,4,0),0)</f>
        <v>0</v>
      </c>
      <c r="BB96" s="332">
        <f>SUMIFS('2023'!$I:$I,'2023'!$E:$E,Category!$B$74,'2023'!$N:$N,Category!BB$1,'2023'!$D:$D,Category!$C96)</f>
        <v>0</v>
      </c>
      <c r="BC96" s="332">
        <f>SUMIFS('2023'!$I:$I,'2023'!$E:$E,Category!$B$74,'2023'!$N:$N,Category!BC$1,'2023'!$D:$D,Category!$C96)</f>
        <v>0</v>
      </c>
      <c r="BD96" s="332">
        <f>SUMIFS('2023'!$I:$I,'2023'!$E:$E,Category!$B$74,'2023'!$N:$N,Category!BD$1,'2023'!$D:$D,Category!$C96)</f>
        <v>0</v>
      </c>
      <c r="BE96" s="332">
        <f>SUMIFS('2023'!$I:$I,'2023'!$E:$E,Category!$B$74,'2023'!$N:$N,Category!BE$1,'2023'!$D:$D,Category!$C96)</f>
        <v>0</v>
      </c>
      <c r="BF96" s="332">
        <f>SUMIFS('2023'!$I:$I,'2023'!$E:$E,Category!$B$74,'2023'!$N:$N,Category!BF$1,'2023'!$D:$D,Category!$C96)</f>
        <v>0</v>
      </c>
      <c r="BG96" s="332">
        <f>SUMIFS('2023'!$I:$I,'2023'!$E:$E,Category!$B$74,'2023'!$N:$N,Category!BG$1,'2023'!$D:$D,Category!$C96)</f>
        <v>0</v>
      </c>
      <c r="BH96" s="332">
        <f>SUMIFS('2023'!$I:$I,'2023'!$E:$E,Category!$B$74,'2023'!$N:$N,Category!BH$1,'2023'!$D:$D,Category!$C96)</f>
        <v>0</v>
      </c>
      <c r="BI96" s="332">
        <f>SUMIFS('2023'!$I:$I,'2023'!$E:$E,Category!$B$74,'2023'!$N:$N,Category!BI$1,'2023'!$D:$D,Category!$C96)</f>
        <v>0</v>
      </c>
      <c r="BJ96" s="332">
        <f>SUMIFS('2023'!$I:$I,'2023'!$E:$E,Category!$B$74,'2023'!$N:$N,Category!BJ$1,'2023'!$D:$D,Category!$C96)</f>
        <v>0</v>
      </c>
      <c r="BK96" s="332">
        <f>SUMIFS('2023'!$I:$I,'2023'!$E:$E,Category!$B$74,'2023'!$N:$N,Category!BK$1,'2023'!$D:$D,Category!$C96)</f>
        <v>0</v>
      </c>
      <c r="BL96" s="332">
        <f>SUMIFS('2023'!$I:$I,'2023'!$E:$E,Category!$B$74,'2023'!$N:$N,Category!BL$1,'2023'!$D:$D,Category!$C96)</f>
        <v>0</v>
      </c>
      <c r="BM96" s="332">
        <f>SUMIFS('2023'!$I:$I,'2023'!$E:$E,Category!$B$74,'2023'!$N:$N,Category!BM$1,'2023'!$D:$D,Category!$C96)</f>
        <v>0</v>
      </c>
      <c r="BN96" s="333">
        <f t="shared" si="32"/>
        <v>0</v>
      </c>
    </row>
    <row r="97" spans="1:66" ht="39.75" x14ac:dyDescent="0.3">
      <c r="A97" s="330"/>
      <c r="B97" s="331"/>
      <c r="C97" s="331" t="s">
        <v>1705</v>
      </c>
      <c r="D97" s="519">
        <f>IFERROR(VLOOKUP($C97,'2019'!$D:$G,4,0),0)</f>
        <v>0</v>
      </c>
      <c r="E97" s="332">
        <f>SUMIFS('2019'!$I:$I,'2019'!$E:$E,Category!$B$74,'2019'!$N:$N,Category!E$1,'2019'!$D:$D,Category!$C97)</f>
        <v>0</v>
      </c>
      <c r="F97" s="332">
        <f>SUMIFS('2019'!$I:$I,'2019'!$E:$E,Category!$B$74,'2019'!$N:$N,Category!F$1,'2019'!$D:$D,Category!$C97)</f>
        <v>0</v>
      </c>
      <c r="G97" s="332">
        <f>SUMIFS('2019'!$I:$I,'2019'!$E:$E,Category!$B$74,'2019'!$N:$N,Category!G$1,'2019'!$D:$D,Category!$C97)</f>
        <v>0</v>
      </c>
      <c r="H97" s="332">
        <f>SUMIFS('2019'!$I:$I,'2019'!$E:$E,Category!$B$74,'2019'!$N:$N,Category!H$1,'2019'!$D:$D,Category!$C97)</f>
        <v>0</v>
      </c>
      <c r="I97" s="332">
        <f>SUMIFS('2019'!$I:$I,'2019'!$E:$E,Category!$B$74,'2019'!$N:$N,Category!I$1,'2019'!$D:$D,Category!$C97)</f>
        <v>0</v>
      </c>
      <c r="J97" s="333">
        <f t="shared" ref="J97:J102" si="34">SUM(E97:I97)</f>
        <v>0</v>
      </c>
      <c r="K97" s="501">
        <f>IFERROR(VLOOKUP($C97,'2020'!$D:$G,4,0),0)</f>
        <v>0</v>
      </c>
      <c r="L97" s="332">
        <f>SUMIFS('2020'!$I:$I,'2020'!$E:$E,Category!$B$74,'2020'!$N:$N,Category!L$1,'2020'!$D:$D,Category!$C97)</f>
        <v>0</v>
      </c>
      <c r="M97" s="332">
        <f>SUMIFS('2020'!$I:$I,'2020'!$E:$E,Category!$B$74,'2020'!$N:$N,Category!M$1,'2020'!$D:$D,Category!$C97)</f>
        <v>0</v>
      </c>
      <c r="N97" s="332">
        <f>SUMIFS('2020'!$I:$I,'2020'!$E:$E,Category!$B$74,'2020'!$N:$N,Category!N$1,'2020'!$D:$D,Category!$C97)</f>
        <v>0</v>
      </c>
      <c r="O97" s="332">
        <f>SUMIFS('2020'!$I:$I,'2020'!$E:$E,Category!$B$74,'2020'!$N:$N,Category!O$1,'2020'!$D:$D,Category!$C97)</f>
        <v>0</v>
      </c>
      <c r="P97" s="332">
        <f>SUMIFS('2020'!$I:$I,'2020'!$E:$E,Category!$B$74,'2020'!$N:$N,Category!P$1,'2020'!$D:$D,Category!$C97)</f>
        <v>0</v>
      </c>
      <c r="Q97" s="332">
        <f>SUMIFS('2020'!$I:$I,'2020'!$E:$E,Category!$B$74,'2020'!$N:$N,Category!Q$1,'2020'!$D:$D,Category!$C97)</f>
        <v>0</v>
      </c>
      <c r="R97" s="332">
        <f>SUMIFS('2020'!$I:$I,'2020'!$E:$E,Category!$B$74,'2020'!$N:$N,Category!R$1,'2020'!$D:$D,Category!$C97)</f>
        <v>0</v>
      </c>
      <c r="S97" s="332">
        <f>SUMIFS('2020'!$I:$I,'2020'!$E:$E,Category!$B$74,'2020'!$N:$N,Category!S$1,'2020'!$D:$D,Category!$C97)</f>
        <v>0</v>
      </c>
      <c r="T97" s="332">
        <f>SUMIFS('2020'!$I:$I,'2020'!$E:$E,Category!$B$74,'2020'!$N:$N,Category!T$1,'2020'!$D:$D,Category!$C97)</f>
        <v>0</v>
      </c>
      <c r="U97" s="332">
        <f>SUMIFS('2020'!$I:$I,'2020'!$E:$E,Category!$B$74,'2020'!$N:$N,Category!U$1,'2020'!$D:$D,Category!$C97)</f>
        <v>0</v>
      </c>
      <c r="V97" s="332">
        <f>SUMIFS('2020'!$I:$I,'2020'!$E:$E,Category!$B$74,'2020'!$N:$N,Category!V$1,'2020'!$D:$D,Category!$C97)</f>
        <v>0</v>
      </c>
      <c r="W97" s="332">
        <f>SUMIFS('2020'!$I:$I,'2020'!$E:$E,Category!$B$74,'2020'!$N:$N,Category!W$1,'2020'!$D:$D,Category!$C97)</f>
        <v>0</v>
      </c>
      <c r="X97" s="333">
        <f t="shared" si="30"/>
        <v>0</v>
      </c>
      <c r="Y97" s="501">
        <f>IFERROR(VLOOKUP(C97,'2021'!$D:$G,4,0),0)</f>
        <v>0</v>
      </c>
      <c r="Z97" s="332">
        <f>SUMIFS('2021'!$I:$I,'2021'!$E:$E,Category!$B$74,'2021'!$N:$N,Category!Z$1,'2021'!$D:$D,Category!$C97)</f>
        <v>0</v>
      </c>
      <c r="AA97" s="332">
        <f>SUMIFS('2021'!$I:$I,'2021'!$E:$E,Category!$B$74,'2021'!$N:$N,Category!AA$1,'2021'!$D:$D,Category!$C97)</f>
        <v>0</v>
      </c>
      <c r="AB97" s="332">
        <f>SUMIFS('2021'!$I:$I,'2021'!$E:$E,Category!$B$74,'2021'!$N:$N,Category!AB$1,'2021'!$D:$D,Category!$C97)</f>
        <v>0</v>
      </c>
      <c r="AC97" s="332">
        <f>SUMIFS('2021'!$I:$I,'2021'!$E:$E,Category!$B$74,'2021'!$N:$N,Category!AC$1,'2021'!$D:$D,Category!$C97)</f>
        <v>0</v>
      </c>
      <c r="AD97" s="332">
        <f>SUMIFS('2021'!$I:$I,'2021'!$E:$E,Category!$B$74,'2021'!$N:$N,Category!AD$1,'2021'!$D:$D,Category!$C97)</f>
        <v>0</v>
      </c>
      <c r="AE97" s="332">
        <f>SUMIFS('2021'!$I:$I,'2021'!$E:$E,Category!$B$74,'2021'!$N:$N,Category!AE$1,'2021'!$D:$D,Category!$C97)</f>
        <v>0</v>
      </c>
      <c r="AF97" s="332">
        <f>SUMIFS('2021'!$I:$I,'2021'!$E:$E,Category!$B$74,'2021'!$N:$N,Category!AF$1,'2021'!$D:$D,Category!$C97)</f>
        <v>0</v>
      </c>
      <c r="AG97" s="332">
        <f>SUMIFS('2021'!$I:$I,'2021'!$E:$E,Category!$B$74,'2021'!$N:$N,Category!AG$1,'2021'!$D:$D,Category!$C97)</f>
        <v>0</v>
      </c>
      <c r="AH97" s="332">
        <f>SUMIFS('2021'!$I:$I,'2021'!$E:$E,Category!$B$74,'2021'!$N:$N,Category!AH$1,'2021'!$D:$D,Category!$C97)</f>
        <v>0</v>
      </c>
      <c r="AI97" s="332">
        <f>SUMIFS('2021'!$I:$I,'2021'!$E:$E,Category!$B$74,'2021'!$N:$N,Category!AI$1,'2021'!$D:$D,Category!$C97)</f>
        <v>0</v>
      </c>
      <c r="AJ97" s="332">
        <f>SUMIFS('2021'!$I:$I,'2021'!$E:$E,Category!$B$74,'2021'!$N:$N,Category!AJ$1,'2021'!$D:$D,Category!$C97)</f>
        <v>0</v>
      </c>
      <c r="AK97" s="332">
        <f>SUMIFS('2021'!$I:$I,'2021'!$E:$E,Category!$B$74,'2021'!$N:$N,Category!AK$1,'2021'!$D:$D,Category!$C97)</f>
        <v>0</v>
      </c>
      <c r="AL97" s="333">
        <f t="shared" si="33"/>
        <v>0</v>
      </c>
      <c r="AM97" s="501">
        <f>IFERROR(VLOOKUP(C97,'2022'!$D:$G,4,0),0)</f>
        <v>0</v>
      </c>
      <c r="AN97" s="332">
        <f>SUMIFS('2022'!$I:$I,'2022'!$E:$E,Category!$B$74,'2022'!$N:$N,Category!AN$1,'2022'!$D:$D,Category!$C97)</f>
        <v>0</v>
      </c>
      <c r="AO97" s="332">
        <f>SUMIFS('2022'!$I:$I,'2022'!$E:$E,Category!$B$74,'2022'!$N:$N,Category!AO$1,'2022'!$D:$D,Category!$C97)</f>
        <v>0</v>
      </c>
      <c r="AP97" s="332">
        <f>SUMIFS('2022'!$I:$I,'2022'!$E:$E,Category!$B$74,'2022'!$N:$N,Category!AP$1,'2022'!$D:$D,Category!$C97)</f>
        <v>0</v>
      </c>
      <c r="AQ97" s="332">
        <f>SUMIFS('2022'!$I:$I,'2022'!$E:$E,Category!$B$74,'2022'!$N:$N,Category!AQ$1,'2022'!$D:$D,Category!$C97)</f>
        <v>0</v>
      </c>
      <c r="AR97" s="332">
        <f>SUMIFS('2022'!$I:$I,'2022'!$E:$E,Category!$B$74,'2022'!$N:$N,Category!AR$1,'2022'!$D:$D,Category!$C97)</f>
        <v>0</v>
      </c>
      <c r="AS97" s="332">
        <f>SUMIFS('2022'!$I:$I,'2022'!$E:$E,Category!$B$74,'2022'!$N:$N,Category!AS$1,'2022'!$D:$D,Category!$C97)</f>
        <v>0</v>
      </c>
      <c r="AT97" s="332">
        <f>SUMIFS('2022'!$I:$I,'2022'!$E:$E,Category!$B$74,'2022'!$N:$N,Category!AT$1,'2022'!$D:$D,Category!$C97)</f>
        <v>0</v>
      </c>
      <c r="AU97" s="332">
        <f>SUMIFS('2022'!$I:$I,'2022'!$E:$E,Category!$B$74,'2022'!$N:$N,Category!AU$1,'2022'!$D:$D,Category!$C97)</f>
        <v>0</v>
      </c>
      <c r="AV97" s="332">
        <f>SUMIFS('2022'!$I:$I,'2022'!$E:$E,Category!$B$74,'2022'!$N:$N,Category!AV$1,'2022'!$D:$D,Category!$C97)</f>
        <v>0</v>
      </c>
      <c r="AW97" s="332">
        <f>SUMIFS('2022'!$I:$I,'2022'!$E:$E,Category!$B$74,'2022'!$N:$N,Category!AW$1,'2022'!$D:$D,Category!$C97)</f>
        <v>0</v>
      </c>
      <c r="AX97" s="332">
        <f>SUMIFS('2022'!$I:$I,'2022'!$E:$E,Category!$B$74,'2022'!$N:$N,Category!AX$1,'2022'!$D:$D,Category!$C97)</f>
        <v>7315000</v>
      </c>
      <c r="AY97" s="332">
        <f>SUMIFS('2022'!$I:$I,'2022'!$E:$E,Category!$B$74,'2022'!$N:$N,Category!AY$1,'2022'!$D:$D,Category!$C97)</f>
        <v>0</v>
      </c>
      <c r="AZ97" s="333">
        <f t="shared" si="31"/>
        <v>7315000</v>
      </c>
      <c r="BA97" s="1036">
        <f>IFERROR(VLOOKUP(C97,'2023'!$D:$G,4,0),0)</f>
        <v>0</v>
      </c>
      <c r="BB97" s="332">
        <f>SUMIFS('2023'!$I:$I,'2023'!$E:$E,Category!$B$74,'2023'!$N:$N,Category!BB$1,'2023'!$D:$D,Category!$C97)</f>
        <v>0</v>
      </c>
      <c r="BC97" s="332">
        <f>SUMIFS('2023'!$I:$I,'2023'!$E:$E,Category!$B$74,'2023'!$N:$N,Category!BC$1,'2023'!$D:$D,Category!$C97)</f>
        <v>0</v>
      </c>
      <c r="BD97" s="332">
        <f>SUMIFS('2023'!$I:$I,'2023'!$E:$E,Category!$B$74,'2023'!$N:$N,Category!BD$1,'2023'!$D:$D,Category!$C97)</f>
        <v>0</v>
      </c>
      <c r="BE97" s="332">
        <f>SUMIFS('2023'!$I:$I,'2023'!$E:$E,Category!$B$74,'2023'!$N:$N,Category!BE$1,'2023'!$D:$D,Category!$C97)</f>
        <v>0</v>
      </c>
      <c r="BF97" s="332">
        <f>SUMIFS('2023'!$I:$I,'2023'!$E:$E,Category!$B$74,'2023'!$N:$N,Category!BF$1,'2023'!$D:$D,Category!$C97)</f>
        <v>0</v>
      </c>
      <c r="BG97" s="332">
        <f>SUMIFS('2023'!$I:$I,'2023'!$E:$E,Category!$B$74,'2023'!$N:$N,Category!BG$1,'2023'!$D:$D,Category!$C97)</f>
        <v>0</v>
      </c>
      <c r="BH97" s="332">
        <f>SUMIFS('2023'!$I:$I,'2023'!$E:$E,Category!$B$74,'2023'!$N:$N,Category!BH$1,'2023'!$D:$D,Category!$C97)</f>
        <v>0</v>
      </c>
      <c r="BI97" s="332">
        <f>SUMIFS('2023'!$I:$I,'2023'!$E:$E,Category!$B$74,'2023'!$N:$N,Category!BI$1,'2023'!$D:$D,Category!$C97)</f>
        <v>0</v>
      </c>
      <c r="BJ97" s="332">
        <f>SUMIFS('2023'!$I:$I,'2023'!$E:$E,Category!$B$74,'2023'!$N:$N,Category!BJ$1,'2023'!$D:$D,Category!$C97)</f>
        <v>0</v>
      </c>
      <c r="BK97" s="332">
        <f>SUMIFS('2023'!$I:$I,'2023'!$E:$E,Category!$B$74,'2023'!$N:$N,Category!BK$1,'2023'!$D:$D,Category!$C97)</f>
        <v>0</v>
      </c>
      <c r="BL97" s="332">
        <f>SUMIFS('2023'!$I:$I,'2023'!$E:$E,Category!$B$74,'2023'!$N:$N,Category!BL$1,'2023'!$D:$D,Category!$C97)</f>
        <v>0</v>
      </c>
      <c r="BM97" s="332">
        <f>SUMIFS('2023'!$I:$I,'2023'!$E:$E,Category!$B$74,'2023'!$N:$N,Category!BM$1,'2023'!$D:$D,Category!$C97)</f>
        <v>0</v>
      </c>
      <c r="BN97" s="333">
        <f t="shared" si="32"/>
        <v>0</v>
      </c>
    </row>
    <row r="98" spans="1:66" x14ac:dyDescent="0.3">
      <c r="A98" s="330"/>
      <c r="B98" s="331"/>
      <c r="C98" s="331" t="s">
        <v>2099</v>
      </c>
      <c r="D98" s="519">
        <f>IFERROR(VLOOKUP($C98,'2019'!$D:$G,4,0),0)</f>
        <v>0</v>
      </c>
      <c r="E98" s="332">
        <f>SUMIFS('2019'!$I:$I,'2019'!$E:$E,Category!$B$74,'2019'!$N:$N,Category!E$1,'2019'!$D:$D,Category!$C98)</f>
        <v>0</v>
      </c>
      <c r="F98" s="332">
        <f>SUMIFS('2019'!$I:$I,'2019'!$E:$E,Category!$B$74,'2019'!$N:$N,Category!F$1,'2019'!$D:$D,Category!$C98)</f>
        <v>0</v>
      </c>
      <c r="G98" s="332">
        <f>SUMIFS('2019'!$I:$I,'2019'!$E:$E,Category!$B$74,'2019'!$N:$N,Category!G$1,'2019'!$D:$D,Category!$C98)</f>
        <v>0</v>
      </c>
      <c r="H98" s="332">
        <f>SUMIFS('2019'!$I:$I,'2019'!$E:$E,Category!$B$74,'2019'!$N:$N,Category!H$1,'2019'!$D:$D,Category!$C98)</f>
        <v>0</v>
      </c>
      <c r="I98" s="332">
        <f>SUMIFS('2019'!$I:$I,'2019'!$E:$E,Category!$B$74,'2019'!$N:$N,Category!I$1,'2019'!$D:$D,Category!$C98)</f>
        <v>0</v>
      </c>
      <c r="J98" s="333">
        <f t="shared" si="34"/>
        <v>0</v>
      </c>
      <c r="K98" s="501">
        <f>IFERROR(VLOOKUP($C98,'2020'!$D:$G,4,0),0)</f>
        <v>0</v>
      </c>
      <c r="L98" s="332">
        <f>SUMIFS('2020'!$I:$I,'2020'!$E:$E,Category!$B$74,'2020'!$N:$N,Category!L$1,'2020'!$D:$D,Category!$C98)</f>
        <v>0</v>
      </c>
      <c r="M98" s="332">
        <f>SUMIFS('2020'!$I:$I,'2020'!$E:$E,Category!$B$74,'2020'!$N:$N,Category!M$1,'2020'!$D:$D,Category!$C98)</f>
        <v>0</v>
      </c>
      <c r="N98" s="332">
        <f>SUMIFS('2020'!$I:$I,'2020'!$E:$E,Category!$B$74,'2020'!$N:$N,Category!N$1,'2020'!$D:$D,Category!$C98)</f>
        <v>0</v>
      </c>
      <c r="O98" s="332">
        <f>SUMIFS('2020'!$I:$I,'2020'!$E:$E,Category!$B$74,'2020'!$N:$N,Category!O$1,'2020'!$D:$D,Category!$C98)</f>
        <v>0</v>
      </c>
      <c r="P98" s="332">
        <f>SUMIFS('2020'!$I:$I,'2020'!$E:$E,Category!$B$74,'2020'!$N:$N,Category!P$1,'2020'!$D:$D,Category!$C98)</f>
        <v>0</v>
      </c>
      <c r="Q98" s="332">
        <f>SUMIFS('2020'!$I:$I,'2020'!$E:$E,Category!$B$74,'2020'!$N:$N,Category!Q$1,'2020'!$D:$D,Category!$C98)</f>
        <v>0</v>
      </c>
      <c r="R98" s="332">
        <f>SUMIFS('2020'!$I:$I,'2020'!$E:$E,Category!$B$74,'2020'!$N:$N,Category!R$1,'2020'!$D:$D,Category!$C98)</f>
        <v>0</v>
      </c>
      <c r="S98" s="332">
        <f>SUMIFS('2020'!$I:$I,'2020'!$E:$E,Category!$B$74,'2020'!$N:$N,Category!S$1,'2020'!$D:$D,Category!$C98)</f>
        <v>0</v>
      </c>
      <c r="T98" s="332">
        <f>SUMIFS('2020'!$I:$I,'2020'!$E:$E,Category!$B$74,'2020'!$N:$N,Category!T$1,'2020'!$D:$D,Category!$C98)</f>
        <v>0</v>
      </c>
      <c r="U98" s="332">
        <f>SUMIFS('2020'!$I:$I,'2020'!$E:$E,Category!$B$74,'2020'!$N:$N,Category!U$1,'2020'!$D:$D,Category!$C98)</f>
        <v>0</v>
      </c>
      <c r="V98" s="332">
        <f>SUMIFS('2020'!$I:$I,'2020'!$E:$E,Category!$B$74,'2020'!$N:$N,Category!V$1,'2020'!$D:$D,Category!$C98)</f>
        <v>0</v>
      </c>
      <c r="W98" s="332">
        <f>SUMIFS('2020'!$I:$I,'2020'!$E:$E,Category!$B$74,'2020'!$N:$N,Category!W$1,'2020'!$D:$D,Category!$C98)</f>
        <v>0</v>
      </c>
      <c r="X98" s="333">
        <f t="shared" si="30"/>
        <v>0</v>
      </c>
      <c r="Y98" s="501">
        <f>IFERROR(VLOOKUP(C98,'2021'!$D:$G,4,0),0)</f>
        <v>0</v>
      </c>
      <c r="Z98" s="332">
        <f>SUMIFS('2021'!$I:$I,'2021'!$E:$E,Category!$B$74,'2021'!$N:$N,Category!Z$1,'2021'!$D:$D,Category!$C98)</f>
        <v>0</v>
      </c>
      <c r="AA98" s="332">
        <f>SUMIFS('2021'!$I:$I,'2021'!$E:$E,Category!$B$74,'2021'!$N:$N,Category!AA$1,'2021'!$D:$D,Category!$C98)</f>
        <v>0</v>
      </c>
      <c r="AB98" s="332">
        <f>SUMIFS('2021'!$I:$I,'2021'!$E:$E,Category!$B$74,'2021'!$N:$N,Category!AB$1,'2021'!$D:$D,Category!$C98)</f>
        <v>0</v>
      </c>
      <c r="AC98" s="332">
        <f>SUMIFS('2021'!$I:$I,'2021'!$E:$E,Category!$B$74,'2021'!$N:$N,Category!AC$1,'2021'!$D:$D,Category!$C98)</f>
        <v>0</v>
      </c>
      <c r="AD98" s="332">
        <f>SUMIFS('2021'!$I:$I,'2021'!$E:$E,Category!$B$74,'2021'!$N:$N,Category!AD$1,'2021'!$D:$D,Category!$C98)</f>
        <v>0</v>
      </c>
      <c r="AE98" s="332">
        <f>SUMIFS('2021'!$I:$I,'2021'!$E:$E,Category!$B$74,'2021'!$N:$N,Category!AE$1,'2021'!$D:$D,Category!$C98)</f>
        <v>0</v>
      </c>
      <c r="AF98" s="332">
        <f>SUMIFS('2021'!$I:$I,'2021'!$E:$E,Category!$B$74,'2021'!$N:$N,Category!AF$1,'2021'!$D:$D,Category!$C98)</f>
        <v>0</v>
      </c>
      <c r="AG98" s="332">
        <f>SUMIFS('2021'!$I:$I,'2021'!$E:$E,Category!$B$74,'2021'!$N:$N,Category!AG$1,'2021'!$D:$D,Category!$C98)</f>
        <v>0</v>
      </c>
      <c r="AH98" s="332">
        <f>SUMIFS('2021'!$I:$I,'2021'!$E:$E,Category!$B$74,'2021'!$N:$N,Category!AH$1,'2021'!$D:$D,Category!$C98)</f>
        <v>0</v>
      </c>
      <c r="AI98" s="332">
        <f>SUMIFS('2021'!$I:$I,'2021'!$E:$E,Category!$B$74,'2021'!$N:$N,Category!AI$1,'2021'!$D:$D,Category!$C98)</f>
        <v>0</v>
      </c>
      <c r="AJ98" s="332">
        <f>SUMIFS('2021'!$I:$I,'2021'!$E:$E,Category!$B$74,'2021'!$N:$N,Category!AJ$1,'2021'!$D:$D,Category!$C98)</f>
        <v>0</v>
      </c>
      <c r="AK98" s="332">
        <f>SUMIFS('2021'!$I:$I,'2021'!$E:$E,Category!$B$74,'2021'!$N:$N,Category!AK$1,'2021'!$D:$D,Category!$C98)</f>
        <v>0</v>
      </c>
      <c r="AL98" s="333">
        <f t="shared" si="33"/>
        <v>0</v>
      </c>
      <c r="AM98" s="501">
        <f>IFERROR(VLOOKUP(C98,'2022'!$D:$G,4,0),0)</f>
        <v>0</v>
      </c>
      <c r="AN98" s="332">
        <f>SUMIFS('2022'!$I:$I,'2022'!$E:$E,Category!$B$74,'2022'!$N:$N,Category!AN$1,'2022'!$D:$D,Category!$C98)</f>
        <v>0</v>
      </c>
      <c r="AO98" s="332">
        <f>SUMIFS('2022'!$I:$I,'2022'!$E:$E,Category!$B$74,'2022'!$N:$N,Category!AO$1,'2022'!$D:$D,Category!$C98)</f>
        <v>0</v>
      </c>
      <c r="AP98" s="332">
        <f>SUMIFS('2022'!$I:$I,'2022'!$E:$E,Category!$B$74,'2022'!$N:$N,Category!AP$1,'2022'!$D:$D,Category!$C98)</f>
        <v>0</v>
      </c>
      <c r="AQ98" s="332">
        <f>SUMIFS('2022'!$I:$I,'2022'!$E:$E,Category!$B$74,'2022'!$N:$N,Category!AQ$1,'2022'!$D:$D,Category!$C98)</f>
        <v>0</v>
      </c>
      <c r="AR98" s="332">
        <f>SUMIFS('2022'!$I:$I,'2022'!$E:$E,Category!$B$74,'2022'!$N:$N,Category!AR$1,'2022'!$D:$D,Category!$C98)</f>
        <v>0</v>
      </c>
      <c r="AS98" s="332">
        <f>SUMIFS('2022'!$I:$I,'2022'!$E:$E,Category!$B$74,'2022'!$N:$N,Category!AS$1,'2022'!$D:$D,Category!$C98)</f>
        <v>0</v>
      </c>
      <c r="AT98" s="332">
        <f>SUMIFS('2022'!$I:$I,'2022'!$E:$E,Category!$B$74,'2022'!$N:$N,Category!AT$1,'2022'!$D:$D,Category!$C98)</f>
        <v>0</v>
      </c>
      <c r="AU98" s="332">
        <f>SUMIFS('2022'!$I:$I,'2022'!$E:$E,Category!$B$74,'2022'!$N:$N,Category!AU$1,'2022'!$D:$D,Category!$C98)</f>
        <v>0</v>
      </c>
      <c r="AV98" s="332">
        <f>SUMIFS('2022'!$I:$I,'2022'!$E:$E,Category!$B$74,'2022'!$N:$N,Category!AV$1,'2022'!$D:$D,Category!$C98)</f>
        <v>0</v>
      </c>
      <c r="AW98" s="332">
        <f>SUMIFS('2022'!$I:$I,'2022'!$E:$E,Category!$B$74,'2022'!$N:$N,Category!AW$1,'2022'!$D:$D,Category!$C98)</f>
        <v>0</v>
      </c>
      <c r="AX98" s="332">
        <f>SUMIFS('2022'!$I:$I,'2022'!$E:$E,Category!$B$74,'2022'!$N:$N,Category!AX$1,'2022'!$D:$D,Category!$C98)</f>
        <v>0</v>
      </c>
      <c r="AY98" s="332">
        <f>SUMIFS('2022'!$I:$I,'2022'!$E:$E,Category!$B$74,'2022'!$N:$N,Category!AY$1,'2022'!$D:$D,Category!$C98)</f>
        <v>0</v>
      </c>
      <c r="AZ98" s="333">
        <f t="shared" si="31"/>
        <v>0</v>
      </c>
      <c r="BA98" s="1036">
        <f>IFERROR(VLOOKUP(C98,'2023'!$D:$G,4,0),0)</f>
        <v>0</v>
      </c>
      <c r="BB98" s="332">
        <f>SUMIFS('2023'!$I:$I,'2023'!$E:$E,Category!$B$74,'2023'!$N:$N,Category!BB$1,'2023'!$D:$D,Category!$C98)</f>
        <v>25000000</v>
      </c>
      <c r="BC98" s="332">
        <f>SUMIFS('2023'!$I:$I,'2023'!$E:$E,Category!$B$74,'2023'!$N:$N,Category!BC$1,'2023'!$D:$D,Category!$C98)</f>
        <v>0</v>
      </c>
      <c r="BD98" s="332">
        <f>SUMIFS('2023'!$I:$I,'2023'!$E:$E,Category!$B$74,'2023'!$N:$N,Category!BD$1,'2023'!$D:$D,Category!$C98)</f>
        <v>0</v>
      </c>
      <c r="BE98" s="332">
        <f>SUMIFS('2023'!$I:$I,'2023'!$E:$E,Category!$B$74,'2023'!$N:$N,Category!BE$1,'2023'!$D:$D,Category!$C98)</f>
        <v>0</v>
      </c>
      <c r="BF98" s="332">
        <f>SUMIFS('2023'!$I:$I,'2023'!$E:$E,Category!$B$74,'2023'!$N:$N,Category!BF$1,'2023'!$D:$D,Category!$C98)</f>
        <v>0</v>
      </c>
      <c r="BG98" s="332">
        <f>SUMIFS('2023'!$I:$I,'2023'!$E:$E,Category!$B$74,'2023'!$N:$N,Category!BG$1,'2023'!$D:$D,Category!$C98)</f>
        <v>0</v>
      </c>
      <c r="BH98" s="332">
        <f>SUMIFS('2023'!$I:$I,'2023'!$E:$E,Category!$B$74,'2023'!$N:$N,Category!BH$1,'2023'!$D:$D,Category!$C98)</f>
        <v>0</v>
      </c>
      <c r="BI98" s="332">
        <f>SUMIFS('2023'!$I:$I,'2023'!$E:$E,Category!$B$74,'2023'!$N:$N,Category!BI$1,'2023'!$D:$D,Category!$C98)</f>
        <v>0</v>
      </c>
      <c r="BJ98" s="332">
        <f>SUMIFS('2023'!$I:$I,'2023'!$E:$E,Category!$B$74,'2023'!$N:$N,Category!BJ$1,'2023'!$D:$D,Category!$C98)</f>
        <v>0</v>
      </c>
      <c r="BK98" s="332">
        <f>SUMIFS('2023'!$I:$I,'2023'!$E:$E,Category!$B$74,'2023'!$N:$N,Category!BK$1,'2023'!$D:$D,Category!$C98)</f>
        <v>0</v>
      </c>
      <c r="BL98" s="332">
        <f>SUMIFS('2023'!$I:$I,'2023'!$E:$E,Category!$B$74,'2023'!$N:$N,Category!BL$1,'2023'!$D:$D,Category!$C98)</f>
        <v>0</v>
      </c>
      <c r="BM98" s="332">
        <f>SUMIFS('2023'!$I:$I,'2023'!$E:$E,Category!$B$74,'2023'!$N:$N,Category!BM$1,'2023'!$D:$D,Category!$C98)</f>
        <v>0</v>
      </c>
      <c r="BN98" s="333">
        <f t="shared" si="32"/>
        <v>25000000</v>
      </c>
    </row>
    <row r="99" spans="1:66" x14ac:dyDescent="0.3">
      <c r="A99" s="330"/>
      <c r="B99" s="331"/>
      <c r="C99" s="331"/>
      <c r="D99" s="519">
        <f>IFERROR(VLOOKUP($C99,'2019'!$D:$G,4,0),0)</f>
        <v>0</v>
      </c>
      <c r="E99" s="332">
        <f>SUMIFS('2019'!$I:$I,'2019'!$E:$E,Category!$B$74,'2019'!$N:$N,Category!E$1,'2019'!$D:$D,Category!$C99)</f>
        <v>0</v>
      </c>
      <c r="F99" s="332">
        <f>SUMIFS('2019'!$I:$I,'2019'!$E:$E,Category!$B$74,'2019'!$N:$N,Category!F$1,'2019'!$D:$D,Category!$C99)</f>
        <v>0</v>
      </c>
      <c r="G99" s="332">
        <f>SUMIFS('2019'!$I:$I,'2019'!$E:$E,Category!$B$74,'2019'!$N:$N,Category!G$1,'2019'!$D:$D,Category!$C99)</f>
        <v>0</v>
      </c>
      <c r="H99" s="332">
        <f>SUMIFS('2019'!$I:$I,'2019'!$E:$E,Category!$B$74,'2019'!$N:$N,Category!H$1,'2019'!$D:$D,Category!$C99)</f>
        <v>0</v>
      </c>
      <c r="I99" s="332">
        <f>SUMIFS('2019'!$I:$I,'2019'!$E:$E,Category!$B$74,'2019'!$N:$N,Category!I$1,'2019'!$D:$D,Category!$C99)</f>
        <v>0</v>
      </c>
      <c r="J99" s="333">
        <f t="shared" si="34"/>
        <v>0</v>
      </c>
      <c r="K99" s="501">
        <f>IFERROR(VLOOKUP($C99,'2020'!$D:$G,4,0),0)</f>
        <v>0</v>
      </c>
      <c r="L99" s="332">
        <f>SUMIFS('2020'!$I:$I,'2020'!$E:$E,Category!$B$74,'2020'!$N:$N,Category!L$1,'2020'!$D:$D,Category!$C99)</f>
        <v>0</v>
      </c>
      <c r="M99" s="332">
        <f>SUMIFS('2020'!$I:$I,'2020'!$E:$E,Category!$B$74,'2020'!$N:$N,Category!M$1,'2020'!$D:$D,Category!$C99)</f>
        <v>0</v>
      </c>
      <c r="N99" s="332">
        <f>SUMIFS('2020'!$I:$I,'2020'!$E:$E,Category!$B$74,'2020'!$N:$N,Category!N$1,'2020'!$D:$D,Category!$C99)</f>
        <v>0</v>
      </c>
      <c r="O99" s="332">
        <f>SUMIFS('2020'!$I:$I,'2020'!$E:$E,Category!$B$74,'2020'!$N:$N,Category!O$1,'2020'!$D:$D,Category!$C99)</f>
        <v>0</v>
      </c>
      <c r="P99" s="332">
        <f>SUMIFS('2020'!$I:$I,'2020'!$E:$E,Category!$B$74,'2020'!$N:$N,Category!P$1,'2020'!$D:$D,Category!$C99)</f>
        <v>0</v>
      </c>
      <c r="Q99" s="332">
        <f>SUMIFS('2020'!$I:$I,'2020'!$E:$E,Category!$B$74,'2020'!$N:$N,Category!Q$1,'2020'!$D:$D,Category!$C99)</f>
        <v>0</v>
      </c>
      <c r="R99" s="332">
        <f>SUMIFS('2020'!$I:$I,'2020'!$E:$E,Category!$B$74,'2020'!$N:$N,Category!R$1,'2020'!$D:$D,Category!$C99)</f>
        <v>0</v>
      </c>
      <c r="S99" s="332">
        <f>SUMIFS('2020'!$I:$I,'2020'!$E:$E,Category!$B$74,'2020'!$N:$N,Category!S$1,'2020'!$D:$D,Category!$C99)</f>
        <v>0</v>
      </c>
      <c r="T99" s="332">
        <f>SUMIFS('2020'!$I:$I,'2020'!$E:$E,Category!$B$74,'2020'!$N:$N,Category!T$1,'2020'!$D:$D,Category!$C99)</f>
        <v>0</v>
      </c>
      <c r="U99" s="332">
        <f>SUMIFS('2020'!$I:$I,'2020'!$E:$E,Category!$B$74,'2020'!$N:$N,Category!U$1,'2020'!$D:$D,Category!$C99)</f>
        <v>0</v>
      </c>
      <c r="V99" s="332">
        <f>SUMIFS('2020'!$I:$I,'2020'!$E:$E,Category!$B$74,'2020'!$N:$N,Category!V$1,'2020'!$D:$D,Category!$C99)</f>
        <v>0</v>
      </c>
      <c r="W99" s="332">
        <f>SUMIFS('2020'!$I:$I,'2020'!$E:$E,Category!$B$74,'2020'!$N:$N,Category!W$1,'2020'!$D:$D,Category!$C99)</f>
        <v>0</v>
      </c>
      <c r="X99" s="333">
        <f t="shared" si="30"/>
        <v>0</v>
      </c>
      <c r="Y99" s="501">
        <f>IFERROR(VLOOKUP(C99,'2021'!$D:$G,4,0),0)</f>
        <v>0</v>
      </c>
      <c r="Z99" s="332">
        <f>SUMIFS('2021'!$I:$I,'2021'!$E:$E,Category!$B$74,'2021'!$N:$N,Category!Z$1,'2021'!$D:$D,Category!$C99)</f>
        <v>0</v>
      </c>
      <c r="AA99" s="332">
        <f>SUMIFS('2021'!$I:$I,'2021'!$E:$E,Category!$B$74,'2021'!$N:$N,Category!AA$1,'2021'!$D:$D,Category!$C99)</f>
        <v>0</v>
      </c>
      <c r="AB99" s="332">
        <f>SUMIFS('2021'!$I:$I,'2021'!$E:$E,Category!$B$74,'2021'!$N:$N,Category!AB$1,'2021'!$D:$D,Category!$C99)</f>
        <v>0</v>
      </c>
      <c r="AC99" s="332">
        <f>SUMIFS('2021'!$I:$I,'2021'!$E:$E,Category!$B$74,'2021'!$N:$N,Category!AC$1,'2021'!$D:$D,Category!$C99)</f>
        <v>0</v>
      </c>
      <c r="AD99" s="332">
        <f>SUMIFS('2021'!$I:$I,'2021'!$E:$E,Category!$B$74,'2021'!$N:$N,Category!AD$1,'2021'!$D:$D,Category!$C99)</f>
        <v>0</v>
      </c>
      <c r="AE99" s="332">
        <f>SUMIFS('2021'!$I:$I,'2021'!$E:$E,Category!$B$74,'2021'!$N:$N,Category!AE$1,'2021'!$D:$D,Category!$C99)</f>
        <v>0</v>
      </c>
      <c r="AF99" s="332">
        <f>SUMIFS('2021'!$I:$I,'2021'!$E:$E,Category!$B$74,'2021'!$N:$N,Category!AF$1,'2021'!$D:$D,Category!$C99)</f>
        <v>0</v>
      </c>
      <c r="AG99" s="332">
        <f>SUMIFS('2021'!$I:$I,'2021'!$E:$E,Category!$B$74,'2021'!$N:$N,Category!AG$1,'2021'!$D:$D,Category!$C99)</f>
        <v>0</v>
      </c>
      <c r="AH99" s="332">
        <f>SUMIFS('2021'!$I:$I,'2021'!$E:$E,Category!$B$74,'2021'!$N:$N,Category!AH$1,'2021'!$D:$D,Category!$C99)</f>
        <v>0</v>
      </c>
      <c r="AI99" s="332">
        <f>SUMIFS('2021'!$I:$I,'2021'!$E:$E,Category!$B$74,'2021'!$N:$N,Category!AI$1,'2021'!$D:$D,Category!$C99)</f>
        <v>0</v>
      </c>
      <c r="AJ99" s="332">
        <f>SUMIFS('2021'!$I:$I,'2021'!$E:$E,Category!$B$74,'2021'!$N:$N,Category!AJ$1,'2021'!$D:$D,Category!$C99)</f>
        <v>0</v>
      </c>
      <c r="AK99" s="332">
        <f>SUMIFS('2021'!$I:$I,'2021'!$E:$E,Category!$B$74,'2021'!$N:$N,Category!AK$1,'2021'!$D:$D,Category!$C99)</f>
        <v>0</v>
      </c>
      <c r="AL99" s="333">
        <f t="shared" si="33"/>
        <v>0</v>
      </c>
      <c r="AM99" s="501">
        <f>IFERROR(VLOOKUP(C99,'2022'!$D:$G,4,0),0)</f>
        <v>0</v>
      </c>
      <c r="AN99" s="332">
        <f>SUMIFS('2022'!$I:$I,'2022'!$E:$E,Category!$B$74,'2022'!$N:$N,Category!AN$1,'2022'!$D:$D,Category!$C99)</f>
        <v>0</v>
      </c>
      <c r="AO99" s="332">
        <f>SUMIFS('2022'!$I:$I,'2022'!$E:$E,Category!$B$74,'2022'!$N:$N,Category!AO$1,'2022'!$D:$D,Category!$C99)</f>
        <v>0</v>
      </c>
      <c r="AP99" s="332">
        <f>SUMIFS('2022'!$I:$I,'2022'!$E:$E,Category!$B$74,'2022'!$N:$N,Category!AP$1,'2022'!$D:$D,Category!$C99)</f>
        <v>0</v>
      </c>
      <c r="AQ99" s="332">
        <f>SUMIFS('2022'!$I:$I,'2022'!$E:$E,Category!$B$74,'2022'!$N:$N,Category!AQ$1,'2022'!$D:$D,Category!$C99)</f>
        <v>0</v>
      </c>
      <c r="AR99" s="332">
        <f>SUMIFS('2022'!$I:$I,'2022'!$E:$E,Category!$B$74,'2022'!$N:$N,Category!AR$1,'2022'!$D:$D,Category!$C99)</f>
        <v>0</v>
      </c>
      <c r="AS99" s="332">
        <f>SUMIFS('2022'!$I:$I,'2022'!$E:$E,Category!$B$74,'2022'!$N:$N,Category!AS$1,'2022'!$D:$D,Category!$C99)</f>
        <v>0</v>
      </c>
      <c r="AT99" s="332">
        <f>SUMIFS('2022'!$I:$I,'2022'!$E:$E,Category!$B$74,'2022'!$N:$N,Category!AT$1,'2022'!$D:$D,Category!$C99)</f>
        <v>0</v>
      </c>
      <c r="AU99" s="332">
        <f>SUMIFS('2022'!$I:$I,'2022'!$E:$E,Category!$B$74,'2022'!$N:$N,Category!AU$1,'2022'!$D:$D,Category!$C99)</f>
        <v>0</v>
      </c>
      <c r="AV99" s="332">
        <f>SUMIFS('2022'!$I:$I,'2022'!$E:$E,Category!$B$74,'2022'!$N:$N,Category!AV$1,'2022'!$D:$D,Category!$C99)</f>
        <v>0</v>
      </c>
      <c r="AW99" s="332">
        <f>SUMIFS('2022'!$I:$I,'2022'!$E:$E,Category!$B$74,'2022'!$N:$N,Category!AW$1,'2022'!$D:$D,Category!$C99)</f>
        <v>0</v>
      </c>
      <c r="AX99" s="332">
        <f>SUMIFS('2022'!$I:$I,'2022'!$E:$E,Category!$B$74,'2022'!$N:$N,Category!AX$1,'2022'!$D:$D,Category!$C99)</f>
        <v>0</v>
      </c>
      <c r="AY99" s="332">
        <f>SUMIFS('2022'!$I:$I,'2022'!$E:$E,Category!$B$74,'2022'!$N:$N,Category!AY$1,'2022'!$D:$D,Category!$C99)</f>
        <v>0</v>
      </c>
      <c r="AZ99" s="333">
        <f t="shared" si="31"/>
        <v>0</v>
      </c>
      <c r="BA99" s="1036">
        <f>IFERROR(VLOOKUP(C99,'2023'!$D:$G,4,0),0)</f>
        <v>0</v>
      </c>
      <c r="BB99" s="332">
        <f>SUMIFS('2023'!$I:$I,'2023'!$E:$E,Category!$B$74,'2023'!$N:$N,Category!BB$1,'2023'!$D:$D,Category!$C99)</f>
        <v>0</v>
      </c>
      <c r="BC99" s="332">
        <f>SUMIFS('2023'!$I:$I,'2023'!$E:$E,Category!$B$74,'2023'!$N:$N,Category!BC$1,'2023'!$D:$D,Category!$C99)</f>
        <v>0</v>
      </c>
      <c r="BD99" s="332">
        <f>SUMIFS('2023'!$I:$I,'2023'!$E:$E,Category!$B$74,'2023'!$N:$N,Category!BD$1,'2023'!$D:$D,Category!$C99)</f>
        <v>0</v>
      </c>
      <c r="BE99" s="332">
        <f>SUMIFS('2023'!$I:$I,'2023'!$E:$E,Category!$B$74,'2023'!$N:$N,Category!BE$1,'2023'!$D:$D,Category!$C99)</f>
        <v>0</v>
      </c>
      <c r="BF99" s="332">
        <f>SUMIFS('2023'!$I:$I,'2023'!$E:$E,Category!$B$74,'2023'!$N:$N,Category!BF$1,'2023'!$D:$D,Category!$C99)</f>
        <v>0</v>
      </c>
      <c r="BG99" s="332">
        <f>SUMIFS('2023'!$I:$I,'2023'!$E:$E,Category!$B$74,'2023'!$N:$N,Category!BG$1,'2023'!$D:$D,Category!$C99)</f>
        <v>0</v>
      </c>
      <c r="BH99" s="332">
        <f>SUMIFS('2023'!$I:$I,'2023'!$E:$E,Category!$B$74,'2023'!$N:$N,Category!BH$1,'2023'!$D:$D,Category!$C99)</f>
        <v>0</v>
      </c>
      <c r="BI99" s="332">
        <f>SUMIFS('2023'!$I:$I,'2023'!$E:$E,Category!$B$74,'2023'!$N:$N,Category!BI$1,'2023'!$D:$D,Category!$C99)</f>
        <v>0</v>
      </c>
      <c r="BJ99" s="332">
        <f>SUMIFS('2023'!$I:$I,'2023'!$E:$E,Category!$B$74,'2023'!$N:$N,Category!BJ$1,'2023'!$D:$D,Category!$C99)</f>
        <v>0</v>
      </c>
      <c r="BK99" s="332">
        <f>SUMIFS('2023'!$I:$I,'2023'!$E:$E,Category!$B$74,'2023'!$N:$N,Category!BK$1,'2023'!$D:$D,Category!$C99)</f>
        <v>0</v>
      </c>
      <c r="BL99" s="332">
        <f>SUMIFS('2023'!$I:$I,'2023'!$E:$E,Category!$B$74,'2023'!$N:$N,Category!BL$1,'2023'!$D:$D,Category!$C99)</f>
        <v>0</v>
      </c>
      <c r="BM99" s="332">
        <f>SUMIFS('2023'!$I:$I,'2023'!$E:$E,Category!$B$74,'2023'!$N:$N,Category!BM$1,'2023'!$D:$D,Category!$C99)</f>
        <v>0</v>
      </c>
      <c r="BN99" s="333">
        <f t="shared" si="32"/>
        <v>0</v>
      </c>
    </row>
    <row r="100" spans="1:66" x14ac:dyDescent="0.3">
      <c r="A100" s="330"/>
      <c r="B100" s="331"/>
      <c r="C100" s="331"/>
      <c r="D100" s="519">
        <f>IFERROR(VLOOKUP($C100,'2019'!$D:$G,4,0),0)</f>
        <v>0</v>
      </c>
      <c r="E100" s="332">
        <f>SUMIFS('2019'!$I:$I,'2019'!$E:$E,Category!$B$74,'2019'!$N:$N,Category!E$1,'2019'!$D:$D,Category!$C100)</f>
        <v>0</v>
      </c>
      <c r="F100" s="332">
        <f>SUMIFS('2019'!$I:$I,'2019'!$E:$E,Category!$B$74,'2019'!$N:$N,Category!F$1,'2019'!$D:$D,Category!$C100)</f>
        <v>0</v>
      </c>
      <c r="G100" s="332">
        <f>SUMIFS('2019'!$I:$I,'2019'!$E:$E,Category!$B$74,'2019'!$N:$N,Category!G$1,'2019'!$D:$D,Category!$C100)</f>
        <v>0</v>
      </c>
      <c r="H100" s="332">
        <f>SUMIFS('2019'!$I:$I,'2019'!$E:$E,Category!$B$74,'2019'!$N:$N,Category!H$1,'2019'!$D:$D,Category!$C100)</f>
        <v>0</v>
      </c>
      <c r="I100" s="332">
        <f>SUMIFS('2019'!$I:$I,'2019'!$E:$E,Category!$B$74,'2019'!$N:$N,Category!I$1,'2019'!$D:$D,Category!$C100)</f>
        <v>0</v>
      </c>
      <c r="J100" s="333">
        <f t="shared" si="34"/>
        <v>0</v>
      </c>
      <c r="K100" s="501">
        <f>IFERROR(VLOOKUP($C100,'2020'!$D:$G,4,0),0)</f>
        <v>0</v>
      </c>
      <c r="L100" s="332">
        <f>SUMIFS('2020'!$I:$I,'2020'!$E:$E,Category!$B$74,'2020'!$N:$N,Category!L$1,'2020'!$D:$D,Category!$C100)</f>
        <v>0</v>
      </c>
      <c r="M100" s="332">
        <f>SUMIFS('2020'!$I:$I,'2020'!$E:$E,Category!$B$74,'2020'!$N:$N,Category!M$1,'2020'!$D:$D,Category!$C100)</f>
        <v>0</v>
      </c>
      <c r="N100" s="332">
        <f>SUMIFS('2020'!$I:$I,'2020'!$E:$E,Category!$B$74,'2020'!$N:$N,Category!N$1,'2020'!$D:$D,Category!$C100)</f>
        <v>0</v>
      </c>
      <c r="O100" s="332">
        <f>SUMIFS('2020'!$I:$I,'2020'!$E:$E,Category!$B$74,'2020'!$N:$N,Category!O$1,'2020'!$D:$D,Category!$C100)</f>
        <v>0</v>
      </c>
      <c r="P100" s="332">
        <f>SUMIFS('2020'!$I:$I,'2020'!$E:$E,Category!$B$74,'2020'!$N:$N,Category!P$1,'2020'!$D:$D,Category!$C100)</f>
        <v>0</v>
      </c>
      <c r="Q100" s="332">
        <f>SUMIFS('2020'!$I:$I,'2020'!$E:$E,Category!$B$74,'2020'!$N:$N,Category!Q$1,'2020'!$D:$D,Category!$C100)</f>
        <v>0</v>
      </c>
      <c r="R100" s="332">
        <f>SUMIFS('2020'!$I:$I,'2020'!$E:$E,Category!$B$74,'2020'!$N:$N,Category!R$1,'2020'!$D:$D,Category!$C100)</f>
        <v>0</v>
      </c>
      <c r="S100" s="332">
        <f>SUMIFS('2020'!$I:$I,'2020'!$E:$E,Category!$B$74,'2020'!$N:$N,Category!S$1,'2020'!$D:$D,Category!$C100)</f>
        <v>0</v>
      </c>
      <c r="T100" s="332">
        <f>SUMIFS('2020'!$I:$I,'2020'!$E:$E,Category!$B$74,'2020'!$N:$N,Category!T$1,'2020'!$D:$D,Category!$C100)</f>
        <v>0</v>
      </c>
      <c r="U100" s="332">
        <f>SUMIFS('2020'!$I:$I,'2020'!$E:$E,Category!$B$74,'2020'!$N:$N,Category!U$1,'2020'!$D:$D,Category!$C100)</f>
        <v>0</v>
      </c>
      <c r="V100" s="332">
        <f>SUMIFS('2020'!$I:$I,'2020'!$E:$E,Category!$B$74,'2020'!$N:$N,Category!V$1,'2020'!$D:$D,Category!$C100)</f>
        <v>0</v>
      </c>
      <c r="W100" s="332">
        <f>SUMIFS('2020'!$I:$I,'2020'!$E:$E,Category!$B$74,'2020'!$N:$N,Category!W$1,'2020'!$D:$D,Category!$C100)</f>
        <v>0</v>
      </c>
      <c r="X100" s="333">
        <f t="shared" si="30"/>
        <v>0</v>
      </c>
      <c r="Y100" s="501">
        <f>IFERROR(VLOOKUP(C100,'2021'!$D:$G,4,0),0)</f>
        <v>0</v>
      </c>
      <c r="Z100" s="332">
        <f>SUMIFS('2021'!$I:$I,'2021'!$E:$E,Category!$B$74,'2021'!$N:$N,Category!Z$1,'2021'!$D:$D,Category!$C100)</f>
        <v>0</v>
      </c>
      <c r="AA100" s="332">
        <f>SUMIFS('2021'!$I:$I,'2021'!$E:$E,Category!$B$74,'2021'!$N:$N,Category!AA$1,'2021'!$D:$D,Category!$C100)</f>
        <v>0</v>
      </c>
      <c r="AB100" s="332">
        <f>SUMIFS('2021'!$I:$I,'2021'!$E:$E,Category!$B$74,'2021'!$N:$N,Category!AB$1,'2021'!$D:$D,Category!$C100)</f>
        <v>0</v>
      </c>
      <c r="AC100" s="332">
        <f>SUMIFS('2021'!$I:$I,'2021'!$E:$E,Category!$B$74,'2021'!$N:$N,Category!AC$1,'2021'!$D:$D,Category!$C100)</f>
        <v>0</v>
      </c>
      <c r="AD100" s="332">
        <f>SUMIFS('2021'!$I:$I,'2021'!$E:$E,Category!$B$74,'2021'!$N:$N,Category!AD$1,'2021'!$D:$D,Category!$C100)</f>
        <v>0</v>
      </c>
      <c r="AE100" s="332">
        <f>SUMIFS('2021'!$I:$I,'2021'!$E:$E,Category!$B$74,'2021'!$N:$N,Category!AE$1,'2021'!$D:$D,Category!$C100)</f>
        <v>0</v>
      </c>
      <c r="AF100" s="332">
        <f>SUMIFS('2021'!$I:$I,'2021'!$E:$E,Category!$B$74,'2021'!$N:$N,Category!AF$1,'2021'!$D:$D,Category!$C100)</f>
        <v>0</v>
      </c>
      <c r="AG100" s="332">
        <f>SUMIFS('2021'!$I:$I,'2021'!$E:$E,Category!$B$74,'2021'!$N:$N,Category!AG$1,'2021'!$D:$D,Category!$C100)</f>
        <v>0</v>
      </c>
      <c r="AH100" s="332">
        <f>SUMIFS('2021'!$I:$I,'2021'!$E:$E,Category!$B$74,'2021'!$N:$N,Category!AH$1,'2021'!$D:$D,Category!$C100)</f>
        <v>0</v>
      </c>
      <c r="AI100" s="332">
        <f>SUMIFS('2021'!$I:$I,'2021'!$E:$E,Category!$B$74,'2021'!$N:$N,Category!AI$1,'2021'!$D:$D,Category!$C100)</f>
        <v>0</v>
      </c>
      <c r="AJ100" s="332">
        <f>SUMIFS('2021'!$I:$I,'2021'!$E:$E,Category!$B$74,'2021'!$N:$N,Category!AJ$1,'2021'!$D:$D,Category!$C100)</f>
        <v>0</v>
      </c>
      <c r="AK100" s="332">
        <f>SUMIFS('2021'!$I:$I,'2021'!$E:$E,Category!$B$74,'2021'!$N:$N,Category!AK$1,'2021'!$D:$D,Category!$C100)</f>
        <v>0</v>
      </c>
      <c r="AL100" s="333">
        <f t="shared" si="33"/>
        <v>0</v>
      </c>
      <c r="AM100" s="501">
        <f>IFERROR(VLOOKUP(C100,'2022'!$D:$G,4,0),0)</f>
        <v>0</v>
      </c>
      <c r="AN100" s="332">
        <f>SUMIFS('2022'!$I:$I,'2022'!$E:$E,Category!$B$74,'2022'!$N:$N,Category!AN$1,'2022'!$D:$D,Category!$C100)</f>
        <v>0</v>
      </c>
      <c r="AO100" s="332">
        <f>SUMIFS('2022'!$I:$I,'2022'!$E:$E,Category!$B$74,'2022'!$N:$N,Category!AO$1,'2022'!$D:$D,Category!$C100)</f>
        <v>0</v>
      </c>
      <c r="AP100" s="332">
        <f>SUMIFS('2022'!$I:$I,'2022'!$E:$E,Category!$B$74,'2022'!$N:$N,Category!AP$1,'2022'!$D:$D,Category!$C100)</f>
        <v>0</v>
      </c>
      <c r="AQ100" s="332">
        <f>SUMIFS('2022'!$I:$I,'2022'!$E:$E,Category!$B$74,'2022'!$N:$N,Category!AQ$1,'2022'!$D:$D,Category!$C100)</f>
        <v>0</v>
      </c>
      <c r="AR100" s="332">
        <f>SUMIFS('2022'!$I:$I,'2022'!$E:$E,Category!$B$74,'2022'!$N:$N,Category!AR$1,'2022'!$D:$D,Category!$C100)</f>
        <v>0</v>
      </c>
      <c r="AS100" s="332">
        <f>SUMIFS('2022'!$I:$I,'2022'!$E:$E,Category!$B$74,'2022'!$N:$N,Category!AS$1,'2022'!$D:$D,Category!$C100)</f>
        <v>0</v>
      </c>
      <c r="AT100" s="332">
        <f>SUMIFS('2022'!$I:$I,'2022'!$E:$E,Category!$B$74,'2022'!$N:$N,Category!AT$1,'2022'!$D:$D,Category!$C100)</f>
        <v>0</v>
      </c>
      <c r="AU100" s="332">
        <f>SUMIFS('2022'!$I:$I,'2022'!$E:$E,Category!$B$74,'2022'!$N:$N,Category!AU$1,'2022'!$D:$D,Category!$C100)</f>
        <v>0</v>
      </c>
      <c r="AV100" s="332">
        <f>SUMIFS('2022'!$I:$I,'2022'!$E:$E,Category!$B$74,'2022'!$N:$N,Category!AV$1,'2022'!$D:$D,Category!$C100)</f>
        <v>0</v>
      </c>
      <c r="AW100" s="332">
        <f>SUMIFS('2022'!$I:$I,'2022'!$E:$E,Category!$B$74,'2022'!$N:$N,Category!AW$1,'2022'!$D:$D,Category!$C100)</f>
        <v>0</v>
      </c>
      <c r="AX100" s="332">
        <f>SUMIFS('2022'!$I:$I,'2022'!$E:$E,Category!$B$74,'2022'!$N:$N,Category!AX$1,'2022'!$D:$D,Category!$C100)</f>
        <v>0</v>
      </c>
      <c r="AY100" s="332">
        <f>SUMIFS('2022'!$I:$I,'2022'!$E:$E,Category!$B$74,'2022'!$N:$N,Category!AY$1,'2022'!$D:$D,Category!$C100)</f>
        <v>0</v>
      </c>
      <c r="AZ100" s="333">
        <f t="shared" si="31"/>
        <v>0</v>
      </c>
      <c r="BA100" s="1036">
        <f>IFERROR(VLOOKUP(C100,'2023'!$D:$G,4,0),0)</f>
        <v>0</v>
      </c>
      <c r="BB100" s="332">
        <f>SUMIFS('2023'!$I:$I,'2023'!$E:$E,Category!$B$74,'2023'!$N:$N,Category!BB$1,'2023'!$D:$D,Category!$C100)</f>
        <v>0</v>
      </c>
      <c r="BC100" s="332">
        <f>SUMIFS('2023'!$I:$I,'2023'!$E:$E,Category!$B$74,'2023'!$N:$N,Category!BC$1,'2023'!$D:$D,Category!$C100)</f>
        <v>0</v>
      </c>
      <c r="BD100" s="332">
        <f>SUMIFS('2023'!$I:$I,'2023'!$E:$E,Category!$B$74,'2023'!$N:$N,Category!BD$1,'2023'!$D:$D,Category!$C100)</f>
        <v>0</v>
      </c>
      <c r="BE100" s="332">
        <f>SUMIFS('2023'!$I:$I,'2023'!$E:$E,Category!$B$74,'2023'!$N:$N,Category!BE$1,'2023'!$D:$D,Category!$C100)</f>
        <v>0</v>
      </c>
      <c r="BF100" s="332">
        <f>SUMIFS('2023'!$I:$I,'2023'!$E:$E,Category!$B$74,'2023'!$N:$N,Category!BF$1,'2023'!$D:$D,Category!$C100)</f>
        <v>0</v>
      </c>
      <c r="BG100" s="332">
        <f>SUMIFS('2023'!$I:$I,'2023'!$E:$E,Category!$B$74,'2023'!$N:$N,Category!BG$1,'2023'!$D:$D,Category!$C100)</f>
        <v>0</v>
      </c>
      <c r="BH100" s="332">
        <f>SUMIFS('2023'!$I:$I,'2023'!$E:$E,Category!$B$74,'2023'!$N:$N,Category!BH$1,'2023'!$D:$D,Category!$C100)</f>
        <v>0</v>
      </c>
      <c r="BI100" s="332">
        <f>SUMIFS('2023'!$I:$I,'2023'!$E:$E,Category!$B$74,'2023'!$N:$N,Category!BI$1,'2023'!$D:$D,Category!$C100)</f>
        <v>0</v>
      </c>
      <c r="BJ100" s="332">
        <f>SUMIFS('2023'!$I:$I,'2023'!$E:$E,Category!$B$74,'2023'!$N:$N,Category!BJ$1,'2023'!$D:$D,Category!$C100)</f>
        <v>0</v>
      </c>
      <c r="BK100" s="332">
        <f>SUMIFS('2023'!$I:$I,'2023'!$E:$E,Category!$B$74,'2023'!$N:$N,Category!BK$1,'2023'!$D:$D,Category!$C100)</f>
        <v>0</v>
      </c>
      <c r="BL100" s="332">
        <f>SUMIFS('2023'!$I:$I,'2023'!$E:$E,Category!$B$74,'2023'!$N:$N,Category!BL$1,'2023'!$D:$D,Category!$C100)</f>
        <v>0</v>
      </c>
      <c r="BM100" s="332">
        <f>SUMIFS('2023'!$I:$I,'2023'!$E:$E,Category!$B$74,'2023'!$N:$N,Category!BM$1,'2023'!$D:$D,Category!$C100)</f>
        <v>0</v>
      </c>
      <c r="BN100" s="333">
        <f t="shared" si="32"/>
        <v>0</v>
      </c>
    </row>
    <row r="101" spans="1:66" x14ac:dyDescent="0.3">
      <c r="A101" s="330"/>
      <c r="B101" s="331"/>
      <c r="C101" s="331"/>
      <c r="D101" s="519">
        <f>IFERROR(VLOOKUP($C101,'2019'!$D:$G,4,0),0)</f>
        <v>0</v>
      </c>
      <c r="E101" s="332">
        <f>SUMIFS('2019'!$I:$I,'2019'!$E:$E,Category!$B$74,'2019'!$N:$N,Category!E$1,'2019'!$D:$D,Category!$C101)</f>
        <v>0</v>
      </c>
      <c r="F101" s="332">
        <f>SUMIFS('2019'!$I:$I,'2019'!$E:$E,Category!$B$74,'2019'!$N:$N,Category!F$1,'2019'!$D:$D,Category!$C101)</f>
        <v>0</v>
      </c>
      <c r="G101" s="332">
        <f>SUMIFS('2019'!$I:$I,'2019'!$E:$E,Category!$B$74,'2019'!$N:$N,Category!G$1,'2019'!$D:$D,Category!$C101)</f>
        <v>0</v>
      </c>
      <c r="H101" s="332">
        <f>SUMIFS('2019'!$I:$I,'2019'!$E:$E,Category!$B$74,'2019'!$N:$N,Category!H$1,'2019'!$D:$D,Category!$C101)</f>
        <v>0</v>
      </c>
      <c r="I101" s="332">
        <f>SUMIFS('2019'!$I:$I,'2019'!$E:$E,Category!$B$74,'2019'!$N:$N,Category!I$1,'2019'!$D:$D,Category!$C101)</f>
        <v>0</v>
      </c>
      <c r="J101" s="333">
        <f t="shared" si="34"/>
        <v>0</v>
      </c>
      <c r="K101" s="501">
        <f>IFERROR(VLOOKUP($C101,'2020'!$D:$G,4,0),0)</f>
        <v>0</v>
      </c>
      <c r="L101" s="332">
        <f>SUMIFS('2020'!$I:$I,'2020'!$E:$E,Category!$B$74,'2020'!$N:$N,Category!L$1,'2020'!$D:$D,Category!$C101)</f>
        <v>0</v>
      </c>
      <c r="M101" s="332">
        <f>SUMIFS('2020'!$I:$I,'2020'!$E:$E,Category!$B$74,'2020'!$N:$N,Category!M$1,'2020'!$D:$D,Category!$C101)</f>
        <v>0</v>
      </c>
      <c r="N101" s="332">
        <f>SUMIFS('2020'!$I:$I,'2020'!$E:$E,Category!$B$74,'2020'!$N:$N,Category!N$1,'2020'!$D:$D,Category!$C101)</f>
        <v>0</v>
      </c>
      <c r="O101" s="332">
        <f>SUMIFS('2020'!$I:$I,'2020'!$E:$E,Category!$B$74,'2020'!$N:$N,Category!O$1,'2020'!$D:$D,Category!$C101)</f>
        <v>0</v>
      </c>
      <c r="P101" s="332">
        <f>SUMIFS('2020'!$I:$I,'2020'!$E:$E,Category!$B$74,'2020'!$N:$N,Category!P$1,'2020'!$D:$D,Category!$C101)</f>
        <v>0</v>
      </c>
      <c r="Q101" s="332">
        <f>SUMIFS('2020'!$I:$I,'2020'!$E:$E,Category!$B$74,'2020'!$N:$N,Category!Q$1,'2020'!$D:$D,Category!$C101)</f>
        <v>0</v>
      </c>
      <c r="R101" s="332">
        <f>SUMIFS('2020'!$I:$I,'2020'!$E:$E,Category!$B$74,'2020'!$N:$N,Category!R$1,'2020'!$D:$D,Category!$C101)</f>
        <v>0</v>
      </c>
      <c r="S101" s="332">
        <f>SUMIFS('2020'!$I:$I,'2020'!$E:$E,Category!$B$74,'2020'!$N:$N,Category!S$1,'2020'!$D:$D,Category!$C101)</f>
        <v>0</v>
      </c>
      <c r="T101" s="332">
        <f>SUMIFS('2020'!$I:$I,'2020'!$E:$E,Category!$B$74,'2020'!$N:$N,Category!T$1,'2020'!$D:$D,Category!$C101)</f>
        <v>0</v>
      </c>
      <c r="U101" s="332">
        <f>SUMIFS('2020'!$I:$I,'2020'!$E:$E,Category!$B$74,'2020'!$N:$N,Category!U$1,'2020'!$D:$D,Category!$C101)</f>
        <v>0</v>
      </c>
      <c r="V101" s="332">
        <f>SUMIFS('2020'!$I:$I,'2020'!$E:$E,Category!$B$74,'2020'!$N:$N,Category!V$1,'2020'!$D:$D,Category!$C101)</f>
        <v>0</v>
      </c>
      <c r="W101" s="332">
        <f>SUMIFS('2020'!$I:$I,'2020'!$E:$E,Category!$B$74,'2020'!$N:$N,Category!W$1,'2020'!$D:$D,Category!$C101)</f>
        <v>0</v>
      </c>
      <c r="X101" s="333">
        <f t="shared" si="30"/>
        <v>0</v>
      </c>
      <c r="Y101" s="501">
        <f>IFERROR(VLOOKUP(C101,'2021'!$D:$G,4,0),0)</f>
        <v>0</v>
      </c>
      <c r="Z101" s="332">
        <f>SUMIFS('2021'!$I:$I,'2021'!$E:$E,Category!$B$74,'2021'!$N:$N,Category!Z$1,'2021'!$D:$D,Category!$C101)</f>
        <v>0</v>
      </c>
      <c r="AA101" s="332">
        <f>SUMIFS('2021'!$I:$I,'2021'!$E:$E,Category!$B$74,'2021'!$N:$N,Category!AA$1,'2021'!$D:$D,Category!$C101)</f>
        <v>0</v>
      </c>
      <c r="AB101" s="332">
        <f>SUMIFS('2021'!$I:$I,'2021'!$E:$E,Category!$B$74,'2021'!$N:$N,Category!AB$1,'2021'!$D:$D,Category!$C101)</f>
        <v>0</v>
      </c>
      <c r="AC101" s="332">
        <f>SUMIFS('2021'!$I:$I,'2021'!$E:$E,Category!$B$74,'2021'!$N:$N,Category!AC$1,'2021'!$D:$D,Category!$C101)</f>
        <v>0</v>
      </c>
      <c r="AD101" s="332">
        <f>SUMIFS('2021'!$I:$I,'2021'!$E:$E,Category!$B$74,'2021'!$N:$N,Category!AD$1,'2021'!$D:$D,Category!$C101)</f>
        <v>0</v>
      </c>
      <c r="AE101" s="332">
        <f>SUMIFS('2021'!$I:$I,'2021'!$E:$E,Category!$B$74,'2021'!$N:$N,Category!AE$1,'2021'!$D:$D,Category!$C101)</f>
        <v>0</v>
      </c>
      <c r="AF101" s="332">
        <f>SUMIFS('2021'!$I:$I,'2021'!$E:$E,Category!$B$74,'2021'!$N:$N,Category!AF$1,'2021'!$D:$D,Category!$C101)</f>
        <v>0</v>
      </c>
      <c r="AG101" s="332">
        <f>SUMIFS('2021'!$I:$I,'2021'!$E:$E,Category!$B$74,'2021'!$N:$N,Category!AG$1,'2021'!$D:$D,Category!$C101)</f>
        <v>0</v>
      </c>
      <c r="AH101" s="332">
        <f>SUMIFS('2021'!$I:$I,'2021'!$E:$E,Category!$B$74,'2021'!$N:$N,Category!AH$1,'2021'!$D:$D,Category!$C101)</f>
        <v>0</v>
      </c>
      <c r="AI101" s="332">
        <f>SUMIFS('2021'!$I:$I,'2021'!$E:$E,Category!$B$74,'2021'!$N:$N,Category!AI$1,'2021'!$D:$D,Category!$C101)</f>
        <v>0</v>
      </c>
      <c r="AJ101" s="332">
        <f>SUMIFS('2021'!$I:$I,'2021'!$E:$E,Category!$B$74,'2021'!$N:$N,Category!AJ$1,'2021'!$D:$D,Category!$C101)</f>
        <v>0</v>
      </c>
      <c r="AK101" s="332">
        <f>SUMIFS('2021'!$I:$I,'2021'!$E:$E,Category!$B$74,'2021'!$N:$N,Category!AK$1,'2021'!$D:$D,Category!$C101)</f>
        <v>0</v>
      </c>
      <c r="AL101" s="333">
        <f t="shared" si="33"/>
        <v>0</v>
      </c>
      <c r="AM101" s="501">
        <f>IFERROR(VLOOKUP(C101,'2022'!$D:$G,4,0),0)</f>
        <v>0</v>
      </c>
      <c r="AN101" s="332">
        <f>SUMIFS('2022'!$I:$I,'2022'!$E:$E,Category!$B$74,'2022'!$N:$N,Category!AN$1,'2022'!$D:$D,Category!$C101)</f>
        <v>0</v>
      </c>
      <c r="AO101" s="332">
        <f>SUMIFS('2022'!$I:$I,'2022'!$E:$E,Category!$B$74,'2022'!$N:$N,Category!AO$1,'2022'!$D:$D,Category!$C101)</f>
        <v>0</v>
      </c>
      <c r="AP101" s="332">
        <f>SUMIFS('2022'!$I:$I,'2022'!$E:$E,Category!$B$74,'2022'!$N:$N,Category!AP$1,'2022'!$D:$D,Category!$C101)</f>
        <v>0</v>
      </c>
      <c r="AQ101" s="332">
        <f>SUMIFS('2022'!$I:$I,'2022'!$E:$E,Category!$B$74,'2022'!$N:$N,Category!AQ$1,'2022'!$D:$D,Category!$C101)</f>
        <v>0</v>
      </c>
      <c r="AR101" s="332">
        <f>SUMIFS('2022'!$I:$I,'2022'!$E:$E,Category!$B$74,'2022'!$N:$N,Category!AR$1,'2022'!$D:$D,Category!$C101)</f>
        <v>0</v>
      </c>
      <c r="AS101" s="332">
        <f>SUMIFS('2022'!$I:$I,'2022'!$E:$E,Category!$B$74,'2022'!$N:$N,Category!AS$1,'2022'!$D:$D,Category!$C101)</f>
        <v>0</v>
      </c>
      <c r="AT101" s="332">
        <f>SUMIFS('2022'!$I:$I,'2022'!$E:$E,Category!$B$74,'2022'!$N:$N,Category!AT$1,'2022'!$D:$D,Category!$C101)</f>
        <v>0</v>
      </c>
      <c r="AU101" s="332">
        <f>SUMIFS('2022'!$I:$I,'2022'!$E:$E,Category!$B$74,'2022'!$N:$N,Category!AU$1,'2022'!$D:$D,Category!$C101)</f>
        <v>0</v>
      </c>
      <c r="AV101" s="332">
        <f>SUMIFS('2022'!$I:$I,'2022'!$E:$E,Category!$B$74,'2022'!$N:$N,Category!AV$1,'2022'!$D:$D,Category!$C101)</f>
        <v>0</v>
      </c>
      <c r="AW101" s="332">
        <f>SUMIFS('2022'!$I:$I,'2022'!$E:$E,Category!$B$74,'2022'!$N:$N,Category!AW$1,'2022'!$D:$D,Category!$C101)</f>
        <v>0</v>
      </c>
      <c r="AX101" s="332">
        <f>SUMIFS('2022'!$I:$I,'2022'!$E:$E,Category!$B$74,'2022'!$N:$N,Category!AX$1,'2022'!$D:$D,Category!$C101)</f>
        <v>0</v>
      </c>
      <c r="AY101" s="332">
        <f>SUMIFS('2022'!$I:$I,'2022'!$E:$E,Category!$B$74,'2022'!$N:$N,Category!AY$1,'2022'!$D:$D,Category!$C101)</f>
        <v>0</v>
      </c>
      <c r="AZ101" s="333">
        <f t="shared" si="31"/>
        <v>0</v>
      </c>
      <c r="BA101" s="1036">
        <f>IFERROR(VLOOKUP(C101,'2023'!$D:$G,4,0),0)</f>
        <v>0</v>
      </c>
      <c r="BB101" s="332">
        <f>SUMIFS('2023'!$I:$I,'2023'!$E:$E,Category!$B$74,'2023'!$N:$N,Category!BB$1,'2023'!$D:$D,Category!$C101)</f>
        <v>0</v>
      </c>
      <c r="BC101" s="332">
        <f>SUMIFS('2023'!$I:$I,'2023'!$E:$E,Category!$B$74,'2023'!$N:$N,Category!BC$1,'2023'!$D:$D,Category!$C101)</f>
        <v>0</v>
      </c>
      <c r="BD101" s="332">
        <f>SUMIFS('2023'!$I:$I,'2023'!$E:$E,Category!$B$74,'2023'!$N:$N,Category!BD$1,'2023'!$D:$D,Category!$C101)</f>
        <v>0</v>
      </c>
      <c r="BE101" s="332">
        <f>SUMIFS('2023'!$I:$I,'2023'!$E:$E,Category!$B$74,'2023'!$N:$N,Category!BE$1,'2023'!$D:$D,Category!$C101)</f>
        <v>0</v>
      </c>
      <c r="BF101" s="332">
        <f>SUMIFS('2023'!$I:$I,'2023'!$E:$E,Category!$B$74,'2023'!$N:$N,Category!BF$1,'2023'!$D:$D,Category!$C101)</f>
        <v>0</v>
      </c>
      <c r="BG101" s="332">
        <f>SUMIFS('2023'!$I:$I,'2023'!$E:$E,Category!$B$74,'2023'!$N:$N,Category!BG$1,'2023'!$D:$D,Category!$C101)</f>
        <v>0</v>
      </c>
      <c r="BH101" s="332">
        <f>SUMIFS('2023'!$I:$I,'2023'!$E:$E,Category!$B$74,'2023'!$N:$N,Category!BH$1,'2023'!$D:$D,Category!$C101)</f>
        <v>0</v>
      </c>
      <c r="BI101" s="332">
        <f>SUMIFS('2023'!$I:$I,'2023'!$E:$E,Category!$B$74,'2023'!$N:$N,Category!BI$1,'2023'!$D:$D,Category!$C101)</f>
        <v>0</v>
      </c>
      <c r="BJ101" s="332">
        <f>SUMIFS('2023'!$I:$I,'2023'!$E:$E,Category!$B$74,'2023'!$N:$N,Category!BJ$1,'2023'!$D:$D,Category!$C101)</f>
        <v>0</v>
      </c>
      <c r="BK101" s="332">
        <f>SUMIFS('2023'!$I:$I,'2023'!$E:$E,Category!$B$74,'2023'!$N:$N,Category!BK$1,'2023'!$D:$D,Category!$C101)</f>
        <v>0</v>
      </c>
      <c r="BL101" s="332">
        <f>SUMIFS('2023'!$I:$I,'2023'!$E:$E,Category!$B$74,'2023'!$N:$N,Category!BL$1,'2023'!$D:$D,Category!$C101)</f>
        <v>0</v>
      </c>
      <c r="BM101" s="332">
        <f>SUMIFS('2023'!$I:$I,'2023'!$E:$E,Category!$B$74,'2023'!$N:$N,Category!BM$1,'2023'!$D:$D,Category!$C101)</f>
        <v>0</v>
      </c>
      <c r="BN101" s="333">
        <f t="shared" si="32"/>
        <v>0</v>
      </c>
    </row>
    <row r="102" spans="1:66" x14ac:dyDescent="0.3">
      <c r="A102" s="330"/>
      <c r="B102" s="331"/>
      <c r="C102" s="331"/>
      <c r="D102" s="519">
        <f>IFERROR(VLOOKUP($C102,'2019'!$D:$G,4,0),0)</f>
        <v>0</v>
      </c>
      <c r="E102" s="332">
        <f>SUMIFS('2019'!$I:$I,'2019'!$E:$E,Category!$B$74,'2019'!$N:$N,Category!E$1,'2019'!$D:$D,Category!$C102)</f>
        <v>0</v>
      </c>
      <c r="F102" s="332">
        <f>SUMIFS('2019'!$I:$I,'2019'!$E:$E,Category!$B$74,'2019'!$N:$N,Category!F$1,'2019'!$D:$D,Category!$C102)</f>
        <v>0</v>
      </c>
      <c r="G102" s="332">
        <f>SUMIFS('2019'!$I:$I,'2019'!$E:$E,Category!$B$74,'2019'!$N:$N,Category!G$1,'2019'!$D:$D,Category!$C102)</f>
        <v>0</v>
      </c>
      <c r="H102" s="332">
        <f>SUMIFS('2019'!$I:$I,'2019'!$E:$E,Category!$B$74,'2019'!$N:$N,Category!H$1,'2019'!$D:$D,Category!$C102)</f>
        <v>0</v>
      </c>
      <c r="I102" s="332">
        <f>SUMIFS('2019'!$I:$I,'2019'!$E:$E,Category!$B$74,'2019'!$N:$N,Category!I$1,'2019'!$D:$D,Category!$C102)</f>
        <v>0</v>
      </c>
      <c r="J102" s="333">
        <f t="shared" si="34"/>
        <v>0</v>
      </c>
      <c r="K102" s="501">
        <f>IFERROR(VLOOKUP($C102,'2020'!$D:$G,4,0),0)</f>
        <v>0</v>
      </c>
      <c r="L102" s="332">
        <f>SUMIFS('2020'!$I:$I,'2020'!$E:$E,Category!$B$74,'2020'!$N:$N,Category!L$1,'2020'!$D:$D,Category!$C102)</f>
        <v>0</v>
      </c>
      <c r="M102" s="332">
        <f>SUMIFS('2020'!$I:$I,'2020'!$E:$E,Category!$B$74,'2020'!$N:$N,Category!M$1,'2020'!$D:$D,Category!$C102)</f>
        <v>0</v>
      </c>
      <c r="N102" s="332">
        <f>SUMIFS('2020'!$I:$I,'2020'!$E:$E,Category!$B$74,'2020'!$N:$N,Category!N$1,'2020'!$D:$D,Category!$C102)</f>
        <v>0</v>
      </c>
      <c r="O102" s="332">
        <f>SUMIFS('2020'!$I:$I,'2020'!$E:$E,Category!$B$74,'2020'!$N:$N,Category!O$1,'2020'!$D:$D,Category!$C102)</f>
        <v>0</v>
      </c>
      <c r="P102" s="332">
        <f>SUMIFS('2020'!$I:$I,'2020'!$E:$E,Category!$B$74,'2020'!$N:$N,Category!P$1,'2020'!$D:$D,Category!$C102)</f>
        <v>0</v>
      </c>
      <c r="Q102" s="332">
        <f>SUMIFS('2020'!$I:$I,'2020'!$E:$E,Category!$B$74,'2020'!$N:$N,Category!Q$1,'2020'!$D:$D,Category!$C102)</f>
        <v>0</v>
      </c>
      <c r="R102" s="332">
        <f>SUMIFS('2020'!$I:$I,'2020'!$E:$E,Category!$B$74,'2020'!$N:$N,Category!R$1,'2020'!$D:$D,Category!$C102)</f>
        <v>0</v>
      </c>
      <c r="S102" s="332">
        <f>SUMIFS('2020'!$I:$I,'2020'!$E:$E,Category!$B$74,'2020'!$N:$N,Category!S$1,'2020'!$D:$D,Category!$C102)</f>
        <v>0</v>
      </c>
      <c r="T102" s="332">
        <f>SUMIFS('2020'!$I:$I,'2020'!$E:$E,Category!$B$74,'2020'!$N:$N,Category!T$1,'2020'!$D:$D,Category!$C102)</f>
        <v>0</v>
      </c>
      <c r="U102" s="332">
        <f>SUMIFS('2020'!$I:$I,'2020'!$E:$E,Category!$B$74,'2020'!$N:$N,Category!U$1,'2020'!$D:$D,Category!$C102)</f>
        <v>0</v>
      </c>
      <c r="V102" s="332">
        <f>SUMIFS('2020'!$I:$I,'2020'!$E:$E,Category!$B$74,'2020'!$N:$N,Category!V$1,'2020'!$D:$D,Category!$C102)</f>
        <v>0</v>
      </c>
      <c r="W102" s="332">
        <f>SUMIFS('2020'!$I:$I,'2020'!$E:$E,Category!$B$74,'2020'!$N:$N,Category!W$1,'2020'!$D:$D,Category!$C102)</f>
        <v>0</v>
      </c>
      <c r="X102" s="333">
        <f t="shared" si="30"/>
        <v>0</v>
      </c>
      <c r="Y102" s="501">
        <f>IFERROR(VLOOKUP(C102,'2021'!$D:$G,4,0),0)</f>
        <v>0</v>
      </c>
      <c r="Z102" s="332">
        <f>SUMIFS('2021'!$I:$I,'2021'!$E:$E,Category!$B$74,'2021'!$N:$N,Category!Z$1,'2021'!$D:$D,Category!$C102)</f>
        <v>0</v>
      </c>
      <c r="AA102" s="332">
        <f>SUMIFS('2021'!$I:$I,'2021'!$E:$E,Category!$B$74,'2021'!$N:$N,Category!AA$1,'2021'!$D:$D,Category!$C102)</f>
        <v>0</v>
      </c>
      <c r="AB102" s="332">
        <f>SUMIFS('2021'!$I:$I,'2021'!$E:$E,Category!$B$74,'2021'!$N:$N,Category!AB$1,'2021'!$D:$D,Category!$C102)</f>
        <v>0</v>
      </c>
      <c r="AC102" s="332">
        <f>SUMIFS('2021'!$I:$I,'2021'!$E:$E,Category!$B$74,'2021'!$N:$N,Category!AC$1,'2021'!$D:$D,Category!$C102)</f>
        <v>0</v>
      </c>
      <c r="AD102" s="332">
        <f>SUMIFS('2021'!$I:$I,'2021'!$E:$E,Category!$B$74,'2021'!$N:$N,Category!AD$1,'2021'!$D:$D,Category!$C102)</f>
        <v>0</v>
      </c>
      <c r="AE102" s="332">
        <f>SUMIFS('2021'!$I:$I,'2021'!$E:$E,Category!$B$74,'2021'!$N:$N,Category!AE$1,'2021'!$D:$D,Category!$C102)</f>
        <v>0</v>
      </c>
      <c r="AF102" s="332">
        <f>SUMIFS('2021'!$I:$I,'2021'!$E:$E,Category!$B$74,'2021'!$N:$N,Category!AF$1,'2021'!$D:$D,Category!$C102)</f>
        <v>0</v>
      </c>
      <c r="AG102" s="332">
        <f>SUMIFS('2021'!$I:$I,'2021'!$E:$E,Category!$B$74,'2021'!$N:$N,Category!AG$1,'2021'!$D:$D,Category!$C102)</f>
        <v>0</v>
      </c>
      <c r="AH102" s="332">
        <f>SUMIFS('2021'!$I:$I,'2021'!$E:$E,Category!$B$74,'2021'!$N:$N,Category!AH$1,'2021'!$D:$D,Category!$C102)</f>
        <v>0</v>
      </c>
      <c r="AI102" s="332">
        <f>SUMIFS('2021'!$I:$I,'2021'!$E:$E,Category!$B$74,'2021'!$N:$N,Category!AI$1,'2021'!$D:$D,Category!$C102)</f>
        <v>0</v>
      </c>
      <c r="AJ102" s="332">
        <f>SUMIFS('2021'!$I:$I,'2021'!$E:$E,Category!$B$74,'2021'!$N:$N,Category!AJ$1,'2021'!$D:$D,Category!$C102)</f>
        <v>0</v>
      </c>
      <c r="AK102" s="332">
        <f>SUMIFS('2021'!$I:$I,'2021'!$E:$E,Category!$B$74,'2021'!$N:$N,Category!AK$1,'2021'!$D:$D,Category!$C102)</f>
        <v>0</v>
      </c>
      <c r="AL102" s="333">
        <f t="shared" si="33"/>
        <v>0</v>
      </c>
      <c r="AM102" s="501">
        <f>IFERROR(VLOOKUP(C102,'2022'!$D:$G,4,0),0)</f>
        <v>0</v>
      </c>
      <c r="AN102" s="332">
        <f>SUMIFS('2022'!$I:$I,'2022'!$E:$E,Category!$B$74,'2022'!$N:$N,Category!AN$1,'2022'!$D:$D,Category!$C102)</f>
        <v>0</v>
      </c>
      <c r="AO102" s="332">
        <f>SUMIFS('2022'!$I:$I,'2022'!$E:$E,Category!$B$74,'2022'!$N:$N,Category!AO$1,'2022'!$D:$D,Category!$C102)</f>
        <v>0</v>
      </c>
      <c r="AP102" s="332">
        <f>SUMIFS('2022'!$I:$I,'2022'!$E:$E,Category!$B$74,'2022'!$N:$N,Category!AP$1,'2022'!$D:$D,Category!$C102)</f>
        <v>0</v>
      </c>
      <c r="AQ102" s="332">
        <f>SUMIFS('2022'!$I:$I,'2022'!$E:$E,Category!$B$74,'2022'!$N:$N,Category!AQ$1,'2022'!$D:$D,Category!$C102)</f>
        <v>0</v>
      </c>
      <c r="AR102" s="332">
        <f>SUMIFS('2022'!$I:$I,'2022'!$E:$E,Category!$B$74,'2022'!$N:$N,Category!AR$1,'2022'!$D:$D,Category!$C102)</f>
        <v>0</v>
      </c>
      <c r="AS102" s="332">
        <f>SUMIFS('2022'!$I:$I,'2022'!$E:$E,Category!$B$74,'2022'!$N:$N,Category!AS$1,'2022'!$D:$D,Category!$C102)</f>
        <v>0</v>
      </c>
      <c r="AT102" s="332">
        <f>SUMIFS('2022'!$I:$I,'2022'!$E:$E,Category!$B$74,'2022'!$N:$N,Category!AT$1,'2022'!$D:$D,Category!$C102)</f>
        <v>0</v>
      </c>
      <c r="AU102" s="332">
        <f>SUMIFS('2022'!$I:$I,'2022'!$E:$E,Category!$B$74,'2022'!$N:$N,Category!AU$1,'2022'!$D:$D,Category!$C102)</f>
        <v>0</v>
      </c>
      <c r="AV102" s="332">
        <f>SUMIFS('2022'!$I:$I,'2022'!$E:$E,Category!$B$74,'2022'!$N:$N,Category!AV$1,'2022'!$D:$D,Category!$C102)</f>
        <v>0</v>
      </c>
      <c r="AW102" s="332">
        <f>SUMIFS('2022'!$I:$I,'2022'!$E:$E,Category!$B$74,'2022'!$N:$N,Category!AW$1,'2022'!$D:$D,Category!$C102)</f>
        <v>0</v>
      </c>
      <c r="AX102" s="332">
        <f>SUMIFS('2022'!$I:$I,'2022'!$E:$E,Category!$B$74,'2022'!$N:$N,Category!AX$1,'2022'!$D:$D,Category!$C102)</f>
        <v>0</v>
      </c>
      <c r="AY102" s="332">
        <f>SUMIFS('2022'!$I:$I,'2022'!$E:$E,Category!$B$74,'2022'!$N:$N,Category!AY$1,'2022'!$D:$D,Category!$C102)</f>
        <v>0</v>
      </c>
      <c r="AZ102" s="333">
        <f t="shared" si="31"/>
        <v>0</v>
      </c>
      <c r="BA102" s="1036">
        <f>IFERROR(VLOOKUP(C102,'2023'!$D:$G,4,0),0)</f>
        <v>0</v>
      </c>
      <c r="BB102" s="332">
        <f>SUMIFS('2023'!$I:$I,'2023'!$E:$E,Category!$B$74,'2023'!$N:$N,Category!BB$1,'2023'!$D:$D,Category!$C102)</f>
        <v>0</v>
      </c>
      <c r="BC102" s="332">
        <f>SUMIFS('2023'!$I:$I,'2023'!$E:$E,Category!$B$74,'2023'!$N:$N,Category!BC$1,'2023'!$D:$D,Category!$C102)</f>
        <v>0</v>
      </c>
      <c r="BD102" s="332">
        <f>SUMIFS('2023'!$I:$I,'2023'!$E:$E,Category!$B$74,'2023'!$N:$N,Category!BD$1,'2023'!$D:$D,Category!$C102)</f>
        <v>0</v>
      </c>
      <c r="BE102" s="332">
        <f>SUMIFS('2023'!$I:$I,'2023'!$E:$E,Category!$B$74,'2023'!$N:$N,Category!BE$1,'2023'!$D:$D,Category!$C102)</f>
        <v>0</v>
      </c>
      <c r="BF102" s="332">
        <f>SUMIFS('2023'!$I:$I,'2023'!$E:$E,Category!$B$74,'2023'!$N:$N,Category!BF$1,'2023'!$D:$D,Category!$C102)</f>
        <v>0</v>
      </c>
      <c r="BG102" s="332">
        <f>SUMIFS('2023'!$I:$I,'2023'!$E:$E,Category!$B$74,'2023'!$N:$N,Category!BG$1,'2023'!$D:$D,Category!$C102)</f>
        <v>0</v>
      </c>
      <c r="BH102" s="332">
        <f>SUMIFS('2023'!$I:$I,'2023'!$E:$E,Category!$B$74,'2023'!$N:$N,Category!BH$1,'2023'!$D:$D,Category!$C102)</f>
        <v>0</v>
      </c>
      <c r="BI102" s="332">
        <f>SUMIFS('2023'!$I:$I,'2023'!$E:$E,Category!$B$74,'2023'!$N:$N,Category!BI$1,'2023'!$D:$D,Category!$C102)</f>
        <v>0</v>
      </c>
      <c r="BJ102" s="332">
        <f>SUMIFS('2023'!$I:$I,'2023'!$E:$E,Category!$B$74,'2023'!$N:$N,Category!BJ$1,'2023'!$D:$D,Category!$C102)</f>
        <v>0</v>
      </c>
      <c r="BK102" s="332">
        <f>SUMIFS('2023'!$I:$I,'2023'!$E:$E,Category!$B$74,'2023'!$N:$N,Category!BK$1,'2023'!$D:$D,Category!$C102)</f>
        <v>0</v>
      </c>
      <c r="BL102" s="332">
        <f>SUMIFS('2023'!$I:$I,'2023'!$E:$E,Category!$B$74,'2023'!$N:$N,Category!BL$1,'2023'!$D:$D,Category!$C102)</f>
        <v>0</v>
      </c>
      <c r="BM102" s="332">
        <f>SUMIFS('2023'!$I:$I,'2023'!$E:$E,Category!$B$74,'2023'!$N:$N,Category!BM$1,'2023'!$D:$D,Category!$C102)</f>
        <v>0</v>
      </c>
      <c r="BN102" s="333">
        <f t="shared" si="32"/>
        <v>0</v>
      </c>
    </row>
    <row r="103" spans="1:66" x14ac:dyDescent="0.3">
      <c r="A103" s="334">
        <v>4</v>
      </c>
      <c r="B103" s="335" t="str">
        <f>'S2 2020'!B6</f>
        <v>Sumbangan Duka</v>
      </c>
      <c r="C103" s="335"/>
      <c r="D103" s="335">
        <f t="shared" ref="D103:K103" si="35">SUM(D104:D120)</f>
        <v>2</v>
      </c>
      <c r="E103" s="336">
        <f t="shared" si="35"/>
        <v>1800000</v>
      </c>
      <c r="F103" s="336">
        <f t="shared" si="35"/>
        <v>0</v>
      </c>
      <c r="G103" s="336">
        <f t="shared" si="35"/>
        <v>0</v>
      </c>
      <c r="H103" s="336">
        <f t="shared" si="35"/>
        <v>0</v>
      </c>
      <c r="I103" s="336">
        <f t="shared" si="35"/>
        <v>0</v>
      </c>
      <c r="J103" s="336">
        <f t="shared" si="35"/>
        <v>1800000</v>
      </c>
      <c r="K103" s="502">
        <f t="shared" si="35"/>
        <v>1</v>
      </c>
      <c r="L103" s="336">
        <f t="shared" ref="L103:AA103" si="36">SUM(L104:L120)</f>
        <v>0</v>
      </c>
      <c r="M103" s="336">
        <f t="shared" si="36"/>
        <v>0</v>
      </c>
      <c r="N103" s="336">
        <f t="shared" si="36"/>
        <v>770737</v>
      </c>
      <c r="O103" s="336">
        <f t="shared" si="36"/>
        <v>0</v>
      </c>
      <c r="P103" s="336">
        <f t="shared" si="36"/>
        <v>0</v>
      </c>
      <c r="Q103" s="336">
        <f t="shared" si="36"/>
        <v>0</v>
      </c>
      <c r="R103" s="336">
        <f t="shared" si="36"/>
        <v>670000</v>
      </c>
      <c r="S103" s="336">
        <f t="shared" si="36"/>
        <v>0</v>
      </c>
      <c r="T103" s="336">
        <f t="shared" si="36"/>
        <v>0</v>
      </c>
      <c r="U103" s="336">
        <f t="shared" si="36"/>
        <v>0</v>
      </c>
      <c r="V103" s="336">
        <f t="shared" si="36"/>
        <v>0</v>
      </c>
      <c r="W103" s="336">
        <f t="shared" si="36"/>
        <v>0</v>
      </c>
      <c r="X103" s="336">
        <f>SUM(X104:X120)</f>
        <v>1440737</v>
      </c>
      <c r="Y103" s="502">
        <f>SUM(Y104:Y120)</f>
        <v>5</v>
      </c>
      <c r="Z103" s="336">
        <f t="shared" si="36"/>
        <v>770000</v>
      </c>
      <c r="AA103" s="336">
        <f t="shared" si="36"/>
        <v>0</v>
      </c>
      <c r="AB103" s="336">
        <f>SUM(AB104:AB120)</f>
        <v>0</v>
      </c>
      <c r="AC103" s="336">
        <f>SUM(AC104:AC120)</f>
        <v>0</v>
      </c>
      <c r="AD103" s="336">
        <f>SUM(AD104:AD120)</f>
        <v>600000</v>
      </c>
      <c r="AE103" s="336">
        <f>SUM(AE104:AE120)</f>
        <v>720000</v>
      </c>
      <c r="AF103" s="336">
        <f t="shared" ref="AF103:AK103" si="37">SUM(AF104:AF120)</f>
        <v>0</v>
      </c>
      <c r="AG103" s="336">
        <f>SUM(AG104:AG120)</f>
        <v>660000</v>
      </c>
      <c r="AH103" s="336">
        <f t="shared" si="37"/>
        <v>0</v>
      </c>
      <c r="AI103" s="336">
        <f t="shared" si="37"/>
        <v>0</v>
      </c>
      <c r="AJ103" s="336">
        <f t="shared" si="37"/>
        <v>0</v>
      </c>
      <c r="AK103" s="336">
        <f t="shared" si="37"/>
        <v>0</v>
      </c>
      <c r="AL103" s="336">
        <f t="shared" ref="AL103:BA103" si="38">SUM(AL104:AL120)</f>
        <v>2750000</v>
      </c>
      <c r="AM103" s="502">
        <f t="shared" si="38"/>
        <v>2</v>
      </c>
      <c r="AN103" s="336">
        <f t="shared" si="38"/>
        <v>0</v>
      </c>
      <c r="AO103" s="336">
        <f t="shared" si="38"/>
        <v>660000</v>
      </c>
      <c r="AP103" s="336">
        <f t="shared" si="38"/>
        <v>0</v>
      </c>
      <c r="AQ103" s="336">
        <f t="shared" si="38"/>
        <v>0</v>
      </c>
      <c r="AR103" s="336">
        <f t="shared" si="38"/>
        <v>777000</v>
      </c>
      <c r="AS103" s="336">
        <f t="shared" si="38"/>
        <v>0</v>
      </c>
      <c r="AT103" s="336">
        <f t="shared" si="38"/>
        <v>0</v>
      </c>
      <c r="AU103" s="336">
        <f t="shared" si="38"/>
        <v>0</v>
      </c>
      <c r="AV103" s="336">
        <f t="shared" si="38"/>
        <v>0</v>
      </c>
      <c r="AW103" s="336">
        <f t="shared" si="38"/>
        <v>0</v>
      </c>
      <c r="AX103" s="336">
        <f t="shared" si="38"/>
        <v>0</v>
      </c>
      <c r="AY103" s="336">
        <f t="shared" si="38"/>
        <v>888000</v>
      </c>
      <c r="AZ103" s="336">
        <f t="shared" si="38"/>
        <v>2325000</v>
      </c>
      <c r="BA103" s="502">
        <f t="shared" si="38"/>
        <v>0</v>
      </c>
      <c r="BB103" s="336">
        <f t="shared" ref="BB103:BM103" si="39">SUM(BB104:BB120)</f>
        <v>5000000</v>
      </c>
      <c r="BC103" s="336">
        <f t="shared" si="39"/>
        <v>0</v>
      </c>
      <c r="BD103" s="336">
        <f t="shared" si="39"/>
        <v>0</v>
      </c>
      <c r="BE103" s="336">
        <f t="shared" si="39"/>
        <v>0</v>
      </c>
      <c r="BF103" s="336">
        <f t="shared" si="39"/>
        <v>0</v>
      </c>
      <c r="BG103" s="336">
        <f t="shared" si="39"/>
        <v>0</v>
      </c>
      <c r="BH103" s="336">
        <f t="shared" si="39"/>
        <v>0</v>
      </c>
      <c r="BI103" s="336">
        <f t="shared" si="39"/>
        <v>0</v>
      </c>
      <c r="BJ103" s="336">
        <f t="shared" si="39"/>
        <v>0</v>
      </c>
      <c r="BK103" s="336">
        <f t="shared" si="39"/>
        <v>0</v>
      </c>
      <c r="BL103" s="336">
        <f t="shared" si="39"/>
        <v>0</v>
      </c>
      <c r="BM103" s="336">
        <f t="shared" si="39"/>
        <v>0</v>
      </c>
      <c r="BN103" s="336">
        <f>SUM(BN104:BN120)</f>
        <v>5000000</v>
      </c>
    </row>
    <row r="104" spans="1:66" x14ac:dyDescent="0.3">
      <c r="A104" s="337"/>
      <c r="B104" s="243"/>
      <c r="C104" s="243" t="str">
        <f>'2020'!D44</f>
        <v>Donasi Duka Cita Ex Ketua PD Baya /Edi Sukamto</v>
      </c>
      <c r="D104" s="520">
        <f>IFERROR(VLOOKUP($C104,'2019'!$D:$G,4,0),0)</f>
        <v>0</v>
      </c>
      <c r="E104" s="245">
        <f>SUMIFS('2019'!$I:$I,'2019'!$E:$E,Category!$B$103,'2019'!$N:$N,Category!E$1,'2019'!$D:$D,Category!$C104)</f>
        <v>0</v>
      </c>
      <c r="F104" s="245">
        <f>SUMIFS('2019'!$I:$I,'2019'!$E:$E,Category!$B$103,'2019'!$N:$N,Category!F$1,'2019'!$D:$D,Category!$C104)</f>
        <v>0</v>
      </c>
      <c r="G104" s="245">
        <f>SUMIFS('2019'!$I:$I,'2019'!$E:$E,Category!$B$103,'2019'!$N:$N,Category!G$1,'2019'!$D:$D,Category!$C104)</f>
        <v>0</v>
      </c>
      <c r="H104" s="245">
        <f>SUMIFS('2019'!$I:$I,'2019'!$E:$E,Category!$B$103,'2019'!$N:$N,Category!H$1,'2019'!$D:$D,Category!$C104)</f>
        <v>0</v>
      </c>
      <c r="I104" s="245">
        <f>SUMIFS('2019'!$I:$I,'2019'!$E:$E,Category!$B$103,'2019'!$N:$N,Category!I$1,'2019'!$D:$D,Category!$C104)</f>
        <v>0</v>
      </c>
      <c r="J104" s="246">
        <f t="shared" ref="J104:J110" si="40">SUM(E104:I104)</f>
        <v>0</v>
      </c>
      <c r="K104" s="503">
        <f>IFERROR(VLOOKUP($C104,'2020'!$D:$G,4,0),0)</f>
        <v>1</v>
      </c>
      <c r="L104" s="245">
        <f>SUMIFS('2020'!$I:$I,'2020'!$E:$E,Category!$B$103,'2020'!$N:$N,Category!L$1,'2020'!$D:$D,Category!$C104)</f>
        <v>0</v>
      </c>
      <c r="M104" s="245">
        <f>SUMIFS('2020'!$I:$I,'2020'!$E:$E,Category!$B$103,'2020'!$N:$N,Category!M$1,'2020'!$D:$D,Category!$C104)</f>
        <v>0</v>
      </c>
      <c r="N104" s="245">
        <f>SUMIFS('2020'!$I:$I,'2020'!$E:$E,Category!$B$103,'2020'!$N:$N,Category!N$1,'2020'!$D:$D,Category!$C104)</f>
        <v>0</v>
      </c>
      <c r="O104" s="245">
        <f>SUMIFS('2020'!$I:$I,'2020'!$E:$E,Category!$B$103,'2020'!$N:$N,Category!O$1,'2020'!$D:$D,Category!$C104)</f>
        <v>0</v>
      </c>
      <c r="P104" s="245">
        <f>SUMIFS('2020'!$I:$I,'2020'!$E:$E,Category!$B$103,'2020'!$N:$N,Category!P$1,'2020'!$D:$D,Category!$C104)</f>
        <v>0</v>
      </c>
      <c r="Q104" s="245">
        <f>SUMIFS('2020'!$I:$I,'2020'!$E:$E,Category!$B$103,'2020'!$N:$N,Category!Q$1,'2020'!$D:$D,Category!$C104)</f>
        <v>0</v>
      </c>
      <c r="R104" s="245">
        <f>SUMIFS('2020'!$I:$I,'2020'!$E:$E,Category!$B$103,'2020'!$N:$N,Category!R$1,'2020'!$D:$D,Category!$C104)</f>
        <v>0</v>
      </c>
      <c r="S104" s="245">
        <f>SUMIFS('2020'!$I:$I,'2020'!$E:$E,Category!$B$103,'2020'!$N:$N,Category!S$1,'2020'!$D:$D,Category!$C104)</f>
        <v>0</v>
      </c>
      <c r="T104" s="245">
        <f>SUMIFS('2020'!$I:$I,'2020'!$E:$E,Category!$B$103,'2020'!$N:$N,Category!T$1,'2020'!$D:$D,Category!$C104)</f>
        <v>0</v>
      </c>
      <c r="U104" s="245">
        <f>SUMIFS('2020'!$I:$I,'2020'!$E:$E,Category!$B$103,'2020'!$N:$N,Category!U$1,'2020'!$D:$D,Category!$C104)</f>
        <v>0</v>
      </c>
      <c r="V104" s="245">
        <f>SUMIFS('2020'!$I:$I,'2020'!$E:$E,Category!$B$103,'2020'!$N:$N,Category!V$1,'2020'!$D:$D,Category!$C104)</f>
        <v>0</v>
      </c>
      <c r="W104" s="245">
        <f>SUMIFS('2020'!$I:$I,'2020'!$E:$E,Category!$B$103,'2020'!$N:$N,Category!W$1,'2020'!$D:$D,Category!$C104)</f>
        <v>0</v>
      </c>
      <c r="X104" s="246">
        <f t="shared" ref="X104:X120" si="41">SUM(L104:W104)</f>
        <v>0</v>
      </c>
      <c r="Y104" s="503">
        <f>IFERROR(VLOOKUP(C104,'2021'!$D:$G,4,0),0)</f>
        <v>0</v>
      </c>
      <c r="Z104" s="245">
        <f>SUMIFS('2021'!$I:$I,'2021'!$E:$E,Category!$B$103,'2021'!$N:$N,Category!Z$1,'2021'!$D:$D,Category!$C104)</f>
        <v>0</v>
      </c>
      <c r="AA104" s="245">
        <f>SUMIFS('2021'!$I:$I,'2021'!$E:$E,Category!$B$103,'2021'!$N:$N,Category!AA$1,'2021'!$D:$D,Category!$C104)</f>
        <v>0</v>
      </c>
      <c r="AB104" s="245">
        <f>SUMIFS('2021'!$I:$I,'2021'!$E:$E,Category!$B$103,'2021'!$N:$N,Category!AB$1,'2021'!$D:$D,Category!$C104)</f>
        <v>0</v>
      </c>
      <c r="AC104" s="245">
        <f>SUMIFS('2021'!$I:$I,'2021'!$E:$E,Category!$B$103,'2021'!$N:$N,Category!AC$1,'2021'!$D:$D,Category!$C104)</f>
        <v>0</v>
      </c>
      <c r="AD104" s="245">
        <f>SUMIFS('2021'!$I:$I,'2021'!$E:$E,Category!$B$103,'2021'!$N:$N,Category!AD$1,'2021'!$D:$D,Category!$C104)</f>
        <v>0</v>
      </c>
      <c r="AE104" s="245">
        <f>SUMIFS('2021'!$I:$I,'2021'!$E:$E,Category!$B$103,'2021'!$N:$N,Category!AE$1,'2021'!$D:$D,Category!$C104)</f>
        <v>0</v>
      </c>
      <c r="AF104" s="245">
        <f>SUMIFS('2021'!$I:$I,'2021'!$E:$E,Category!$B$103,'2021'!$N:$N,Category!AF$1,'2021'!$D:$D,Category!$C104)</f>
        <v>0</v>
      </c>
      <c r="AG104" s="245">
        <f>SUMIFS('2021'!$I:$I,'2021'!$E:$E,Category!$B$103,'2021'!$N:$N,Category!AG$1,'2021'!$D:$D,Category!$C104)</f>
        <v>0</v>
      </c>
      <c r="AH104" s="245">
        <f>SUMIFS('2021'!$I:$I,'2021'!$E:$E,Category!$B$103,'2021'!$N:$N,Category!AH$1,'2021'!$D:$D,Category!$C104)</f>
        <v>0</v>
      </c>
      <c r="AI104" s="245">
        <f>SUMIFS('2021'!$I:$I,'2021'!$E:$E,Category!$B$103,'2021'!$N:$N,Category!AI$1,'2021'!$D:$D,Category!$C104)</f>
        <v>0</v>
      </c>
      <c r="AJ104" s="245">
        <f>SUMIFS('2021'!$I:$I,'2021'!$E:$E,Category!$B$103,'2021'!$N:$N,Category!AJ$1,'2021'!$D:$D,Category!$C104)</f>
        <v>0</v>
      </c>
      <c r="AK104" s="245">
        <f>SUMIFS('2021'!$I:$I,'2021'!$E:$E,Category!$B$103,'2021'!$N:$N,Category!AK$1,'2021'!$D:$D,Category!$C104)</f>
        <v>0</v>
      </c>
      <c r="AL104" s="246">
        <f t="shared" ref="AL104:AL112" si="42">SUM(Z104:AK104)</f>
        <v>0</v>
      </c>
      <c r="AM104" s="503">
        <f>IFERROR(VLOOKUP(C104,'2022'!$D:$G,4,0),0)</f>
        <v>0</v>
      </c>
      <c r="AN104" s="245">
        <f>SUMIFS('2022'!$I:$I,'2022'!$E:$E,Category!$B$103,'2022'!$N:$N,Category!AN$1,'2022'!$D:$D,Category!$C104)</f>
        <v>0</v>
      </c>
      <c r="AO104" s="245">
        <f>SUMIFS('2022'!$I:$I,'2022'!$E:$E,Category!$B$103,'2022'!$N:$N,Category!AO$1,'2022'!$D:$D,Category!$C104)</f>
        <v>0</v>
      </c>
      <c r="AP104" s="245">
        <f>SUMIFS('2022'!$I:$I,'2022'!$E:$E,Category!$B$103,'2022'!$N:$N,Category!AP$1,'2022'!$D:$D,Category!$C104)</f>
        <v>0</v>
      </c>
      <c r="AQ104" s="245">
        <f>SUMIFS('2022'!$I:$I,'2022'!$E:$E,Category!$B$103,'2022'!$N:$N,Category!AQ$1,'2022'!$D:$D,Category!$C104)</f>
        <v>0</v>
      </c>
      <c r="AR104" s="245">
        <f>SUMIFS('2022'!$I:$I,'2022'!$E:$E,Category!$B$103,'2022'!$N:$N,Category!AR$1,'2022'!$D:$D,Category!$C104)</f>
        <v>0</v>
      </c>
      <c r="AS104" s="245">
        <f>SUMIFS('2022'!$I:$I,'2022'!$E:$E,Category!$B$103,'2022'!$N:$N,Category!AS$1,'2022'!$D:$D,Category!$C104)</f>
        <v>0</v>
      </c>
      <c r="AT104" s="245">
        <f>SUMIFS('2022'!$I:$I,'2022'!$E:$E,Category!$B$103,'2022'!$N:$N,Category!AT$1,'2022'!$D:$D,Category!$C104)</f>
        <v>0</v>
      </c>
      <c r="AU104" s="245">
        <f>SUMIFS('2022'!$I:$I,'2022'!$E:$E,Category!$B$103,'2022'!$N:$N,Category!AU$1,'2022'!$D:$D,Category!$C104)</f>
        <v>0</v>
      </c>
      <c r="AV104" s="245">
        <f>SUMIFS('2022'!$I:$I,'2022'!$E:$E,Category!$B$103,'2022'!$N:$N,Category!AV$1,'2022'!$D:$D,Category!$C104)</f>
        <v>0</v>
      </c>
      <c r="AW104" s="245">
        <f>SUMIFS('2022'!$I:$I,'2022'!$E:$E,Category!$B$103,'2022'!$N:$N,Category!AW$1,'2022'!$D:$D,Category!$C104)</f>
        <v>0</v>
      </c>
      <c r="AX104" s="245">
        <f>SUMIFS('2022'!$I:$I,'2022'!$E:$E,Category!$B$103,'2022'!$N:$N,Category!AX$1,'2022'!$D:$D,Category!$C104)</f>
        <v>0</v>
      </c>
      <c r="AY104" s="245">
        <f>SUMIFS('2022'!$I:$I,'2022'!$E:$E,Category!$B$103,'2022'!$N:$N,Category!AY$1,'2022'!$D:$D,Category!$C104)</f>
        <v>0</v>
      </c>
      <c r="AZ104" s="246">
        <f t="shared" ref="AZ104:AZ113" si="43">SUM(AN104:AY104)</f>
        <v>0</v>
      </c>
      <c r="BA104" s="503">
        <f>IFERROR(VLOOKUP(C104,'2023'!$D:$G,4,0),0)</f>
        <v>0</v>
      </c>
      <c r="BB104" s="245">
        <f>SUMIFS('2023'!$I:$I,'2023'!$E:$E,Category!$B$103,'2023'!$N:$N,Category!BB$1,'2023'!$D:$D,Category!$C104)</f>
        <v>0</v>
      </c>
      <c r="BC104" s="245">
        <f>SUMIFS('2023'!$I:$I,'2023'!$E:$E,Category!$B$103,'2023'!$N:$N,Category!BC$1,'2023'!$D:$D,Category!$C104)</f>
        <v>0</v>
      </c>
      <c r="BD104" s="245">
        <f>SUMIFS('2023'!$I:$I,'2023'!$E:$E,Category!$B$103,'2023'!$N:$N,Category!BD$1,'2023'!$D:$D,Category!$C104)</f>
        <v>0</v>
      </c>
      <c r="BE104" s="245">
        <f>SUMIFS('2023'!$I:$I,'2023'!$E:$E,Category!$B$103,'2023'!$N:$N,Category!BE$1,'2023'!$D:$D,Category!$C104)</f>
        <v>0</v>
      </c>
      <c r="BF104" s="245">
        <f>SUMIFS('2023'!$I:$I,'2023'!$E:$E,Category!$B$103,'2023'!$N:$N,Category!BF$1,'2023'!$D:$D,Category!$C104)</f>
        <v>0</v>
      </c>
      <c r="BG104" s="245">
        <f>SUMIFS('2023'!$I:$I,'2023'!$E:$E,Category!$B$103,'2023'!$N:$N,Category!BG$1,'2023'!$D:$D,Category!$C104)</f>
        <v>0</v>
      </c>
      <c r="BH104" s="245">
        <f>SUMIFS('2023'!$I:$I,'2023'!$E:$E,Category!$B$103,'2023'!$N:$N,Category!BH$1,'2023'!$D:$D,Category!$C104)</f>
        <v>0</v>
      </c>
      <c r="BI104" s="245">
        <f>SUMIFS('2023'!$I:$I,'2023'!$E:$E,Category!$B$103,'2023'!$N:$N,Category!BI$1,'2023'!$D:$D,Category!$C104)</f>
        <v>0</v>
      </c>
      <c r="BJ104" s="245">
        <f>SUMIFS('2023'!$I:$I,'2023'!$E:$E,Category!$B$103,'2023'!$N:$N,Category!BJ$1,'2023'!$D:$D,Category!$C104)</f>
        <v>0</v>
      </c>
      <c r="BK104" s="245">
        <f>SUMIFS('2023'!$I:$I,'2023'!$E:$E,Category!$B$103,'2023'!$N:$N,Category!BK$1,'2023'!$D:$D,Category!$C104)</f>
        <v>0</v>
      </c>
      <c r="BL104" s="245">
        <f>SUMIFS('2023'!$I:$I,'2023'!$E:$E,Category!$B$103,'2023'!$N:$N,Category!BL$1,'2023'!$D:$D,Category!$C104)</f>
        <v>0</v>
      </c>
      <c r="BM104" s="245">
        <f>SUMIFS('2023'!$I:$I,'2023'!$E:$E,Category!$B$103,'2023'!$N:$N,Category!BM$1,'2023'!$D:$D,Category!$C104)</f>
        <v>0</v>
      </c>
      <c r="BN104" s="246">
        <f t="shared" ref="BN104:BN120" si="44">SUM(BB104:BM104)</f>
        <v>0</v>
      </c>
    </row>
    <row r="105" spans="1:66" ht="59.25" x14ac:dyDescent="0.3">
      <c r="A105" s="337"/>
      <c r="B105" s="243"/>
      <c r="C105" s="243" t="s">
        <v>226</v>
      </c>
      <c r="D105" s="520">
        <f>IFERROR(VLOOKUP($C105,'2019'!$D:$G,4,0),0)</f>
        <v>0</v>
      </c>
      <c r="E105" s="245">
        <f>SUMIFS('2019'!$I:$I,'2019'!$E:$E,Category!$B$103,'2019'!$N:$N,Category!E$1,'2019'!$D:$D,Category!$C105)</f>
        <v>0</v>
      </c>
      <c r="F105" s="245">
        <f>SUMIFS('2019'!$I:$I,'2019'!$E:$E,Category!$B$103,'2019'!$N:$N,Category!F$1,'2019'!$D:$D,Category!$C105)</f>
        <v>0</v>
      </c>
      <c r="G105" s="245">
        <f>SUMIFS('2019'!$I:$I,'2019'!$E:$E,Category!$B$103,'2019'!$N:$N,Category!G$1,'2019'!$D:$D,Category!$C105)</f>
        <v>0</v>
      </c>
      <c r="H105" s="245">
        <f>SUMIFS('2019'!$I:$I,'2019'!$E:$E,Category!$B$103,'2019'!$N:$N,Category!H$1,'2019'!$D:$D,Category!$C105)</f>
        <v>0</v>
      </c>
      <c r="I105" s="245">
        <f>SUMIFS('2019'!$I:$I,'2019'!$E:$E,Category!$B$103,'2019'!$N:$N,Category!I$1,'2019'!$D:$D,Category!$C105)</f>
        <v>0</v>
      </c>
      <c r="J105" s="246">
        <f t="shared" si="40"/>
        <v>0</v>
      </c>
      <c r="K105" s="503">
        <f>IFERROR(VLOOKUP($C105,'2020'!$D:$G,4,0),0)</f>
        <v>0</v>
      </c>
      <c r="L105" s="245">
        <f>SUMIFS('2020'!$I:$I,'2020'!$E:$E,Category!$B$103,'2020'!$N:$N,Category!L$1,'2020'!$D:$D,Category!$C105)</f>
        <v>0</v>
      </c>
      <c r="M105" s="245">
        <f>SUMIFS('2020'!$I:$I,'2020'!$E:$E,Category!$B$103,'2020'!$N:$N,Category!M$1,'2020'!$D:$D,Category!$C105)</f>
        <v>0</v>
      </c>
      <c r="N105" s="245">
        <f>SUMIFS('2020'!$I:$I,'2020'!$E:$E,Category!$B$103,'2020'!$N:$N,Category!N$1,'2020'!$D:$D,Category!$C105)</f>
        <v>0</v>
      </c>
      <c r="O105" s="245">
        <f>SUMIFS('2020'!$I:$I,'2020'!$E:$E,Category!$B$103,'2020'!$N:$N,Category!O$1,'2020'!$D:$D,Category!$C105)</f>
        <v>0</v>
      </c>
      <c r="P105" s="245">
        <f>SUMIFS('2020'!$I:$I,'2020'!$E:$E,Category!$B$103,'2020'!$N:$N,Category!P$1,'2020'!$D:$D,Category!$C105)</f>
        <v>0</v>
      </c>
      <c r="Q105" s="245">
        <f>SUMIFS('2020'!$I:$I,'2020'!$E:$E,Category!$B$103,'2020'!$N:$N,Category!Q$1,'2020'!$D:$D,Category!$C105)</f>
        <v>0</v>
      </c>
      <c r="R105" s="245">
        <f>SUMIFS('2020'!$I:$I,'2020'!$E:$E,Category!$B$103,'2020'!$N:$N,Category!R$1,'2020'!$D:$D,Category!$C105)</f>
        <v>0</v>
      </c>
      <c r="S105" s="245">
        <f>SUMIFS('2020'!$I:$I,'2020'!$E:$E,Category!$B$103,'2020'!$N:$N,Category!S$1,'2020'!$D:$D,Category!$C105)</f>
        <v>0</v>
      </c>
      <c r="T105" s="245">
        <f>SUMIFS('2020'!$I:$I,'2020'!$E:$E,Category!$B$103,'2020'!$N:$N,Category!T$1,'2020'!$D:$D,Category!$C105)</f>
        <v>0</v>
      </c>
      <c r="U105" s="245">
        <f>SUMIFS('2020'!$I:$I,'2020'!$E:$E,Category!$B$103,'2020'!$N:$N,Category!U$1,'2020'!$D:$D,Category!$C105)</f>
        <v>0</v>
      </c>
      <c r="V105" s="245">
        <f>SUMIFS('2020'!$I:$I,'2020'!$E:$E,Category!$B$103,'2020'!$N:$N,Category!V$1,'2020'!$D:$D,Category!$C105)</f>
        <v>0</v>
      </c>
      <c r="W105" s="245">
        <f>SUMIFS('2020'!$I:$I,'2020'!$E:$E,Category!$B$103,'2020'!$N:$N,Category!W$1,'2020'!$D:$D,Category!$C105)</f>
        <v>0</v>
      </c>
      <c r="X105" s="246">
        <f t="shared" si="41"/>
        <v>0</v>
      </c>
      <c r="Y105" s="503">
        <f>IFERROR(VLOOKUP(C105,'2021'!$D:$G,4,0),0)</f>
        <v>1</v>
      </c>
      <c r="Z105" s="245">
        <f>SUMIFS('2021'!$I:$I,'2021'!$E:$E,Category!$B$103,'2021'!$N:$N,Category!Z$1,'2021'!$D:$D,Category!$C105)</f>
        <v>770000</v>
      </c>
      <c r="AA105" s="245">
        <f>SUMIFS('2021'!$I:$I,'2021'!$E:$E,Category!$B$103,'2021'!$N:$N,Category!AA$1,'2021'!$D:$D,Category!$C105)</f>
        <v>0</v>
      </c>
      <c r="AB105" s="245">
        <f>SUMIFS('2021'!$I:$I,'2021'!$E:$E,Category!$B$103,'2021'!$N:$N,Category!AB$1,'2021'!$D:$D,Category!$C105)</f>
        <v>0</v>
      </c>
      <c r="AC105" s="245">
        <f>SUMIFS('2021'!$I:$I,'2021'!$E:$E,Category!$B$103,'2021'!$N:$N,Category!AC$1,'2021'!$D:$D,Category!$C105)</f>
        <v>0</v>
      </c>
      <c r="AD105" s="245">
        <f>SUMIFS('2021'!$I:$I,'2021'!$E:$E,Category!$B$103,'2021'!$N:$N,Category!AD$1,'2021'!$D:$D,Category!$C105)</f>
        <v>0</v>
      </c>
      <c r="AE105" s="245">
        <f>SUMIFS('2021'!$I:$I,'2021'!$E:$E,Category!$B$103,'2021'!$N:$N,Category!AE$1,'2021'!$D:$D,Category!$C105)</f>
        <v>0</v>
      </c>
      <c r="AF105" s="245">
        <f>SUMIFS('2021'!$I:$I,'2021'!$E:$E,Category!$B$103,'2021'!$N:$N,Category!AF$1,'2021'!$D:$D,Category!$C105)</f>
        <v>0</v>
      </c>
      <c r="AG105" s="245">
        <f>SUMIFS('2021'!$I:$I,'2021'!$E:$E,Category!$B$103,'2021'!$N:$N,Category!AG$1,'2021'!$D:$D,Category!$C105)</f>
        <v>0</v>
      </c>
      <c r="AH105" s="245">
        <f>SUMIFS('2021'!$I:$I,'2021'!$E:$E,Category!$B$103,'2021'!$N:$N,Category!AH$1,'2021'!$D:$D,Category!$C105)</f>
        <v>0</v>
      </c>
      <c r="AI105" s="245">
        <f>SUMIFS('2021'!$I:$I,'2021'!$E:$E,Category!$B$103,'2021'!$N:$N,Category!AI$1,'2021'!$D:$D,Category!$C105)</f>
        <v>0</v>
      </c>
      <c r="AJ105" s="245">
        <f>SUMIFS('2021'!$I:$I,'2021'!$E:$E,Category!$B$103,'2021'!$N:$N,Category!AJ$1,'2021'!$D:$D,Category!$C105)</f>
        <v>0</v>
      </c>
      <c r="AK105" s="245">
        <f>SUMIFS('2021'!$I:$I,'2021'!$E:$E,Category!$B$103,'2021'!$N:$N,Category!AK$1,'2021'!$D:$D,Category!$C105)</f>
        <v>0</v>
      </c>
      <c r="AL105" s="246">
        <f t="shared" si="42"/>
        <v>770000</v>
      </c>
      <c r="AM105" s="503">
        <f>IFERROR(VLOOKUP(C105,'2022'!$D:$G,4,0),0)</f>
        <v>0</v>
      </c>
      <c r="AN105" s="245">
        <f>SUMIFS('2022'!$I:$I,'2022'!$E:$E,Category!$B$103,'2022'!$N:$N,Category!AN$1,'2022'!$D:$D,Category!$C105)</f>
        <v>0</v>
      </c>
      <c r="AO105" s="245">
        <f>SUMIFS('2022'!$I:$I,'2022'!$E:$E,Category!$B$103,'2022'!$N:$N,Category!AO$1,'2022'!$D:$D,Category!$C105)</f>
        <v>0</v>
      </c>
      <c r="AP105" s="245">
        <f>SUMIFS('2022'!$I:$I,'2022'!$E:$E,Category!$B$103,'2022'!$N:$N,Category!AP$1,'2022'!$D:$D,Category!$C105)</f>
        <v>0</v>
      </c>
      <c r="AQ105" s="245">
        <f>SUMIFS('2022'!$I:$I,'2022'!$E:$E,Category!$B$103,'2022'!$N:$N,Category!AQ$1,'2022'!$D:$D,Category!$C105)</f>
        <v>0</v>
      </c>
      <c r="AR105" s="245">
        <f>SUMIFS('2022'!$I:$I,'2022'!$E:$E,Category!$B$103,'2022'!$N:$N,Category!AR$1,'2022'!$D:$D,Category!$C105)</f>
        <v>0</v>
      </c>
      <c r="AS105" s="245">
        <f>SUMIFS('2022'!$I:$I,'2022'!$E:$E,Category!$B$103,'2022'!$N:$N,Category!AS$1,'2022'!$D:$D,Category!$C105)</f>
        <v>0</v>
      </c>
      <c r="AT105" s="245">
        <f>SUMIFS('2022'!$I:$I,'2022'!$E:$E,Category!$B$103,'2022'!$N:$N,Category!AT$1,'2022'!$D:$D,Category!$C105)</f>
        <v>0</v>
      </c>
      <c r="AU105" s="245">
        <f>SUMIFS('2022'!$I:$I,'2022'!$E:$E,Category!$B$103,'2022'!$N:$N,Category!AU$1,'2022'!$D:$D,Category!$C105)</f>
        <v>0</v>
      </c>
      <c r="AV105" s="245">
        <f>SUMIFS('2022'!$I:$I,'2022'!$E:$E,Category!$B$103,'2022'!$N:$N,Category!AV$1,'2022'!$D:$D,Category!$C105)</f>
        <v>0</v>
      </c>
      <c r="AW105" s="245">
        <f>SUMIFS('2022'!$I:$I,'2022'!$E:$E,Category!$B$103,'2022'!$N:$N,Category!AW$1,'2022'!$D:$D,Category!$C105)</f>
        <v>0</v>
      </c>
      <c r="AX105" s="245">
        <f>SUMIFS('2022'!$I:$I,'2022'!$E:$E,Category!$B$103,'2022'!$N:$N,Category!AX$1,'2022'!$D:$D,Category!$C105)</f>
        <v>0</v>
      </c>
      <c r="AY105" s="245">
        <f>SUMIFS('2022'!$I:$I,'2022'!$E:$E,Category!$B$103,'2022'!$N:$N,Category!AY$1,'2022'!$D:$D,Category!$C105)</f>
        <v>0</v>
      </c>
      <c r="AZ105" s="246">
        <f t="shared" si="43"/>
        <v>0</v>
      </c>
      <c r="BA105" s="503">
        <f>IFERROR(VLOOKUP(C105,'2023'!$D:$G,4,0),0)</f>
        <v>0</v>
      </c>
      <c r="BB105" s="245">
        <f>SUMIFS('2023'!$I:$I,'2023'!$E:$E,Category!$B$103,'2023'!$N:$N,Category!BB$1,'2023'!$D:$D,Category!$C105)</f>
        <v>0</v>
      </c>
      <c r="BC105" s="245">
        <f>SUMIFS('2023'!$I:$I,'2023'!$E:$E,Category!$B$103,'2023'!$N:$N,Category!BC$1,'2023'!$D:$D,Category!$C105)</f>
        <v>0</v>
      </c>
      <c r="BD105" s="245">
        <f>SUMIFS('2023'!$I:$I,'2023'!$E:$E,Category!$B$103,'2023'!$N:$N,Category!BD$1,'2023'!$D:$D,Category!$C105)</f>
        <v>0</v>
      </c>
      <c r="BE105" s="245">
        <f>SUMIFS('2023'!$I:$I,'2023'!$E:$E,Category!$B$103,'2023'!$N:$N,Category!BE$1,'2023'!$D:$D,Category!$C105)</f>
        <v>0</v>
      </c>
      <c r="BF105" s="245">
        <f>SUMIFS('2023'!$I:$I,'2023'!$E:$E,Category!$B$103,'2023'!$N:$N,Category!BF$1,'2023'!$D:$D,Category!$C105)</f>
        <v>0</v>
      </c>
      <c r="BG105" s="245">
        <f>SUMIFS('2023'!$I:$I,'2023'!$E:$E,Category!$B$103,'2023'!$N:$N,Category!BG$1,'2023'!$D:$D,Category!$C105)</f>
        <v>0</v>
      </c>
      <c r="BH105" s="245">
        <f>SUMIFS('2023'!$I:$I,'2023'!$E:$E,Category!$B$103,'2023'!$N:$N,Category!BH$1,'2023'!$D:$D,Category!$C105)</f>
        <v>0</v>
      </c>
      <c r="BI105" s="245">
        <f>SUMIFS('2023'!$I:$I,'2023'!$E:$E,Category!$B$103,'2023'!$N:$N,Category!BI$1,'2023'!$D:$D,Category!$C105)</f>
        <v>0</v>
      </c>
      <c r="BJ105" s="245">
        <f>SUMIFS('2023'!$I:$I,'2023'!$E:$E,Category!$B$103,'2023'!$N:$N,Category!BJ$1,'2023'!$D:$D,Category!$C105)</f>
        <v>0</v>
      </c>
      <c r="BK105" s="245">
        <f>SUMIFS('2023'!$I:$I,'2023'!$E:$E,Category!$B$103,'2023'!$N:$N,Category!BK$1,'2023'!$D:$D,Category!$C105)</f>
        <v>0</v>
      </c>
      <c r="BL105" s="245">
        <f>SUMIFS('2023'!$I:$I,'2023'!$E:$E,Category!$B$103,'2023'!$N:$N,Category!BL$1,'2023'!$D:$D,Category!$C105)</f>
        <v>0</v>
      </c>
      <c r="BM105" s="245">
        <f>SUMIFS('2023'!$I:$I,'2023'!$E:$E,Category!$B$103,'2023'!$N:$N,Category!BM$1,'2023'!$D:$D,Category!$C105)</f>
        <v>0</v>
      </c>
      <c r="BN105" s="246">
        <f t="shared" si="44"/>
        <v>0</v>
      </c>
    </row>
    <row r="106" spans="1:66" ht="39.75" x14ac:dyDescent="0.3">
      <c r="A106" s="337"/>
      <c r="B106" s="243"/>
      <c r="C106" s="243" t="s">
        <v>354</v>
      </c>
      <c r="D106" s="520">
        <f>IFERROR(VLOOKUP($C106,'2019'!$D:$G,4,0),0)</f>
        <v>0</v>
      </c>
      <c r="E106" s="245">
        <f>SUMIFS('2019'!$I:$I,'2019'!$E:$E,Category!$B$103,'2019'!$N:$N,Category!E$1,'2019'!$D:$D,Category!$C106)</f>
        <v>0</v>
      </c>
      <c r="F106" s="245">
        <f>SUMIFS('2019'!$I:$I,'2019'!$E:$E,Category!$B$103,'2019'!$N:$N,Category!F$1,'2019'!$D:$D,Category!$C106)</f>
        <v>0</v>
      </c>
      <c r="G106" s="245">
        <f>SUMIFS('2019'!$I:$I,'2019'!$E:$E,Category!$B$103,'2019'!$N:$N,Category!G$1,'2019'!$D:$D,Category!$C106)</f>
        <v>0</v>
      </c>
      <c r="H106" s="245">
        <f>SUMIFS('2019'!$I:$I,'2019'!$E:$E,Category!$B$103,'2019'!$N:$N,Category!H$1,'2019'!$D:$D,Category!$C106)</f>
        <v>0</v>
      </c>
      <c r="I106" s="245">
        <f>SUMIFS('2019'!$I:$I,'2019'!$E:$E,Category!$B$103,'2019'!$N:$N,Category!I$1,'2019'!$D:$D,Category!$C106)</f>
        <v>0</v>
      </c>
      <c r="J106" s="246">
        <f t="shared" si="40"/>
        <v>0</v>
      </c>
      <c r="K106" s="503">
        <f>IFERROR(VLOOKUP($C106,'2020'!$D:$G,4,0),0)</f>
        <v>0</v>
      </c>
      <c r="L106" s="245">
        <f>SUMIFS('2020'!$I:$I,'2020'!$E:$E,Category!$B$103,'2020'!$N:$N,Category!L$1,'2020'!$D:$D,Category!$C106)</f>
        <v>0</v>
      </c>
      <c r="M106" s="245">
        <f>SUMIFS('2020'!$I:$I,'2020'!$E:$E,Category!$B$103,'2020'!$N:$N,Category!M$1,'2020'!$D:$D,Category!$C106)</f>
        <v>0</v>
      </c>
      <c r="N106" s="245">
        <f>SUMIFS('2020'!$I:$I,'2020'!$E:$E,Category!$B$103,'2020'!$N:$N,Category!N$1,'2020'!$D:$D,Category!$C106)</f>
        <v>0</v>
      </c>
      <c r="O106" s="245">
        <f>SUMIFS('2020'!$I:$I,'2020'!$E:$E,Category!$B$103,'2020'!$N:$N,Category!O$1,'2020'!$D:$D,Category!$C106)</f>
        <v>0</v>
      </c>
      <c r="P106" s="245">
        <f>SUMIFS('2020'!$I:$I,'2020'!$E:$E,Category!$B$103,'2020'!$N:$N,Category!P$1,'2020'!$D:$D,Category!$C106)</f>
        <v>0</v>
      </c>
      <c r="Q106" s="245">
        <f>SUMIFS('2020'!$I:$I,'2020'!$E:$E,Category!$B$103,'2020'!$N:$N,Category!Q$1,'2020'!$D:$D,Category!$C106)</f>
        <v>0</v>
      </c>
      <c r="R106" s="245">
        <f>SUMIFS('2020'!$I:$I,'2020'!$E:$E,Category!$B$103,'2020'!$N:$N,Category!R$1,'2020'!$D:$D,Category!$C106)</f>
        <v>0</v>
      </c>
      <c r="S106" s="245">
        <f>SUMIFS('2020'!$I:$I,'2020'!$E:$E,Category!$B$103,'2020'!$N:$N,Category!S$1,'2020'!$D:$D,Category!$C106)</f>
        <v>0</v>
      </c>
      <c r="T106" s="245">
        <f>SUMIFS('2020'!$I:$I,'2020'!$E:$E,Category!$B$103,'2020'!$N:$N,Category!T$1,'2020'!$D:$D,Category!$C106)</f>
        <v>0</v>
      </c>
      <c r="U106" s="245">
        <f>SUMIFS('2020'!$I:$I,'2020'!$E:$E,Category!$B$103,'2020'!$N:$N,Category!U$1,'2020'!$D:$D,Category!$C106)</f>
        <v>0</v>
      </c>
      <c r="V106" s="245">
        <f>SUMIFS('2020'!$I:$I,'2020'!$E:$E,Category!$B$103,'2020'!$N:$N,Category!V$1,'2020'!$D:$D,Category!$C106)</f>
        <v>0</v>
      </c>
      <c r="W106" s="245">
        <f>SUMIFS('2020'!$I:$I,'2020'!$E:$E,Category!$B$103,'2020'!$N:$N,Category!W$1,'2020'!$D:$D,Category!$C106)</f>
        <v>0</v>
      </c>
      <c r="X106" s="246">
        <f t="shared" si="41"/>
        <v>0</v>
      </c>
      <c r="Y106" s="503">
        <f>IFERROR(VLOOKUP(C106,'2021'!$D:$G,4,0),0)</f>
        <v>1</v>
      </c>
      <c r="Z106" s="245">
        <f>SUMIFS('2021'!$I:$I,'2021'!$E:$E,Category!$B$103,'2021'!$N:$N,Category!Z$1,'2021'!$D:$D,Category!$C106)</f>
        <v>0</v>
      </c>
      <c r="AA106" s="245">
        <f>SUMIFS('2021'!$I:$I,'2021'!$E:$E,Category!$B$103,'2021'!$N:$N,Category!AA$1,'2021'!$D:$D,Category!$C106)</f>
        <v>0</v>
      </c>
      <c r="AB106" s="245">
        <f>SUMIFS('2021'!$I:$I,'2021'!$E:$E,Category!$B$103,'2021'!$N:$N,Category!AB$1,'2021'!$D:$D,Category!$C106)</f>
        <v>0</v>
      </c>
      <c r="AC106" s="245">
        <f>SUMIFS('2021'!$I:$I,'2021'!$E:$E,Category!$B$103,'2021'!$N:$N,Category!AC$1,'2021'!$D:$D,Category!$C106)</f>
        <v>0</v>
      </c>
      <c r="AD106" s="245">
        <f>SUMIFS('2021'!$I:$I,'2021'!$E:$E,Category!$B$103,'2021'!$N:$N,Category!AD$1,'2021'!$D:$D,Category!$C106)</f>
        <v>600000</v>
      </c>
      <c r="AE106" s="245">
        <f>SUMIFS('2021'!$I:$I,'2021'!$E:$E,Category!$B$103,'2021'!$N:$N,Category!AE$1,'2021'!$D:$D,Category!$C106)</f>
        <v>0</v>
      </c>
      <c r="AF106" s="245">
        <f>SUMIFS('2021'!$I:$I,'2021'!$E:$E,Category!$B$103,'2021'!$N:$N,Category!AF$1,'2021'!$D:$D,Category!$C106)</f>
        <v>0</v>
      </c>
      <c r="AG106" s="245">
        <f>SUMIFS('2021'!$I:$I,'2021'!$E:$E,Category!$B$103,'2021'!$N:$N,Category!AG$1,'2021'!$D:$D,Category!$C106)</f>
        <v>0</v>
      </c>
      <c r="AH106" s="245">
        <f>SUMIFS('2021'!$I:$I,'2021'!$E:$E,Category!$B$103,'2021'!$N:$N,Category!AH$1,'2021'!$D:$D,Category!$C106)</f>
        <v>0</v>
      </c>
      <c r="AI106" s="245">
        <f>SUMIFS('2021'!$I:$I,'2021'!$E:$E,Category!$B$103,'2021'!$N:$N,Category!AI$1,'2021'!$D:$D,Category!$C106)</f>
        <v>0</v>
      </c>
      <c r="AJ106" s="245">
        <f>SUMIFS('2021'!$I:$I,'2021'!$E:$E,Category!$B$103,'2021'!$N:$N,Category!AJ$1,'2021'!$D:$D,Category!$C106)</f>
        <v>0</v>
      </c>
      <c r="AK106" s="245">
        <f>SUMIFS('2021'!$I:$I,'2021'!$E:$E,Category!$B$103,'2021'!$N:$N,Category!AK$1,'2021'!$D:$D,Category!$C106)</f>
        <v>0</v>
      </c>
      <c r="AL106" s="246">
        <f t="shared" si="42"/>
        <v>600000</v>
      </c>
      <c r="AM106" s="503">
        <f>IFERROR(VLOOKUP(C106,'2022'!$D:$G,4,0),0)</f>
        <v>0</v>
      </c>
      <c r="AN106" s="245">
        <f>SUMIFS('2022'!$I:$I,'2022'!$E:$E,Category!$B$103,'2022'!$N:$N,Category!AN$1,'2022'!$D:$D,Category!$C106)</f>
        <v>0</v>
      </c>
      <c r="AO106" s="245">
        <f>SUMIFS('2022'!$I:$I,'2022'!$E:$E,Category!$B$103,'2022'!$N:$N,Category!AO$1,'2022'!$D:$D,Category!$C106)</f>
        <v>0</v>
      </c>
      <c r="AP106" s="245">
        <f>SUMIFS('2022'!$I:$I,'2022'!$E:$E,Category!$B$103,'2022'!$N:$N,Category!AP$1,'2022'!$D:$D,Category!$C106)</f>
        <v>0</v>
      </c>
      <c r="AQ106" s="245">
        <f>SUMIFS('2022'!$I:$I,'2022'!$E:$E,Category!$B$103,'2022'!$N:$N,Category!AQ$1,'2022'!$D:$D,Category!$C106)</f>
        <v>0</v>
      </c>
      <c r="AR106" s="245">
        <f>SUMIFS('2022'!$I:$I,'2022'!$E:$E,Category!$B$103,'2022'!$N:$N,Category!AR$1,'2022'!$D:$D,Category!$C106)</f>
        <v>0</v>
      </c>
      <c r="AS106" s="245">
        <f>SUMIFS('2022'!$I:$I,'2022'!$E:$E,Category!$B$103,'2022'!$N:$N,Category!AS$1,'2022'!$D:$D,Category!$C106)</f>
        <v>0</v>
      </c>
      <c r="AT106" s="245">
        <f>SUMIFS('2022'!$I:$I,'2022'!$E:$E,Category!$B$103,'2022'!$N:$N,Category!AT$1,'2022'!$D:$D,Category!$C106)</f>
        <v>0</v>
      </c>
      <c r="AU106" s="245">
        <f>SUMIFS('2022'!$I:$I,'2022'!$E:$E,Category!$B$103,'2022'!$N:$N,Category!AU$1,'2022'!$D:$D,Category!$C106)</f>
        <v>0</v>
      </c>
      <c r="AV106" s="245">
        <f>SUMIFS('2022'!$I:$I,'2022'!$E:$E,Category!$B$103,'2022'!$N:$N,Category!AV$1,'2022'!$D:$D,Category!$C106)</f>
        <v>0</v>
      </c>
      <c r="AW106" s="245">
        <f>SUMIFS('2022'!$I:$I,'2022'!$E:$E,Category!$B$103,'2022'!$N:$N,Category!AW$1,'2022'!$D:$D,Category!$C106)</f>
        <v>0</v>
      </c>
      <c r="AX106" s="245">
        <f>SUMIFS('2022'!$I:$I,'2022'!$E:$E,Category!$B$103,'2022'!$N:$N,Category!AX$1,'2022'!$D:$D,Category!$C106)</f>
        <v>0</v>
      </c>
      <c r="AY106" s="245">
        <f>SUMIFS('2022'!$I:$I,'2022'!$E:$E,Category!$B$103,'2022'!$N:$N,Category!AY$1,'2022'!$D:$D,Category!$C106)</f>
        <v>0</v>
      </c>
      <c r="AZ106" s="246">
        <f t="shared" si="43"/>
        <v>0</v>
      </c>
      <c r="BA106" s="503">
        <f>IFERROR(VLOOKUP(C106,'2023'!$D:$G,4,0),0)</f>
        <v>0</v>
      </c>
      <c r="BB106" s="245">
        <f>SUMIFS('2023'!$I:$I,'2023'!$E:$E,Category!$B$103,'2023'!$N:$N,Category!BB$1,'2023'!$D:$D,Category!$C106)</f>
        <v>0</v>
      </c>
      <c r="BC106" s="245">
        <f>SUMIFS('2023'!$I:$I,'2023'!$E:$E,Category!$B$103,'2023'!$N:$N,Category!BC$1,'2023'!$D:$D,Category!$C106)</f>
        <v>0</v>
      </c>
      <c r="BD106" s="245">
        <f>SUMIFS('2023'!$I:$I,'2023'!$E:$E,Category!$B$103,'2023'!$N:$N,Category!BD$1,'2023'!$D:$D,Category!$C106)</f>
        <v>0</v>
      </c>
      <c r="BE106" s="245">
        <f>SUMIFS('2023'!$I:$I,'2023'!$E:$E,Category!$B$103,'2023'!$N:$N,Category!BE$1,'2023'!$D:$D,Category!$C106)</f>
        <v>0</v>
      </c>
      <c r="BF106" s="245">
        <f>SUMIFS('2023'!$I:$I,'2023'!$E:$E,Category!$B$103,'2023'!$N:$N,Category!BF$1,'2023'!$D:$D,Category!$C106)</f>
        <v>0</v>
      </c>
      <c r="BG106" s="245">
        <f>SUMIFS('2023'!$I:$I,'2023'!$E:$E,Category!$B$103,'2023'!$N:$N,Category!BG$1,'2023'!$D:$D,Category!$C106)</f>
        <v>0</v>
      </c>
      <c r="BH106" s="245">
        <f>SUMIFS('2023'!$I:$I,'2023'!$E:$E,Category!$B$103,'2023'!$N:$N,Category!BH$1,'2023'!$D:$D,Category!$C106)</f>
        <v>0</v>
      </c>
      <c r="BI106" s="245">
        <f>SUMIFS('2023'!$I:$I,'2023'!$E:$E,Category!$B$103,'2023'!$N:$N,Category!BI$1,'2023'!$D:$D,Category!$C106)</f>
        <v>0</v>
      </c>
      <c r="BJ106" s="245">
        <f>SUMIFS('2023'!$I:$I,'2023'!$E:$E,Category!$B$103,'2023'!$N:$N,Category!BJ$1,'2023'!$D:$D,Category!$C106)</f>
        <v>0</v>
      </c>
      <c r="BK106" s="245">
        <f>SUMIFS('2023'!$I:$I,'2023'!$E:$E,Category!$B$103,'2023'!$N:$N,Category!BK$1,'2023'!$D:$D,Category!$C106)</f>
        <v>0</v>
      </c>
      <c r="BL106" s="245">
        <f>SUMIFS('2023'!$I:$I,'2023'!$E:$E,Category!$B$103,'2023'!$N:$N,Category!BL$1,'2023'!$D:$D,Category!$C106)</f>
        <v>0</v>
      </c>
      <c r="BM106" s="245">
        <f>SUMIFS('2023'!$I:$I,'2023'!$E:$E,Category!$B$103,'2023'!$N:$N,Category!BM$1,'2023'!$D:$D,Category!$C106)</f>
        <v>0</v>
      </c>
      <c r="BN106" s="246">
        <f t="shared" si="44"/>
        <v>0</v>
      </c>
    </row>
    <row r="107" spans="1:66" ht="39.75" x14ac:dyDescent="0.3">
      <c r="A107" s="337"/>
      <c r="B107" s="243"/>
      <c r="C107" s="243" t="s">
        <v>358</v>
      </c>
      <c r="D107" s="520">
        <f>IFERROR(VLOOKUP($C107,'2019'!$D:$G,4,0),0)</f>
        <v>0</v>
      </c>
      <c r="E107" s="245">
        <f>SUMIFS('2019'!$I:$I,'2019'!$E:$E,Category!$B$103,'2019'!$N:$N,Category!E$1,'2019'!$D:$D,Category!$C107)</f>
        <v>0</v>
      </c>
      <c r="F107" s="245">
        <f>SUMIFS('2019'!$I:$I,'2019'!$E:$E,Category!$B$103,'2019'!$N:$N,Category!F$1,'2019'!$D:$D,Category!$C107)</f>
        <v>0</v>
      </c>
      <c r="G107" s="245">
        <f>SUMIFS('2019'!$I:$I,'2019'!$E:$E,Category!$B$103,'2019'!$N:$N,Category!G$1,'2019'!$D:$D,Category!$C107)</f>
        <v>0</v>
      </c>
      <c r="H107" s="245">
        <f>SUMIFS('2019'!$I:$I,'2019'!$E:$E,Category!$B$103,'2019'!$N:$N,Category!H$1,'2019'!$D:$D,Category!$C107)</f>
        <v>0</v>
      </c>
      <c r="I107" s="245">
        <f>SUMIFS('2019'!$I:$I,'2019'!$E:$E,Category!$B$103,'2019'!$N:$N,Category!I$1,'2019'!$D:$D,Category!$C107)</f>
        <v>0</v>
      </c>
      <c r="J107" s="246">
        <f t="shared" si="40"/>
        <v>0</v>
      </c>
      <c r="K107" s="503">
        <f>IFERROR(VLOOKUP($C107,'2020'!$D:$G,4,0),0)</f>
        <v>0</v>
      </c>
      <c r="L107" s="245">
        <f>SUMIFS('2020'!$I:$I,'2020'!$E:$E,Category!$B$103,'2020'!$N:$N,Category!L$1,'2020'!$D:$D,Category!$C107)</f>
        <v>0</v>
      </c>
      <c r="M107" s="245">
        <f>SUMIFS('2020'!$I:$I,'2020'!$E:$E,Category!$B$103,'2020'!$N:$N,Category!M$1,'2020'!$D:$D,Category!$C107)</f>
        <v>0</v>
      </c>
      <c r="N107" s="245">
        <f>SUMIFS('2020'!$I:$I,'2020'!$E:$E,Category!$B$103,'2020'!$N:$N,Category!N$1,'2020'!$D:$D,Category!$C107)</f>
        <v>0</v>
      </c>
      <c r="O107" s="245">
        <f>SUMIFS('2020'!$I:$I,'2020'!$E:$E,Category!$B$103,'2020'!$N:$N,Category!O$1,'2020'!$D:$D,Category!$C107)</f>
        <v>0</v>
      </c>
      <c r="P107" s="245">
        <f>SUMIFS('2020'!$I:$I,'2020'!$E:$E,Category!$B$103,'2020'!$N:$N,Category!P$1,'2020'!$D:$D,Category!$C107)</f>
        <v>0</v>
      </c>
      <c r="Q107" s="245">
        <f>SUMIFS('2020'!$I:$I,'2020'!$E:$E,Category!$B$103,'2020'!$N:$N,Category!Q$1,'2020'!$D:$D,Category!$C107)</f>
        <v>0</v>
      </c>
      <c r="R107" s="245">
        <f>SUMIFS('2020'!$I:$I,'2020'!$E:$E,Category!$B$103,'2020'!$N:$N,Category!R$1,'2020'!$D:$D,Category!$C107)</f>
        <v>0</v>
      </c>
      <c r="S107" s="245">
        <f>SUMIFS('2020'!$I:$I,'2020'!$E:$E,Category!$B$103,'2020'!$N:$N,Category!S$1,'2020'!$D:$D,Category!$C107)</f>
        <v>0</v>
      </c>
      <c r="T107" s="245">
        <f>SUMIFS('2020'!$I:$I,'2020'!$E:$E,Category!$B$103,'2020'!$N:$N,Category!T$1,'2020'!$D:$D,Category!$C107)</f>
        <v>0</v>
      </c>
      <c r="U107" s="245">
        <f>SUMIFS('2020'!$I:$I,'2020'!$E:$E,Category!$B$103,'2020'!$N:$N,Category!U$1,'2020'!$D:$D,Category!$C107)</f>
        <v>0</v>
      </c>
      <c r="V107" s="245">
        <f>SUMIFS('2020'!$I:$I,'2020'!$E:$E,Category!$B$103,'2020'!$N:$N,Category!V$1,'2020'!$D:$D,Category!$C107)</f>
        <v>0</v>
      </c>
      <c r="W107" s="245">
        <f>SUMIFS('2020'!$I:$I,'2020'!$E:$E,Category!$B$103,'2020'!$N:$N,Category!W$1,'2020'!$D:$D,Category!$C107)</f>
        <v>0</v>
      </c>
      <c r="X107" s="246">
        <f t="shared" si="41"/>
        <v>0</v>
      </c>
      <c r="Y107" s="503">
        <f>IFERROR(VLOOKUP(C107,'2021'!$D:$G,4,0),0)</f>
        <v>1</v>
      </c>
      <c r="Z107" s="245">
        <f>SUMIFS('2021'!$I:$I,'2021'!$E:$E,Category!$B$103,'2021'!$N:$N,Category!Z$1,'2021'!$D:$D,Category!$C107)</f>
        <v>0</v>
      </c>
      <c r="AA107" s="245">
        <f>SUMIFS('2021'!$I:$I,'2021'!$E:$E,Category!$B$103,'2021'!$N:$N,Category!AA$1,'2021'!$D:$D,Category!$C107)</f>
        <v>0</v>
      </c>
      <c r="AB107" s="245">
        <f>SUMIFS('2021'!$I:$I,'2021'!$E:$E,Category!$B$103,'2021'!$N:$N,Category!AB$1,'2021'!$D:$D,Category!$C107)</f>
        <v>0</v>
      </c>
      <c r="AC107" s="245">
        <f>SUMIFS('2021'!$I:$I,'2021'!$E:$E,Category!$B$103,'2021'!$N:$N,Category!AC$1,'2021'!$D:$D,Category!$C107)</f>
        <v>0</v>
      </c>
      <c r="AD107" s="245">
        <f>SUMIFS('2021'!$I:$I,'2021'!$E:$E,Category!$B$103,'2021'!$N:$N,Category!AD$1,'2021'!$D:$D,Category!$C107)</f>
        <v>0</v>
      </c>
      <c r="AE107" s="245">
        <f>SUMIFS('2021'!$I:$I,'2021'!$E:$E,Category!$B$103,'2021'!$N:$N,Category!AE$1,'2021'!$D:$D,Category!$C107)</f>
        <v>660000</v>
      </c>
      <c r="AF107" s="245">
        <f>SUMIFS('2021'!$I:$I,'2021'!$E:$E,Category!$B$103,'2021'!$N:$N,Category!AF$1,'2021'!$D:$D,Category!$C107)</f>
        <v>0</v>
      </c>
      <c r="AG107" s="245">
        <f>SUMIFS('2021'!$I:$I,'2021'!$E:$E,Category!$B$103,'2021'!$N:$N,Category!AG$1,'2021'!$D:$D,Category!$C107)</f>
        <v>0</v>
      </c>
      <c r="AH107" s="245">
        <f>SUMIFS('2021'!$I:$I,'2021'!$E:$E,Category!$B$103,'2021'!$N:$N,Category!AH$1,'2021'!$D:$D,Category!$C107)</f>
        <v>0</v>
      </c>
      <c r="AI107" s="245">
        <f>SUMIFS('2021'!$I:$I,'2021'!$E:$E,Category!$B$103,'2021'!$N:$N,Category!AI$1,'2021'!$D:$D,Category!$C107)</f>
        <v>0</v>
      </c>
      <c r="AJ107" s="245">
        <f>SUMIFS('2021'!$I:$I,'2021'!$E:$E,Category!$B$103,'2021'!$N:$N,Category!AJ$1,'2021'!$D:$D,Category!$C107)</f>
        <v>0</v>
      </c>
      <c r="AK107" s="245">
        <f>SUMIFS('2021'!$I:$I,'2021'!$E:$E,Category!$B$103,'2021'!$N:$N,Category!AK$1,'2021'!$D:$D,Category!$C107)</f>
        <v>0</v>
      </c>
      <c r="AL107" s="246">
        <f t="shared" si="42"/>
        <v>660000</v>
      </c>
      <c r="AM107" s="503">
        <f>IFERROR(VLOOKUP(C107,'2022'!$D:$G,4,0),0)</f>
        <v>0</v>
      </c>
      <c r="AN107" s="245">
        <f>SUMIFS('2022'!$I:$I,'2022'!$E:$E,Category!$B$103,'2022'!$N:$N,Category!AN$1,'2022'!$D:$D,Category!$C107)</f>
        <v>0</v>
      </c>
      <c r="AO107" s="245">
        <f>SUMIFS('2022'!$I:$I,'2022'!$E:$E,Category!$B$103,'2022'!$N:$N,Category!AO$1,'2022'!$D:$D,Category!$C107)</f>
        <v>0</v>
      </c>
      <c r="AP107" s="245">
        <f>SUMIFS('2022'!$I:$I,'2022'!$E:$E,Category!$B$103,'2022'!$N:$N,Category!AP$1,'2022'!$D:$D,Category!$C107)</f>
        <v>0</v>
      </c>
      <c r="AQ107" s="245">
        <f>SUMIFS('2022'!$I:$I,'2022'!$E:$E,Category!$B$103,'2022'!$N:$N,Category!AQ$1,'2022'!$D:$D,Category!$C107)</f>
        <v>0</v>
      </c>
      <c r="AR107" s="245">
        <f>SUMIFS('2022'!$I:$I,'2022'!$E:$E,Category!$B$103,'2022'!$N:$N,Category!AR$1,'2022'!$D:$D,Category!$C107)</f>
        <v>0</v>
      </c>
      <c r="AS107" s="245">
        <f>SUMIFS('2022'!$I:$I,'2022'!$E:$E,Category!$B$103,'2022'!$N:$N,Category!AS$1,'2022'!$D:$D,Category!$C107)</f>
        <v>0</v>
      </c>
      <c r="AT107" s="245">
        <f>SUMIFS('2022'!$I:$I,'2022'!$E:$E,Category!$B$103,'2022'!$N:$N,Category!AT$1,'2022'!$D:$D,Category!$C107)</f>
        <v>0</v>
      </c>
      <c r="AU107" s="245">
        <f>SUMIFS('2022'!$I:$I,'2022'!$E:$E,Category!$B$103,'2022'!$N:$N,Category!AU$1,'2022'!$D:$D,Category!$C107)</f>
        <v>0</v>
      </c>
      <c r="AV107" s="245">
        <f>SUMIFS('2022'!$I:$I,'2022'!$E:$E,Category!$B$103,'2022'!$N:$N,Category!AV$1,'2022'!$D:$D,Category!$C107)</f>
        <v>0</v>
      </c>
      <c r="AW107" s="245">
        <f>SUMIFS('2022'!$I:$I,'2022'!$E:$E,Category!$B$103,'2022'!$N:$N,Category!AW$1,'2022'!$D:$D,Category!$C107)</f>
        <v>0</v>
      </c>
      <c r="AX107" s="245">
        <f>SUMIFS('2022'!$I:$I,'2022'!$E:$E,Category!$B$103,'2022'!$N:$N,Category!AX$1,'2022'!$D:$D,Category!$C107)</f>
        <v>0</v>
      </c>
      <c r="AY107" s="245">
        <f>SUMIFS('2022'!$I:$I,'2022'!$E:$E,Category!$B$103,'2022'!$N:$N,Category!AY$1,'2022'!$D:$D,Category!$C107)</f>
        <v>0</v>
      </c>
      <c r="AZ107" s="246">
        <f t="shared" si="43"/>
        <v>0</v>
      </c>
      <c r="BA107" s="503">
        <f>IFERROR(VLOOKUP(C107,'2023'!$D:$G,4,0),0)</f>
        <v>0</v>
      </c>
      <c r="BB107" s="245">
        <f>SUMIFS('2023'!$I:$I,'2023'!$E:$E,Category!$B$103,'2023'!$N:$N,Category!BB$1,'2023'!$D:$D,Category!$C107)</f>
        <v>0</v>
      </c>
      <c r="BC107" s="245">
        <f>SUMIFS('2023'!$I:$I,'2023'!$E:$E,Category!$B$103,'2023'!$N:$N,Category!BC$1,'2023'!$D:$D,Category!$C107)</f>
        <v>0</v>
      </c>
      <c r="BD107" s="245">
        <f>SUMIFS('2023'!$I:$I,'2023'!$E:$E,Category!$B$103,'2023'!$N:$N,Category!BD$1,'2023'!$D:$D,Category!$C107)</f>
        <v>0</v>
      </c>
      <c r="BE107" s="245">
        <f>SUMIFS('2023'!$I:$I,'2023'!$E:$E,Category!$B$103,'2023'!$N:$N,Category!BE$1,'2023'!$D:$D,Category!$C107)</f>
        <v>0</v>
      </c>
      <c r="BF107" s="245">
        <f>SUMIFS('2023'!$I:$I,'2023'!$E:$E,Category!$B$103,'2023'!$N:$N,Category!BF$1,'2023'!$D:$D,Category!$C107)</f>
        <v>0</v>
      </c>
      <c r="BG107" s="245">
        <f>SUMIFS('2023'!$I:$I,'2023'!$E:$E,Category!$B$103,'2023'!$N:$N,Category!BG$1,'2023'!$D:$D,Category!$C107)</f>
        <v>0</v>
      </c>
      <c r="BH107" s="245">
        <f>SUMIFS('2023'!$I:$I,'2023'!$E:$E,Category!$B$103,'2023'!$N:$N,Category!BH$1,'2023'!$D:$D,Category!$C107)</f>
        <v>0</v>
      </c>
      <c r="BI107" s="245">
        <f>SUMIFS('2023'!$I:$I,'2023'!$E:$E,Category!$B$103,'2023'!$N:$N,Category!BI$1,'2023'!$D:$D,Category!$C107)</f>
        <v>0</v>
      </c>
      <c r="BJ107" s="245">
        <f>SUMIFS('2023'!$I:$I,'2023'!$E:$E,Category!$B$103,'2023'!$N:$N,Category!BJ$1,'2023'!$D:$D,Category!$C107)</f>
        <v>0</v>
      </c>
      <c r="BK107" s="245">
        <f>SUMIFS('2023'!$I:$I,'2023'!$E:$E,Category!$B$103,'2023'!$N:$N,Category!BK$1,'2023'!$D:$D,Category!$C107)</f>
        <v>0</v>
      </c>
      <c r="BL107" s="245">
        <f>SUMIFS('2023'!$I:$I,'2023'!$E:$E,Category!$B$103,'2023'!$N:$N,Category!BL$1,'2023'!$D:$D,Category!$C107)</f>
        <v>0</v>
      </c>
      <c r="BM107" s="245">
        <f>SUMIFS('2023'!$I:$I,'2023'!$E:$E,Category!$B$103,'2023'!$N:$N,Category!BM$1,'2023'!$D:$D,Category!$C107)</f>
        <v>0</v>
      </c>
      <c r="BN107" s="246">
        <f t="shared" si="44"/>
        <v>0</v>
      </c>
    </row>
    <row r="108" spans="1:66" ht="39.75" x14ac:dyDescent="0.3">
      <c r="A108" s="337"/>
      <c r="B108" s="243"/>
      <c r="C108" s="243" t="s">
        <v>1056</v>
      </c>
      <c r="D108" s="520">
        <f>IFERROR(VLOOKUP($C108,'2019'!$D:$G,4,0),0)</f>
        <v>0</v>
      </c>
      <c r="E108" s="245">
        <f>SUMIFS('2019'!$I:$I,'2019'!$E:$E,Category!$B$103,'2019'!$N:$N,Category!E$1,'2019'!$D:$D,Category!$C108)</f>
        <v>0</v>
      </c>
      <c r="F108" s="245">
        <f>SUMIFS('2019'!$I:$I,'2019'!$E:$E,Category!$B$103,'2019'!$N:$N,Category!F$1,'2019'!$D:$D,Category!$C108)</f>
        <v>0</v>
      </c>
      <c r="G108" s="245">
        <f>SUMIFS('2019'!$I:$I,'2019'!$E:$E,Category!$B$103,'2019'!$N:$N,Category!G$1,'2019'!$D:$D,Category!$C108)</f>
        <v>0</v>
      </c>
      <c r="H108" s="245">
        <f>SUMIFS('2019'!$I:$I,'2019'!$E:$E,Category!$B$103,'2019'!$N:$N,Category!H$1,'2019'!$D:$D,Category!$C108)</f>
        <v>0</v>
      </c>
      <c r="I108" s="245">
        <f>SUMIFS('2019'!$I:$I,'2019'!$E:$E,Category!$B$103,'2019'!$N:$N,Category!I$1,'2019'!$D:$D,Category!$C108)</f>
        <v>0</v>
      </c>
      <c r="J108" s="246">
        <f t="shared" si="40"/>
        <v>0</v>
      </c>
      <c r="K108" s="503">
        <f>IFERROR(VLOOKUP($C108,'2020'!$D:$G,4,0),0)</f>
        <v>0</v>
      </c>
      <c r="L108" s="245">
        <f>SUMIFS('2020'!$I:$I,'2020'!$E:$E,Category!$B$103,'2020'!$N:$N,Category!L$1,'2020'!$D:$D,Category!$C108)</f>
        <v>0</v>
      </c>
      <c r="M108" s="245">
        <f>SUMIFS('2020'!$I:$I,'2020'!$E:$E,Category!$B$103,'2020'!$N:$N,Category!M$1,'2020'!$D:$D,Category!$C108)</f>
        <v>0</v>
      </c>
      <c r="N108" s="245">
        <f>SUMIFS('2020'!$I:$I,'2020'!$E:$E,Category!$B$103,'2020'!$N:$N,Category!N$1,'2020'!$D:$D,Category!$C108)</f>
        <v>0</v>
      </c>
      <c r="O108" s="245">
        <f>SUMIFS('2020'!$I:$I,'2020'!$E:$E,Category!$B$103,'2020'!$N:$N,Category!O$1,'2020'!$D:$D,Category!$C108)</f>
        <v>0</v>
      </c>
      <c r="P108" s="245">
        <f>SUMIFS('2020'!$I:$I,'2020'!$E:$E,Category!$B$103,'2020'!$N:$N,Category!P$1,'2020'!$D:$D,Category!$C108)</f>
        <v>0</v>
      </c>
      <c r="Q108" s="245">
        <f>SUMIFS('2020'!$I:$I,'2020'!$E:$E,Category!$B$103,'2020'!$N:$N,Category!Q$1,'2020'!$D:$D,Category!$C108)</f>
        <v>0</v>
      </c>
      <c r="R108" s="245">
        <f>SUMIFS('2020'!$I:$I,'2020'!$E:$E,Category!$B$103,'2020'!$N:$N,Category!R$1,'2020'!$D:$D,Category!$C108)</f>
        <v>0</v>
      </c>
      <c r="S108" s="245">
        <f>SUMIFS('2020'!$I:$I,'2020'!$E:$E,Category!$B$103,'2020'!$N:$N,Category!S$1,'2020'!$D:$D,Category!$C108)</f>
        <v>0</v>
      </c>
      <c r="T108" s="245">
        <f>SUMIFS('2020'!$I:$I,'2020'!$E:$E,Category!$B$103,'2020'!$N:$N,Category!T$1,'2020'!$D:$D,Category!$C108)</f>
        <v>0</v>
      </c>
      <c r="U108" s="245">
        <f>SUMIFS('2020'!$I:$I,'2020'!$E:$E,Category!$B$103,'2020'!$N:$N,Category!U$1,'2020'!$D:$D,Category!$C108)</f>
        <v>0</v>
      </c>
      <c r="V108" s="245">
        <f>SUMIFS('2020'!$I:$I,'2020'!$E:$E,Category!$B$103,'2020'!$N:$N,Category!V$1,'2020'!$D:$D,Category!$C108)</f>
        <v>0</v>
      </c>
      <c r="W108" s="245">
        <f>SUMIFS('2020'!$I:$I,'2020'!$E:$E,Category!$B$103,'2020'!$N:$N,Category!W$1,'2020'!$D:$D,Category!$C108)</f>
        <v>0</v>
      </c>
      <c r="X108" s="246">
        <f t="shared" si="41"/>
        <v>0</v>
      </c>
      <c r="Y108" s="503">
        <f>IFERROR(VLOOKUP(C108,'2021'!$D:$G,4,0),0)</f>
        <v>1</v>
      </c>
      <c r="Z108" s="245">
        <f>SUMIFS('2021'!$I:$I,'2021'!$E:$E,Category!$B$103,'2021'!$N:$N,Category!Z$1,'2021'!$D:$D,Category!$C108)</f>
        <v>0</v>
      </c>
      <c r="AA108" s="245">
        <f>SUMIFS('2021'!$I:$I,'2021'!$E:$E,Category!$B$103,'2021'!$N:$N,Category!AA$1,'2021'!$D:$D,Category!$C108)</f>
        <v>0</v>
      </c>
      <c r="AB108" s="245">
        <f>SUMIFS('2021'!$I:$I,'2021'!$E:$E,Category!$B$103,'2021'!$N:$N,Category!AB$1,'2021'!$D:$D,Category!$C108)</f>
        <v>0</v>
      </c>
      <c r="AC108" s="245">
        <f>SUMIFS('2021'!$I:$I,'2021'!$E:$E,Category!$B$103,'2021'!$N:$N,Category!AC$1,'2021'!$D:$D,Category!$C108)</f>
        <v>0</v>
      </c>
      <c r="AD108" s="245">
        <f>SUMIFS('2021'!$I:$I,'2021'!$E:$E,Category!$B$103,'2021'!$N:$N,Category!AD$1,'2021'!$D:$D,Category!$C108)</f>
        <v>0</v>
      </c>
      <c r="AE108" s="245">
        <f>SUMIFS('2021'!$I:$I,'2021'!$E:$E,Category!$B$103,'2021'!$N:$N,Category!AE$1,'2021'!$D:$D,Category!$C108)</f>
        <v>60000</v>
      </c>
      <c r="AF108" s="245">
        <f>SUMIFS('2021'!$I:$I,'2021'!$E:$E,Category!$B$103,'2021'!$N:$N,Category!AF$1,'2021'!$D:$D,Category!$C108)</f>
        <v>0</v>
      </c>
      <c r="AG108" s="245">
        <f>SUMIFS('2021'!$I:$I,'2021'!$E:$E,Category!$B$103,'2021'!$N:$N,Category!AG$1,'2021'!$D:$D,Category!$C108)</f>
        <v>0</v>
      </c>
      <c r="AH108" s="245">
        <f>SUMIFS('2021'!$I:$I,'2021'!$E:$E,Category!$B$103,'2021'!$N:$N,Category!AH$1,'2021'!$D:$D,Category!$C108)</f>
        <v>0</v>
      </c>
      <c r="AI108" s="245">
        <f>SUMIFS('2021'!$I:$I,'2021'!$E:$E,Category!$B$103,'2021'!$N:$N,Category!AI$1,'2021'!$D:$D,Category!$C108)</f>
        <v>0</v>
      </c>
      <c r="AJ108" s="245">
        <f>SUMIFS('2021'!$I:$I,'2021'!$E:$E,Category!$B$103,'2021'!$N:$N,Category!AJ$1,'2021'!$D:$D,Category!$C108)</f>
        <v>0</v>
      </c>
      <c r="AK108" s="245">
        <f>SUMIFS('2021'!$I:$I,'2021'!$E:$E,Category!$B$103,'2021'!$N:$N,Category!AK$1,'2021'!$D:$D,Category!$C108)</f>
        <v>0</v>
      </c>
      <c r="AL108" s="246">
        <f t="shared" si="42"/>
        <v>60000</v>
      </c>
      <c r="AM108" s="503">
        <f>IFERROR(VLOOKUP(C108,'2022'!$D:$G,4,0),0)</f>
        <v>0</v>
      </c>
      <c r="AN108" s="245">
        <f>SUMIFS('2022'!$I:$I,'2022'!$E:$E,Category!$B$103,'2022'!$N:$N,Category!AN$1,'2022'!$D:$D,Category!$C108)</f>
        <v>0</v>
      </c>
      <c r="AO108" s="245">
        <f>SUMIFS('2022'!$I:$I,'2022'!$E:$E,Category!$B$103,'2022'!$N:$N,Category!AO$1,'2022'!$D:$D,Category!$C108)</f>
        <v>0</v>
      </c>
      <c r="AP108" s="245">
        <f>SUMIFS('2022'!$I:$I,'2022'!$E:$E,Category!$B$103,'2022'!$N:$N,Category!AP$1,'2022'!$D:$D,Category!$C108)</f>
        <v>0</v>
      </c>
      <c r="AQ108" s="245">
        <f>SUMIFS('2022'!$I:$I,'2022'!$E:$E,Category!$B$103,'2022'!$N:$N,Category!AQ$1,'2022'!$D:$D,Category!$C108)</f>
        <v>0</v>
      </c>
      <c r="AR108" s="245">
        <f>SUMIFS('2022'!$I:$I,'2022'!$E:$E,Category!$B$103,'2022'!$N:$N,Category!AR$1,'2022'!$D:$D,Category!$C108)</f>
        <v>0</v>
      </c>
      <c r="AS108" s="245">
        <f>SUMIFS('2022'!$I:$I,'2022'!$E:$E,Category!$B$103,'2022'!$N:$N,Category!AS$1,'2022'!$D:$D,Category!$C108)</f>
        <v>0</v>
      </c>
      <c r="AT108" s="245">
        <f>SUMIFS('2022'!$I:$I,'2022'!$E:$E,Category!$B$103,'2022'!$N:$N,Category!AT$1,'2022'!$D:$D,Category!$C108)</f>
        <v>0</v>
      </c>
      <c r="AU108" s="245">
        <f>SUMIFS('2022'!$I:$I,'2022'!$E:$E,Category!$B$103,'2022'!$N:$N,Category!AU$1,'2022'!$D:$D,Category!$C108)</f>
        <v>0</v>
      </c>
      <c r="AV108" s="245">
        <f>SUMIFS('2022'!$I:$I,'2022'!$E:$E,Category!$B$103,'2022'!$N:$N,Category!AV$1,'2022'!$D:$D,Category!$C108)</f>
        <v>0</v>
      </c>
      <c r="AW108" s="245">
        <f>SUMIFS('2022'!$I:$I,'2022'!$E:$E,Category!$B$103,'2022'!$N:$N,Category!AW$1,'2022'!$D:$D,Category!$C108)</f>
        <v>0</v>
      </c>
      <c r="AX108" s="245">
        <f>SUMIFS('2022'!$I:$I,'2022'!$E:$E,Category!$B$103,'2022'!$N:$N,Category!AX$1,'2022'!$D:$D,Category!$C108)</f>
        <v>0</v>
      </c>
      <c r="AY108" s="245">
        <f>SUMIFS('2022'!$I:$I,'2022'!$E:$E,Category!$B$103,'2022'!$N:$N,Category!AY$1,'2022'!$D:$D,Category!$C108)</f>
        <v>0</v>
      </c>
      <c r="AZ108" s="246">
        <f t="shared" si="43"/>
        <v>0</v>
      </c>
      <c r="BA108" s="503">
        <f>IFERROR(VLOOKUP(C108,'2023'!$D:$G,4,0),0)</f>
        <v>0</v>
      </c>
      <c r="BB108" s="245">
        <f>SUMIFS('2023'!$I:$I,'2023'!$E:$E,Category!$B$103,'2023'!$N:$N,Category!BB$1,'2023'!$D:$D,Category!$C108)</f>
        <v>0</v>
      </c>
      <c r="BC108" s="245">
        <f>SUMIFS('2023'!$I:$I,'2023'!$E:$E,Category!$B$103,'2023'!$N:$N,Category!BC$1,'2023'!$D:$D,Category!$C108)</f>
        <v>0</v>
      </c>
      <c r="BD108" s="245">
        <f>SUMIFS('2023'!$I:$I,'2023'!$E:$E,Category!$B$103,'2023'!$N:$N,Category!BD$1,'2023'!$D:$D,Category!$C108)</f>
        <v>0</v>
      </c>
      <c r="BE108" s="245">
        <f>SUMIFS('2023'!$I:$I,'2023'!$E:$E,Category!$B$103,'2023'!$N:$N,Category!BE$1,'2023'!$D:$D,Category!$C108)</f>
        <v>0</v>
      </c>
      <c r="BF108" s="245">
        <f>SUMIFS('2023'!$I:$I,'2023'!$E:$E,Category!$B$103,'2023'!$N:$N,Category!BF$1,'2023'!$D:$D,Category!$C108)</f>
        <v>0</v>
      </c>
      <c r="BG108" s="245">
        <f>SUMIFS('2023'!$I:$I,'2023'!$E:$E,Category!$B$103,'2023'!$N:$N,Category!BG$1,'2023'!$D:$D,Category!$C108)</f>
        <v>0</v>
      </c>
      <c r="BH108" s="245">
        <f>SUMIFS('2023'!$I:$I,'2023'!$E:$E,Category!$B$103,'2023'!$N:$N,Category!BH$1,'2023'!$D:$D,Category!$C108)</f>
        <v>0</v>
      </c>
      <c r="BI108" s="245">
        <f>SUMIFS('2023'!$I:$I,'2023'!$E:$E,Category!$B$103,'2023'!$N:$N,Category!BI$1,'2023'!$D:$D,Category!$C108)</f>
        <v>0</v>
      </c>
      <c r="BJ108" s="245">
        <f>SUMIFS('2023'!$I:$I,'2023'!$E:$E,Category!$B$103,'2023'!$N:$N,Category!BJ$1,'2023'!$D:$D,Category!$C108)</f>
        <v>0</v>
      </c>
      <c r="BK108" s="245">
        <f>SUMIFS('2023'!$I:$I,'2023'!$E:$E,Category!$B$103,'2023'!$N:$N,Category!BK$1,'2023'!$D:$D,Category!$C108)</f>
        <v>0</v>
      </c>
      <c r="BL108" s="245">
        <f>SUMIFS('2023'!$I:$I,'2023'!$E:$E,Category!$B$103,'2023'!$N:$N,Category!BL$1,'2023'!$D:$D,Category!$C108)</f>
        <v>0</v>
      </c>
      <c r="BM108" s="245">
        <f>SUMIFS('2023'!$I:$I,'2023'!$E:$E,Category!$B$103,'2023'!$N:$N,Category!BM$1,'2023'!$D:$D,Category!$C108)</f>
        <v>0</v>
      </c>
      <c r="BN108" s="246">
        <f t="shared" si="44"/>
        <v>0</v>
      </c>
    </row>
    <row r="109" spans="1:66" x14ac:dyDescent="0.3">
      <c r="A109" s="244"/>
      <c r="B109" s="243"/>
      <c r="C109" s="243" t="s">
        <v>414</v>
      </c>
      <c r="D109" s="520">
        <f>IFERROR(VLOOKUP($C109,'2019'!$D:$G,4,0),0)</f>
        <v>0</v>
      </c>
      <c r="E109" s="245">
        <f>SUMIFS('2019'!$I:$I,'2019'!$E:$E,Category!$B$103,'2019'!$N:$N,Category!E$1,'2019'!$D:$D,Category!$C109)</f>
        <v>0</v>
      </c>
      <c r="F109" s="245">
        <f>SUMIFS('2019'!$I:$I,'2019'!$E:$E,Category!$B$103,'2019'!$N:$N,Category!F$1,'2019'!$D:$D,Category!$C109)</f>
        <v>0</v>
      </c>
      <c r="G109" s="245">
        <f>SUMIFS('2019'!$I:$I,'2019'!$E:$E,Category!$B$103,'2019'!$N:$N,Category!G$1,'2019'!$D:$D,Category!$C109)</f>
        <v>0</v>
      </c>
      <c r="H109" s="245">
        <f>SUMIFS('2019'!$I:$I,'2019'!$E:$E,Category!$B$103,'2019'!$N:$N,Category!H$1,'2019'!$D:$D,Category!$C109)</f>
        <v>0</v>
      </c>
      <c r="I109" s="245">
        <f>SUMIFS('2019'!$I:$I,'2019'!$E:$E,Category!$B$103,'2019'!$N:$N,Category!I$1,'2019'!$D:$D,Category!$C109)</f>
        <v>0</v>
      </c>
      <c r="J109" s="246">
        <f t="shared" si="40"/>
        <v>0</v>
      </c>
      <c r="K109" s="503">
        <f>IFERROR(VLOOKUP($C109,'2020'!$D:$G,4,0),0)</f>
        <v>0</v>
      </c>
      <c r="L109" s="245">
        <f>SUMIFS('2020'!$I:$I,'2020'!$E:$E,Category!$B$103,'2020'!$N:$N,Category!L$1,'2020'!$D:$D,Category!$C109)</f>
        <v>0</v>
      </c>
      <c r="M109" s="245">
        <f>SUMIFS('2020'!$I:$I,'2020'!$E:$E,Category!$B$103,'2020'!$N:$N,Category!M$1,'2020'!$D:$D,Category!$C109)</f>
        <v>0</v>
      </c>
      <c r="N109" s="245">
        <f>SUMIFS('2020'!$I:$I,'2020'!$E:$E,Category!$B$103,'2020'!$N:$N,Category!N$1,'2020'!$D:$D,Category!$C109)</f>
        <v>0</v>
      </c>
      <c r="O109" s="245">
        <f>SUMIFS('2020'!$I:$I,'2020'!$E:$E,Category!$B$103,'2020'!$N:$N,Category!O$1,'2020'!$D:$D,Category!$C109)</f>
        <v>0</v>
      </c>
      <c r="P109" s="245">
        <f>SUMIFS('2020'!$I:$I,'2020'!$E:$E,Category!$B$103,'2020'!$N:$N,Category!P$1,'2020'!$D:$D,Category!$C109)</f>
        <v>0</v>
      </c>
      <c r="Q109" s="245">
        <f>SUMIFS('2020'!$I:$I,'2020'!$E:$E,Category!$B$103,'2020'!$N:$N,Category!Q$1,'2020'!$D:$D,Category!$C109)</f>
        <v>0</v>
      </c>
      <c r="R109" s="245">
        <f>SUMIFS('2020'!$I:$I,'2020'!$E:$E,Category!$B$103,'2020'!$N:$N,Category!R$1,'2020'!$D:$D,Category!$C109)</f>
        <v>0</v>
      </c>
      <c r="S109" s="245">
        <f>SUMIFS('2020'!$I:$I,'2020'!$E:$E,Category!$B$103,'2020'!$N:$N,Category!S$1,'2020'!$D:$D,Category!$C109)</f>
        <v>0</v>
      </c>
      <c r="T109" s="245">
        <f>SUMIFS('2020'!$I:$I,'2020'!$E:$E,Category!$B$103,'2020'!$N:$N,Category!T$1,'2020'!$D:$D,Category!$C109)</f>
        <v>0</v>
      </c>
      <c r="U109" s="245">
        <f>SUMIFS('2020'!$I:$I,'2020'!$E:$E,Category!$B$103,'2020'!$N:$N,Category!U$1,'2020'!$D:$D,Category!$C109)</f>
        <v>0</v>
      </c>
      <c r="V109" s="245">
        <f>SUMIFS('2020'!$I:$I,'2020'!$E:$E,Category!$B$103,'2020'!$N:$N,Category!V$1,'2020'!$D:$D,Category!$C109)</f>
        <v>0</v>
      </c>
      <c r="W109" s="245">
        <f>SUMIFS('2020'!$I:$I,'2020'!$E:$E,Category!$B$103,'2020'!$N:$N,Category!W$1,'2020'!$D:$D,Category!$C109)</f>
        <v>0</v>
      </c>
      <c r="X109" s="246">
        <f t="shared" si="41"/>
        <v>0</v>
      </c>
      <c r="Y109" s="503">
        <f>IFERROR(VLOOKUP(C109,'2021'!$D:$G,4,0),0)</f>
        <v>1</v>
      </c>
      <c r="Z109" s="245">
        <f>SUMIFS('2021'!$I:$I,'2021'!$E:$E,Category!$B$103,'2021'!$N:$N,Category!Z$1,'2021'!$D:$D,Category!$C109)</f>
        <v>0</v>
      </c>
      <c r="AA109" s="245">
        <f>SUMIFS('2021'!$I:$I,'2021'!$E:$E,Category!$B$103,'2021'!$N:$N,Category!AA$1,'2021'!$D:$D,Category!$C109)</f>
        <v>0</v>
      </c>
      <c r="AB109" s="245">
        <f>SUMIFS('2021'!$I:$I,'2021'!$E:$E,Category!$B$103,'2021'!$N:$N,Category!AB$1,'2021'!$D:$D,Category!$C109)</f>
        <v>0</v>
      </c>
      <c r="AC109" s="245">
        <f>SUMIFS('2021'!$I:$I,'2021'!$E:$E,Category!$B$103,'2021'!$N:$N,Category!AC$1,'2021'!$D:$D,Category!$C109)</f>
        <v>0</v>
      </c>
      <c r="AD109" s="245">
        <f>SUMIFS('2021'!$I:$I,'2021'!$E:$E,Category!$B$103,'2021'!$N:$N,Category!AD$1,'2021'!$D:$D,Category!$C109)</f>
        <v>0</v>
      </c>
      <c r="AE109" s="245">
        <f>SUMIFS('2021'!$I:$I,'2021'!$E:$E,Category!$B$103,'2021'!$N:$N,Category!AE$1,'2021'!$D:$D,Category!$C109)</f>
        <v>0</v>
      </c>
      <c r="AF109" s="245">
        <f>SUMIFS('2021'!$I:$I,'2021'!$E:$E,Category!$B$103,'2021'!$N:$N,Category!AF$1,'2021'!$D:$D,Category!$C109)</f>
        <v>0</v>
      </c>
      <c r="AG109" s="245">
        <f>SUMIFS('2021'!$I:$I,'2021'!$E:$E,Category!$B$103,'2021'!$N:$N,Category!AG$1,'2021'!$D:$D,Category!$C109)</f>
        <v>660000</v>
      </c>
      <c r="AH109" s="245">
        <f>SUMIFS('2021'!$I:$I,'2021'!$E:$E,Category!$B$103,'2021'!$N:$N,Category!AH$1,'2021'!$D:$D,Category!$C109)</f>
        <v>0</v>
      </c>
      <c r="AI109" s="245">
        <f>SUMIFS('2021'!$I:$I,'2021'!$E:$E,Category!$B$103,'2021'!$N:$N,Category!AI$1,'2021'!$D:$D,Category!$C109)</f>
        <v>0</v>
      </c>
      <c r="AJ109" s="245">
        <f>SUMIFS('2021'!$I:$I,'2021'!$E:$E,Category!$B$103,'2021'!$N:$N,Category!AJ$1,'2021'!$D:$D,Category!$C109)</f>
        <v>0</v>
      </c>
      <c r="AK109" s="245">
        <f>SUMIFS('2021'!$I:$I,'2021'!$E:$E,Category!$B$103,'2021'!$N:$N,Category!AK$1,'2021'!$D:$D,Category!$C109)</f>
        <v>0</v>
      </c>
      <c r="AL109" s="246">
        <f t="shared" si="42"/>
        <v>660000</v>
      </c>
      <c r="AM109" s="503">
        <f>IFERROR(VLOOKUP(C109,'2022'!$D:$G,4,0),0)</f>
        <v>0</v>
      </c>
      <c r="AN109" s="245">
        <f>SUMIFS('2022'!$I:$I,'2022'!$E:$E,Category!$B$103,'2022'!$N:$N,Category!AN$1,'2022'!$D:$D,Category!$C109)</f>
        <v>0</v>
      </c>
      <c r="AO109" s="245">
        <f>SUMIFS('2022'!$I:$I,'2022'!$E:$E,Category!$B$103,'2022'!$N:$N,Category!AO$1,'2022'!$D:$D,Category!$C109)</f>
        <v>0</v>
      </c>
      <c r="AP109" s="245">
        <f>SUMIFS('2022'!$I:$I,'2022'!$E:$E,Category!$B$103,'2022'!$N:$N,Category!AP$1,'2022'!$D:$D,Category!$C109)</f>
        <v>0</v>
      </c>
      <c r="AQ109" s="245">
        <f>SUMIFS('2022'!$I:$I,'2022'!$E:$E,Category!$B$103,'2022'!$N:$N,Category!AQ$1,'2022'!$D:$D,Category!$C109)</f>
        <v>0</v>
      </c>
      <c r="AR109" s="245">
        <f>SUMIFS('2022'!$I:$I,'2022'!$E:$E,Category!$B$103,'2022'!$N:$N,Category!AR$1,'2022'!$D:$D,Category!$C109)</f>
        <v>0</v>
      </c>
      <c r="AS109" s="245">
        <f>SUMIFS('2022'!$I:$I,'2022'!$E:$E,Category!$B$103,'2022'!$N:$N,Category!AS$1,'2022'!$D:$D,Category!$C109)</f>
        <v>0</v>
      </c>
      <c r="AT109" s="245">
        <f>SUMIFS('2022'!$I:$I,'2022'!$E:$E,Category!$B$103,'2022'!$N:$N,Category!AT$1,'2022'!$D:$D,Category!$C109)</f>
        <v>0</v>
      </c>
      <c r="AU109" s="245">
        <f>SUMIFS('2022'!$I:$I,'2022'!$E:$E,Category!$B$103,'2022'!$N:$N,Category!AU$1,'2022'!$D:$D,Category!$C109)</f>
        <v>0</v>
      </c>
      <c r="AV109" s="245">
        <f>SUMIFS('2022'!$I:$I,'2022'!$E:$E,Category!$B$103,'2022'!$N:$N,Category!AV$1,'2022'!$D:$D,Category!$C109)</f>
        <v>0</v>
      </c>
      <c r="AW109" s="245">
        <f>SUMIFS('2022'!$I:$I,'2022'!$E:$E,Category!$B$103,'2022'!$N:$N,Category!AW$1,'2022'!$D:$D,Category!$C109)</f>
        <v>0</v>
      </c>
      <c r="AX109" s="245">
        <f>SUMIFS('2022'!$I:$I,'2022'!$E:$E,Category!$B$103,'2022'!$N:$N,Category!AX$1,'2022'!$D:$D,Category!$C109)</f>
        <v>0</v>
      </c>
      <c r="AY109" s="245">
        <f>SUMIFS('2022'!$I:$I,'2022'!$E:$E,Category!$B$103,'2022'!$N:$N,Category!AY$1,'2022'!$D:$D,Category!$C109)</f>
        <v>0</v>
      </c>
      <c r="AZ109" s="246">
        <f t="shared" si="43"/>
        <v>0</v>
      </c>
      <c r="BA109" s="503">
        <f>IFERROR(VLOOKUP(C109,'2023'!$D:$G,4,0),0)</f>
        <v>0</v>
      </c>
      <c r="BB109" s="245">
        <f>SUMIFS('2023'!$I:$I,'2023'!$E:$E,Category!$B$103,'2023'!$N:$N,Category!BB$1,'2023'!$D:$D,Category!$C109)</f>
        <v>0</v>
      </c>
      <c r="BC109" s="245">
        <f>SUMIFS('2023'!$I:$I,'2023'!$E:$E,Category!$B$103,'2023'!$N:$N,Category!BC$1,'2023'!$D:$D,Category!$C109)</f>
        <v>0</v>
      </c>
      <c r="BD109" s="245">
        <f>SUMIFS('2023'!$I:$I,'2023'!$E:$E,Category!$B$103,'2023'!$N:$N,Category!BD$1,'2023'!$D:$D,Category!$C109)</f>
        <v>0</v>
      </c>
      <c r="BE109" s="245">
        <f>SUMIFS('2023'!$I:$I,'2023'!$E:$E,Category!$B$103,'2023'!$N:$N,Category!BE$1,'2023'!$D:$D,Category!$C109)</f>
        <v>0</v>
      </c>
      <c r="BF109" s="245">
        <f>SUMIFS('2023'!$I:$I,'2023'!$E:$E,Category!$B$103,'2023'!$N:$N,Category!BF$1,'2023'!$D:$D,Category!$C109)</f>
        <v>0</v>
      </c>
      <c r="BG109" s="245">
        <f>SUMIFS('2023'!$I:$I,'2023'!$E:$E,Category!$B$103,'2023'!$N:$N,Category!BG$1,'2023'!$D:$D,Category!$C109)</f>
        <v>0</v>
      </c>
      <c r="BH109" s="245">
        <f>SUMIFS('2023'!$I:$I,'2023'!$E:$E,Category!$B$103,'2023'!$N:$N,Category!BH$1,'2023'!$D:$D,Category!$C109)</f>
        <v>0</v>
      </c>
      <c r="BI109" s="245">
        <f>SUMIFS('2023'!$I:$I,'2023'!$E:$E,Category!$B$103,'2023'!$N:$N,Category!BI$1,'2023'!$D:$D,Category!$C109)</f>
        <v>0</v>
      </c>
      <c r="BJ109" s="245">
        <f>SUMIFS('2023'!$I:$I,'2023'!$E:$E,Category!$B$103,'2023'!$N:$N,Category!BJ$1,'2023'!$D:$D,Category!$C109)</f>
        <v>0</v>
      </c>
      <c r="BK109" s="245">
        <f>SUMIFS('2023'!$I:$I,'2023'!$E:$E,Category!$B$103,'2023'!$N:$N,Category!BK$1,'2023'!$D:$D,Category!$C109)</f>
        <v>0</v>
      </c>
      <c r="BL109" s="245">
        <f>SUMIFS('2023'!$I:$I,'2023'!$E:$E,Category!$B$103,'2023'!$N:$N,Category!BL$1,'2023'!$D:$D,Category!$C109)</f>
        <v>0</v>
      </c>
      <c r="BM109" s="245">
        <f>SUMIFS('2023'!$I:$I,'2023'!$E:$E,Category!$B$103,'2023'!$N:$N,Category!BM$1,'2023'!$D:$D,Category!$C109)</f>
        <v>0</v>
      </c>
      <c r="BN109" s="246">
        <f t="shared" si="44"/>
        <v>0</v>
      </c>
    </row>
    <row r="110" spans="1:66" x14ac:dyDescent="0.3">
      <c r="A110" s="244"/>
      <c r="B110" s="243"/>
      <c r="C110" s="243" t="s">
        <v>735</v>
      </c>
      <c r="D110" s="520">
        <f>IFERROR(VLOOKUP($C110,'2019'!$D:$G,4,0),0)</f>
        <v>0</v>
      </c>
      <c r="E110" s="245">
        <f>SUMIFS('2019'!$I:$I,'2019'!$E:$E,Category!$B$103,'2019'!$N:$N,Category!E$1,'2019'!$D:$D,Category!$C110)</f>
        <v>0</v>
      </c>
      <c r="F110" s="245">
        <f>SUMIFS('2019'!$I:$I,'2019'!$E:$E,Category!$B$103,'2019'!$N:$N,Category!F$1,'2019'!$D:$D,Category!$C110)</f>
        <v>0</v>
      </c>
      <c r="G110" s="245">
        <f>SUMIFS('2019'!$I:$I,'2019'!$E:$E,Category!$B$103,'2019'!$N:$N,Category!G$1,'2019'!$D:$D,Category!$C110)</f>
        <v>0</v>
      </c>
      <c r="H110" s="245">
        <f>SUMIFS('2019'!$I:$I,'2019'!$E:$E,Category!$B$103,'2019'!$N:$N,Category!H$1,'2019'!$D:$D,Category!$C110)</f>
        <v>0</v>
      </c>
      <c r="I110" s="245">
        <f>SUMIFS('2019'!$I:$I,'2019'!$E:$E,Category!$B$103,'2019'!$N:$N,Category!I$1,'2019'!$D:$D,Category!$C110)</f>
        <v>0</v>
      </c>
      <c r="J110" s="246">
        <f t="shared" si="40"/>
        <v>0</v>
      </c>
      <c r="K110" s="503">
        <f>IFERROR(VLOOKUP($C110,'2020'!$D:$G,4,0),0)</f>
        <v>0</v>
      </c>
      <c r="L110" s="245">
        <f>SUMIFS('2020'!$I:$I,'2020'!$E:$E,Category!$B$103,'2020'!$N:$N,Category!L$1,'2020'!$D:$D,Category!$C110)</f>
        <v>0</v>
      </c>
      <c r="M110" s="245">
        <f>SUMIFS('2020'!$I:$I,'2020'!$E:$E,Category!$B$103,'2020'!$N:$N,Category!M$1,'2020'!$D:$D,Category!$C110)</f>
        <v>0</v>
      </c>
      <c r="N110" s="245">
        <f>SUMIFS('2020'!$I:$I,'2020'!$E:$E,Category!$B$103,'2020'!$N:$N,Category!N$1,'2020'!$D:$D,Category!$C110)</f>
        <v>0</v>
      </c>
      <c r="O110" s="245">
        <f>SUMIFS('2020'!$I:$I,'2020'!$E:$E,Category!$B$103,'2020'!$N:$N,Category!O$1,'2020'!$D:$D,Category!$C110)</f>
        <v>0</v>
      </c>
      <c r="P110" s="245">
        <f>SUMIFS('2020'!$I:$I,'2020'!$E:$E,Category!$B$103,'2020'!$N:$N,Category!P$1,'2020'!$D:$D,Category!$C110)</f>
        <v>0</v>
      </c>
      <c r="Q110" s="245">
        <f>SUMIFS('2020'!$I:$I,'2020'!$E:$E,Category!$B$103,'2020'!$N:$N,Category!Q$1,'2020'!$D:$D,Category!$C110)</f>
        <v>0</v>
      </c>
      <c r="R110" s="245">
        <f>SUMIFS('2020'!$I:$I,'2020'!$E:$E,Category!$B$103,'2020'!$N:$N,Category!R$1,'2020'!$D:$D,Category!$C110)</f>
        <v>0</v>
      </c>
      <c r="S110" s="245">
        <f>SUMIFS('2020'!$I:$I,'2020'!$E:$E,Category!$B$103,'2020'!$N:$N,Category!S$1,'2020'!$D:$D,Category!$C110)</f>
        <v>0</v>
      </c>
      <c r="T110" s="245">
        <f>SUMIFS('2020'!$I:$I,'2020'!$E:$E,Category!$B$103,'2020'!$N:$N,Category!T$1,'2020'!$D:$D,Category!$C110)</f>
        <v>0</v>
      </c>
      <c r="U110" s="245">
        <f>SUMIFS('2020'!$I:$I,'2020'!$E:$E,Category!$B$103,'2020'!$N:$N,Category!U$1,'2020'!$D:$D,Category!$C110)</f>
        <v>0</v>
      </c>
      <c r="V110" s="245">
        <f>SUMIFS('2020'!$I:$I,'2020'!$E:$E,Category!$B$103,'2020'!$N:$N,Category!V$1,'2020'!$D:$D,Category!$C110)</f>
        <v>0</v>
      </c>
      <c r="W110" s="245">
        <f>SUMIFS('2020'!$I:$I,'2020'!$E:$E,Category!$B$103,'2020'!$N:$N,Category!W$1,'2020'!$D:$D,Category!$C110)</f>
        <v>0</v>
      </c>
      <c r="X110" s="246">
        <f t="shared" si="41"/>
        <v>0</v>
      </c>
      <c r="Y110" s="503">
        <f>IFERROR(VLOOKUP(C110,'2021'!$D:$G,4,0),0)</f>
        <v>0</v>
      </c>
      <c r="Z110" s="245">
        <f>SUMIFS('2021'!$I:$I,'2021'!$E:$E,Category!$B$103,'2021'!$N:$N,Category!Z$1,'2021'!$D:$D,Category!$C110)</f>
        <v>0</v>
      </c>
      <c r="AA110" s="245">
        <f>SUMIFS('2021'!$I:$I,'2021'!$E:$E,Category!$B$103,'2021'!$N:$N,Category!AA$1,'2021'!$D:$D,Category!$C110)</f>
        <v>0</v>
      </c>
      <c r="AB110" s="245">
        <f>SUMIFS('2021'!$I:$I,'2021'!$E:$E,Category!$B$103,'2021'!$N:$N,Category!AB$1,'2021'!$D:$D,Category!$C110)</f>
        <v>0</v>
      </c>
      <c r="AC110" s="245">
        <f>SUMIFS('2021'!$I:$I,'2021'!$E:$E,Category!$B$103,'2021'!$N:$N,Category!AC$1,'2021'!$D:$D,Category!$C110)</f>
        <v>0</v>
      </c>
      <c r="AD110" s="245">
        <f>SUMIFS('2021'!$I:$I,'2021'!$E:$E,Category!$B$103,'2021'!$N:$N,Category!AD$1,'2021'!$D:$D,Category!$C110)</f>
        <v>0</v>
      </c>
      <c r="AE110" s="245">
        <f>SUMIFS('2021'!$I:$I,'2021'!$E:$E,Category!$B$103,'2021'!$N:$N,Category!AE$1,'2021'!$D:$D,Category!$C110)</f>
        <v>0</v>
      </c>
      <c r="AF110" s="245">
        <f>SUMIFS('2021'!$I:$I,'2021'!$E:$E,Category!$B$103,'2021'!$N:$N,Category!AF$1,'2021'!$D:$D,Category!$C110)</f>
        <v>0</v>
      </c>
      <c r="AG110" s="245">
        <f>SUMIFS('2021'!$I:$I,'2021'!$E:$E,Category!$B$103,'2021'!$N:$N,Category!AG$1,'2021'!$D:$D,Category!$C110)</f>
        <v>0</v>
      </c>
      <c r="AH110" s="245">
        <f>SUMIFS('2021'!$I:$I,'2021'!$E:$E,Category!$B$103,'2021'!$N:$N,Category!AH$1,'2021'!$D:$D,Category!$C110)</f>
        <v>0</v>
      </c>
      <c r="AI110" s="245">
        <f>SUMIFS('2021'!$I:$I,'2021'!$E:$E,Category!$B$103,'2021'!$N:$N,Category!AI$1,'2021'!$D:$D,Category!$C110)</f>
        <v>0</v>
      </c>
      <c r="AJ110" s="245">
        <f>SUMIFS('2021'!$I:$I,'2021'!$E:$E,Category!$B$103,'2021'!$N:$N,Category!AJ$1,'2021'!$D:$D,Category!$C110)</f>
        <v>0</v>
      </c>
      <c r="AK110" s="245">
        <f>SUMIFS('2021'!$I:$I,'2021'!$E:$E,Category!$B$103,'2021'!$N:$N,Category!AK$1,'2021'!$D:$D,Category!$C110)</f>
        <v>0</v>
      </c>
      <c r="AL110" s="246">
        <f t="shared" si="42"/>
        <v>0</v>
      </c>
      <c r="AM110" s="503">
        <f>IFERROR(VLOOKUP(C110,'2022'!$D:$G,4,0),0)</f>
        <v>1</v>
      </c>
      <c r="AN110" s="245">
        <f>SUMIFS('2022'!$I:$I,'2022'!$E:$E,Category!$B$103,'2022'!$N:$N,Category!AN$1,'2022'!$D:$D,Category!$C110)</f>
        <v>0</v>
      </c>
      <c r="AO110" s="245">
        <f>SUMIFS('2022'!$I:$I,'2022'!$E:$E,Category!$B$103,'2022'!$N:$N,Category!AO$1,'2022'!$D:$D,Category!$C110)</f>
        <v>660000</v>
      </c>
      <c r="AP110" s="245">
        <f>SUMIFS('2022'!$I:$I,'2022'!$E:$E,Category!$B$103,'2022'!$N:$N,Category!AP$1,'2022'!$D:$D,Category!$C110)</f>
        <v>0</v>
      </c>
      <c r="AQ110" s="245">
        <f>SUMIFS('2022'!$I:$I,'2022'!$E:$E,Category!$B$103,'2022'!$N:$N,Category!AQ$1,'2022'!$D:$D,Category!$C110)</f>
        <v>0</v>
      </c>
      <c r="AR110" s="245">
        <f>SUMIFS('2022'!$I:$I,'2022'!$E:$E,Category!$B$103,'2022'!$N:$N,Category!AR$1,'2022'!$D:$D,Category!$C110)</f>
        <v>0</v>
      </c>
      <c r="AS110" s="245">
        <f>SUMIFS('2022'!$I:$I,'2022'!$E:$E,Category!$B$103,'2022'!$N:$N,Category!AS$1,'2022'!$D:$D,Category!$C110)</f>
        <v>0</v>
      </c>
      <c r="AT110" s="245">
        <f>SUMIFS('2022'!$I:$I,'2022'!$E:$E,Category!$B$103,'2022'!$N:$N,Category!AT$1,'2022'!$D:$D,Category!$C110)</f>
        <v>0</v>
      </c>
      <c r="AU110" s="245">
        <f>SUMIFS('2022'!$I:$I,'2022'!$E:$E,Category!$B$103,'2022'!$N:$N,Category!AU$1,'2022'!$D:$D,Category!$C110)</f>
        <v>0</v>
      </c>
      <c r="AV110" s="245">
        <f>SUMIFS('2022'!$I:$I,'2022'!$E:$E,Category!$B$103,'2022'!$N:$N,Category!AV$1,'2022'!$D:$D,Category!$C110)</f>
        <v>0</v>
      </c>
      <c r="AW110" s="245">
        <f>SUMIFS('2022'!$I:$I,'2022'!$E:$E,Category!$B$103,'2022'!$N:$N,Category!AW$1,'2022'!$D:$D,Category!$C110)</f>
        <v>0</v>
      </c>
      <c r="AX110" s="245">
        <f>SUMIFS('2022'!$I:$I,'2022'!$E:$E,Category!$B$103,'2022'!$N:$N,Category!AX$1,'2022'!$D:$D,Category!$C110)</f>
        <v>0</v>
      </c>
      <c r="AY110" s="245">
        <f>SUMIFS('2022'!$I:$I,'2022'!$E:$E,Category!$B$103,'2022'!$N:$N,Category!AY$1,'2022'!$D:$D,Category!$C110)</f>
        <v>0</v>
      </c>
      <c r="AZ110" s="246">
        <f t="shared" si="43"/>
        <v>660000</v>
      </c>
      <c r="BA110" s="503">
        <f>IFERROR(VLOOKUP(C110,'2023'!$D:$G,4,0),0)</f>
        <v>0</v>
      </c>
      <c r="BB110" s="245">
        <f>SUMIFS('2023'!$I:$I,'2023'!$E:$E,Category!$B$103,'2023'!$N:$N,Category!BB$1,'2023'!$D:$D,Category!$C110)</f>
        <v>0</v>
      </c>
      <c r="BC110" s="245">
        <f>SUMIFS('2023'!$I:$I,'2023'!$E:$E,Category!$B$103,'2023'!$N:$N,Category!BC$1,'2023'!$D:$D,Category!$C110)</f>
        <v>0</v>
      </c>
      <c r="BD110" s="245">
        <f>SUMIFS('2023'!$I:$I,'2023'!$E:$E,Category!$B$103,'2023'!$N:$N,Category!BD$1,'2023'!$D:$D,Category!$C110)</f>
        <v>0</v>
      </c>
      <c r="BE110" s="245">
        <f>SUMIFS('2023'!$I:$I,'2023'!$E:$E,Category!$B$103,'2023'!$N:$N,Category!BE$1,'2023'!$D:$D,Category!$C110)</f>
        <v>0</v>
      </c>
      <c r="BF110" s="245">
        <f>SUMIFS('2023'!$I:$I,'2023'!$E:$E,Category!$B$103,'2023'!$N:$N,Category!BF$1,'2023'!$D:$D,Category!$C110)</f>
        <v>0</v>
      </c>
      <c r="BG110" s="245">
        <f>SUMIFS('2023'!$I:$I,'2023'!$E:$E,Category!$B$103,'2023'!$N:$N,Category!BG$1,'2023'!$D:$D,Category!$C110)</f>
        <v>0</v>
      </c>
      <c r="BH110" s="245">
        <f>SUMIFS('2023'!$I:$I,'2023'!$E:$E,Category!$B$103,'2023'!$N:$N,Category!BH$1,'2023'!$D:$D,Category!$C110)</f>
        <v>0</v>
      </c>
      <c r="BI110" s="245">
        <f>SUMIFS('2023'!$I:$I,'2023'!$E:$E,Category!$B$103,'2023'!$N:$N,Category!BI$1,'2023'!$D:$D,Category!$C110)</f>
        <v>0</v>
      </c>
      <c r="BJ110" s="245">
        <f>SUMIFS('2023'!$I:$I,'2023'!$E:$E,Category!$B$103,'2023'!$N:$N,Category!BJ$1,'2023'!$D:$D,Category!$C110)</f>
        <v>0</v>
      </c>
      <c r="BK110" s="245">
        <f>SUMIFS('2023'!$I:$I,'2023'!$E:$E,Category!$B$103,'2023'!$N:$N,Category!BK$1,'2023'!$D:$D,Category!$C110)</f>
        <v>0</v>
      </c>
      <c r="BL110" s="245">
        <f>SUMIFS('2023'!$I:$I,'2023'!$E:$E,Category!$B$103,'2023'!$N:$N,Category!BL$1,'2023'!$D:$D,Category!$C110)</f>
        <v>0</v>
      </c>
      <c r="BM110" s="245">
        <f>SUMIFS('2023'!$I:$I,'2023'!$E:$E,Category!$B$103,'2023'!$N:$N,Category!BM$1,'2023'!$D:$D,Category!$C110)</f>
        <v>0</v>
      </c>
      <c r="BN110" s="246">
        <f t="shared" si="44"/>
        <v>0</v>
      </c>
    </row>
    <row r="111" spans="1:66" ht="60.75" customHeight="1" x14ac:dyDescent="0.3">
      <c r="A111" s="244"/>
      <c r="B111" s="243"/>
      <c r="C111" s="243" t="s">
        <v>1003</v>
      </c>
      <c r="D111" s="520">
        <f>IFERROR(VLOOKUP($C111,'2019'!$D:$G,4,0),0)</f>
        <v>0</v>
      </c>
      <c r="E111" s="245">
        <f>SUMIFS('2019'!$I:$I,'2019'!$E:$E,Category!$B$103,'2019'!$N:$N,Category!E$1,'2019'!$D:$D,Category!$C111)</f>
        <v>0</v>
      </c>
      <c r="F111" s="245">
        <f>SUMIFS('2019'!$I:$I,'2019'!$E:$E,Category!$B$103,'2019'!$N:$N,Category!F$1,'2019'!$D:$D,Category!$C111)</f>
        <v>0</v>
      </c>
      <c r="G111" s="245">
        <f>SUMIFS('2019'!$I:$I,'2019'!$E:$E,Category!$B$103,'2019'!$N:$N,Category!G$1,'2019'!$D:$D,Category!$C111)</f>
        <v>0</v>
      </c>
      <c r="H111" s="245">
        <f>SUMIFS('2019'!$I:$I,'2019'!$E:$E,Category!$B$103,'2019'!$N:$N,Category!H$1,'2019'!$D:$D,Category!$C111)</f>
        <v>0</v>
      </c>
      <c r="I111" s="245">
        <f>SUMIFS('2019'!$I:$I,'2019'!$E:$E,Category!$B$103,'2019'!$N:$N,Category!I$1,'2019'!$D:$D,Category!$C111)</f>
        <v>0</v>
      </c>
      <c r="J111" s="246">
        <f t="shared" ref="J111:J120" si="45">SUM(E111:I111)</f>
        <v>0</v>
      </c>
      <c r="K111" s="503">
        <f>IFERROR(VLOOKUP($C111,'2020'!$D:$G,4,0),0)</f>
        <v>0</v>
      </c>
      <c r="L111" s="245">
        <f>SUMIFS('2020'!$I:$I,'2020'!$E:$E,Category!$B$103,'2020'!$N:$N,Category!L$1,'2020'!$D:$D,Category!$C111)</f>
        <v>0</v>
      </c>
      <c r="M111" s="245">
        <f>SUMIFS('2020'!$I:$I,'2020'!$E:$E,Category!$B$103,'2020'!$N:$N,Category!M$1,'2020'!$D:$D,Category!$C111)</f>
        <v>0</v>
      </c>
      <c r="N111" s="245">
        <f>SUMIFS('2020'!$I:$I,'2020'!$E:$E,Category!$B$103,'2020'!$N:$N,Category!N$1,'2020'!$D:$D,Category!$C111)</f>
        <v>0</v>
      </c>
      <c r="O111" s="245">
        <f>SUMIFS('2020'!$I:$I,'2020'!$E:$E,Category!$B$103,'2020'!$N:$N,Category!O$1,'2020'!$D:$D,Category!$C111)</f>
        <v>0</v>
      </c>
      <c r="P111" s="245">
        <f>SUMIFS('2020'!$I:$I,'2020'!$E:$E,Category!$B$103,'2020'!$N:$N,Category!P$1,'2020'!$D:$D,Category!$C111)</f>
        <v>0</v>
      </c>
      <c r="Q111" s="245">
        <f>SUMIFS('2020'!$I:$I,'2020'!$E:$E,Category!$B$103,'2020'!$N:$N,Category!Q$1,'2020'!$D:$D,Category!$C111)</f>
        <v>0</v>
      </c>
      <c r="R111" s="245">
        <f>SUMIFS('2020'!$I:$I,'2020'!$E:$E,Category!$B$103,'2020'!$N:$N,Category!R$1,'2020'!$D:$D,Category!$C111)</f>
        <v>0</v>
      </c>
      <c r="S111" s="245">
        <f>SUMIFS('2020'!$I:$I,'2020'!$E:$E,Category!$B$103,'2020'!$N:$N,Category!S$1,'2020'!$D:$D,Category!$C111)</f>
        <v>0</v>
      </c>
      <c r="T111" s="245">
        <f>SUMIFS('2020'!$I:$I,'2020'!$E:$E,Category!$B$103,'2020'!$N:$N,Category!T$1,'2020'!$D:$D,Category!$C111)</f>
        <v>0</v>
      </c>
      <c r="U111" s="245">
        <f>SUMIFS('2020'!$I:$I,'2020'!$E:$E,Category!$B$103,'2020'!$N:$N,Category!U$1,'2020'!$D:$D,Category!$C111)</f>
        <v>0</v>
      </c>
      <c r="V111" s="245">
        <f>SUMIFS('2020'!$I:$I,'2020'!$E:$E,Category!$B$103,'2020'!$N:$N,Category!V$1,'2020'!$D:$D,Category!$C111)</f>
        <v>0</v>
      </c>
      <c r="W111" s="245">
        <f>SUMIFS('2020'!$I:$I,'2020'!$E:$E,Category!$B$103,'2020'!$N:$N,Category!W$1,'2020'!$D:$D,Category!$C111)</f>
        <v>0</v>
      </c>
      <c r="X111" s="246">
        <f t="shared" si="41"/>
        <v>0</v>
      </c>
      <c r="Y111" s="503">
        <f>IFERROR(VLOOKUP(C111,'2021'!$D:$G,4,0),0)</f>
        <v>0</v>
      </c>
      <c r="Z111" s="245">
        <f>SUMIFS('2021'!$I:$I,'2021'!$E:$E,Category!$B$103,'2021'!$N:$N,Category!Z$1,'2021'!$D:$D,Category!$C111)</f>
        <v>0</v>
      </c>
      <c r="AA111" s="245">
        <f>SUMIFS('2021'!$I:$I,'2021'!$E:$E,Category!$B$103,'2021'!$N:$N,Category!AA$1,'2021'!$D:$D,Category!$C111)</f>
        <v>0</v>
      </c>
      <c r="AB111" s="245">
        <f>SUMIFS('2021'!$I:$I,'2021'!$E:$E,Category!$B$103,'2021'!$N:$N,Category!AB$1,'2021'!$D:$D,Category!$C111)</f>
        <v>0</v>
      </c>
      <c r="AC111" s="245">
        <f>SUMIFS('2021'!$I:$I,'2021'!$E:$E,Category!$B$103,'2021'!$N:$N,Category!AC$1,'2021'!$D:$D,Category!$C111)</f>
        <v>0</v>
      </c>
      <c r="AD111" s="245">
        <f>SUMIFS('2021'!$I:$I,'2021'!$E:$E,Category!$B$103,'2021'!$N:$N,Category!AD$1,'2021'!$D:$D,Category!$C111)</f>
        <v>0</v>
      </c>
      <c r="AE111" s="245">
        <f>SUMIFS('2021'!$I:$I,'2021'!$E:$E,Category!$B$103,'2021'!$N:$N,Category!AE$1,'2021'!$D:$D,Category!$C111)</f>
        <v>0</v>
      </c>
      <c r="AF111" s="245">
        <f>SUMIFS('2021'!$I:$I,'2021'!$E:$E,Category!$B$103,'2021'!$N:$N,Category!AF$1,'2021'!$D:$D,Category!$C111)</f>
        <v>0</v>
      </c>
      <c r="AG111" s="245">
        <f>SUMIFS('2021'!$I:$I,'2021'!$E:$E,Category!$B$103,'2021'!$N:$N,Category!AG$1,'2021'!$D:$D,Category!$C111)</f>
        <v>0</v>
      </c>
      <c r="AH111" s="245">
        <f>SUMIFS('2021'!$I:$I,'2021'!$E:$E,Category!$B$103,'2021'!$N:$N,Category!AH$1,'2021'!$D:$D,Category!$C111)</f>
        <v>0</v>
      </c>
      <c r="AI111" s="245">
        <f>SUMIFS('2021'!$I:$I,'2021'!$E:$E,Category!$B$103,'2021'!$N:$N,Category!AI$1,'2021'!$D:$D,Category!$C111)</f>
        <v>0</v>
      </c>
      <c r="AJ111" s="245">
        <f>SUMIFS('2021'!$I:$I,'2021'!$E:$E,Category!$B$103,'2021'!$N:$N,Category!AJ$1,'2021'!$D:$D,Category!$C111)</f>
        <v>0</v>
      </c>
      <c r="AK111" s="245">
        <f>SUMIFS('2021'!$I:$I,'2021'!$E:$E,Category!$B$103,'2021'!$N:$N,Category!AK$1,'2021'!$D:$D,Category!$C111)</f>
        <v>0</v>
      </c>
      <c r="AL111" s="246">
        <f t="shared" si="42"/>
        <v>0</v>
      </c>
      <c r="AM111" s="503">
        <f>IFERROR(VLOOKUP(C111,'2022'!$D:$G,4,0),0)</f>
        <v>1</v>
      </c>
      <c r="AN111" s="245">
        <f>SUMIFS('2022'!$I:$I,'2022'!$E:$E,Category!$B$103,'2022'!$N:$N,Category!AN$1,'2022'!$D:$D,Category!$C111)</f>
        <v>0</v>
      </c>
      <c r="AO111" s="245">
        <f>SUMIFS('2022'!$I:$I,'2022'!$E:$E,Category!$B$103,'2022'!$N:$N,Category!AO$1,'2022'!$D:$D,Category!$C111)</f>
        <v>0</v>
      </c>
      <c r="AP111" s="245">
        <f>SUMIFS('2022'!$I:$I,'2022'!$E:$E,Category!$B$103,'2022'!$N:$N,Category!AP$1,'2022'!$D:$D,Category!$C111)</f>
        <v>0</v>
      </c>
      <c r="AQ111" s="245">
        <f>SUMIFS('2022'!$I:$I,'2022'!$E:$E,Category!$B$103,'2022'!$N:$N,Category!AQ$1,'2022'!$D:$D,Category!$C111)</f>
        <v>0</v>
      </c>
      <c r="AR111" s="245">
        <f>SUMIFS('2022'!$I:$I,'2022'!$E:$E,Category!$B$103,'2022'!$N:$N,Category!AR$1,'2022'!$D:$D,Category!$C111)</f>
        <v>777000</v>
      </c>
      <c r="AS111" s="245">
        <f>SUMIFS('2022'!$I:$I,'2022'!$E:$E,Category!$B$103,'2022'!$N:$N,Category!AS$1,'2022'!$D:$D,Category!$C111)</f>
        <v>0</v>
      </c>
      <c r="AT111" s="245">
        <f>SUMIFS('2022'!$I:$I,'2022'!$E:$E,Category!$B$103,'2022'!$N:$N,Category!AT$1,'2022'!$D:$D,Category!$C111)</f>
        <v>0</v>
      </c>
      <c r="AU111" s="245">
        <f>SUMIFS('2022'!$I:$I,'2022'!$E:$E,Category!$B$103,'2022'!$N:$N,Category!AU$1,'2022'!$D:$D,Category!$C111)</f>
        <v>0</v>
      </c>
      <c r="AV111" s="245">
        <f>SUMIFS('2022'!$I:$I,'2022'!$E:$E,Category!$B$103,'2022'!$N:$N,Category!AV$1,'2022'!$D:$D,Category!$C111)</f>
        <v>0</v>
      </c>
      <c r="AW111" s="245">
        <f>SUMIFS('2022'!$I:$I,'2022'!$E:$E,Category!$B$103,'2022'!$N:$N,Category!AW$1,'2022'!$D:$D,Category!$C111)</f>
        <v>0</v>
      </c>
      <c r="AX111" s="245">
        <f>SUMIFS('2022'!$I:$I,'2022'!$E:$E,Category!$B$103,'2022'!$N:$N,Category!AX$1,'2022'!$D:$D,Category!$C111)</f>
        <v>0</v>
      </c>
      <c r="AY111" s="245">
        <f>SUMIFS('2022'!$I:$I,'2022'!$E:$E,Category!$B$103,'2022'!$N:$N,Category!AY$1,'2022'!$D:$D,Category!$C111)</f>
        <v>0</v>
      </c>
      <c r="AZ111" s="246">
        <f t="shared" si="43"/>
        <v>777000</v>
      </c>
      <c r="BA111" s="503">
        <f>IFERROR(VLOOKUP(C111,'2023'!$D:$G,4,0),0)</f>
        <v>0</v>
      </c>
      <c r="BB111" s="245">
        <f>SUMIFS('2023'!$I:$I,'2023'!$E:$E,Category!$B$103,'2023'!$N:$N,Category!BB$1,'2023'!$D:$D,Category!$C111)</f>
        <v>0</v>
      </c>
      <c r="BC111" s="245">
        <f>SUMIFS('2023'!$I:$I,'2023'!$E:$E,Category!$B$103,'2023'!$N:$N,Category!BC$1,'2023'!$D:$D,Category!$C111)</f>
        <v>0</v>
      </c>
      <c r="BD111" s="245">
        <f>SUMIFS('2023'!$I:$I,'2023'!$E:$E,Category!$B$103,'2023'!$N:$N,Category!BD$1,'2023'!$D:$D,Category!$C111)</f>
        <v>0</v>
      </c>
      <c r="BE111" s="245">
        <f>SUMIFS('2023'!$I:$I,'2023'!$E:$E,Category!$B$103,'2023'!$N:$N,Category!BE$1,'2023'!$D:$D,Category!$C111)</f>
        <v>0</v>
      </c>
      <c r="BF111" s="245">
        <f>SUMIFS('2023'!$I:$I,'2023'!$E:$E,Category!$B$103,'2023'!$N:$N,Category!BF$1,'2023'!$D:$D,Category!$C111)</f>
        <v>0</v>
      </c>
      <c r="BG111" s="245">
        <f>SUMIFS('2023'!$I:$I,'2023'!$E:$E,Category!$B$103,'2023'!$N:$N,Category!BG$1,'2023'!$D:$D,Category!$C111)</f>
        <v>0</v>
      </c>
      <c r="BH111" s="245">
        <f>SUMIFS('2023'!$I:$I,'2023'!$E:$E,Category!$B$103,'2023'!$N:$N,Category!BH$1,'2023'!$D:$D,Category!$C111)</f>
        <v>0</v>
      </c>
      <c r="BI111" s="245">
        <f>SUMIFS('2023'!$I:$I,'2023'!$E:$E,Category!$B$103,'2023'!$N:$N,Category!BI$1,'2023'!$D:$D,Category!$C111)</f>
        <v>0</v>
      </c>
      <c r="BJ111" s="245">
        <f>SUMIFS('2023'!$I:$I,'2023'!$E:$E,Category!$B$103,'2023'!$N:$N,Category!BJ$1,'2023'!$D:$D,Category!$C111)</f>
        <v>0</v>
      </c>
      <c r="BK111" s="245">
        <f>SUMIFS('2023'!$I:$I,'2023'!$E:$E,Category!$B$103,'2023'!$N:$N,Category!BK$1,'2023'!$D:$D,Category!$C111)</f>
        <v>0</v>
      </c>
      <c r="BL111" s="245">
        <f>SUMIFS('2023'!$I:$I,'2023'!$E:$E,Category!$B$103,'2023'!$N:$N,Category!BL$1,'2023'!$D:$D,Category!$C111)</f>
        <v>0</v>
      </c>
      <c r="BM111" s="245">
        <f>SUMIFS('2023'!$I:$I,'2023'!$E:$E,Category!$B$103,'2023'!$N:$N,Category!BM$1,'2023'!$D:$D,Category!$C111)</f>
        <v>0</v>
      </c>
      <c r="BN111" s="246">
        <f t="shared" si="44"/>
        <v>0</v>
      </c>
    </row>
    <row r="112" spans="1:66" x14ac:dyDescent="0.3">
      <c r="A112" s="244"/>
      <c r="B112" s="243"/>
      <c r="C112" s="243" t="s">
        <v>1315</v>
      </c>
      <c r="D112" s="520">
        <f>IFERROR(VLOOKUP($C112,'2019'!$D:$G,4,0),0)</f>
        <v>1</v>
      </c>
      <c r="E112" s="245">
        <f>SUMIFS('2019'!$I:$I,'2019'!$E:$E,Category!$B$103,'2019'!$N:$N,Category!E$1,'2019'!$D:$D,Category!$C112)</f>
        <v>800000</v>
      </c>
      <c r="F112" s="245">
        <f>SUMIFS('2019'!$I:$I,'2019'!$E:$E,Category!$B$103,'2019'!$N:$N,Category!F$1,'2019'!$D:$D,Category!$C112)</f>
        <v>0</v>
      </c>
      <c r="G112" s="245">
        <f>SUMIFS('2019'!$I:$I,'2019'!$E:$E,Category!$B$103,'2019'!$N:$N,Category!G$1,'2019'!$D:$D,Category!$C112)</f>
        <v>0</v>
      </c>
      <c r="H112" s="245">
        <f>SUMIFS('2019'!$I:$I,'2019'!$E:$E,Category!$B$103,'2019'!$N:$N,Category!H$1,'2019'!$D:$D,Category!$C112)</f>
        <v>0</v>
      </c>
      <c r="I112" s="245">
        <f>SUMIFS('2019'!$I:$I,'2019'!$E:$E,Category!$B$103,'2019'!$N:$N,Category!I$1,'2019'!$D:$D,Category!$C112)</f>
        <v>0</v>
      </c>
      <c r="J112" s="246">
        <f t="shared" si="45"/>
        <v>800000</v>
      </c>
      <c r="K112" s="503">
        <f>IFERROR(VLOOKUP($C112,'2020'!$D:$G,4,0),0)</f>
        <v>0</v>
      </c>
      <c r="L112" s="245">
        <f>SUMIFS('2020'!$I:$I,'2020'!$E:$E,Category!$B$103,'2020'!$N:$N,Category!L$1,'2020'!$D:$D,Category!$C112)</f>
        <v>0</v>
      </c>
      <c r="M112" s="245">
        <f>SUMIFS('2020'!$I:$I,'2020'!$E:$E,Category!$B$103,'2020'!$N:$N,Category!M$1,'2020'!$D:$D,Category!$C112)</f>
        <v>0</v>
      </c>
      <c r="N112" s="245">
        <f>SUMIFS('2020'!$I:$I,'2020'!$E:$E,Category!$B$103,'2020'!$N:$N,Category!N$1,'2020'!$D:$D,Category!$C112)</f>
        <v>0</v>
      </c>
      <c r="O112" s="245">
        <f>SUMIFS('2020'!$I:$I,'2020'!$E:$E,Category!$B$103,'2020'!$N:$N,Category!O$1,'2020'!$D:$D,Category!$C112)</f>
        <v>0</v>
      </c>
      <c r="P112" s="245">
        <f>SUMIFS('2020'!$I:$I,'2020'!$E:$E,Category!$B$103,'2020'!$N:$N,Category!P$1,'2020'!$D:$D,Category!$C112)</f>
        <v>0</v>
      </c>
      <c r="Q112" s="245">
        <f>SUMIFS('2020'!$I:$I,'2020'!$E:$E,Category!$B$103,'2020'!$N:$N,Category!Q$1,'2020'!$D:$D,Category!$C112)</f>
        <v>0</v>
      </c>
      <c r="R112" s="245">
        <f>SUMIFS('2020'!$I:$I,'2020'!$E:$E,Category!$B$103,'2020'!$N:$N,Category!R$1,'2020'!$D:$D,Category!$C112)</f>
        <v>0</v>
      </c>
      <c r="S112" s="245">
        <f>SUMIFS('2020'!$I:$I,'2020'!$E:$E,Category!$B$103,'2020'!$N:$N,Category!S$1,'2020'!$D:$D,Category!$C112)</f>
        <v>0</v>
      </c>
      <c r="T112" s="245">
        <f>SUMIFS('2020'!$I:$I,'2020'!$E:$E,Category!$B$103,'2020'!$N:$N,Category!T$1,'2020'!$D:$D,Category!$C112)</f>
        <v>0</v>
      </c>
      <c r="U112" s="245">
        <f>SUMIFS('2020'!$I:$I,'2020'!$E:$E,Category!$B$103,'2020'!$N:$N,Category!U$1,'2020'!$D:$D,Category!$C112)</f>
        <v>0</v>
      </c>
      <c r="V112" s="245">
        <f>SUMIFS('2020'!$I:$I,'2020'!$E:$E,Category!$B$103,'2020'!$N:$N,Category!V$1,'2020'!$D:$D,Category!$C112)</f>
        <v>0</v>
      </c>
      <c r="W112" s="245">
        <f>SUMIFS('2020'!$I:$I,'2020'!$E:$E,Category!$B$103,'2020'!$N:$N,Category!W$1,'2020'!$D:$D,Category!$C112)</f>
        <v>0</v>
      </c>
      <c r="X112" s="246">
        <f t="shared" si="41"/>
        <v>0</v>
      </c>
      <c r="Y112" s="503">
        <f>IFERROR(VLOOKUP(C112,'2021'!$D:$G,4,0),0)</f>
        <v>0</v>
      </c>
      <c r="Z112" s="245">
        <f>SUMIFS('2021'!$I:$I,'2021'!$E:$E,Category!$B$103,'2021'!$N:$N,Category!Z$1,'2021'!$D:$D,Category!$C112)</f>
        <v>0</v>
      </c>
      <c r="AA112" s="245">
        <f>SUMIFS('2021'!$I:$I,'2021'!$E:$E,Category!$B$103,'2021'!$N:$N,Category!AA$1,'2021'!$D:$D,Category!$C112)</f>
        <v>0</v>
      </c>
      <c r="AB112" s="245">
        <f>SUMIFS('2021'!$I:$I,'2021'!$E:$E,Category!$B$103,'2021'!$N:$N,Category!AB$1,'2021'!$D:$D,Category!$C112)</f>
        <v>0</v>
      </c>
      <c r="AC112" s="245">
        <f>SUMIFS('2021'!$I:$I,'2021'!$E:$E,Category!$B$103,'2021'!$N:$N,Category!AC$1,'2021'!$D:$D,Category!$C112)</f>
        <v>0</v>
      </c>
      <c r="AD112" s="245">
        <f>SUMIFS('2021'!$I:$I,'2021'!$E:$E,Category!$B$103,'2021'!$N:$N,Category!AD$1,'2021'!$D:$D,Category!$C112)</f>
        <v>0</v>
      </c>
      <c r="AE112" s="245">
        <f>SUMIFS('2021'!$I:$I,'2021'!$E:$E,Category!$B$103,'2021'!$N:$N,Category!AE$1,'2021'!$D:$D,Category!$C112)</f>
        <v>0</v>
      </c>
      <c r="AF112" s="245">
        <f>SUMIFS('2021'!$I:$I,'2021'!$E:$E,Category!$B$103,'2021'!$N:$N,Category!AF$1,'2021'!$D:$D,Category!$C112)</f>
        <v>0</v>
      </c>
      <c r="AG112" s="245">
        <f>SUMIFS('2021'!$I:$I,'2021'!$E:$E,Category!$B$103,'2021'!$N:$N,Category!AG$1,'2021'!$D:$D,Category!$C112)</f>
        <v>0</v>
      </c>
      <c r="AH112" s="245">
        <f>SUMIFS('2021'!$I:$I,'2021'!$E:$E,Category!$B$103,'2021'!$N:$N,Category!AH$1,'2021'!$D:$D,Category!$C112)</f>
        <v>0</v>
      </c>
      <c r="AI112" s="245">
        <f>SUMIFS('2021'!$I:$I,'2021'!$E:$E,Category!$B$103,'2021'!$N:$N,Category!AI$1,'2021'!$D:$D,Category!$C112)</f>
        <v>0</v>
      </c>
      <c r="AJ112" s="245">
        <f>SUMIFS('2021'!$I:$I,'2021'!$E:$E,Category!$B$103,'2021'!$N:$N,Category!AJ$1,'2021'!$D:$D,Category!$C112)</f>
        <v>0</v>
      </c>
      <c r="AK112" s="245">
        <f>SUMIFS('2021'!$I:$I,'2021'!$E:$E,Category!$B$103,'2021'!$N:$N,Category!AK$1,'2021'!$D:$D,Category!$C112)</f>
        <v>0</v>
      </c>
      <c r="AL112" s="246">
        <f t="shared" si="42"/>
        <v>0</v>
      </c>
      <c r="AM112" s="503">
        <f>IFERROR(VLOOKUP(C112,'2022'!$D:$G,4,0),0)</f>
        <v>0</v>
      </c>
      <c r="AN112" s="245">
        <f>SUMIFS('2022'!$I:$I,'2022'!$E:$E,Category!$B$103,'2022'!$N:$N,Category!AN$1,'2022'!$D:$D,Category!$C112)</f>
        <v>0</v>
      </c>
      <c r="AO112" s="245">
        <f>SUMIFS('2022'!$I:$I,'2022'!$E:$E,Category!$B$103,'2022'!$N:$N,Category!AO$1,'2022'!$D:$D,Category!$C112)</f>
        <v>0</v>
      </c>
      <c r="AP112" s="245">
        <f>SUMIFS('2022'!$I:$I,'2022'!$E:$E,Category!$B$103,'2022'!$N:$N,Category!AP$1,'2022'!$D:$D,Category!$C112)</f>
        <v>0</v>
      </c>
      <c r="AQ112" s="245">
        <f>SUMIFS('2022'!$I:$I,'2022'!$E:$E,Category!$B$103,'2022'!$N:$N,Category!AQ$1,'2022'!$D:$D,Category!$C112)</f>
        <v>0</v>
      </c>
      <c r="AR112" s="245">
        <f>SUMIFS('2022'!$I:$I,'2022'!$E:$E,Category!$B$103,'2022'!$N:$N,Category!AR$1,'2022'!$D:$D,Category!$C112)</f>
        <v>0</v>
      </c>
      <c r="AS112" s="245">
        <f>SUMIFS('2022'!$I:$I,'2022'!$E:$E,Category!$B$103,'2022'!$N:$N,Category!AS$1,'2022'!$D:$D,Category!$C112)</f>
        <v>0</v>
      </c>
      <c r="AT112" s="245">
        <f>SUMIFS('2022'!$I:$I,'2022'!$E:$E,Category!$B$103,'2022'!$N:$N,Category!AT$1,'2022'!$D:$D,Category!$C112)</f>
        <v>0</v>
      </c>
      <c r="AU112" s="245">
        <f>SUMIFS('2022'!$I:$I,'2022'!$E:$E,Category!$B$103,'2022'!$N:$N,Category!AU$1,'2022'!$D:$D,Category!$C112)</f>
        <v>0</v>
      </c>
      <c r="AV112" s="245">
        <f>SUMIFS('2022'!$I:$I,'2022'!$E:$E,Category!$B$103,'2022'!$N:$N,Category!AV$1,'2022'!$D:$D,Category!$C112)</f>
        <v>0</v>
      </c>
      <c r="AW112" s="245">
        <f>SUMIFS('2022'!$I:$I,'2022'!$E:$E,Category!$B$103,'2022'!$N:$N,Category!AW$1,'2022'!$D:$D,Category!$C112)</f>
        <v>0</v>
      </c>
      <c r="AX112" s="245">
        <f>SUMIFS('2022'!$I:$I,'2022'!$E:$E,Category!$B$103,'2022'!$N:$N,Category!AX$1,'2022'!$D:$D,Category!$C112)</f>
        <v>0</v>
      </c>
      <c r="AY112" s="245">
        <f>SUMIFS('2022'!$I:$I,'2022'!$E:$E,Category!$B$103,'2022'!$N:$N,Category!AY$1,'2022'!$D:$D,Category!$C112)</f>
        <v>0</v>
      </c>
      <c r="AZ112" s="246">
        <f t="shared" si="43"/>
        <v>0</v>
      </c>
      <c r="BA112" s="503">
        <f>IFERROR(VLOOKUP(C112,'2023'!$D:$G,4,0),0)</f>
        <v>0</v>
      </c>
      <c r="BB112" s="245">
        <f>SUMIFS('2023'!$I:$I,'2023'!$E:$E,Category!$B$103,'2023'!$N:$N,Category!BB$1,'2023'!$D:$D,Category!$C112)</f>
        <v>0</v>
      </c>
      <c r="BC112" s="245">
        <f>SUMIFS('2023'!$I:$I,'2023'!$E:$E,Category!$B$103,'2023'!$N:$N,Category!BC$1,'2023'!$D:$D,Category!$C112)</f>
        <v>0</v>
      </c>
      <c r="BD112" s="245">
        <f>SUMIFS('2023'!$I:$I,'2023'!$E:$E,Category!$B$103,'2023'!$N:$N,Category!BD$1,'2023'!$D:$D,Category!$C112)</f>
        <v>0</v>
      </c>
      <c r="BE112" s="245">
        <f>SUMIFS('2023'!$I:$I,'2023'!$E:$E,Category!$B$103,'2023'!$N:$N,Category!BE$1,'2023'!$D:$D,Category!$C112)</f>
        <v>0</v>
      </c>
      <c r="BF112" s="245">
        <f>SUMIFS('2023'!$I:$I,'2023'!$E:$E,Category!$B$103,'2023'!$N:$N,Category!BF$1,'2023'!$D:$D,Category!$C112)</f>
        <v>0</v>
      </c>
      <c r="BG112" s="245">
        <f>SUMIFS('2023'!$I:$I,'2023'!$E:$E,Category!$B$103,'2023'!$N:$N,Category!BG$1,'2023'!$D:$D,Category!$C112)</f>
        <v>0</v>
      </c>
      <c r="BH112" s="245">
        <f>SUMIFS('2023'!$I:$I,'2023'!$E:$E,Category!$B$103,'2023'!$N:$N,Category!BH$1,'2023'!$D:$D,Category!$C112)</f>
        <v>0</v>
      </c>
      <c r="BI112" s="245">
        <f>SUMIFS('2023'!$I:$I,'2023'!$E:$E,Category!$B$103,'2023'!$N:$N,Category!BI$1,'2023'!$D:$D,Category!$C112)</f>
        <v>0</v>
      </c>
      <c r="BJ112" s="245">
        <f>SUMIFS('2023'!$I:$I,'2023'!$E:$E,Category!$B$103,'2023'!$N:$N,Category!BJ$1,'2023'!$D:$D,Category!$C112)</f>
        <v>0</v>
      </c>
      <c r="BK112" s="245">
        <f>SUMIFS('2023'!$I:$I,'2023'!$E:$E,Category!$B$103,'2023'!$N:$N,Category!BK$1,'2023'!$D:$D,Category!$C112)</f>
        <v>0</v>
      </c>
      <c r="BL112" s="245">
        <f>SUMIFS('2023'!$I:$I,'2023'!$E:$E,Category!$B$103,'2023'!$N:$N,Category!BL$1,'2023'!$D:$D,Category!$C112)</f>
        <v>0</v>
      </c>
      <c r="BM112" s="245">
        <f>SUMIFS('2023'!$I:$I,'2023'!$E:$E,Category!$B$103,'2023'!$N:$N,Category!BM$1,'2023'!$D:$D,Category!$C112)</f>
        <v>0</v>
      </c>
      <c r="BN112" s="246">
        <f t="shared" si="44"/>
        <v>0</v>
      </c>
    </row>
    <row r="113" spans="1:66" x14ac:dyDescent="0.3">
      <c r="A113" s="244"/>
      <c r="B113" s="243"/>
      <c r="C113" s="243" t="s">
        <v>1316</v>
      </c>
      <c r="D113" s="520">
        <f>IFERROR(VLOOKUP($C113,'2019'!$D:$G,4,0),0)</f>
        <v>1</v>
      </c>
      <c r="E113" s="245">
        <f>SUMIFS('2019'!$I:$I,'2019'!$E:$E,Category!$B$103,'2019'!$N:$N,Category!E$1,'2019'!$D:$D,Category!$C113)</f>
        <v>1000000</v>
      </c>
      <c r="F113" s="245">
        <f>SUMIFS('2019'!$I:$I,'2019'!$E:$E,Category!$B$103,'2019'!$N:$N,Category!F$1,'2019'!$D:$D,Category!$C113)</f>
        <v>0</v>
      </c>
      <c r="G113" s="245">
        <f>SUMIFS('2019'!$I:$I,'2019'!$E:$E,Category!$B$103,'2019'!$N:$N,Category!G$1,'2019'!$D:$D,Category!$C113)</f>
        <v>0</v>
      </c>
      <c r="H113" s="245">
        <f>SUMIFS('2019'!$I:$I,'2019'!$E:$E,Category!$B$103,'2019'!$N:$N,Category!H$1,'2019'!$D:$D,Category!$C113)</f>
        <v>0</v>
      </c>
      <c r="I113" s="245">
        <f>SUMIFS('2019'!$I:$I,'2019'!$E:$E,Category!$B$103,'2019'!$N:$N,Category!I$1,'2019'!$D:$D,Category!$C113)</f>
        <v>0</v>
      </c>
      <c r="J113" s="246">
        <f t="shared" si="45"/>
        <v>1000000</v>
      </c>
      <c r="K113" s="503">
        <f>IFERROR(VLOOKUP($C113,'2020'!$D:$G,4,0),0)</f>
        <v>0</v>
      </c>
      <c r="L113" s="245">
        <f>SUMIFS('2020'!$I:$I,'2020'!$E:$E,Category!$B$103,'2020'!$N:$N,Category!L$1,'2020'!$D:$D,Category!$C113)</f>
        <v>0</v>
      </c>
      <c r="M113" s="245">
        <f>SUMIFS('2020'!$I:$I,'2020'!$E:$E,Category!$B$103,'2020'!$N:$N,Category!M$1,'2020'!$D:$D,Category!$C113)</f>
        <v>0</v>
      </c>
      <c r="N113" s="245">
        <f>SUMIFS('2020'!$I:$I,'2020'!$E:$E,Category!$B$103,'2020'!$N:$N,Category!N$1,'2020'!$D:$D,Category!$C113)</f>
        <v>0</v>
      </c>
      <c r="O113" s="245">
        <f>SUMIFS('2020'!$I:$I,'2020'!$E:$E,Category!$B$103,'2020'!$N:$N,Category!O$1,'2020'!$D:$D,Category!$C113)</f>
        <v>0</v>
      </c>
      <c r="P113" s="245">
        <f>SUMIFS('2020'!$I:$I,'2020'!$E:$E,Category!$B$103,'2020'!$N:$N,Category!P$1,'2020'!$D:$D,Category!$C113)</f>
        <v>0</v>
      </c>
      <c r="Q113" s="245">
        <f>SUMIFS('2020'!$I:$I,'2020'!$E:$E,Category!$B$103,'2020'!$N:$N,Category!Q$1,'2020'!$D:$D,Category!$C113)</f>
        <v>0</v>
      </c>
      <c r="R113" s="245">
        <f>SUMIFS('2020'!$I:$I,'2020'!$E:$E,Category!$B$103,'2020'!$N:$N,Category!R$1,'2020'!$D:$D,Category!$C113)</f>
        <v>0</v>
      </c>
      <c r="S113" s="245">
        <f>SUMIFS('2020'!$I:$I,'2020'!$E:$E,Category!$B$103,'2020'!$N:$N,Category!S$1,'2020'!$D:$D,Category!$C113)</f>
        <v>0</v>
      </c>
      <c r="T113" s="245">
        <f>SUMIFS('2020'!$I:$I,'2020'!$E:$E,Category!$B$103,'2020'!$N:$N,Category!T$1,'2020'!$D:$D,Category!$C113)</f>
        <v>0</v>
      </c>
      <c r="U113" s="245">
        <f>SUMIFS('2020'!$I:$I,'2020'!$E:$E,Category!$B$103,'2020'!$N:$N,Category!U$1,'2020'!$D:$D,Category!$C113)</f>
        <v>0</v>
      </c>
      <c r="V113" s="245">
        <f>SUMIFS('2020'!$I:$I,'2020'!$E:$E,Category!$B$103,'2020'!$N:$N,Category!V$1,'2020'!$D:$D,Category!$C113)</f>
        <v>0</v>
      </c>
      <c r="W113" s="245">
        <f>SUMIFS('2020'!$I:$I,'2020'!$E:$E,Category!$B$103,'2020'!$N:$N,Category!W$1,'2020'!$D:$D,Category!$C113)</f>
        <v>0</v>
      </c>
      <c r="X113" s="246">
        <f>SUM(L113:W113)</f>
        <v>0</v>
      </c>
      <c r="Y113" s="503">
        <f>IFERROR(VLOOKUP(C113,'2021'!$D:$G,4,0),0)</f>
        <v>0</v>
      </c>
      <c r="Z113" s="245">
        <f>SUMIFS('2021'!$I:$I,'2021'!$E:$E,Category!$B$103,'2021'!$N:$N,Category!Z$1,'2021'!$D:$D,Category!$C113)</f>
        <v>0</v>
      </c>
      <c r="AA113" s="245">
        <f>SUMIFS('2021'!$I:$I,'2021'!$E:$E,Category!$B$103,'2021'!$N:$N,Category!AA$1,'2021'!$D:$D,Category!$C113)</f>
        <v>0</v>
      </c>
      <c r="AB113" s="245">
        <f>SUMIFS('2021'!$I:$I,'2021'!$E:$E,Category!$B$103,'2021'!$N:$N,Category!AB$1,'2021'!$D:$D,Category!$C113)</f>
        <v>0</v>
      </c>
      <c r="AC113" s="245">
        <f>SUMIFS('2021'!$I:$I,'2021'!$E:$E,Category!$B$103,'2021'!$N:$N,Category!AC$1,'2021'!$D:$D,Category!$C113)</f>
        <v>0</v>
      </c>
      <c r="AD113" s="245">
        <f>SUMIFS('2021'!$I:$I,'2021'!$E:$E,Category!$B$103,'2021'!$N:$N,Category!AD$1,'2021'!$D:$D,Category!$C113)</f>
        <v>0</v>
      </c>
      <c r="AE113" s="245">
        <f>SUMIFS('2021'!$I:$I,'2021'!$E:$E,Category!$B$103,'2021'!$N:$N,Category!AE$1,'2021'!$D:$D,Category!$C113)</f>
        <v>0</v>
      </c>
      <c r="AF113" s="245">
        <f>SUMIFS('2021'!$I:$I,'2021'!$E:$E,Category!$B$103,'2021'!$N:$N,Category!AF$1,'2021'!$D:$D,Category!$C113)</f>
        <v>0</v>
      </c>
      <c r="AG113" s="245">
        <f>SUMIFS('2021'!$I:$I,'2021'!$E:$E,Category!$B$103,'2021'!$N:$N,Category!AG$1,'2021'!$D:$D,Category!$C113)</f>
        <v>0</v>
      </c>
      <c r="AH113" s="245">
        <f>SUMIFS('2021'!$I:$I,'2021'!$E:$E,Category!$B$103,'2021'!$N:$N,Category!AH$1,'2021'!$D:$D,Category!$C113)</f>
        <v>0</v>
      </c>
      <c r="AI113" s="245">
        <f>SUMIFS('2021'!$I:$I,'2021'!$E:$E,Category!$B$103,'2021'!$N:$N,Category!AI$1,'2021'!$D:$D,Category!$C113)</f>
        <v>0</v>
      </c>
      <c r="AJ113" s="245">
        <f>SUMIFS('2021'!$I:$I,'2021'!$E:$E,Category!$B$103,'2021'!$N:$N,Category!AJ$1,'2021'!$D:$D,Category!$C113)</f>
        <v>0</v>
      </c>
      <c r="AK113" s="245">
        <f>SUMIFS('2021'!$I:$I,'2021'!$E:$E,Category!$B$103,'2021'!$N:$N,Category!AK$1,'2021'!$D:$D,Category!$C113)</f>
        <v>0</v>
      </c>
      <c r="AL113" s="246">
        <f>SUM(Z113:AK113)</f>
        <v>0</v>
      </c>
      <c r="AM113" s="503">
        <f>IFERROR(VLOOKUP(C113,'2022'!$D:$G,4,0),0)</f>
        <v>0</v>
      </c>
      <c r="AN113" s="245">
        <f>SUMIFS('2022'!$I:$I,'2022'!$E:$E,Category!$B$103,'2022'!$N:$N,Category!AN$1,'2022'!$D:$D,Category!$C113)</f>
        <v>0</v>
      </c>
      <c r="AO113" s="245">
        <f>SUMIFS('2022'!$I:$I,'2022'!$E:$E,Category!$B$103,'2022'!$N:$N,Category!AO$1,'2022'!$D:$D,Category!$C113)</f>
        <v>0</v>
      </c>
      <c r="AP113" s="245">
        <f>SUMIFS('2022'!$I:$I,'2022'!$E:$E,Category!$B$103,'2022'!$N:$N,Category!AP$1,'2022'!$D:$D,Category!$C113)</f>
        <v>0</v>
      </c>
      <c r="AQ113" s="245">
        <f>SUMIFS('2022'!$I:$I,'2022'!$E:$E,Category!$B$103,'2022'!$N:$N,Category!AQ$1,'2022'!$D:$D,Category!$C113)</f>
        <v>0</v>
      </c>
      <c r="AR113" s="245">
        <f>SUMIFS('2022'!$I:$I,'2022'!$E:$E,Category!$B$103,'2022'!$N:$N,Category!AR$1,'2022'!$D:$D,Category!$C113)</f>
        <v>0</v>
      </c>
      <c r="AS113" s="245">
        <f>SUMIFS('2022'!$I:$I,'2022'!$E:$E,Category!$B$103,'2022'!$N:$N,Category!AS$1,'2022'!$D:$D,Category!$C113)</f>
        <v>0</v>
      </c>
      <c r="AT113" s="245">
        <f>SUMIFS('2022'!$I:$I,'2022'!$E:$E,Category!$B$103,'2022'!$N:$N,Category!AT$1,'2022'!$D:$D,Category!$C113)</f>
        <v>0</v>
      </c>
      <c r="AU113" s="245">
        <f>SUMIFS('2022'!$I:$I,'2022'!$E:$E,Category!$B$103,'2022'!$N:$N,Category!AU$1,'2022'!$D:$D,Category!$C113)</f>
        <v>0</v>
      </c>
      <c r="AV113" s="245">
        <f>SUMIFS('2022'!$I:$I,'2022'!$E:$E,Category!$B$103,'2022'!$N:$N,Category!AV$1,'2022'!$D:$D,Category!$C113)</f>
        <v>0</v>
      </c>
      <c r="AW113" s="245">
        <f>SUMIFS('2022'!$I:$I,'2022'!$E:$E,Category!$B$103,'2022'!$N:$N,Category!AW$1,'2022'!$D:$D,Category!$C113)</f>
        <v>0</v>
      </c>
      <c r="AX113" s="245">
        <f>SUMIFS('2022'!$I:$I,'2022'!$E:$E,Category!$B$103,'2022'!$N:$N,Category!AX$1,'2022'!$D:$D,Category!$C113)</f>
        <v>0</v>
      </c>
      <c r="AY113" s="245">
        <f>SUMIFS('2022'!$I:$I,'2022'!$E:$E,Category!$B$103,'2022'!$N:$N,Category!AY$1,'2022'!$D:$D,Category!$C113)</f>
        <v>0</v>
      </c>
      <c r="AZ113" s="246">
        <f t="shared" si="43"/>
        <v>0</v>
      </c>
      <c r="BA113" s="503">
        <f>IFERROR(VLOOKUP(C113,'2023'!$D:$G,4,0),0)</f>
        <v>0</v>
      </c>
      <c r="BB113" s="245">
        <f>SUMIFS('2023'!$I:$I,'2023'!$E:$E,Category!$B$103,'2023'!$N:$N,Category!BB$1,'2023'!$D:$D,Category!$C113)</f>
        <v>0</v>
      </c>
      <c r="BC113" s="245">
        <f>SUMIFS('2023'!$I:$I,'2023'!$E:$E,Category!$B$103,'2023'!$N:$N,Category!BC$1,'2023'!$D:$D,Category!$C113)</f>
        <v>0</v>
      </c>
      <c r="BD113" s="245">
        <f>SUMIFS('2023'!$I:$I,'2023'!$E:$E,Category!$B$103,'2023'!$N:$N,Category!BD$1,'2023'!$D:$D,Category!$C113)</f>
        <v>0</v>
      </c>
      <c r="BE113" s="245">
        <f>SUMIFS('2023'!$I:$I,'2023'!$E:$E,Category!$B$103,'2023'!$N:$N,Category!BE$1,'2023'!$D:$D,Category!$C113)</f>
        <v>0</v>
      </c>
      <c r="BF113" s="245">
        <f>SUMIFS('2023'!$I:$I,'2023'!$E:$E,Category!$B$103,'2023'!$N:$N,Category!BF$1,'2023'!$D:$D,Category!$C113)</f>
        <v>0</v>
      </c>
      <c r="BG113" s="245">
        <f>SUMIFS('2023'!$I:$I,'2023'!$E:$E,Category!$B$103,'2023'!$N:$N,Category!BG$1,'2023'!$D:$D,Category!$C113)</f>
        <v>0</v>
      </c>
      <c r="BH113" s="245">
        <f>SUMIFS('2023'!$I:$I,'2023'!$E:$E,Category!$B$103,'2023'!$N:$N,Category!BH$1,'2023'!$D:$D,Category!$C113)</f>
        <v>0</v>
      </c>
      <c r="BI113" s="245">
        <f>SUMIFS('2023'!$I:$I,'2023'!$E:$E,Category!$B$103,'2023'!$N:$N,Category!BI$1,'2023'!$D:$D,Category!$C113)</f>
        <v>0</v>
      </c>
      <c r="BJ113" s="245">
        <f>SUMIFS('2023'!$I:$I,'2023'!$E:$E,Category!$B$103,'2023'!$N:$N,Category!BJ$1,'2023'!$D:$D,Category!$C113)</f>
        <v>0</v>
      </c>
      <c r="BK113" s="245">
        <f>SUMIFS('2023'!$I:$I,'2023'!$E:$E,Category!$B$103,'2023'!$N:$N,Category!BK$1,'2023'!$D:$D,Category!$C113)</f>
        <v>0</v>
      </c>
      <c r="BL113" s="245">
        <f>SUMIFS('2023'!$I:$I,'2023'!$E:$E,Category!$B$103,'2023'!$N:$N,Category!BL$1,'2023'!$D:$D,Category!$C113)</f>
        <v>0</v>
      </c>
      <c r="BM113" s="245">
        <f>SUMIFS('2023'!$I:$I,'2023'!$E:$E,Category!$B$103,'2023'!$N:$N,Category!BM$1,'2023'!$D:$D,Category!$C113)</f>
        <v>0</v>
      </c>
      <c r="BN113" s="246">
        <f t="shared" si="44"/>
        <v>0</v>
      </c>
    </row>
    <row r="114" spans="1:66" ht="39.75" x14ac:dyDescent="0.3">
      <c r="A114" s="244"/>
      <c r="B114" s="243"/>
      <c r="C114" s="243" t="s">
        <v>1476</v>
      </c>
      <c r="D114" s="520">
        <f>IFERROR(VLOOKUP($C114,'2019'!$D:$G,4,0),0)</f>
        <v>0</v>
      </c>
      <c r="E114" s="245">
        <f>SUMIFS('2019'!$I:$I,'2019'!$E:$E,Category!$B$103,'2019'!$N:$N,Category!E$1,'2019'!$D:$D,Category!$C114)</f>
        <v>0</v>
      </c>
      <c r="F114" s="245">
        <f>SUMIFS('2019'!$I:$I,'2019'!$E:$E,Category!$B$103,'2019'!$N:$N,Category!F$1,'2019'!$D:$D,Category!$C114)</f>
        <v>0</v>
      </c>
      <c r="G114" s="245">
        <f>SUMIFS('2019'!$I:$I,'2019'!$E:$E,Category!$B$103,'2019'!$N:$N,Category!G$1,'2019'!$D:$D,Category!$C114)</f>
        <v>0</v>
      </c>
      <c r="H114" s="245">
        <f>SUMIFS('2019'!$I:$I,'2019'!$E:$E,Category!$B$103,'2019'!$N:$N,Category!H$1,'2019'!$D:$D,Category!$C114)</f>
        <v>0</v>
      </c>
      <c r="I114" s="245">
        <f>SUMIFS('2019'!$I:$I,'2019'!$E:$E,Category!$B$103,'2019'!$N:$N,Category!I$1,'2019'!$D:$D,Category!$C114)</f>
        <v>0</v>
      </c>
      <c r="J114" s="246">
        <f t="shared" si="45"/>
        <v>0</v>
      </c>
      <c r="K114" s="503">
        <f>IFERROR(VLOOKUP($C114,'2020'!$D:$G,4,0),0)</f>
        <v>0</v>
      </c>
      <c r="L114" s="245">
        <f>SUMIFS('2020'!$I:$I,'2020'!$E:$E,Category!$B$103,'2020'!$N:$N,Category!L$1,'2020'!$D:$D,Category!$C114)</f>
        <v>0</v>
      </c>
      <c r="M114" s="245">
        <f>SUMIFS('2020'!$I:$I,'2020'!$E:$E,Category!$B$103,'2020'!$N:$N,Category!M$1,'2020'!$D:$D,Category!$C114)</f>
        <v>0</v>
      </c>
      <c r="N114" s="245">
        <f>SUMIFS('2020'!$I:$I,'2020'!$E:$E,Category!$B$103,'2020'!$N:$N,Category!N$1,'2020'!$D:$D,Category!$C114)</f>
        <v>770737</v>
      </c>
      <c r="O114" s="245">
        <f>SUMIFS('2020'!$I:$I,'2020'!$E:$E,Category!$B$103,'2020'!$N:$N,Category!O$1,'2020'!$D:$D,Category!$C114)</f>
        <v>0</v>
      </c>
      <c r="P114" s="245">
        <f>SUMIFS('2020'!$I:$I,'2020'!$E:$E,Category!$B$103,'2020'!$N:$N,Category!P$1,'2020'!$D:$D,Category!$C114)</f>
        <v>0</v>
      </c>
      <c r="Q114" s="245">
        <f>SUMIFS('2020'!$I:$I,'2020'!$E:$E,Category!$B$103,'2020'!$N:$N,Category!Q$1,'2020'!$D:$D,Category!$C114)</f>
        <v>0</v>
      </c>
      <c r="R114" s="245">
        <f>SUMIFS('2020'!$I:$I,'2020'!$E:$E,Category!$B$103,'2020'!$N:$N,Category!R$1,'2020'!$D:$D,Category!$C114)</f>
        <v>0</v>
      </c>
      <c r="S114" s="245">
        <f>SUMIFS('2020'!$I:$I,'2020'!$E:$E,Category!$B$103,'2020'!$N:$N,Category!S$1,'2020'!$D:$D,Category!$C114)</f>
        <v>0</v>
      </c>
      <c r="T114" s="245">
        <f>SUMIFS('2020'!$I:$I,'2020'!$E:$E,Category!$B$103,'2020'!$N:$N,Category!T$1,'2020'!$D:$D,Category!$C114)</f>
        <v>0</v>
      </c>
      <c r="U114" s="245">
        <f>SUMIFS('2020'!$I:$I,'2020'!$E:$E,Category!$B$103,'2020'!$N:$N,Category!U$1,'2020'!$D:$D,Category!$C114)</f>
        <v>0</v>
      </c>
      <c r="V114" s="245">
        <f>SUMIFS('2020'!$I:$I,'2020'!$E:$E,Category!$B$103,'2020'!$N:$N,Category!V$1,'2020'!$D:$D,Category!$C114)</f>
        <v>0</v>
      </c>
      <c r="W114" s="245">
        <f>SUMIFS('2020'!$I:$I,'2020'!$E:$E,Category!$B$103,'2020'!$N:$N,Category!W$1,'2020'!$D:$D,Category!$C114)</f>
        <v>0</v>
      </c>
      <c r="X114" s="246">
        <f t="shared" ref="X114:X119" si="46">SUM(L114:W114)</f>
        <v>770737</v>
      </c>
      <c r="Y114" s="503">
        <f>IFERROR(VLOOKUP(C114,'2021'!$D:$G,4,0),0)</f>
        <v>0</v>
      </c>
      <c r="Z114" s="245">
        <f>SUMIFS('2021'!$I:$I,'2021'!$E:$E,Category!$B$103,'2021'!$N:$N,Category!Z$1,'2021'!$D:$D,Category!$C114)</f>
        <v>0</v>
      </c>
      <c r="AA114" s="245">
        <f>SUMIFS('2021'!$I:$I,'2021'!$E:$E,Category!$B$103,'2021'!$N:$N,Category!AA$1,'2021'!$D:$D,Category!$C114)</f>
        <v>0</v>
      </c>
      <c r="AB114" s="245">
        <f>SUMIFS('2021'!$I:$I,'2021'!$E:$E,Category!$B$103,'2021'!$N:$N,Category!AB$1,'2021'!$D:$D,Category!$C114)</f>
        <v>0</v>
      </c>
      <c r="AC114" s="245">
        <f>SUMIFS('2021'!$I:$I,'2021'!$E:$E,Category!$B$103,'2021'!$N:$N,Category!AC$1,'2021'!$D:$D,Category!$C114)</f>
        <v>0</v>
      </c>
      <c r="AD114" s="245">
        <f>SUMIFS('2021'!$I:$I,'2021'!$E:$E,Category!$B$103,'2021'!$N:$N,Category!AD$1,'2021'!$D:$D,Category!$C114)</f>
        <v>0</v>
      </c>
      <c r="AE114" s="245">
        <f>SUMIFS('2021'!$I:$I,'2021'!$E:$E,Category!$B$103,'2021'!$N:$N,Category!AE$1,'2021'!$D:$D,Category!$C114)</f>
        <v>0</v>
      </c>
      <c r="AF114" s="245">
        <f>SUMIFS('2021'!$I:$I,'2021'!$E:$E,Category!$B$103,'2021'!$N:$N,Category!AF$1,'2021'!$D:$D,Category!$C114)</f>
        <v>0</v>
      </c>
      <c r="AG114" s="245">
        <f>SUMIFS('2021'!$I:$I,'2021'!$E:$E,Category!$B$103,'2021'!$N:$N,Category!AG$1,'2021'!$D:$D,Category!$C114)</f>
        <v>0</v>
      </c>
      <c r="AH114" s="245">
        <f>SUMIFS('2021'!$I:$I,'2021'!$E:$E,Category!$B$103,'2021'!$N:$N,Category!AH$1,'2021'!$D:$D,Category!$C114)</f>
        <v>0</v>
      </c>
      <c r="AI114" s="245">
        <f>SUMIFS('2021'!$I:$I,'2021'!$E:$E,Category!$B$103,'2021'!$N:$N,Category!AI$1,'2021'!$D:$D,Category!$C114)</f>
        <v>0</v>
      </c>
      <c r="AJ114" s="245">
        <f>SUMIFS('2021'!$I:$I,'2021'!$E:$E,Category!$B$103,'2021'!$N:$N,Category!AJ$1,'2021'!$D:$D,Category!$C114)</f>
        <v>0</v>
      </c>
      <c r="AK114" s="245">
        <f>SUMIFS('2021'!$I:$I,'2021'!$E:$E,Category!$B$103,'2021'!$N:$N,Category!AK$1,'2021'!$D:$D,Category!$C114)</f>
        <v>0</v>
      </c>
      <c r="AL114" s="246">
        <f t="shared" ref="AL114:AL119" si="47">SUM(Z114:AK114)</f>
        <v>0</v>
      </c>
      <c r="AM114" s="503">
        <f>IFERROR(VLOOKUP(C114,'2022'!$D:$G,4,0),0)</f>
        <v>0</v>
      </c>
      <c r="AN114" s="245">
        <f>SUMIFS('2022'!$I:$I,'2022'!$E:$E,Category!$B$103,'2022'!$N:$N,Category!AN$1,'2022'!$D:$D,Category!$C114)</f>
        <v>0</v>
      </c>
      <c r="AO114" s="245">
        <f>SUMIFS('2022'!$I:$I,'2022'!$E:$E,Category!$B$103,'2022'!$N:$N,Category!AO$1,'2022'!$D:$D,Category!$C114)</f>
        <v>0</v>
      </c>
      <c r="AP114" s="245">
        <f>SUMIFS('2022'!$I:$I,'2022'!$E:$E,Category!$B$103,'2022'!$N:$N,Category!AP$1,'2022'!$D:$D,Category!$C114)</f>
        <v>0</v>
      </c>
      <c r="AQ114" s="245">
        <f>SUMIFS('2022'!$I:$I,'2022'!$E:$E,Category!$B$103,'2022'!$N:$N,Category!AQ$1,'2022'!$D:$D,Category!$C114)</f>
        <v>0</v>
      </c>
      <c r="AR114" s="245">
        <f>SUMIFS('2022'!$I:$I,'2022'!$E:$E,Category!$B$103,'2022'!$N:$N,Category!AR$1,'2022'!$D:$D,Category!$C114)</f>
        <v>0</v>
      </c>
      <c r="AS114" s="245">
        <f>SUMIFS('2022'!$I:$I,'2022'!$E:$E,Category!$B$103,'2022'!$N:$N,Category!AS$1,'2022'!$D:$D,Category!$C114)</f>
        <v>0</v>
      </c>
      <c r="AT114" s="245">
        <f>SUMIFS('2022'!$I:$I,'2022'!$E:$E,Category!$B$103,'2022'!$N:$N,Category!AT$1,'2022'!$D:$D,Category!$C114)</f>
        <v>0</v>
      </c>
      <c r="AU114" s="245">
        <f>SUMIFS('2022'!$I:$I,'2022'!$E:$E,Category!$B$103,'2022'!$N:$N,Category!AU$1,'2022'!$D:$D,Category!$C114)</f>
        <v>0</v>
      </c>
      <c r="AV114" s="245">
        <f>SUMIFS('2022'!$I:$I,'2022'!$E:$E,Category!$B$103,'2022'!$N:$N,Category!AV$1,'2022'!$D:$D,Category!$C114)</f>
        <v>0</v>
      </c>
      <c r="AW114" s="245">
        <f>SUMIFS('2022'!$I:$I,'2022'!$E:$E,Category!$B$103,'2022'!$N:$N,Category!AW$1,'2022'!$D:$D,Category!$C114)</f>
        <v>0</v>
      </c>
      <c r="AX114" s="245">
        <f>SUMIFS('2022'!$I:$I,'2022'!$E:$E,Category!$B$103,'2022'!$N:$N,Category!AX$1,'2022'!$D:$D,Category!$C114)</f>
        <v>0</v>
      </c>
      <c r="AY114" s="245">
        <f>SUMIFS('2022'!$I:$I,'2022'!$E:$E,Category!$B$103,'2022'!$N:$N,Category!AY$1,'2022'!$D:$D,Category!$C114)</f>
        <v>0</v>
      </c>
      <c r="AZ114" s="246">
        <f t="shared" ref="AZ114:AZ119" si="48">SUM(AN114:AY114)</f>
        <v>0</v>
      </c>
      <c r="BA114" s="503">
        <f>IFERROR(VLOOKUP(C114,'2023'!$D:$G,4,0),0)</f>
        <v>0</v>
      </c>
      <c r="BB114" s="245">
        <f>SUMIFS('2023'!$I:$I,'2023'!$E:$E,Category!$B$103,'2023'!$N:$N,Category!BB$1,'2023'!$D:$D,Category!$C114)</f>
        <v>0</v>
      </c>
      <c r="BC114" s="245">
        <f>SUMIFS('2023'!$I:$I,'2023'!$E:$E,Category!$B$103,'2023'!$N:$N,Category!BC$1,'2023'!$D:$D,Category!$C114)</f>
        <v>0</v>
      </c>
      <c r="BD114" s="245">
        <f>SUMIFS('2023'!$I:$I,'2023'!$E:$E,Category!$B$103,'2023'!$N:$N,Category!BD$1,'2023'!$D:$D,Category!$C114)</f>
        <v>0</v>
      </c>
      <c r="BE114" s="245">
        <f>SUMIFS('2023'!$I:$I,'2023'!$E:$E,Category!$B$103,'2023'!$N:$N,Category!BE$1,'2023'!$D:$D,Category!$C114)</f>
        <v>0</v>
      </c>
      <c r="BF114" s="245">
        <f>SUMIFS('2023'!$I:$I,'2023'!$E:$E,Category!$B$103,'2023'!$N:$N,Category!BF$1,'2023'!$D:$D,Category!$C114)</f>
        <v>0</v>
      </c>
      <c r="BG114" s="245">
        <f>SUMIFS('2023'!$I:$I,'2023'!$E:$E,Category!$B$103,'2023'!$N:$N,Category!BG$1,'2023'!$D:$D,Category!$C114)</f>
        <v>0</v>
      </c>
      <c r="BH114" s="245">
        <f>SUMIFS('2023'!$I:$I,'2023'!$E:$E,Category!$B$103,'2023'!$N:$N,Category!BH$1,'2023'!$D:$D,Category!$C114)</f>
        <v>0</v>
      </c>
      <c r="BI114" s="245">
        <f>SUMIFS('2023'!$I:$I,'2023'!$E:$E,Category!$B$103,'2023'!$N:$N,Category!BI$1,'2023'!$D:$D,Category!$C114)</f>
        <v>0</v>
      </c>
      <c r="BJ114" s="245">
        <f>SUMIFS('2023'!$I:$I,'2023'!$E:$E,Category!$B$103,'2023'!$N:$N,Category!BJ$1,'2023'!$D:$D,Category!$C114)</f>
        <v>0</v>
      </c>
      <c r="BK114" s="245">
        <f>SUMIFS('2023'!$I:$I,'2023'!$E:$E,Category!$B$103,'2023'!$N:$N,Category!BK$1,'2023'!$D:$D,Category!$C114)</f>
        <v>0</v>
      </c>
      <c r="BL114" s="245">
        <f>SUMIFS('2023'!$I:$I,'2023'!$E:$E,Category!$B$103,'2023'!$N:$N,Category!BL$1,'2023'!$D:$D,Category!$C114)</f>
        <v>0</v>
      </c>
      <c r="BM114" s="245">
        <f>SUMIFS('2023'!$I:$I,'2023'!$E:$E,Category!$B$103,'2023'!$N:$N,Category!BM$1,'2023'!$D:$D,Category!$C114)</f>
        <v>0</v>
      </c>
      <c r="BN114" s="246">
        <f t="shared" si="44"/>
        <v>0</v>
      </c>
    </row>
    <row r="115" spans="1:66" ht="39.75" x14ac:dyDescent="0.3">
      <c r="A115" s="244"/>
      <c r="B115" s="243"/>
      <c r="C115" s="243" t="s">
        <v>1459</v>
      </c>
      <c r="D115" s="520">
        <f>IFERROR(VLOOKUP($C115,'2019'!$D:$G,4,0),0)</f>
        <v>0</v>
      </c>
      <c r="E115" s="245">
        <f>SUMIFS('2019'!$I:$I,'2019'!$E:$E,Category!$B$103,'2019'!$N:$N,Category!E$1,'2019'!$D:$D,Category!$C115)</f>
        <v>0</v>
      </c>
      <c r="F115" s="245">
        <f>SUMIFS('2019'!$I:$I,'2019'!$E:$E,Category!$B$103,'2019'!$N:$N,Category!F$1,'2019'!$D:$D,Category!$C115)</f>
        <v>0</v>
      </c>
      <c r="G115" s="245">
        <f>SUMIFS('2019'!$I:$I,'2019'!$E:$E,Category!$B$103,'2019'!$N:$N,Category!G$1,'2019'!$D:$D,Category!$C115)</f>
        <v>0</v>
      </c>
      <c r="H115" s="245">
        <f>SUMIFS('2019'!$I:$I,'2019'!$E:$E,Category!$B$103,'2019'!$N:$N,Category!H$1,'2019'!$D:$D,Category!$C115)</f>
        <v>0</v>
      </c>
      <c r="I115" s="245">
        <f>SUMIFS('2019'!$I:$I,'2019'!$E:$E,Category!$B$103,'2019'!$N:$N,Category!I$1,'2019'!$D:$D,Category!$C115)</f>
        <v>0</v>
      </c>
      <c r="J115" s="246">
        <f t="shared" si="45"/>
        <v>0</v>
      </c>
      <c r="K115" s="503">
        <f>IFERROR(VLOOKUP($C115,'2020'!$D:$G,4,0),0)</f>
        <v>0</v>
      </c>
      <c r="L115" s="245">
        <f>SUMIFS('2020'!$I:$I,'2020'!$E:$E,Category!$B$103,'2020'!$N:$N,Category!L$1,'2020'!$D:$D,Category!$C115)</f>
        <v>0</v>
      </c>
      <c r="M115" s="245">
        <f>SUMIFS('2020'!$I:$I,'2020'!$E:$E,Category!$B$103,'2020'!$N:$N,Category!M$1,'2020'!$D:$D,Category!$C115)</f>
        <v>0</v>
      </c>
      <c r="N115" s="245">
        <f>SUMIFS('2020'!$I:$I,'2020'!$E:$E,Category!$B$103,'2020'!$N:$N,Category!N$1,'2020'!$D:$D,Category!$C115)</f>
        <v>0</v>
      </c>
      <c r="O115" s="245">
        <f>SUMIFS('2020'!$I:$I,'2020'!$E:$E,Category!$B$103,'2020'!$N:$N,Category!O$1,'2020'!$D:$D,Category!$C115)</f>
        <v>0</v>
      </c>
      <c r="P115" s="245">
        <f>SUMIFS('2020'!$I:$I,'2020'!$E:$E,Category!$B$103,'2020'!$N:$N,Category!P$1,'2020'!$D:$D,Category!$C115)</f>
        <v>0</v>
      </c>
      <c r="Q115" s="245">
        <f>SUMIFS('2020'!$I:$I,'2020'!$E:$E,Category!$B$103,'2020'!$N:$N,Category!Q$1,'2020'!$D:$D,Category!$C115)</f>
        <v>0</v>
      </c>
      <c r="R115" s="245">
        <f>SUMIFS('2020'!$I:$I,'2020'!$E:$E,Category!$B$103,'2020'!$N:$N,Category!R$1,'2020'!$D:$D,Category!$C115)</f>
        <v>670000</v>
      </c>
      <c r="S115" s="245">
        <f>SUMIFS('2020'!$I:$I,'2020'!$E:$E,Category!$B$103,'2020'!$N:$N,Category!S$1,'2020'!$D:$D,Category!$C115)</f>
        <v>0</v>
      </c>
      <c r="T115" s="245">
        <f>SUMIFS('2020'!$I:$I,'2020'!$E:$E,Category!$B$103,'2020'!$N:$N,Category!T$1,'2020'!$D:$D,Category!$C115)</f>
        <v>0</v>
      </c>
      <c r="U115" s="245">
        <f>SUMIFS('2020'!$I:$I,'2020'!$E:$E,Category!$B$103,'2020'!$N:$N,Category!U$1,'2020'!$D:$D,Category!$C115)</f>
        <v>0</v>
      </c>
      <c r="V115" s="245">
        <f>SUMIFS('2020'!$I:$I,'2020'!$E:$E,Category!$B$103,'2020'!$N:$N,Category!V$1,'2020'!$D:$D,Category!$C115)</f>
        <v>0</v>
      </c>
      <c r="W115" s="245">
        <f>SUMIFS('2020'!$I:$I,'2020'!$E:$E,Category!$B$103,'2020'!$N:$N,Category!W$1,'2020'!$D:$D,Category!$C115)</f>
        <v>0</v>
      </c>
      <c r="X115" s="246">
        <f t="shared" si="46"/>
        <v>670000</v>
      </c>
      <c r="Y115" s="503">
        <f>IFERROR(VLOOKUP(C115,'2021'!$D:$G,4,0),0)</f>
        <v>0</v>
      </c>
      <c r="Z115" s="245">
        <f>SUMIFS('2021'!$I:$I,'2021'!$E:$E,Category!$B$103,'2021'!$N:$N,Category!Z$1,'2021'!$D:$D,Category!$C115)</f>
        <v>0</v>
      </c>
      <c r="AA115" s="245">
        <f>SUMIFS('2021'!$I:$I,'2021'!$E:$E,Category!$B$103,'2021'!$N:$N,Category!AA$1,'2021'!$D:$D,Category!$C115)</f>
        <v>0</v>
      </c>
      <c r="AB115" s="245">
        <f>SUMIFS('2021'!$I:$I,'2021'!$E:$E,Category!$B$103,'2021'!$N:$N,Category!AB$1,'2021'!$D:$D,Category!$C115)</f>
        <v>0</v>
      </c>
      <c r="AC115" s="245">
        <f>SUMIFS('2021'!$I:$I,'2021'!$E:$E,Category!$B$103,'2021'!$N:$N,Category!AC$1,'2021'!$D:$D,Category!$C115)</f>
        <v>0</v>
      </c>
      <c r="AD115" s="245">
        <f>SUMIFS('2021'!$I:$I,'2021'!$E:$E,Category!$B$103,'2021'!$N:$N,Category!AD$1,'2021'!$D:$D,Category!$C115)</f>
        <v>0</v>
      </c>
      <c r="AE115" s="245">
        <f>SUMIFS('2021'!$I:$I,'2021'!$E:$E,Category!$B$103,'2021'!$N:$N,Category!AE$1,'2021'!$D:$D,Category!$C115)</f>
        <v>0</v>
      </c>
      <c r="AF115" s="245">
        <f>SUMIFS('2021'!$I:$I,'2021'!$E:$E,Category!$B$103,'2021'!$N:$N,Category!AF$1,'2021'!$D:$D,Category!$C115)</f>
        <v>0</v>
      </c>
      <c r="AG115" s="245">
        <f>SUMIFS('2021'!$I:$I,'2021'!$E:$E,Category!$B$103,'2021'!$N:$N,Category!AG$1,'2021'!$D:$D,Category!$C115)</f>
        <v>0</v>
      </c>
      <c r="AH115" s="245">
        <f>SUMIFS('2021'!$I:$I,'2021'!$E:$E,Category!$B$103,'2021'!$N:$N,Category!AH$1,'2021'!$D:$D,Category!$C115)</f>
        <v>0</v>
      </c>
      <c r="AI115" s="245">
        <f>SUMIFS('2021'!$I:$I,'2021'!$E:$E,Category!$B$103,'2021'!$N:$N,Category!AI$1,'2021'!$D:$D,Category!$C115)</f>
        <v>0</v>
      </c>
      <c r="AJ115" s="245">
        <f>SUMIFS('2021'!$I:$I,'2021'!$E:$E,Category!$B$103,'2021'!$N:$N,Category!AJ$1,'2021'!$D:$D,Category!$C115)</f>
        <v>0</v>
      </c>
      <c r="AK115" s="245">
        <f>SUMIFS('2021'!$I:$I,'2021'!$E:$E,Category!$B$103,'2021'!$N:$N,Category!AK$1,'2021'!$D:$D,Category!$C115)</f>
        <v>0</v>
      </c>
      <c r="AL115" s="246">
        <f t="shared" si="47"/>
        <v>0</v>
      </c>
      <c r="AM115" s="503">
        <f>IFERROR(VLOOKUP(C115,'2022'!$D:$G,4,0),0)</f>
        <v>0</v>
      </c>
      <c r="AN115" s="245">
        <f>SUMIFS('2022'!$I:$I,'2022'!$E:$E,Category!$B$103,'2022'!$N:$N,Category!AN$1,'2022'!$D:$D,Category!$C115)</f>
        <v>0</v>
      </c>
      <c r="AO115" s="245">
        <f>SUMIFS('2022'!$I:$I,'2022'!$E:$E,Category!$B$103,'2022'!$N:$N,Category!AO$1,'2022'!$D:$D,Category!$C115)</f>
        <v>0</v>
      </c>
      <c r="AP115" s="245">
        <f>SUMIFS('2022'!$I:$I,'2022'!$E:$E,Category!$B$103,'2022'!$N:$N,Category!AP$1,'2022'!$D:$D,Category!$C115)</f>
        <v>0</v>
      </c>
      <c r="AQ115" s="245">
        <f>SUMIFS('2022'!$I:$I,'2022'!$E:$E,Category!$B$103,'2022'!$N:$N,Category!AQ$1,'2022'!$D:$D,Category!$C115)</f>
        <v>0</v>
      </c>
      <c r="AR115" s="245">
        <f>SUMIFS('2022'!$I:$I,'2022'!$E:$E,Category!$B$103,'2022'!$N:$N,Category!AR$1,'2022'!$D:$D,Category!$C115)</f>
        <v>0</v>
      </c>
      <c r="AS115" s="245">
        <f>SUMIFS('2022'!$I:$I,'2022'!$E:$E,Category!$B$103,'2022'!$N:$N,Category!AS$1,'2022'!$D:$D,Category!$C115)</f>
        <v>0</v>
      </c>
      <c r="AT115" s="245">
        <f>SUMIFS('2022'!$I:$I,'2022'!$E:$E,Category!$B$103,'2022'!$N:$N,Category!AT$1,'2022'!$D:$D,Category!$C115)</f>
        <v>0</v>
      </c>
      <c r="AU115" s="245">
        <f>SUMIFS('2022'!$I:$I,'2022'!$E:$E,Category!$B$103,'2022'!$N:$N,Category!AU$1,'2022'!$D:$D,Category!$C115)</f>
        <v>0</v>
      </c>
      <c r="AV115" s="245">
        <f>SUMIFS('2022'!$I:$I,'2022'!$E:$E,Category!$B$103,'2022'!$N:$N,Category!AV$1,'2022'!$D:$D,Category!$C115)</f>
        <v>0</v>
      </c>
      <c r="AW115" s="245">
        <f>SUMIFS('2022'!$I:$I,'2022'!$E:$E,Category!$B$103,'2022'!$N:$N,Category!AW$1,'2022'!$D:$D,Category!$C115)</f>
        <v>0</v>
      </c>
      <c r="AX115" s="245">
        <f>SUMIFS('2022'!$I:$I,'2022'!$E:$E,Category!$B$103,'2022'!$N:$N,Category!AX$1,'2022'!$D:$D,Category!$C115)</f>
        <v>0</v>
      </c>
      <c r="AY115" s="245">
        <f>SUMIFS('2022'!$I:$I,'2022'!$E:$E,Category!$B$103,'2022'!$N:$N,Category!AY$1,'2022'!$D:$D,Category!$C115)</f>
        <v>0</v>
      </c>
      <c r="AZ115" s="246">
        <f t="shared" si="48"/>
        <v>0</v>
      </c>
      <c r="BA115" s="503">
        <f>IFERROR(VLOOKUP(C115,'2023'!$D:$G,4,0),0)</f>
        <v>0</v>
      </c>
      <c r="BB115" s="245">
        <f>SUMIFS('2023'!$I:$I,'2023'!$E:$E,Category!$B$103,'2023'!$N:$N,Category!BB$1,'2023'!$D:$D,Category!$C115)</f>
        <v>0</v>
      </c>
      <c r="BC115" s="245">
        <f>SUMIFS('2023'!$I:$I,'2023'!$E:$E,Category!$B$103,'2023'!$N:$N,Category!BC$1,'2023'!$D:$D,Category!$C115)</f>
        <v>0</v>
      </c>
      <c r="BD115" s="245">
        <f>SUMIFS('2023'!$I:$I,'2023'!$E:$E,Category!$B$103,'2023'!$N:$N,Category!BD$1,'2023'!$D:$D,Category!$C115)</f>
        <v>0</v>
      </c>
      <c r="BE115" s="245">
        <f>SUMIFS('2023'!$I:$I,'2023'!$E:$E,Category!$B$103,'2023'!$N:$N,Category!BE$1,'2023'!$D:$D,Category!$C115)</f>
        <v>0</v>
      </c>
      <c r="BF115" s="245">
        <f>SUMIFS('2023'!$I:$I,'2023'!$E:$E,Category!$B$103,'2023'!$N:$N,Category!BF$1,'2023'!$D:$D,Category!$C115)</f>
        <v>0</v>
      </c>
      <c r="BG115" s="245">
        <f>SUMIFS('2023'!$I:$I,'2023'!$E:$E,Category!$B$103,'2023'!$N:$N,Category!BG$1,'2023'!$D:$D,Category!$C115)</f>
        <v>0</v>
      </c>
      <c r="BH115" s="245">
        <f>SUMIFS('2023'!$I:$I,'2023'!$E:$E,Category!$B$103,'2023'!$N:$N,Category!BH$1,'2023'!$D:$D,Category!$C115)</f>
        <v>0</v>
      </c>
      <c r="BI115" s="245">
        <f>SUMIFS('2023'!$I:$I,'2023'!$E:$E,Category!$B$103,'2023'!$N:$N,Category!BI$1,'2023'!$D:$D,Category!$C115)</f>
        <v>0</v>
      </c>
      <c r="BJ115" s="245">
        <f>SUMIFS('2023'!$I:$I,'2023'!$E:$E,Category!$B$103,'2023'!$N:$N,Category!BJ$1,'2023'!$D:$D,Category!$C115)</f>
        <v>0</v>
      </c>
      <c r="BK115" s="245">
        <f>SUMIFS('2023'!$I:$I,'2023'!$E:$E,Category!$B$103,'2023'!$N:$N,Category!BK$1,'2023'!$D:$D,Category!$C115)</f>
        <v>0</v>
      </c>
      <c r="BL115" s="245">
        <f>SUMIFS('2023'!$I:$I,'2023'!$E:$E,Category!$B$103,'2023'!$N:$N,Category!BL$1,'2023'!$D:$D,Category!$C115)</f>
        <v>0</v>
      </c>
      <c r="BM115" s="245">
        <f>SUMIFS('2023'!$I:$I,'2023'!$E:$E,Category!$B$103,'2023'!$N:$N,Category!BM$1,'2023'!$D:$D,Category!$C115)</f>
        <v>0</v>
      </c>
      <c r="BN115" s="246">
        <f t="shared" si="44"/>
        <v>0</v>
      </c>
    </row>
    <row r="116" spans="1:66" ht="39.75" x14ac:dyDescent="0.3">
      <c r="A116" s="244"/>
      <c r="B116" s="243"/>
      <c r="C116" s="243" t="s">
        <v>1807</v>
      </c>
      <c r="D116" s="520">
        <f>IFERROR(VLOOKUP($C116,'2019'!$D:$G,4,0),0)</f>
        <v>0</v>
      </c>
      <c r="E116" s="245">
        <f>SUMIFS('2019'!$I:$I,'2019'!$E:$E,Category!$B$103,'2019'!$N:$N,Category!E$1,'2019'!$D:$D,Category!$C116)</f>
        <v>0</v>
      </c>
      <c r="F116" s="245">
        <f>SUMIFS('2019'!$I:$I,'2019'!$E:$E,Category!$B$103,'2019'!$N:$N,Category!F$1,'2019'!$D:$D,Category!$C116)</f>
        <v>0</v>
      </c>
      <c r="G116" s="245">
        <f>SUMIFS('2019'!$I:$I,'2019'!$E:$E,Category!$B$103,'2019'!$N:$N,Category!G$1,'2019'!$D:$D,Category!$C116)</f>
        <v>0</v>
      </c>
      <c r="H116" s="245">
        <f>SUMIFS('2019'!$I:$I,'2019'!$E:$E,Category!$B$103,'2019'!$N:$N,Category!H$1,'2019'!$D:$D,Category!$C116)</f>
        <v>0</v>
      </c>
      <c r="I116" s="245">
        <f>SUMIFS('2019'!$I:$I,'2019'!$E:$E,Category!$B$103,'2019'!$N:$N,Category!I$1,'2019'!$D:$D,Category!$C116)</f>
        <v>0</v>
      </c>
      <c r="J116" s="246">
        <f t="shared" si="45"/>
        <v>0</v>
      </c>
      <c r="K116" s="503">
        <f>IFERROR(VLOOKUP($C116,'2020'!$D:$G,4,0),0)</f>
        <v>0</v>
      </c>
      <c r="L116" s="245">
        <f>SUMIFS('2020'!$I:$I,'2020'!$E:$E,Category!$B$103,'2020'!$N:$N,Category!L$1,'2020'!$D:$D,Category!$C116)</f>
        <v>0</v>
      </c>
      <c r="M116" s="245">
        <f>SUMIFS('2020'!$I:$I,'2020'!$E:$E,Category!$B$103,'2020'!$N:$N,Category!M$1,'2020'!$D:$D,Category!$C116)</f>
        <v>0</v>
      </c>
      <c r="N116" s="245">
        <f>SUMIFS('2020'!$I:$I,'2020'!$E:$E,Category!$B$103,'2020'!$N:$N,Category!N$1,'2020'!$D:$D,Category!$C116)</f>
        <v>0</v>
      </c>
      <c r="O116" s="245">
        <f>SUMIFS('2020'!$I:$I,'2020'!$E:$E,Category!$B$103,'2020'!$N:$N,Category!O$1,'2020'!$D:$D,Category!$C116)</f>
        <v>0</v>
      </c>
      <c r="P116" s="245">
        <f>SUMIFS('2020'!$I:$I,'2020'!$E:$E,Category!$B$103,'2020'!$N:$N,Category!P$1,'2020'!$D:$D,Category!$C116)</f>
        <v>0</v>
      </c>
      <c r="Q116" s="245">
        <f>SUMIFS('2020'!$I:$I,'2020'!$E:$E,Category!$B$103,'2020'!$N:$N,Category!Q$1,'2020'!$D:$D,Category!$C116)</f>
        <v>0</v>
      </c>
      <c r="R116" s="245">
        <f>SUMIFS('2020'!$I:$I,'2020'!$E:$E,Category!$B$103,'2020'!$N:$N,Category!R$1,'2020'!$D:$D,Category!$C116)</f>
        <v>0</v>
      </c>
      <c r="S116" s="245">
        <f>SUMIFS('2020'!$I:$I,'2020'!$E:$E,Category!$B$103,'2020'!$N:$N,Category!S$1,'2020'!$D:$D,Category!$C116)</f>
        <v>0</v>
      </c>
      <c r="T116" s="245">
        <f>SUMIFS('2020'!$I:$I,'2020'!$E:$E,Category!$B$103,'2020'!$N:$N,Category!T$1,'2020'!$D:$D,Category!$C116)</f>
        <v>0</v>
      </c>
      <c r="U116" s="245">
        <f>SUMIFS('2020'!$I:$I,'2020'!$E:$E,Category!$B$103,'2020'!$N:$N,Category!U$1,'2020'!$D:$D,Category!$C116)</f>
        <v>0</v>
      </c>
      <c r="V116" s="245">
        <f>SUMIFS('2020'!$I:$I,'2020'!$E:$E,Category!$B$103,'2020'!$N:$N,Category!V$1,'2020'!$D:$D,Category!$C116)</f>
        <v>0</v>
      </c>
      <c r="W116" s="245">
        <f>SUMIFS('2020'!$I:$I,'2020'!$E:$E,Category!$B$103,'2020'!$N:$N,Category!W$1,'2020'!$D:$D,Category!$C116)</f>
        <v>0</v>
      </c>
      <c r="X116" s="246">
        <f t="shared" si="46"/>
        <v>0</v>
      </c>
      <c r="Y116" s="503">
        <f>IFERROR(VLOOKUP(C116,'2021'!$D:$G,4,0),0)</f>
        <v>0</v>
      </c>
      <c r="Z116" s="245">
        <f>SUMIFS('2021'!$I:$I,'2021'!$E:$E,Category!$B$103,'2021'!$N:$N,Category!Z$1,'2021'!$D:$D,Category!$C116)</f>
        <v>0</v>
      </c>
      <c r="AA116" s="245">
        <f>SUMIFS('2021'!$I:$I,'2021'!$E:$E,Category!$B$103,'2021'!$N:$N,Category!AA$1,'2021'!$D:$D,Category!$C116)</f>
        <v>0</v>
      </c>
      <c r="AB116" s="245">
        <f>SUMIFS('2021'!$I:$I,'2021'!$E:$E,Category!$B$103,'2021'!$N:$N,Category!AB$1,'2021'!$D:$D,Category!$C116)</f>
        <v>0</v>
      </c>
      <c r="AC116" s="245">
        <f>SUMIFS('2021'!$I:$I,'2021'!$E:$E,Category!$B$103,'2021'!$N:$N,Category!AC$1,'2021'!$D:$D,Category!$C116)</f>
        <v>0</v>
      </c>
      <c r="AD116" s="245">
        <f>SUMIFS('2021'!$I:$I,'2021'!$E:$E,Category!$B$103,'2021'!$N:$N,Category!AD$1,'2021'!$D:$D,Category!$C116)</f>
        <v>0</v>
      </c>
      <c r="AE116" s="245">
        <f>SUMIFS('2021'!$I:$I,'2021'!$E:$E,Category!$B$103,'2021'!$N:$N,Category!AE$1,'2021'!$D:$D,Category!$C116)</f>
        <v>0</v>
      </c>
      <c r="AF116" s="245">
        <f>SUMIFS('2021'!$I:$I,'2021'!$E:$E,Category!$B$103,'2021'!$N:$N,Category!AF$1,'2021'!$D:$D,Category!$C116)</f>
        <v>0</v>
      </c>
      <c r="AG116" s="245">
        <f>SUMIFS('2021'!$I:$I,'2021'!$E:$E,Category!$B$103,'2021'!$N:$N,Category!AG$1,'2021'!$D:$D,Category!$C116)</f>
        <v>0</v>
      </c>
      <c r="AH116" s="245">
        <f>SUMIFS('2021'!$I:$I,'2021'!$E:$E,Category!$B$103,'2021'!$N:$N,Category!AH$1,'2021'!$D:$D,Category!$C116)</f>
        <v>0</v>
      </c>
      <c r="AI116" s="245">
        <f>SUMIFS('2021'!$I:$I,'2021'!$E:$E,Category!$B$103,'2021'!$N:$N,Category!AI$1,'2021'!$D:$D,Category!$C116)</f>
        <v>0</v>
      </c>
      <c r="AJ116" s="245">
        <f>SUMIFS('2021'!$I:$I,'2021'!$E:$E,Category!$B$103,'2021'!$N:$N,Category!AJ$1,'2021'!$D:$D,Category!$C116)</f>
        <v>0</v>
      </c>
      <c r="AK116" s="245">
        <f>SUMIFS('2021'!$I:$I,'2021'!$E:$E,Category!$B$103,'2021'!$N:$N,Category!AK$1,'2021'!$D:$D,Category!$C116)</f>
        <v>0</v>
      </c>
      <c r="AL116" s="246">
        <f t="shared" si="47"/>
        <v>0</v>
      </c>
      <c r="AM116" s="503">
        <f>IFERROR(VLOOKUP(C116,'2022'!$D:$G,4,0),0)</f>
        <v>0</v>
      </c>
      <c r="AN116" s="245">
        <f>SUMIFS('2022'!$I:$I,'2022'!$E:$E,Category!$B$103,'2022'!$N:$N,Category!AN$1,'2022'!$D:$D,Category!$C116)</f>
        <v>0</v>
      </c>
      <c r="AO116" s="245">
        <f>SUMIFS('2022'!$I:$I,'2022'!$E:$E,Category!$B$103,'2022'!$N:$N,Category!AO$1,'2022'!$D:$D,Category!$C116)</f>
        <v>0</v>
      </c>
      <c r="AP116" s="245">
        <f>SUMIFS('2022'!$I:$I,'2022'!$E:$E,Category!$B$103,'2022'!$N:$N,Category!AP$1,'2022'!$D:$D,Category!$C116)</f>
        <v>0</v>
      </c>
      <c r="AQ116" s="245">
        <f>SUMIFS('2022'!$I:$I,'2022'!$E:$E,Category!$B$103,'2022'!$N:$N,Category!AQ$1,'2022'!$D:$D,Category!$C116)</f>
        <v>0</v>
      </c>
      <c r="AR116" s="245">
        <f>SUMIFS('2022'!$I:$I,'2022'!$E:$E,Category!$B$103,'2022'!$N:$N,Category!AR$1,'2022'!$D:$D,Category!$C116)</f>
        <v>0</v>
      </c>
      <c r="AS116" s="245">
        <f>SUMIFS('2022'!$I:$I,'2022'!$E:$E,Category!$B$103,'2022'!$N:$N,Category!AS$1,'2022'!$D:$D,Category!$C116)</f>
        <v>0</v>
      </c>
      <c r="AT116" s="245">
        <f>SUMIFS('2022'!$I:$I,'2022'!$E:$E,Category!$B$103,'2022'!$N:$N,Category!AT$1,'2022'!$D:$D,Category!$C116)</f>
        <v>0</v>
      </c>
      <c r="AU116" s="245">
        <f>SUMIFS('2022'!$I:$I,'2022'!$E:$E,Category!$B$103,'2022'!$N:$N,Category!AU$1,'2022'!$D:$D,Category!$C116)</f>
        <v>0</v>
      </c>
      <c r="AV116" s="245">
        <f>SUMIFS('2022'!$I:$I,'2022'!$E:$E,Category!$B$103,'2022'!$N:$N,Category!AV$1,'2022'!$D:$D,Category!$C116)</f>
        <v>0</v>
      </c>
      <c r="AW116" s="245">
        <f>SUMIFS('2022'!$I:$I,'2022'!$E:$E,Category!$B$103,'2022'!$N:$N,Category!AW$1,'2022'!$D:$D,Category!$C116)</f>
        <v>0</v>
      </c>
      <c r="AX116" s="245">
        <f>SUMIFS('2022'!$I:$I,'2022'!$E:$E,Category!$B$103,'2022'!$N:$N,Category!AX$1,'2022'!$D:$D,Category!$C116)</f>
        <v>0</v>
      </c>
      <c r="AY116" s="245">
        <f>SUMIFS('2022'!$I:$I,'2022'!$E:$E,Category!$B$103,'2022'!$N:$N,Category!AY$1,'2022'!$D:$D,Category!$C116)</f>
        <v>888000</v>
      </c>
      <c r="AZ116" s="246">
        <f t="shared" si="48"/>
        <v>888000</v>
      </c>
      <c r="BA116" s="503">
        <f>IFERROR(VLOOKUP(C116,'2023'!$D:$G,4,0),0)</f>
        <v>0</v>
      </c>
      <c r="BB116" s="245">
        <f>SUMIFS('2023'!$I:$I,'2023'!$E:$E,Category!$B$103,'2023'!$N:$N,Category!BB$1,'2023'!$D:$D,Category!$C116)</f>
        <v>0</v>
      </c>
      <c r="BC116" s="245">
        <f>SUMIFS('2023'!$I:$I,'2023'!$E:$E,Category!$B$103,'2023'!$N:$N,Category!BC$1,'2023'!$D:$D,Category!$C116)</f>
        <v>0</v>
      </c>
      <c r="BD116" s="245">
        <f>SUMIFS('2023'!$I:$I,'2023'!$E:$E,Category!$B$103,'2023'!$N:$N,Category!BD$1,'2023'!$D:$D,Category!$C116)</f>
        <v>0</v>
      </c>
      <c r="BE116" s="245">
        <f>SUMIFS('2023'!$I:$I,'2023'!$E:$E,Category!$B$103,'2023'!$N:$N,Category!BE$1,'2023'!$D:$D,Category!$C116)</f>
        <v>0</v>
      </c>
      <c r="BF116" s="245">
        <f>SUMIFS('2023'!$I:$I,'2023'!$E:$E,Category!$B$103,'2023'!$N:$N,Category!BF$1,'2023'!$D:$D,Category!$C116)</f>
        <v>0</v>
      </c>
      <c r="BG116" s="245">
        <f>SUMIFS('2023'!$I:$I,'2023'!$E:$E,Category!$B$103,'2023'!$N:$N,Category!BG$1,'2023'!$D:$D,Category!$C116)</f>
        <v>0</v>
      </c>
      <c r="BH116" s="245">
        <f>SUMIFS('2023'!$I:$I,'2023'!$E:$E,Category!$B$103,'2023'!$N:$N,Category!BH$1,'2023'!$D:$D,Category!$C116)</f>
        <v>0</v>
      </c>
      <c r="BI116" s="245">
        <f>SUMIFS('2023'!$I:$I,'2023'!$E:$E,Category!$B$103,'2023'!$N:$N,Category!BI$1,'2023'!$D:$D,Category!$C116)</f>
        <v>0</v>
      </c>
      <c r="BJ116" s="245">
        <f>SUMIFS('2023'!$I:$I,'2023'!$E:$E,Category!$B$103,'2023'!$N:$N,Category!BJ$1,'2023'!$D:$D,Category!$C116)</f>
        <v>0</v>
      </c>
      <c r="BK116" s="245">
        <f>SUMIFS('2023'!$I:$I,'2023'!$E:$E,Category!$B$103,'2023'!$N:$N,Category!BK$1,'2023'!$D:$D,Category!$C116)</f>
        <v>0</v>
      </c>
      <c r="BL116" s="245">
        <f>SUMIFS('2023'!$I:$I,'2023'!$E:$E,Category!$B$103,'2023'!$N:$N,Category!BL$1,'2023'!$D:$D,Category!$C116)</f>
        <v>0</v>
      </c>
      <c r="BM116" s="245">
        <f>SUMIFS('2023'!$I:$I,'2023'!$E:$E,Category!$B$103,'2023'!$N:$N,Category!BM$1,'2023'!$D:$D,Category!$C116)</f>
        <v>0</v>
      </c>
      <c r="BN116" s="246">
        <f t="shared" si="44"/>
        <v>0</v>
      </c>
    </row>
    <row r="117" spans="1:66" ht="39.75" x14ac:dyDescent="0.3">
      <c r="A117" s="244"/>
      <c r="B117" s="243"/>
      <c r="C117" s="243" t="s">
        <v>1754</v>
      </c>
      <c r="D117" s="520">
        <f>IFERROR(VLOOKUP($C117,'2019'!$D:$G,4,0),0)</f>
        <v>0</v>
      </c>
      <c r="E117" s="245">
        <f>SUMIFS('2019'!$I:$I,'2019'!$E:$E,Category!$B$103,'2019'!$N:$N,Category!E$1,'2019'!$D:$D,Category!$C117)</f>
        <v>0</v>
      </c>
      <c r="F117" s="245">
        <f>SUMIFS('2019'!$I:$I,'2019'!$E:$E,Category!$B$103,'2019'!$N:$N,Category!F$1,'2019'!$D:$D,Category!$C117)</f>
        <v>0</v>
      </c>
      <c r="G117" s="245">
        <f>SUMIFS('2019'!$I:$I,'2019'!$E:$E,Category!$B$103,'2019'!$N:$N,Category!G$1,'2019'!$D:$D,Category!$C117)</f>
        <v>0</v>
      </c>
      <c r="H117" s="245">
        <f>SUMIFS('2019'!$I:$I,'2019'!$E:$E,Category!$B$103,'2019'!$N:$N,Category!H$1,'2019'!$D:$D,Category!$C117)</f>
        <v>0</v>
      </c>
      <c r="I117" s="245">
        <f>SUMIFS('2019'!$I:$I,'2019'!$E:$E,Category!$B$103,'2019'!$N:$N,Category!I$1,'2019'!$D:$D,Category!$C117)</f>
        <v>0</v>
      </c>
      <c r="J117" s="246">
        <f t="shared" si="45"/>
        <v>0</v>
      </c>
      <c r="K117" s="503">
        <f>IFERROR(VLOOKUP($C117,'2020'!$D:$G,4,0),0)</f>
        <v>0</v>
      </c>
      <c r="L117" s="245">
        <f>SUMIFS('2020'!$I:$I,'2020'!$E:$E,Category!$B$103,'2020'!$N:$N,Category!L$1,'2020'!$D:$D,Category!$C117)</f>
        <v>0</v>
      </c>
      <c r="M117" s="245">
        <f>SUMIFS('2020'!$I:$I,'2020'!$E:$E,Category!$B$103,'2020'!$N:$N,Category!M$1,'2020'!$D:$D,Category!$C117)</f>
        <v>0</v>
      </c>
      <c r="N117" s="245">
        <f>SUMIFS('2020'!$I:$I,'2020'!$E:$E,Category!$B$103,'2020'!$N:$N,Category!N$1,'2020'!$D:$D,Category!$C117)</f>
        <v>0</v>
      </c>
      <c r="O117" s="245">
        <f>SUMIFS('2020'!$I:$I,'2020'!$E:$E,Category!$B$103,'2020'!$N:$N,Category!O$1,'2020'!$D:$D,Category!$C117)</f>
        <v>0</v>
      </c>
      <c r="P117" s="245">
        <f>SUMIFS('2020'!$I:$I,'2020'!$E:$E,Category!$B$103,'2020'!$N:$N,Category!P$1,'2020'!$D:$D,Category!$C117)</f>
        <v>0</v>
      </c>
      <c r="Q117" s="245">
        <f>SUMIFS('2020'!$I:$I,'2020'!$E:$E,Category!$B$103,'2020'!$N:$N,Category!Q$1,'2020'!$D:$D,Category!$C117)</f>
        <v>0</v>
      </c>
      <c r="R117" s="245">
        <f>SUMIFS('2020'!$I:$I,'2020'!$E:$E,Category!$B$103,'2020'!$N:$N,Category!R$1,'2020'!$D:$D,Category!$C117)</f>
        <v>0</v>
      </c>
      <c r="S117" s="245">
        <f>SUMIFS('2020'!$I:$I,'2020'!$E:$E,Category!$B$103,'2020'!$N:$N,Category!S$1,'2020'!$D:$D,Category!$C117)</f>
        <v>0</v>
      </c>
      <c r="T117" s="245">
        <f>SUMIFS('2020'!$I:$I,'2020'!$E:$E,Category!$B$103,'2020'!$N:$N,Category!T$1,'2020'!$D:$D,Category!$C117)</f>
        <v>0</v>
      </c>
      <c r="U117" s="245">
        <f>SUMIFS('2020'!$I:$I,'2020'!$E:$E,Category!$B$103,'2020'!$N:$N,Category!U$1,'2020'!$D:$D,Category!$C117)</f>
        <v>0</v>
      </c>
      <c r="V117" s="245">
        <f>SUMIFS('2020'!$I:$I,'2020'!$E:$E,Category!$B$103,'2020'!$N:$N,Category!V$1,'2020'!$D:$D,Category!$C117)</f>
        <v>0</v>
      </c>
      <c r="W117" s="245">
        <f>SUMIFS('2020'!$I:$I,'2020'!$E:$E,Category!$B$103,'2020'!$N:$N,Category!W$1,'2020'!$D:$D,Category!$C117)</f>
        <v>0</v>
      </c>
      <c r="X117" s="246">
        <f>SUM(L117:W117)</f>
        <v>0</v>
      </c>
      <c r="Y117" s="503">
        <f>IFERROR(VLOOKUP(C117,'2021'!$D:$G,4,0),0)</f>
        <v>0</v>
      </c>
      <c r="Z117" s="245">
        <f>SUMIFS('2021'!$I:$I,'2021'!$E:$E,Category!$B$103,'2021'!$N:$N,Category!Z$1,'2021'!$D:$D,Category!$C117)</f>
        <v>0</v>
      </c>
      <c r="AA117" s="245">
        <f>SUMIFS('2021'!$I:$I,'2021'!$E:$E,Category!$B$103,'2021'!$N:$N,Category!AA$1,'2021'!$D:$D,Category!$C117)</f>
        <v>0</v>
      </c>
      <c r="AB117" s="245">
        <f>SUMIFS('2021'!$I:$I,'2021'!$E:$E,Category!$B$103,'2021'!$N:$N,Category!AB$1,'2021'!$D:$D,Category!$C117)</f>
        <v>0</v>
      </c>
      <c r="AC117" s="245">
        <f>SUMIFS('2021'!$I:$I,'2021'!$E:$E,Category!$B$103,'2021'!$N:$N,Category!AC$1,'2021'!$D:$D,Category!$C117)</f>
        <v>0</v>
      </c>
      <c r="AD117" s="245">
        <f>SUMIFS('2021'!$I:$I,'2021'!$E:$E,Category!$B$103,'2021'!$N:$N,Category!AD$1,'2021'!$D:$D,Category!$C117)</f>
        <v>0</v>
      </c>
      <c r="AE117" s="245">
        <f>SUMIFS('2021'!$I:$I,'2021'!$E:$E,Category!$B$103,'2021'!$N:$N,Category!AE$1,'2021'!$D:$D,Category!$C117)</f>
        <v>0</v>
      </c>
      <c r="AF117" s="245">
        <f>SUMIFS('2021'!$I:$I,'2021'!$E:$E,Category!$B$103,'2021'!$N:$N,Category!AF$1,'2021'!$D:$D,Category!$C117)</f>
        <v>0</v>
      </c>
      <c r="AG117" s="245">
        <f>SUMIFS('2021'!$I:$I,'2021'!$E:$E,Category!$B$103,'2021'!$N:$N,Category!AG$1,'2021'!$D:$D,Category!$C117)</f>
        <v>0</v>
      </c>
      <c r="AH117" s="245">
        <f>SUMIFS('2021'!$I:$I,'2021'!$E:$E,Category!$B$103,'2021'!$N:$N,Category!AH$1,'2021'!$D:$D,Category!$C117)</f>
        <v>0</v>
      </c>
      <c r="AI117" s="245">
        <f>SUMIFS('2021'!$I:$I,'2021'!$E:$E,Category!$B$103,'2021'!$N:$N,Category!AI$1,'2021'!$D:$D,Category!$C117)</f>
        <v>0</v>
      </c>
      <c r="AJ117" s="245">
        <f>SUMIFS('2021'!$I:$I,'2021'!$E:$E,Category!$B$103,'2021'!$N:$N,Category!AJ$1,'2021'!$D:$D,Category!$C117)</f>
        <v>0</v>
      </c>
      <c r="AK117" s="245">
        <f>SUMIFS('2021'!$I:$I,'2021'!$E:$E,Category!$B$103,'2021'!$N:$N,Category!AK$1,'2021'!$D:$D,Category!$C117)</f>
        <v>0</v>
      </c>
      <c r="AL117" s="246">
        <f>SUM(Z117:AK117)</f>
        <v>0</v>
      </c>
      <c r="AM117" s="503">
        <f>IFERROR(VLOOKUP(C117,'2022'!$D:$G,4,0),0)</f>
        <v>0</v>
      </c>
      <c r="AN117" s="245">
        <f>SUMIFS('2022'!$I:$I,'2022'!$E:$E,Category!$B$103,'2022'!$N:$N,Category!AN$1,'2022'!$D:$D,Category!$C117)</f>
        <v>0</v>
      </c>
      <c r="AO117" s="245">
        <f>SUMIFS('2022'!$I:$I,'2022'!$E:$E,Category!$B$103,'2022'!$N:$N,Category!AO$1,'2022'!$D:$D,Category!$C117)</f>
        <v>0</v>
      </c>
      <c r="AP117" s="245">
        <f>SUMIFS('2022'!$I:$I,'2022'!$E:$E,Category!$B$103,'2022'!$N:$N,Category!AP$1,'2022'!$D:$D,Category!$C117)</f>
        <v>0</v>
      </c>
      <c r="AQ117" s="245">
        <f>SUMIFS('2022'!$I:$I,'2022'!$E:$E,Category!$B$103,'2022'!$N:$N,Category!AQ$1,'2022'!$D:$D,Category!$C117)</f>
        <v>0</v>
      </c>
      <c r="AR117" s="245">
        <f>SUMIFS('2022'!$I:$I,'2022'!$E:$E,Category!$B$103,'2022'!$N:$N,Category!AR$1,'2022'!$D:$D,Category!$C117)</f>
        <v>0</v>
      </c>
      <c r="AS117" s="245">
        <f>SUMIFS('2022'!$I:$I,'2022'!$E:$E,Category!$B$103,'2022'!$N:$N,Category!AS$1,'2022'!$D:$D,Category!$C117)</f>
        <v>0</v>
      </c>
      <c r="AT117" s="245">
        <f>SUMIFS('2022'!$I:$I,'2022'!$E:$E,Category!$B$103,'2022'!$N:$N,Category!AT$1,'2022'!$D:$D,Category!$C117)</f>
        <v>0</v>
      </c>
      <c r="AU117" s="245">
        <f>SUMIFS('2022'!$I:$I,'2022'!$E:$E,Category!$B$103,'2022'!$N:$N,Category!AU$1,'2022'!$D:$D,Category!$C117)</f>
        <v>0</v>
      </c>
      <c r="AV117" s="245">
        <f>SUMIFS('2022'!$I:$I,'2022'!$E:$E,Category!$B$103,'2022'!$N:$N,Category!AV$1,'2022'!$D:$D,Category!$C117)</f>
        <v>0</v>
      </c>
      <c r="AW117" s="245">
        <f>SUMIFS('2022'!$I:$I,'2022'!$E:$E,Category!$B$103,'2022'!$N:$N,Category!AW$1,'2022'!$D:$D,Category!$C117)</f>
        <v>0</v>
      </c>
      <c r="AX117" s="245">
        <f>SUMIFS('2022'!$I:$I,'2022'!$E:$E,Category!$B$103,'2022'!$N:$N,Category!AX$1,'2022'!$D:$D,Category!$C117)</f>
        <v>0</v>
      </c>
      <c r="AY117" s="245">
        <f>SUMIFS('2022'!$I:$I,'2022'!$E:$E,Category!$B$103,'2022'!$N:$N,Category!AY$1,'2022'!$D:$D,Category!$C117)</f>
        <v>0</v>
      </c>
      <c r="AZ117" s="246">
        <f>SUM(AN117:AY117)</f>
        <v>0</v>
      </c>
      <c r="BA117" s="503">
        <f>IFERROR(VLOOKUP(C117,'2023'!$D:$G,4,0),0)</f>
        <v>0</v>
      </c>
      <c r="BB117" s="245">
        <f>SUMIFS('2023'!$I:$I,'2023'!$E:$E,Category!$B$103,'2023'!$N:$N,Category!BB$1,'2023'!$D:$D,Category!$C117)</f>
        <v>0</v>
      </c>
      <c r="BC117" s="245">
        <f>SUMIFS('2023'!$I:$I,'2023'!$E:$E,Category!$B$103,'2023'!$N:$N,Category!BC$1,'2023'!$D:$D,Category!$C117)</f>
        <v>0</v>
      </c>
      <c r="BD117" s="245">
        <f>SUMIFS('2023'!$I:$I,'2023'!$E:$E,Category!$B$103,'2023'!$N:$N,Category!BD$1,'2023'!$D:$D,Category!$C117)</f>
        <v>0</v>
      </c>
      <c r="BE117" s="245">
        <f>SUMIFS('2023'!$I:$I,'2023'!$E:$E,Category!$B$103,'2023'!$N:$N,Category!BE$1,'2023'!$D:$D,Category!$C117)</f>
        <v>0</v>
      </c>
      <c r="BF117" s="245">
        <f>SUMIFS('2023'!$I:$I,'2023'!$E:$E,Category!$B$103,'2023'!$N:$N,Category!BF$1,'2023'!$D:$D,Category!$C117)</f>
        <v>0</v>
      </c>
      <c r="BG117" s="245">
        <f>SUMIFS('2023'!$I:$I,'2023'!$E:$E,Category!$B$103,'2023'!$N:$N,Category!BG$1,'2023'!$D:$D,Category!$C117)</f>
        <v>0</v>
      </c>
      <c r="BH117" s="245">
        <f>SUMIFS('2023'!$I:$I,'2023'!$E:$E,Category!$B$103,'2023'!$N:$N,Category!BH$1,'2023'!$D:$D,Category!$C117)</f>
        <v>0</v>
      </c>
      <c r="BI117" s="245">
        <f>SUMIFS('2023'!$I:$I,'2023'!$E:$E,Category!$B$103,'2023'!$N:$N,Category!BI$1,'2023'!$D:$D,Category!$C117)</f>
        <v>0</v>
      </c>
      <c r="BJ117" s="245">
        <f>SUMIFS('2023'!$I:$I,'2023'!$E:$E,Category!$B$103,'2023'!$N:$N,Category!BJ$1,'2023'!$D:$D,Category!$C117)</f>
        <v>0</v>
      </c>
      <c r="BK117" s="245">
        <f>SUMIFS('2023'!$I:$I,'2023'!$E:$E,Category!$B$103,'2023'!$N:$N,Category!BK$1,'2023'!$D:$D,Category!$C117)</f>
        <v>0</v>
      </c>
      <c r="BL117" s="245">
        <f>SUMIFS('2023'!$I:$I,'2023'!$E:$E,Category!$B$103,'2023'!$N:$N,Category!BL$1,'2023'!$D:$D,Category!$C117)</f>
        <v>0</v>
      </c>
      <c r="BM117" s="245">
        <f>SUMIFS('2023'!$I:$I,'2023'!$E:$E,Category!$B$103,'2023'!$N:$N,Category!BM$1,'2023'!$D:$D,Category!$C117)</f>
        <v>0</v>
      </c>
      <c r="BN117" s="246">
        <f>SUM(BB117:BM117)</f>
        <v>0</v>
      </c>
    </row>
    <row r="118" spans="1:66" x14ac:dyDescent="0.3">
      <c r="A118" s="244"/>
      <c r="B118" s="243"/>
      <c r="C118" s="243" t="s">
        <v>2098</v>
      </c>
      <c r="D118" s="520">
        <f>IFERROR(VLOOKUP($C118,'2019'!$D:$G,4,0),0)</f>
        <v>0</v>
      </c>
      <c r="E118" s="245">
        <f>SUMIFS('2019'!$I:$I,'2019'!$E:$E,Category!$B$103,'2019'!$N:$N,Category!E$1,'2019'!$D:$D,Category!$C118)</f>
        <v>0</v>
      </c>
      <c r="F118" s="245">
        <f>SUMIFS('2019'!$I:$I,'2019'!$E:$E,Category!$B$103,'2019'!$N:$N,Category!F$1,'2019'!$D:$D,Category!$C118)</f>
        <v>0</v>
      </c>
      <c r="G118" s="245">
        <f>SUMIFS('2019'!$I:$I,'2019'!$E:$E,Category!$B$103,'2019'!$N:$N,Category!G$1,'2019'!$D:$D,Category!$C118)</f>
        <v>0</v>
      </c>
      <c r="H118" s="245">
        <f>SUMIFS('2019'!$I:$I,'2019'!$E:$E,Category!$B$103,'2019'!$N:$N,Category!H$1,'2019'!$D:$D,Category!$C118)</f>
        <v>0</v>
      </c>
      <c r="I118" s="245">
        <f>SUMIFS('2019'!$I:$I,'2019'!$E:$E,Category!$B$103,'2019'!$N:$N,Category!I$1,'2019'!$D:$D,Category!$C118)</f>
        <v>0</v>
      </c>
      <c r="J118" s="246">
        <f t="shared" si="45"/>
        <v>0</v>
      </c>
      <c r="K118" s="503">
        <f>IFERROR(VLOOKUP($C118,'2020'!$D:$G,4,0),0)</f>
        <v>0</v>
      </c>
      <c r="L118" s="245">
        <f>SUMIFS('2020'!$I:$I,'2020'!$E:$E,Category!$B$103,'2020'!$N:$N,Category!L$1,'2020'!$D:$D,Category!$C118)</f>
        <v>0</v>
      </c>
      <c r="M118" s="245">
        <f>SUMIFS('2020'!$I:$I,'2020'!$E:$E,Category!$B$103,'2020'!$N:$N,Category!M$1,'2020'!$D:$D,Category!$C118)</f>
        <v>0</v>
      </c>
      <c r="N118" s="245">
        <f>SUMIFS('2020'!$I:$I,'2020'!$E:$E,Category!$B$103,'2020'!$N:$N,Category!N$1,'2020'!$D:$D,Category!$C118)</f>
        <v>0</v>
      </c>
      <c r="O118" s="245">
        <f>SUMIFS('2020'!$I:$I,'2020'!$E:$E,Category!$B$103,'2020'!$N:$N,Category!O$1,'2020'!$D:$D,Category!$C118)</f>
        <v>0</v>
      </c>
      <c r="P118" s="245">
        <f>SUMIFS('2020'!$I:$I,'2020'!$E:$E,Category!$B$103,'2020'!$N:$N,Category!P$1,'2020'!$D:$D,Category!$C118)</f>
        <v>0</v>
      </c>
      <c r="Q118" s="245">
        <f>SUMIFS('2020'!$I:$I,'2020'!$E:$E,Category!$B$103,'2020'!$N:$N,Category!Q$1,'2020'!$D:$D,Category!$C118)</f>
        <v>0</v>
      </c>
      <c r="R118" s="245">
        <f>SUMIFS('2020'!$I:$I,'2020'!$E:$E,Category!$B$103,'2020'!$N:$N,Category!R$1,'2020'!$D:$D,Category!$C118)</f>
        <v>0</v>
      </c>
      <c r="S118" s="245">
        <f>SUMIFS('2020'!$I:$I,'2020'!$E:$E,Category!$B$103,'2020'!$N:$N,Category!S$1,'2020'!$D:$D,Category!$C118)</f>
        <v>0</v>
      </c>
      <c r="T118" s="245">
        <f>SUMIFS('2020'!$I:$I,'2020'!$E:$E,Category!$B$103,'2020'!$N:$N,Category!T$1,'2020'!$D:$D,Category!$C118)</f>
        <v>0</v>
      </c>
      <c r="U118" s="245">
        <f>SUMIFS('2020'!$I:$I,'2020'!$E:$E,Category!$B$103,'2020'!$N:$N,Category!U$1,'2020'!$D:$D,Category!$C118)</f>
        <v>0</v>
      </c>
      <c r="V118" s="245">
        <f>SUMIFS('2020'!$I:$I,'2020'!$E:$E,Category!$B$103,'2020'!$N:$N,Category!V$1,'2020'!$D:$D,Category!$C118)</f>
        <v>0</v>
      </c>
      <c r="W118" s="245">
        <f>SUMIFS('2020'!$I:$I,'2020'!$E:$E,Category!$B$103,'2020'!$N:$N,Category!W$1,'2020'!$D:$D,Category!$C118)</f>
        <v>0</v>
      </c>
      <c r="X118" s="246">
        <f t="shared" si="46"/>
        <v>0</v>
      </c>
      <c r="Y118" s="503">
        <f>IFERROR(VLOOKUP(C118,'2021'!$D:$G,4,0),0)</f>
        <v>0</v>
      </c>
      <c r="Z118" s="245">
        <f>SUMIFS('2021'!$I:$I,'2021'!$E:$E,Category!$B$103,'2021'!$N:$N,Category!Z$1,'2021'!$D:$D,Category!$C118)</f>
        <v>0</v>
      </c>
      <c r="AA118" s="245">
        <f>SUMIFS('2021'!$I:$I,'2021'!$E:$E,Category!$B$103,'2021'!$N:$N,Category!AA$1,'2021'!$D:$D,Category!$C118)</f>
        <v>0</v>
      </c>
      <c r="AB118" s="245">
        <f>SUMIFS('2021'!$I:$I,'2021'!$E:$E,Category!$B$103,'2021'!$N:$N,Category!AB$1,'2021'!$D:$D,Category!$C118)</f>
        <v>0</v>
      </c>
      <c r="AC118" s="245">
        <f>SUMIFS('2021'!$I:$I,'2021'!$E:$E,Category!$B$103,'2021'!$N:$N,Category!AC$1,'2021'!$D:$D,Category!$C118)</f>
        <v>0</v>
      </c>
      <c r="AD118" s="245">
        <f>SUMIFS('2021'!$I:$I,'2021'!$E:$E,Category!$B$103,'2021'!$N:$N,Category!AD$1,'2021'!$D:$D,Category!$C118)</f>
        <v>0</v>
      </c>
      <c r="AE118" s="245">
        <f>SUMIFS('2021'!$I:$I,'2021'!$E:$E,Category!$B$103,'2021'!$N:$N,Category!AE$1,'2021'!$D:$D,Category!$C118)</f>
        <v>0</v>
      </c>
      <c r="AF118" s="245">
        <f>SUMIFS('2021'!$I:$I,'2021'!$E:$E,Category!$B$103,'2021'!$N:$N,Category!AF$1,'2021'!$D:$D,Category!$C118)</f>
        <v>0</v>
      </c>
      <c r="AG118" s="245">
        <f>SUMIFS('2021'!$I:$I,'2021'!$E:$E,Category!$B$103,'2021'!$N:$N,Category!AG$1,'2021'!$D:$D,Category!$C118)</f>
        <v>0</v>
      </c>
      <c r="AH118" s="245">
        <f>SUMIFS('2021'!$I:$I,'2021'!$E:$E,Category!$B$103,'2021'!$N:$N,Category!AH$1,'2021'!$D:$D,Category!$C118)</f>
        <v>0</v>
      </c>
      <c r="AI118" s="245">
        <f>SUMIFS('2021'!$I:$I,'2021'!$E:$E,Category!$B$103,'2021'!$N:$N,Category!AI$1,'2021'!$D:$D,Category!$C118)</f>
        <v>0</v>
      </c>
      <c r="AJ118" s="245">
        <f>SUMIFS('2021'!$I:$I,'2021'!$E:$E,Category!$B$103,'2021'!$N:$N,Category!AJ$1,'2021'!$D:$D,Category!$C118)</f>
        <v>0</v>
      </c>
      <c r="AK118" s="245">
        <f>SUMIFS('2021'!$I:$I,'2021'!$E:$E,Category!$B$103,'2021'!$N:$N,Category!AK$1,'2021'!$D:$D,Category!$C118)</f>
        <v>0</v>
      </c>
      <c r="AL118" s="246">
        <f t="shared" si="47"/>
        <v>0</v>
      </c>
      <c r="AM118" s="503">
        <f>IFERROR(VLOOKUP(C118,'2022'!$D:$G,4,0),0)</f>
        <v>0</v>
      </c>
      <c r="AN118" s="245">
        <f>SUMIFS('2022'!$I:$I,'2022'!$E:$E,Category!$B$103,'2022'!$N:$N,Category!AN$1,'2022'!$D:$D,Category!$C118)</f>
        <v>0</v>
      </c>
      <c r="AO118" s="245">
        <f>SUMIFS('2022'!$I:$I,'2022'!$E:$E,Category!$B$103,'2022'!$N:$N,Category!AO$1,'2022'!$D:$D,Category!$C118)</f>
        <v>0</v>
      </c>
      <c r="AP118" s="245">
        <f>SUMIFS('2022'!$I:$I,'2022'!$E:$E,Category!$B$103,'2022'!$N:$N,Category!AP$1,'2022'!$D:$D,Category!$C118)</f>
        <v>0</v>
      </c>
      <c r="AQ118" s="245">
        <f>SUMIFS('2022'!$I:$I,'2022'!$E:$E,Category!$B$103,'2022'!$N:$N,Category!AQ$1,'2022'!$D:$D,Category!$C118)</f>
        <v>0</v>
      </c>
      <c r="AR118" s="245">
        <f>SUMIFS('2022'!$I:$I,'2022'!$E:$E,Category!$B$103,'2022'!$N:$N,Category!AR$1,'2022'!$D:$D,Category!$C118)</f>
        <v>0</v>
      </c>
      <c r="AS118" s="245">
        <f>SUMIFS('2022'!$I:$I,'2022'!$E:$E,Category!$B$103,'2022'!$N:$N,Category!AS$1,'2022'!$D:$D,Category!$C118)</f>
        <v>0</v>
      </c>
      <c r="AT118" s="245">
        <f>SUMIFS('2022'!$I:$I,'2022'!$E:$E,Category!$B$103,'2022'!$N:$N,Category!AT$1,'2022'!$D:$D,Category!$C118)</f>
        <v>0</v>
      </c>
      <c r="AU118" s="245">
        <f>SUMIFS('2022'!$I:$I,'2022'!$E:$E,Category!$B$103,'2022'!$N:$N,Category!AU$1,'2022'!$D:$D,Category!$C118)</f>
        <v>0</v>
      </c>
      <c r="AV118" s="245">
        <f>SUMIFS('2022'!$I:$I,'2022'!$E:$E,Category!$B$103,'2022'!$N:$N,Category!AV$1,'2022'!$D:$D,Category!$C118)</f>
        <v>0</v>
      </c>
      <c r="AW118" s="245">
        <f>SUMIFS('2022'!$I:$I,'2022'!$E:$E,Category!$B$103,'2022'!$N:$N,Category!AW$1,'2022'!$D:$D,Category!$C118)</f>
        <v>0</v>
      </c>
      <c r="AX118" s="245">
        <f>SUMIFS('2022'!$I:$I,'2022'!$E:$E,Category!$B$103,'2022'!$N:$N,Category!AX$1,'2022'!$D:$D,Category!$C118)</f>
        <v>0</v>
      </c>
      <c r="AY118" s="245">
        <f>SUMIFS('2022'!$I:$I,'2022'!$E:$E,Category!$B$103,'2022'!$N:$N,Category!AY$1,'2022'!$D:$D,Category!$C118)</f>
        <v>0</v>
      </c>
      <c r="AZ118" s="246">
        <f t="shared" si="48"/>
        <v>0</v>
      </c>
      <c r="BA118" s="503">
        <f>IFERROR(VLOOKUP(C118,'2023'!$D:$G,4,0),0)</f>
        <v>0</v>
      </c>
      <c r="BB118" s="245">
        <f>SUMIFS('2023'!$I:$I,'2023'!$E:$E,Category!$B$103,'2023'!$N:$N,Category!BB$1,'2023'!$D:$D,Category!$C118)</f>
        <v>5000000</v>
      </c>
      <c r="BC118" s="245">
        <f>SUMIFS('2023'!$I:$I,'2023'!$E:$E,Category!$B$103,'2023'!$N:$N,Category!BC$1,'2023'!$D:$D,Category!$C118)</f>
        <v>0</v>
      </c>
      <c r="BD118" s="245">
        <f>SUMIFS('2023'!$I:$I,'2023'!$E:$E,Category!$B$103,'2023'!$N:$N,Category!BD$1,'2023'!$D:$D,Category!$C118)</f>
        <v>0</v>
      </c>
      <c r="BE118" s="245">
        <f>SUMIFS('2023'!$I:$I,'2023'!$E:$E,Category!$B$103,'2023'!$N:$N,Category!BE$1,'2023'!$D:$D,Category!$C118)</f>
        <v>0</v>
      </c>
      <c r="BF118" s="245">
        <f>SUMIFS('2023'!$I:$I,'2023'!$E:$E,Category!$B$103,'2023'!$N:$N,Category!BF$1,'2023'!$D:$D,Category!$C118)</f>
        <v>0</v>
      </c>
      <c r="BG118" s="245">
        <f>SUMIFS('2023'!$I:$I,'2023'!$E:$E,Category!$B$103,'2023'!$N:$N,Category!BG$1,'2023'!$D:$D,Category!$C118)</f>
        <v>0</v>
      </c>
      <c r="BH118" s="245">
        <f>SUMIFS('2023'!$I:$I,'2023'!$E:$E,Category!$B$103,'2023'!$N:$N,Category!BH$1,'2023'!$D:$D,Category!$C118)</f>
        <v>0</v>
      </c>
      <c r="BI118" s="245">
        <f>SUMIFS('2023'!$I:$I,'2023'!$E:$E,Category!$B$103,'2023'!$N:$N,Category!BI$1,'2023'!$D:$D,Category!$C118)</f>
        <v>0</v>
      </c>
      <c r="BJ118" s="245">
        <f>SUMIFS('2023'!$I:$I,'2023'!$E:$E,Category!$B$103,'2023'!$N:$N,Category!BJ$1,'2023'!$D:$D,Category!$C118)</f>
        <v>0</v>
      </c>
      <c r="BK118" s="245">
        <f>SUMIFS('2023'!$I:$I,'2023'!$E:$E,Category!$B$103,'2023'!$N:$N,Category!BK$1,'2023'!$D:$D,Category!$C118)</f>
        <v>0</v>
      </c>
      <c r="BL118" s="245">
        <f>SUMIFS('2023'!$I:$I,'2023'!$E:$E,Category!$B$103,'2023'!$N:$N,Category!BL$1,'2023'!$D:$D,Category!$C118)</f>
        <v>0</v>
      </c>
      <c r="BM118" s="245">
        <f>SUMIFS('2023'!$I:$I,'2023'!$E:$E,Category!$B$103,'2023'!$N:$N,Category!BM$1,'2023'!$D:$D,Category!$C118)</f>
        <v>0</v>
      </c>
      <c r="BN118" s="246">
        <f t="shared" si="44"/>
        <v>5000000</v>
      </c>
    </row>
    <row r="119" spans="1:66" x14ac:dyDescent="0.3">
      <c r="A119" s="244"/>
      <c r="B119" s="243"/>
      <c r="C119" s="243" t="s">
        <v>372</v>
      </c>
      <c r="D119" s="520">
        <f>IFERROR(VLOOKUP($C119,'2019'!$D:$G,4,0),0)</f>
        <v>0</v>
      </c>
      <c r="E119" s="245">
        <f>SUMIFS('2019'!$I:$I,'2019'!$E:$E,Category!$B$103,'2019'!$N:$N,Category!E$1,'2019'!$D:$D,Category!$C119)</f>
        <v>0</v>
      </c>
      <c r="F119" s="245">
        <f>SUMIFS('2019'!$I:$I,'2019'!$E:$E,Category!$B$103,'2019'!$N:$N,Category!F$1,'2019'!$D:$D,Category!$C119)</f>
        <v>0</v>
      </c>
      <c r="G119" s="245">
        <f>SUMIFS('2019'!$I:$I,'2019'!$E:$E,Category!$B$103,'2019'!$N:$N,Category!G$1,'2019'!$D:$D,Category!$C119)</f>
        <v>0</v>
      </c>
      <c r="H119" s="245">
        <f>SUMIFS('2019'!$I:$I,'2019'!$E:$E,Category!$B$103,'2019'!$N:$N,Category!H$1,'2019'!$D:$D,Category!$C119)</f>
        <v>0</v>
      </c>
      <c r="I119" s="245">
        <f>SUMIFS('2019'!$I:$I,'2019'!$E:$E,Category!$B$103,'2019'!$N:$N,Category!I$1,'2019'!$D:$D,Category!$C119)</f>
        <v>0</v>
      </c>
      <c r="J119" s="246">
        <f t="shared" si="45"/>
        <v>0</v>
      </c>
      <c r="K119" s="503">
        <f>IFERROR(VLOOKUP($C119,'2020'!$D:$G,4,0),0)</f>
        <v>0</v>
      </c>
      <c r="L119" s="245">
        <f>SUMIFS('2020'!$I:$I,'2020'!$E:$E,Category!$B$103,'2020'!$N:$N,Category!L$1,'2020'!$D:$D,Category!$C119)</f>
        <v>0</v>
      </c>
      <c r="M119" s="245">
        <f>SUMIFS('2020'!$I:$I,'2020'!$E:$E,Category!$B$103,'2020'!$N:$N,Category!M$1,'2020'!$D:$D,Category!$C119)</f>
        <v>0</v>
      </c>
      <c r="N119" s="245">
        <f>SUMIFS('2020'!$I:$I,'2020'!$E:$E,Category!$B$103,'2020'!$N:$N,Category!N$1,'2020'!$D:$D,Category!$C119)</f>
        <v>0</v>
      </c>
      <c r="O119" s="245">
        <f>SUMIFS('2020'!$I:$I,'2020'!$E:$E,Category!$B$103,'2020'!$N:$N,Category!O$1,'2020'!$D:$D,Category!$C119)</f>
        <v>0</v>
      </c>
      <c r="P119" s="245">
        <f>SUMIFS('2020'!$I:$I,'2020'!$E:$E,Category!$B$103,'2020'!$N:$N,Category!P$1,'2020'!$D:$D,Category!$C119)</f>
        <v>0</v>
      </c>
      <c r="Q119" s="245">
        <f>SUMIFS('2020'!$I:$I,'2020'!$E:$E,Category!$B$103,'2020'!$N:$N,Category!Q$1,'2020'!$D:$D,Category!$C119)</f>
        <v>0</v>
      </c>
      <c r="R119" s="245">
        <f>SUMIFS('2020'!$I:$I,'2020'!$E:$E,Category!$B$103,'2020'!$N:$N,Category!R$1,'2020'!$D:$D,Category!$C119)</f>
        <v>0</v>
      </c>
      <c r="S119" s="245">
        <f>SUMIFS('2020'!$I:$I,'2020'!$E:$E,Category!$B$103,'2020'!$N:$N,Category!S$1,'2020'!$D:$D,Category!$C119)</f>
        <v>0</v>
      </c>
      <c r="T119" s="245">
        <f>SUMIFS('2020'!$I:$I,'2020'!$E:$E,Category!$B$103,'2020'!$N:$N,Category!T$1,'2020'!$D:$D,Category!$C119)</f>
        <v>0</v>
      </c>
      <c r="U119" s="245">
        <f>SUMIFS('2020'!$I:$I,'2020'!$E:$E,Category!$B$103,'2020'!$N:$N,Category!U$1,'2020'!$D:$D,Category!$C119)</f>
        <v>0</v>
      </c>
      <c r="V119" s="245">
        <f>SUMIFS('2020'!$I:$I,'2020'!$E:$E,Category!$B$103,'2020'!$N:$N,Category!V$1,'2020'!$D:$D,Category!$C119)</f>
        <v>0</v>
      </c>
      <c r="W119" s="245">
        <f>SUMIFS('2020'!$I:$I,'2020'!$E:$E,Category!$B$103,'2020'!$N:$N,Category!W$1,'2020'!$D:$D,Category!$C119)</f>
        <v>0</v>
      </c>
      <c r="X119" s="246">
        <f t="shared" si="46"/>
        <v>0</v>
      </c>
      <c r="Y119" s="503">
        <f>IFERROR(VLOOKUP(C119,'2021'!$D:$G,4,0),0)</f>
        <v>0</v>
      </c>
      <c r="Z119" s="245">
        <f>SUMIFS('2021'!$I:$I,'2021'!$E:$E,Category!$B$103,'2021'!$N:$N,Category!Z$1,'2021'!$D:$D,Category!$C119)</f>
        <v>0</v>
      </c>
      <c r="AA119" s="245">
        <f>SUMIFS('2021'!$I:$I,'2021'!$E:$E,Category!$B$103,'2021'!$N:$N,Category!AA$1,'2021'!$D:$D,Category!$C119)</f>
        <v>0</v>
      </c>
      <c r="AB119" s="245">
        <f>SUMIFS('2021'!$I:$I,'2021'!$E:$E,Category!$B$103,'2021'!$N:$N,Category!AB$1,'2021'!$D:$D,Category!$C119)</f>
        <v>0</v>
      </c>
      <c r="AC119" s="245">
        <f>SUMIFS('2021'!$I:$I,'2021'!$E:$E,Category!$B$103,'2021'!$N:$N,Category!AC$1,'2021'!$D:$D,Category!$C119)</f>
        <v>0</v>
      </c>
      <c r="AD119" s="245">
        <f>SUMIFS('2021'!$I:$I,'2021'!$E:$E,Category!$B$103,'2021'!$N:$N,Category!AD$1,'2021'!$D:$D,Category!$C119)</f>
        <v>0</v>
      </c>
      <c r="AE119" s="245">
        <f>SUMIFS('2021'!$I:$I,'2021'!$E:$E,Category!$B$103,'2021'!$N:$N,Category!AE$1,'2021'!$D:$D,Category!$C119)</f>
        <v>0</v>
      </c>
      <c r="AF119" s="245">
        <f>SUMIFS('2021'!$I:$I,'2021'!$E:$E,Category!$B$103,'2021'!$N:$N,Category!AF$1,'2021'!$D:$D,Category!$C119)</f>
        <v>0</v>
      </c>
      <c r="AG119" s="245">
        <f>SUMIFS('2021'!$I:$I,'2021'!$E:$E,Category!$B$103,'2021'!$N:$N,Category!AG$1,'2021'!$D:$D,Category!$C119)</f>
        <v>0</v>
      </c>
      <c r="AH119" s="245">
        <f>SUMIFS('2021'!$I:$I,'2021'!$E:$E,Category!$B$103,'2021'!$N:$N,Category!AH$1,'2021'!$D:$D,Category!$C119)</f>
        <v>0</v>
      </c>
      <c r="AI119" s="245">
        <f>SUMIFS('2021'!$I:$I,'2021'!$E:$E,Category!$B$103,'2021'!$N:$N,Category!AI$1,'2021'!$D:$D,Category!$C119)</f>
        <v>0</v>
      </c>
      <c r="AJ119" s="245">
        <f>SUMIFS('2021'!$I:$I,'2021'!$E:$E,Category!$B$103,'2021'!$N:$N,Category!AJ$1,'2021'!$D:$D,Category!$C119)</f>
        <v>0</v>
      </c>
      <c r="AK119" s="245">
        <f>SUMIFS('2021'!$I:$I,'2021'!$E:$E,Category!$B$103,'2021'!$N:$N,Category!AK$1,'2021'!$D:$D,Category!$C119)</f>
        <v>0</v>
      </c>
      <c r="AL119" s="246">
        <f t="shared" si="47"/>
        <v>0</v>
      </c>
      <c r="AM119" s="503">
        <f>IFERROR(VLOOKUP(C119,'2022'!$D:$G,4,0),0)</f>
        <v>0</v>
      </c>
      <c r="AN119" s="245">
        <f>SUMIFS('2022'!$I:$I,'2022'!$E:$E,Category!$B$103,'2022'!$N:$N,Category!AN$1,'2022'!$D:$D,Category!$C119)</f>
        <v>0</v>
      </c>
      <c r="AO119" s="245">
        <f>SUMIFS('2022'!$I:$I,'2022'!$E:$E,Category!$B$103,'2022'!$N:$N,Category!AO$1,'2022'!$D:$D,Category!$C119)</f>
        <v>0</v>
      </c>
      <c r="AP119" s="245">
        <f>SUMIFS('2022'!$I:$I,'2022'!$E:$E,Category!$B$103,'2022'!$N:$N,Category!AP$1,'2022'!$D:$D,Category!$C119)</f>
        <v>0</v>
      </c>
      <c r="AQ119" s="245">
        <f>SUMIFS('2022'!$I:$I,'2022'!$E:$E,Category!$B$103,'2022'!$N:$N,Category!AQ$1,'2022'!$D:$D,Category!$C119)</f>
        <v>0</v>
      </c>
      <c r="AR119" s="245">
        <f>SUMIFS('2022'!$I:$I,'2022'!$E:$E,Category!$B$103,'2022'!$N:$N,Category!AR$1,'2022'!$D:$D,Category!$C119)</f>
        <v>0</v>
      </c>
      <c r="AS119" s="245">
        <f>SUMIFS('2022'!$I:$I,'2022'!$E:$E,Category!$B$103,'2022'!$N:$N,Category!AS$1,'2022'!$D:$D,Category!$C119)</f>
        <v>0</v>
      </c>
      <c r="AT119" s="245">
        <f>SUMIFS('2022'!$I:$I,'2022'!$E:$E,Category!$B$103,'2022'!$N:$N,Category!AT$1,'2022'!$D:$D,Category!$C119)</f>
        <v>0</v>
      </c>
      <c r="AU119" s="245">
        <f>SUMIFS('2022'!$I:$I,'2022'!$E:$E,Category!$B$103,'2022'!$N:$N,Category!AU$1,'2022'!$D:$D,Category!$C119)</f>
        <v>0</v>
      </c>
      <c r="AV119" s="245">
        <f>SUMIFS('2022'!$I:$I,'2022'!$E:$E,Category!$B$103,'2022'!$N:$N,Category!AV$1,'2022'!$D:$D,Category!$C119)</f>
        <v>0</v>
      </c>
      <c r="AW119" s="245">
        <f>SUMIFS('2022'!$I:$I,'2022'!$E:$E,Category!$B$103,'2022'!$N:$N,Category!AW$1,'2022'!$D:$D,Category!$C119)</f>
        <v>0</v>
      </c>
      <c r="AX119" s="245">
        <f>SUMIFS('2022'!$I:$I,'2022'!$E:$E,Category!$B$103,'2022'!$N:$N,Category!AX$1,'2022'!$D:$D,Category!$C119)</f>
        <v>0</v>
      </c>
      <c r="AY119" s="245">
        <f>SUMIFS('2022'!$I:$I,'2022'!$E:$E,Category!$B$103,'2022'!$N:$N,Category!AY$1,'2022'!$D:$D,Category!$C119)</f>
        <v>0</v>
      </c>
      <c r="AZ119" s="246">
        <f t="shared" si="48"/>
        <v>0</v>
      </c>
      <c r="BA119" s="503">
        <f>IFERROR(VLOOKUP(C119,'2023'!$D:$G,4,0),0)</f>
        <v>0</v>
      </c>
      <c r="BB119" s="245">
        <f>SUMIFS('2023'!$I:$I,'2023'!$E:$E,Category!$B$103,'2023'!$N:$N,Category!BB$1,'2023'!$D:$D,Category!$C119)</f>
        <v>0</v>
      </c>
      <c r="BC119" s="245">
        <f>SUMIFS('2023'!$I:$I,'2023'!$E:$E,Category!$B$103,'2023'!$N:$N,Category!BC$1,'2023'!$D:$D,Category!$C119)</f>
        <v>0</v>
      </c>
      <c r="BD119" s="245">
        <f>SUMIFS('2023'!$I:$I,'2023'!$E:$E,Category!$B$103,'2023'!$N:$N,Category!BD$1,'2023'!$D:$D,Category!$C119)</f>
        <v>0</v>
      </c>
      <c r="BE119" s="245">
        <f>SUMIFS('2023'!$I:$I,'2023'!$E:$E,Category!$B$103,'2023'!$N:$N,Category!BE$1,'2023'!$D:$D,Category!$C119)</f>
        <v>0</v>
      </c>
      <c r="BF119" s="245">
        <f>SUMIFS('2023'!$I:$I,'2023'!$E:$E,Category!$B$103,'2023'!$N:$N,Category!BF$1,'2023'!$D:$D,Category!$C119)</f>
        <v>0</v>
      </c>
      <c r="BG119" s="245">
        <f>SUMIFS('2023'!$I:$I,'2023'!$E:$E,Category!$B$103,'2023'!$N:$N,Category!BG$1,'2023'!$D:$D,Category!$C119)</f>
        <v>0</v>
      </c>
      <c r="BH119" s="245">
        <f>SUMIFS('2023'!$I:$I,'2023'!$E:$E,Category!$B$103,'2023'!$N:$N,Category!BH$1,'2023'!$D:$D,Category!$C119)</f>
        <v>0</v>
      </c>
      <c r="BI119" s="245">
        <f>SUMIFS('2023'!$I:$I,'2023'!$E:$E,Category!$B$103,'2023'!$N:$N,Category!BI$1,'2023'!$D:$D,Category!$C119)</f>
        <v>0</v>
      </c>
      <c r="BJ119" s="245">
        <f>SUMIFS('2023'!$I:$I,'2023'!$E:$E,Category!$B$103,'2023'!$N:$N,Category!BJ$1,'2023'!$D:$D,Category!$C119)</f>
        <v>0</v>
      </c>
      <c r="BK119" s="245">
        <f>SUMIFS('2023'!$I:$I,'2023'!$E:$E,Category!$B$103,'2023'!$N:$N,Category!BK$1,'2023'!$D:$D,Category!$C119)</f>
        <v>0</v>
      </c>
      <c r="BL119" s="245">
        <f>SUMIFS('2023'!$I:$I,'2023'!$E:$E,Category!$B$103,'2023'!$N:$N,Category!BL$1,'2023'!$D:$D,Category!$C119)</f>
        <v>0</v>
      </c>
      <c r="BM119" s="245">
        <f>SUMIFS('2023'!$I:$I,'2023'!$E:$E,Category!$B$103,'2023'!$N:$N,Category!BM$1,'2023'!$D:$D,Category!$C119)</f>
        <v>0</v>
      </c>
      <c r="BN119" s="246">
        <f t="shared" si="44"/>
        <v>0</v>
      </c>
    </row>
    <row r="120" spans="1:66" x14ac:dyDescent="0.3">
      <c r="A120" s="244"/>
      <c r="B120" s="243"/>
      <c r="C120" s="243" t="s">
        <v>372</v>
      </c>
      <c r="D120" s="520">
        <f>IFERROR(VLOOKUP($C120,'2019'!$D:$G,4,0),0)</f>
        <v>0</v>
      </c>
      <c r="E120" s="245">
        <f>SUMIFS('2019'!$I:$I,'2019'!$E:$E,Category!$B$103,'2019'!$N:$N,Category!E$1,'2019'!$D:$D,Category!$C120)</f>
        <v>0</v>
      </c>
      <c r="F120" s="245">
        <f>SUMIFS('2019'!$I:$I,'2019'!$E:$E,Category!$B$103,'2019'!$N:$N,Category!F$1,'2019'!$D:$D,Category!$C120)</f>
        <v>0</v>
      </c>
      <c r="G120" s="245">
        <f>SUMIFS('2019'!$I:$I,'2019'!$E:$E,Category!$B$103,'2019'!$N:$N,Category!G$1,'2019'!$D:$D,Category!$C120)</f>
        <v>0</v>
      </c>
      <c r="H120" s="245">
        <f>SUMIFS('2019'!$I:$I,'2019'!$E:$E,Category!$B$103,'2019'!$N:$N,Category!H$1,'2019'!$D:$D,Category!$C120)</f>
        <v>0</v>
      </c>
      <c r="I120" s="245">
        <f>SUMIFS('2019'!$I:$I,'2019'!$E:$E,Category!$B$103,'2019'!$N:$N,Category!I$1,'2019'!$D:$D,Category!$C120)</f>
        <v>0</v>
      </c>
      <c r="J120" s="246">
        <f t="shared" si="45"/>
        <v>0</v>
      </c>
      <c r="K120" s="503">
        <f>IFERROR(VLOOKUP($C120,'2020'!$D:$G,4,0),0)</f>
        <v>0</v>
      </c>
      <c r="L120" s="245">
        <f>SUMIFS('2020'!$I:$I,'2020'!$E:$E,Category!$B$103,'2020'!$N:$N,Category!L$1,'2020'!$D:$D,Category!$C120)</f>
        <v>0</v>
      </c>
      <c r="M120" s="245">
        <f>SUMIFS('2020'!$I:$I,'2020'!$E:$E,Category!$B$103,'2020'!$N:$N,Category!M$1,'2020'!$D:$D,Category!$C120)</f>
        <v>0</v>
      </c>
      <c r="N120" s="245">
        <f>SUMIFS('2020'!$I:$I,'2020'!$E:$E,Category!$B$103,'2020'!$N:$N,Category!N$1,'2020'!$D:$D,Category!$C120)</f>
        <v>0</v>
      </c>
      <c r="O120" s="245">
        <f>SUMIFS('2020'!$I:$I,'2020'!$E:$E,Category!$B$103,'2020'!$N:$N,Category!O$1,'2020'!$D:$D,Category!$C120)</f>
        <v>0</v>
      </c>
      <c r="P120" s="245">
        <f>SUMIFS('2020'!$I:$I,'2020'!$E:$E,Category!$B$103,'2020'!$N:$N,Category!P$1,'2020'!$D:$D,Category!$C120)</f>
        <v>0</v>
      </c>
      <c r="Q120" s="245">
        <f>SUMIFS('2020'!$I:$I,'2020'!$E:$E,Category!$B$103,'2020'!$N:$N,Category!Q$1,'2020'!$D:$D,Category!$C120)</f>
        <v>0</v>
      </c>
      <c r="R120" s="245">
        <f>SUMIFS('2020'!$I:$I,'2020'!$E:$E,Category!$B$103,'2020'!$N:$N,Category!R$1,'2020'!$D:$D,Category!$C120)</f>
        <v>0</v>
      </c>
      <c r="S120" s="245">
        <f>SUMIFS('2020'!$I:$I,'2020'!$E:$E,Category!$B$103,'2020'!$N:$N,Category!S$1,'2020'!$D:$D,Category!$C120)</f>
        <v>0</v>
      </c>
      <c r="T120" s="245">
        <f>SUMIFS('2020'!$I:$I,'2020'!$E:$E,Category!$B$103,'2020'!$N:$N,Category!T$1,'2020'!$D:$D,Category!$C120)</f>
        <v>0</v>
      </c>
      <c r="U120" s="245">
        <f>SUMIFS('2020'!$I:$I,'2020'!$E:$E,Category!$B$103,'2020'!$N:$N,Category!U$1,'2020'!$D:$D,Category!$C120)</f>
        <v>0</v>
      </c>
      <c r="V120" s="245">
        <f>SUMIFS('2020'!$I:$I,'2020'!$E:$E,Category!$B$103,'2020'!$N:$N,Category!V$1,'2020'!$D:$D,Category!$C120)</f>
        <v>0</v>
      </c>
      <c r="W120" s="245">
        <f>SUMIFS('2020'!$I:$I,'2020'!$E:$E,Category!$B$103,'2020'!$N:$N,Category!W$1,'2020'!$D:$D,Category!$C120)</f>
        <v>0</v>
      </c>
      <c r="X120" s="246">
        <f t="shared" si="41"/>
        <v>0</v>
      </c>
      <c r="Y120" s="503">
        <f>IFERROR(VLOOKUP(C120,'2021'!$D:$G,4,0),0)</f>
        <v>0</v>
      </c>
      <c r="Z120" s="245">
        <f>SUMIFS('2021'!$I:$I,'2021'!$E:$E,Category!$B$103,'2021'!$N:$N,Category!Z$1,'2021'!$D:$D,Category!$C120)</f>
        <v>0</v>
      </c>
      <c r="AA120" s="245">
        <f>SUMIFS('2021'!$I:$I,'2021'!$E:$E,Category!$B$103,'2021'!$N:$N,Category!AA$1,'2021'!$D:$D,Category!$C120)</f>
        <v>0</v>
      </c>
      <c r="AB120" s="245">
        <f>SUMIFS('2021'!$I:$I,'2021'!$E:$E,Category!$B$103,'2021'!$N:$N,Category!AB$1,'2021'!$D:$D,Category!$C120)</f>
        <v>0</v>
      </c>
      <c r="AC120" s="245">
        <f>SUMIFS('2021'!$I:$I,'2021'!$E:$E,Category!$B$103,'2021'!$N:$N,Category!AC$1,'2021'!$D:$D,Category!$C120)</f>
        <v>0</v>
      </c>
      <c r="AD120" s="245">
        <f>SUMIFS('2021'!$I:$I,'2021'!$E:$E,Category!$B$103,'2021'!$N:$N,Category!AD$1,'2021'!$D:$D,Category!$C120)</f>
        <v>0</v>
      </c>
      <c r="AE120" s="245">
        <f>SUMIFS('2021'!$I:$I,'2021'!$E:$E,Category!$B$103,'2021'!$N:$N,Category!AE$1,'2021'!$D:$D,Category!$C120)</f>
        <v>0</v>
      </c>
      <c r="AF120" s="245">
        <f>SUMIFS('2021'!$I:$I,'2021'!$E:$E,Category!$B$103,'2021'!$N:$N,Category!AF$1,'2021'!$D:$D,Category!$C120)</f>
        <v>0</v>
      </c>
      <c r="AG120" s="245">
        <f>SUMIFS('2021'!$I:$I,'2021'!$E:$E,Category!$B$103,'2021'!$N:$N,Category!AG$1,'2021'!$D:$D,Category!$C120)</f>
        <v>0</v>
      </c>
      <c r="AH120" s="245">
        <f>SUMIFS('2021'!$I:$I,'2021'!$E:$E,Category!$B$103,'2021'!$N:$N,Category!AH$1,'2021'!$D:$D,Category!$C120)</f>
        <v>0</v>
      </c>
      <c r="AI120" s="245">
        <f>SUMIFS('2021'!$I:$I,'2021'!$E:$E,Category!$B$103,'2021'!$N:$N,Category!AI$1,'2021'!$D:$D,Category!$C120)</f>
        <v>0</v>
      </c>
      <c r="AJ120" s="245">
        <f>SUMIFS('2021'!$I:$I,'2021'!$E:$E,Category!$B$103,'2021'!$N:$N,Category!AJ$1,'2021'!$D:$D,Category!$C120)</f>
        <v>0</v>
      </c>
      <c r="AK120" s="245">
        <f>SUMIFS('2021'!$I:$I,'2021'!$E:$E,Category!$B$103,'2021'!$N:$N,Category!AK$1,'2021'!$D:$D,Category!$C120)</f>
        <v>0</v>
      </c>
      <c r="AL120" s="246">
        <f>SUM(Z120:AK120)</f>
        <v>0</v>
      </c>
      <c r="AM120" s="503">
        <f>IFERROR(VLOOKUP(C120,'2022'!$D:$G,4,0),0)</f>
        <v>0</v>
      </c>
      <c r="AN120" s="245">
        <f>SUMIFS('2022'!$I:$I,'2022'!$E:$E,Category!$B$103,'2022'!$N:$N,Category!AN$1,'2022'!$D:$D,Category!$C120)</f>
        <v>0</v>
      </c>
      <c r="AO120" s="245">
        <f>SUMIFS('2022'!$I:$I,'2022'!$E:$E,Category!$B$103,'2022'!$N:$N,Category!AO$1,'2022'!$D:$D,Category!$C120)</f>
        <v>0</v>
      </c>
      <c r="AP120" s="245">
        <f>SUMIFS('2022'!$I:$I,'2022'!$E:$E,Category!$B$103,'2022'!$N:$N,Category!AP$1,'2022'!$D:$D,Category!$C120)</f>
        <v>0</v>
      </c>
      <c r="AQ120" s="245">
        <f>SUMIFS('2022'!$I:$I,'2022'!$E:$E,Category!$B$103,'2022'!$N:$N,Category!AQ$1,'2022'!$D:$D,Category!$C120)</f>
        <v>0</v>
      </c>
      <c r="AR120" s="245">
        <f>SUMIFS('2022'!$I:$I,'2022'!$E:$E,Category!$B$103,'2022'!$N:$N,Category!AR$1,'2022'!$D:$D,Category!$C120)</f>
        <v>0</v>
      </c>
      <c r="AS120" s="245">
        <f>SUMIFS('2022'!$I:$I,'2022'!$E:$E,Category!$B$103,'2022'!$N:$N,Category!AS$1,'2022'!$D:$D,Category!$C120)</f>
        <v>0</v>
      </c>
      <c r="AT120" s="245">
        <f>SUMIFS('2022'!$I:$I,'2022'!$E:$E,Category!$B$103,'2022'!$N:$N,Category!AT$1,'2022'!$D:$D,Category!$C120)</f>
        <v>0</v>
      </c>
      <c r="AU120" s="245">
        <f>SUMIFS('2022'!$I:$I,'2022'!$E:$E,Category!$B$103,'2022'!$N:$N,Category!AU$1,'2022'!$D:$D,Category!$C120)</f>
        <v>0</v>
      </c>
      <c r="AV120" s="245">
        <f>SUMIFS('2022'!$I:$I,'2022'!$E:$E,Category!$B$103,'2022'!$N:$N,Category!AV$1,'2022'!$D:$D,Category!$C120)</f>
        <v>0</v>
      </c>
      <c r="AW120" s="245">
        <f>SUMIFS('2022'!$I:$I,'2022'!$E:$E,Category!$B$103,'2022'!$N:$N,Category!AW$1,'2022'!$D:$D,Category!$C120)</f>
        <v>0</v>
      </c>
      <c r="AX120" s="245">
        <f>SUMIFS('2022'!$I:$I,'2022'!$E:$E,Category!$B$103,'2022'!$N:$N,Category!AX$1,'2022'!$D:$D,Category!$C120)</f>
        <v>0</v>
      </c>
      <c r="AY120" s="245">
        <f>SUMIFS('2022'!$I:$I,'2022'!$E:$E,Category!$B$103,'2022'!$N:$N,Category!AY$1,'2022'!$D:$D,Category!$C120)</f>
        <v>0</v>
      </c>
      <c r="AZ120" s="246">
        <f>SUM(AN120:AY120)</f>
        <v>0</v>
      </c>
      <c r="BA120" s="503">
        <f>IFERROR(VLOOKUP(C120,'2023'!$D:$G,4,0),0)</f>
        <v>0</v>
      </c>
      <c r="BB120" s="245">
        <f>SUMIFS('2023'!$I:$I,'2023'!$E:$E,Category!$B$103,'2023'!$N:$N,Category!BB$1,'2023'!$D:$D,Category!$C120)</f>
        <v>0</v>
      </c>
      <c r="BC120" s="245">
        <f>SUMIFS('2023'!$I:$I,'2023'!$E:$E,Category!$B$103,'2023'!$N:$N,Category!BC$1,'2023'!$D:$D,Category!$C120)</f>
        <v>0</v>
      </c>
      <c r="BD120" s="245">
        <f>SUMIFS('2023'!$I:$I,'2023'!$E:$E,Category!$B$103,'2023'!$N:$N,Category!BD$1,'2023'!$D:$D,Category!$C120)</f>
        <v>0</v>
      </c>
      <c r="BE120" s="245">
        <f>SUMIFS('2023'!$I:$I,'2023'!$E:$E,Category!$B$103,'2023'!$N:$N,Category!BE$1,'2023'!$D:$D,Category!$C120)</f>
        <v>0</v>
      </c>
      <c r="BF120" s="245">
        <f>SUMIFS('2023'!$I:$I,'2023'!$E:$E,Category!$B$103,'2023'!$N:$N,Category!BF$1,'2023'!$D:$D,Category!$C120)</f>
        <v>0</v>
      </c>
      <c r="BG120" s="245">
        <f>SUMIFS('2023'!$I:$I,'2023'!$E:$E,Category!$B$103,'2023'!$N:$N,Category!BG$1,'2023'!$D:$D,Category!$C120)</f>
        <v>0</v>
      </c>
      <c r="BH120" s="245">
        <f>SUMIFS('2023'!$I:$I,'2023'!$E:$E,Category!$B$103,'2023'!$N:$N,Category!BH$1,'2023'!$D:$D,Category!$C120)</f>
        <v>0</v>
      </c>
      <c r="BI120" s="245">
        <f>SUMIFS('2023'!$I:$I,'2023'!$E:$E,Category!$B$103,'2023'!$N:$N,Category!BI$1,'2023'!$D:$D,Category!$C120)</f>
        <v>0</v>
      </c>
      <c r="BJ120" s="245">
        <f>SUMIFS('2023'!$I:$I,'2023'!$E:$E,Category!$B$103,'2023'!$N:$N,Category!BJ$1,'2023'!$D:$D,Category!$C120)</f>
        <v>0</v>
      </c>
      <c r="BK120" s="245">
        <f>SUMIFS('2023'!$I:$I,'2023'!$E:$E,Category!$B$103,'2023'!$N:$N,Category!BK$1,'2023'!$D:$D,Category!$C120)</f>
        <v>0</v>
      </c>
      <c r="BL120" s="245">
        <f>SUMIFS('2023'!$I:$I,'2023'!$E:$E,Category!$B$103,'2023'!$N:$N,Category!BL$1,'2023'!$D:$D,Category!$C120)</f>
        <v>0</v>
      </c>
      <c r="BM120" s="245">
        <f>SUMIFS('2023'!$I:$I,'2023'!$E:$E,Category!$B$103,'2023'!$N:$N,Category!BM$1,'2023'!$D:$D,Category!$C120)</f>
        <v>0</v>
      </c>
      <c r="BN120" s="246">
        <f t="shared" si="44"/>
        <v>0</v>
      </c>
    </row>
    <row r="121" spans="1:66" x14ac:dyDescent="0.3">
      <c r="A121" s="338">
        <v>5</v>
      </c>
      <c r="B121" s="339" t="str">
        <f>'S2 2020'!B7</f>
        <v>Donasi Pendidikan Seminari</v>
      </c>
      <c r="C121" s="340"/>
      <c r="D121" s="340">
        <f t="shared" ref="D121:AI121" si="49">SUM(D122:D133)</f>
        <v>0</v>
      </c>
      <c r="E121" s="341">
        <f t="shared" si="49"/>
        <v>0</v>
      </c>
      <c r="F121" s="341">
        <f t="shared" si="49"/>
        <v>0</v>
      </c>
      <c r="G121" s="341">
        <f t="shared" si="49"/>
        <v>0</v>
      </c>
      <c r="H121" s="341">
        <f t="shared" si="49"/>
        <v>0</v>
      </c>
      <c r="I121" s="341">
        <f t="shared" si="49"/>
        <v>0</v>
      </c>
      <c r="J121" s="341">
        <f t="shared" si="49"/>
        <v>0</v>
      </c>
      <c r="K121" s="504">
        <f t="shared" si="49"/>
        <v>6</v>
      </c>
      <c r="L121" s="341">
        <f t="shared" si="49"/>
        <v>0</v>
      </c>
      <c r="M121" s="341">
        <f t="shared" si="49"/>
        <v>0</v>
      </c>
      <c r="N121" s="341">
        <f t="shared" si="49"/>
        <v>0</v>
      </c>
      <c r="O121" s="341">
        <f t="shared" si="49"/>
        <v>0</v>
      </c>
      <c r="P121" s="341">
        <f t="shared" si="49"/>
        <v>0</v>
      </c>
      <c r="Q121" s="341">
        <f t="shared" si="49"/>
        <v>0</v>
      </c>
      <c r="R121" s="341">
        <f t="shared" si="49"/>
        <v>0</v>
      </c>
      <c r="S121" s="341">
        <f t="shared" si="49"/>
        <v>0</v>
      </c>
      <c r="T121" s="341">
        <f t="shared" si="49"/>
        <v>30000000</v>
      </c>
      <c r="U121" s="341">
        <f t="shared" si="49"/>
        <v>0</v>
      </c>
      <c r="V121" s="341">
        <f t="shared" si="49"/>
        <v>0</v>
      </c>
      <c r="W121" s="341">
        <f t="shared" si="49"/>
        <v>0</v>
      </c>
      <c r="X121" s="341">
        <f t="shared" si="49"/>
        <v>30000000</v>
      </c>
      <c r="Y121" s="504">
        <f t="shared" si="49"/>
        <v>398</v>
      </c>
      <c r="Z121" s="341">
        <f t="shared" si="49"/>
        <v>0</v>
      </c>
      <c r="AA121" s="341">
        <f t="shared" si="49"/>
        <v>26400000</v>
      </c>
      <c r="AB121" s="341">
        <f t="shared" si="49"/>
        <v>0</v>
      </c>
      <c r="AC121" s="341">
        <f t="shared" si="49"/>
        <v>0</v>
      </c>
      <c r="AD121" s="341">
        <f t="shared" si="49"/>
        <v>0</v>
      </c>
      <c r="AE121" s="341">
        <f t="shared" si="49"/>
        <v>0</v>
      </c>
      <c r="AF121" s="341">
        <f t="shared" si="49"/>
        <v>120000000</v>
      </c>
      <c r="AG121" s="341">
        <f t="shared" si="49"/>
        <v>85000000</v>
      </c>
      <c r="AH121" s="341">
        <f t="shared" si="49"/>
        <v>0</v>
      </c>
      <c r="AI121" s="341">
        <f t="shared" si="49"/>
        <v>130000000</v>
      </c>
      <c r="AJ121" s="341">
        <f t="shared" ref="AJ121:AZ121" si="50">SUM(AJ122:AJ133)</f>
        <v>100600000</v>
      </c>
      <c r="AK121" s="341">
        <f t="shared" si="50"/>
        <v>80500000</v>
      </c>
      <c r="AL121" s="341">
        <f t="shared" si="50"/>
        <v>542500000</v>
      </c>
      <c r="AM121" s="504">
        <f t="shared" si="50"/>
        <v>391</v>
      </c>
      <c r="AN121" s="341">
        <f t="shared" si="50"/>
        <v>50000000</v>
      </c>
      <c r="AO121" s="341">
        <f t="shared" si="50"/>
        <v>60000000</v>
      </c>
      <c r="AP121" s="341">
        <f t="shared" si="50"/>
        <v>70000000</v>
      </c>
      <c r="AQ121" s="341">
        <f t="shared" si="50"/>
        <v>75000000</v>
      </c>
      <c r="AR121" s="341">
        <f t="shared" si="50"/>
        <v>90000000</v>
      </c>
      <c r="AS121" s="341">
        <f t="shared" si="50"/>
        <v>65000000</v>
      </c>
      <c r="AT121" s="341">
        <f t="shared" si="50"/>
        <v>60000000</v>
      </c>
      <c r="AU121" s="341">
        <f t="shared" si="50"/>
        <v>81000000</v>
      </c>
      <c r="AV121" s="341">
        <f t="shared" si="50"/>
        <v>65481000</v>
      </c>
      <c r="AW121" s="341">
        <f t="shared" si="50"/>
        <v>98690000</v>
      </c>
      <c r="AX121" s="341">
        <f t="shared" si="50"/>
        <v>82462000</v>
      </c>
      <c r="AY121" s="341">
        <f t="shared" si="50"/>
        <v>85481000</v>
      </c>
      <c r="AZ121" s="341">
        <f t="shared" si="50"/>
        <v>883114000</v>
      </c>
      <c r="BA121" s="504">
        <f t="shared" ref="BA121:BN121" si="51">SUM(BA122:BA133)</f>
        <v>263</v>
      </c>
      <c r="BB121" s="341">
        <f t="shared" si="51"/>
        <v>55481000</v>
      </c>
      <c r="BC121" s="341">
        <f t="shared" si="51"/>
        <v>75481000</v>
      </c>
      <c r="BD121" s="341">
        <f t="shared" si="51"/>
        <v>0</v>
      </c>
      <c r="BE121" s="341">
        <f t="shared" si="51"/>
        <v>0</v>
      </c>
      <c r="BF121" s="341">
        <f t="shared" si="51"/>
        <v>0</v>
      </c>
      <c r="BG121" s="341">
        <f t="shared" si="51"/>
        <v>0</v>
      </c>
      <c r="BH121" s="341">
        <f t="shared" si="51"/>
        <v>0</v>
      </c>
      <c r="BI121" s="341">
        <f t="shared" si="51"/>
        <v>0</v>
      </c>
      <c r="BJ121" s="341">
        <f t="shared" si="51"/>
        <v>0</v>
      </c>
      <c r="BK121" s="341">
        <f t="shared" si="51"/>
        <v>0</v>
      </c>
      <c r="BL121" s="341">
        <f t="shared" si="51"/>
        <v>0</v>
      </c>
      <c r="BM121" s="341">
        <f t="shared" si="51"/>
        <v>0</v>
      </c>
      <c r="BN121" s="341">
        <f t="shared" si="51"/>
        <v>130962000</v>
      </c>
    </row>
    <row r="122" spans="1:66" x14ac:dyDescent="0.3">
      <c r="A122" s="342"/>
      <c r="B122" s="343"/>
      <c r="C122" s="344" t="s">
        <v>392</v>
      </c>
      <c r="D122" s="521">
        <f>IFERROR(VLOOKUP($C122,'2019'!$D:$G,4,0),0)</f>
        <v>0</v>
      </c>
      <c r="E122" s="345">
        <f>SUMIFS('2019'!$I:$I,'2019'!$E:$E,Category!$B$121,'2019'!$N:$N,Category!E$1,'2019'!$D:$D,Category!$C122)</f>
        <v>0</v>
      </c>
      <c r="F122" s="345">
        <f>SUMIFS('2019'!$I:$I,'2019'!$E:$E,Category!$B$121,'2019'!$N:$N,Category!F$1,'2019'!$D:$D,Category!$C122)</f>
        <v>0</v>
      </c>
      <c r="G122" s="345">
        <f>SUMIFS('2019'!$I:$I,'2019'!$E:$E,Category!$B$121,'2019'!$N:$N,Category!G$1,'2019'!$D:$D,Category!$C122)</f>
        <v>0</v>
      </c>
      <c r="H122" s="345">
        <f>SUMIFS('2019'!$I:$I,'2019'!$E:$E,Category!$B$121,'2019'!$N:$N,Category!H$1,'2019'!$D:$D,Category!$C122)</f>
        <v>0</v>
      </c>
      <c r="I122" s="345">
        <f>SUMIFS('2019'!$I:$I,'2019'!$E:$E,Category!$B$121,'2019'!$N:$N,Category!I$1,'2019'!$D:$D,Category!$C122)</f>
        <v>0</v>
      </c>
      <c r="J122" s="346">
        <f t="shared" ref="J122:J133" si="52">SUM(E122:I122)</f>
        <v>0</v>
      </c>
      <c r="K122" s="505">
        <f>IFERROR(VLOOKUP($C122,'2020'!$D:$G,4,0),0)</f>
        <v>0</v>
      </c>
      <c r="L122" s="345">
        <f>SUMIFS('2020'!$I:$I,'2020'!$E:$E,Category!$B$121,'2020'!$N:$N,Category!L$1,'2020'!$D:$D,Category!$C122)</f>
        <v>0</v>
      </c>
      <c r="M122" s="345">
        <f>SUMIFS('2020'!$I:$I,'2020'!$E:$E,Category!$B$121,'2020'!$N:$N,Category!M$1,'2020'!$D:$D,Category!$C122)</f>
        <v>0</v>
      </c>
      <c r="N122" s="345">
        <f>SUMIFS('2020'!$I:$I,'2020'!$E:$E,Category!$B$121,'2020'!$N:$N,Category!N$1,'2020'!$D:$D,Category!$C122)</f>
        <v>0</v>
      </c>
      <c r="O122" s="345">
        <f>SUMIFS('2020'!$I:$I,'2020'!$E:$E,Category!$B$121,'2020'!$N:$N,Category!O$1,'2020'!$D:$D,Category!$C122)</f>
        <v>0</v>
      </c>
      <c r="P122" s="345">
        <f>SUMIFS('2020'!$I:$I,'2020'!$E:$E,Category!$B$121,'2020'!$N:$N,Category!P$1,'2020'!$D:$D,Category!$C122)</f>
        <v>0</v>
      </c>
      <c r="Q122" s="345">
        <f>SUMIFS('2020'!$I:$I,'2020'!$E:$E,Category!$B$121,'2020'!$N:$N,Category!Q$1,'2020'!$D:$D,Category!$C122)</f>
        <v>0</v>
      </c>
      <c r="R122" s="345">
        <f>SUMIFS('2020'!$I:$I,'2020'!$E:$E,Category!$B$121,'2020'!$N:$N,Category!R$1,'2020'!$D:$D,Category!$C122)</f>
        <v>0</v>
      </c>
      <c r="S122" s="345">
        <f>SUMIFS('2020'!$I:$I,'2020'!$E:$E,Category!$B$121,'2020'!$N:$N,Category!S$1,'2020'!$D:$D,Category!$C122)</f>
        <v>0</v>
      </c>
      <c r="T122" s="345">
        <f>SUMIFS('2020'!$I:$I,'2020'!$E:$E,Category!$B$121,'2020'!$N:$N,Category!T$1,'2020'!$D:$D,Category!$C122)</f>
        <v>0</v>
      </c>
      <c r="U122" s="345">
        <f>SUMIFS('2020'!$I:$I,'2020'!$E:$E,Category!$B$121,'2020'!$N:$N,Category!U$1,'2020'!$D:$D,Category!$C122)</f>
        <v>0</v>
      </c>
      <c r="V122" s="345">
        <f>SUMIFS('2020'!$I:$I,'2020'!$E:$E,Category!$B$121,'2020'!$N:$N,Category!V$1,'2020'!$D:$D,Category!$C122)</f>
        <v>0</v>
      </c>
      <c r="W122" s="345">
        <f>SUMIFS('2020'!$I:$I,'2020'!$E:$E,Category!$B$121,'2020'!$N:$N,Category!W$1,'2020'!$D:$D,Category!$C122)</f>
        <v>0</v>
      </c>
      <c r="X122" s="346">
        <f t="shared" ref="X122:X133" si="53">SUM(L122:W122)</f>
        <v>0</v>
      </c>
      <c r="Y122" s="505">
        <f>IFERROR(VLOOKUP(C122,'2021'!$D:$G,4,0),0)</f>
        <v>75</v>
      </c>
      <c r="Z122" s="345">
        <f>SUMIFS('2021'!$I:$I,'2021'!$E:$E,Category!$B$121,'2021'!$N:$N,Category!Z$1,'2021'!$D:$D,Category!$C122)</f>
        <v>0</v>
      </c>
      <c r="AA122" s="345">
        <f>SUMIFS('2021'!$I:$I,'2021'!$E:$E,Category!$B$121,'2021'!$N:$N,Category!AA$1,'2021'!$D:$D,Category!$C122)</f>
        <v>0</v>
      </c>
      <c r="AB122" s="345">
        <f>SUMIFS('2021'!$I:$I,'2021'!$E:$E,Category!$B$121,'2021'!$N:$N,Category!AB$1,'2021'!$D:$D,Category!$C122)</f>
        <v>0</v>
      </c>
      <c r="AC122" s="345">
        <f>SUMIFS('2021'!$I:$I,'2021'!$E:$E,Category!$B$121,'2021'!$N:$N,Category!AC$1,'2021'!$D:$D,Category!$C122)</f>
        <v>0</v>
      </c>
      <c r="AD122" s="345">
        <f>SUMIFS('2021'!$I:$I,'2021'!$E:$E,Category!$B$121,'2021'!$N:$N,Category!AD$1,'2021'!$D:$D,Category!$C122)</f>
        <v>0</v>
      </c>
      <c r="AE122" s="345">
        <f>SUMIFS('2021'!$I:$I,'2021'!$E:$E,Category!$B$121,'2021'!$N:$N,Category!AE$1,'2021'!$D:$D,Category!$C122)</f>
        <v>0</v>
      </c>
      <c r="AF122" s="345">
        <f>SUMIFS('2021'!$I:$I,'2021'!$E:$E,Category!$B$121,'2021'!$N:$N,Category!AF$1,'2021'!$D:$D,Category!$C122)</f>
        <v>10000000</v>
      </c>
      <c r="AG122" s="345">
        <f>SUMIFS('2021'!$I:$I,'2021'!$E:$E,Category!$B$121,'2021'!$N:$N,Category!AG$1,'2021'!$D:$D,Category!$C122)</f>
        <v>10000000</v>
      </c>
      <c r="AH122" s="345">
        <f>SUMIFS('2021'!$I:$I,'2021'!$E:$E,Category!$B$121,'2021'!$N:$N,Category!AH$1,'2021'!$D:$D,Category!$C122)</f>
        <v>0</v>
      </c>
      <c r="AI122" s="345">
        <f>SUMIFS('2021'!$I:$I,'2021'!$E:$E,Category!$B$121,'2021'!$N:$N,Category!AI$1,'2021'!$D:$D,Category!$C122)</f>
        <v>20000000</v>
      </c>
      <c r="AJ122" s="345">
        <f>SUMIFS('2021'!$I:$I,'2021'!$E:$E,Category!$B$121,'2021'!$N:$N,Category!AJ$1,'2021'!$D:$D,Category!$C122)</f>
        <v>10000000</v>
      </c>
      <c r="AK122" s="345">
        <f>SUMIFS('2021'!$I:$I,'2021'!$E:$E,Category!$B$121,'2021'!$N:$N,Category!AK$1,'2021'!$D:$D,Category!$C122)</f>
        <v>10000000</v>
      </c>
      <c r="AL122" s="346">
        <f t="shared" ref="AL122:AL133" si="54">SUM(Z122:AK122)</f>
        <v>60000000</v>
      </c>
      <c r="AM122" s="505">
        <f>IFERROR(VLOOKUP(C122,'2022'!$D:$G,4,0),0)</f>
        <v>75</v>
      </c>
      <c r="AN122" s="345">
        <f>SUMIFS('2022'!$I:$I,'2022'!$E:$E,Category!$B$121,'2022'!$N:$N,Category!AN$1,'2022'!$D:$D,Category!$C122)</f>
        <v>10000000</v>
      </c>
      <c r="AO122" s="345">
        <f>SUMIFS('2022'!$I:$I,'2022'!$E:$E,Category!$B$121,'2022'!$N:$N,Category!AO$1,'2022'!$D:$D,Category!$C122)</f>
        <v>10000000</v>
      </c>
      <c r="AP122" s="345">
        <f>SUMIFS('2022'!$I:$I,'2022'!$E:$E,Category!$B$121,'2022'!$N:$N,Category!AP$1,'2022'!$D:$D,Category!$C122)</f>
        <v>10000000</v>
      </c>
      <c r="AQ122" s="345">
        <f>SUMIFS('2022'!$I:$I,'2022'!$E:$E,Category!$B$121,'2022'!$N:$N,Category!AQ$1,'2022'!$D:$D,Category!$C122)</f>
        <v>10000000</v>
      </c>
      <c r="AR122" s="345">
        <f>SUMIFS('2022'!$I:$I,'2022'!$E:$E,Category!$B$121,'2022'!$N:$N,Category!AR$1,'2022'!$D:$D,Category!$C122)</f>
        <v>10000000</v>
      </c>
      <c r="AS122" s="345">
        <f>SUMIFS('2022'!$I:$I,'2022'!$E:$E,Category!$B$121,'2022'!$N:$N,Category!AS$1,'2022'!$D:$D,Category!$C122)</f>
        <v>10000000</v>
      </c>
      <c r="AT122" s="345">
        <f>SUMIFS('2022'!$I:$I,'2022'!$E:$E,Category!$B$121,'2022'!$N:$N,Category!AT$1,'2022'!$D:$D,Category!$C122)</f>
        <v>10000000</v>
      </c>
      <c r="AU122" s="345">
        <f>SUMIFS('2022'!$I:$I,'2022'!$E:$E,Category!$B$121,'2022'!$N:$N,Category!AU$1,'2022'!$D:$D,Category!$C122)</f>
        <v>10000000</v>
      </c>
      <c r="AV122" s="345">
        <f>SUMIFS('2022'!$I:$I,'2022'!$E:$E,Category!$B$121,'2022'!$N:$N,Category!AV$1,'2022'!$D:$D,Category!$C122)</f>
        <v>10000000</v>
      </c>
      <c r="AW122" s="345">
        <f>SUMIFS('2022'!$I:$I,'2022'!$E:$E,Category!$B$121,'2022'!$N:$N,Category!AW$1,'2022'!$D:$D,Category!$C122)</f>
        <v>10000000</v>
      </c>
      <c r="AX122" s="345">
        <f>SUMIFS('2022'!$I:$I,'2022'!$E:$E,Category!$B$121,'2022'!$N:$N,Category!AX$1,'2022'!$D:$D,Category!$C122)</f>
        <v>10000000</v>
      </c>
      <c r="AY122" s="345">
        <f>SUMIFS('2022'!$I:$I,'2022'!$E:$E,Category!$B$121,'2022'!$N:$N,Category!AY$1,'2022'!$D:$D,Category!$C122)</f>
        <v>10000000</v>
      </c>
      <c r="AZ122" s="346">
        <f t="shared" ref="AZ122:AZ131" si="55">SUM(AN122:AY122)</f>
        <v>120000000</v>
      </c>
      <c r="BA122" s="505">
        <f>IFERROR(VLOOKUP(C122,'2023'!$D:$G,4,0),0)</f>
        <v>85</v>
      </c>
      <c r="BB122" s="345">
        <f>SUMIFS('2023'!$I:$I,'2023'!$E:$E,Category!$B$121,'2023'!$N:$N,Category!BB$1,'2023'!$D:$D,Category!$C122)</f>
        <v>10000000</v>
      </c>
      <c r="BC122" s="345">
        <f>SUMIFS('2023'!$I:$I,'2023'!$E:$E,Category!$B$121,'2023'!$N:$N,Category!BC$1,'2023'!$D:$D,Category!$C122)</f>
        <v>20000000</v>
      </c>
      <c r="BD122" s="345">
        <f>SUMIFS('2023'!$I:$I,'2023'!$E:$E,Category!$B$121,'2023'!$N:$N,Category!BD$1,'2023'!$D:$D,Category!$C122)</f>
        <v>0</v>
      </c>
      <c r="BE122" s="345">
        <f>SUMIFS('2023'!$I:$I,'2023'!$E:$E,Category!$B$121,'2023'!$N:$N,Category!BE$1,'2023'!$D:$D,Category!$C122)</f>
        <v>0</v>
      </c>
      <c r="BF122" s="345">
        <f>SUMIFS('2023'!$I:$I,'2023'!$E:$E,Category!$B$121,'2023'!$N:$N,Category!BF$1,'2023'!$D:$D,Category!$C122)</f>
        <v>0</v>
      </c>
      <c r="BG122" s="345">
        <f>SUMIFS('2023'!$I:$I,'2023'!$E:$E,Category!$B$121,'2023'!$N:$N,Category!BG$1,'2023'!$D:$D,Category!$C122)</f>
        <v>0</v>
      </c>
      <c r="BH122" s="345">
        <f>SUMIFS('2023'!$I:$I,'2023'!$E:$E,Category!$B$121,'2023'!$N:$N,Category!BH$1,'2023'!$D:$D,Category!$C122)</f>
        <v>0</v>
      </c>
      <c r="BI122" s="345">
        <f>SUMIFS('2023'!$I:$I,'2023'!$E:$E,Category!$B$121,'2023'!$N:$N,Category!BI$1,'2023'!$D:$D,Category!$C122)</f>
        <v>0</v>
      </c>
      <c r="BJ122" s="345">
        <f>SUMIFS('2023'!$I:$I,'2023'!$E:$E,Category!$B$121,'2023'!$N:$N,Category!BJ$1,'2023'!$D:$D,Category!$C122)</f>
        <v>0</v>
      </c>
      <c r="BK122" s="345">
        <f>SUMIFS('2023'!$I:$I,'2023'!$E:$E,Category!$B$121,'2023'!$N:$N,Category!BK$1,'2023'!$D:$D,Category!$C122)</f>
        <v>0</v>
      </c>
      <c r="BL122" s="345">
        <f>SUMIFS('2023'!$I:$I,'2023'!$E:$E,Category!$B$121,'2023'!$N:$N,Category!BL$1,'2023'!$D:$D,Category!$C122)</f>
        <v>0</v>
      </c>
      <c r="BM122" s="345">
        <f>SUMIFS('2023'!$I:$I,'2023'!$E:$E,Category!$B$121,'2023'!$N:$N,Category!BM$1,'2023'!$D:$D,Category!$C122)</f>
        <v>0</v>
      </c>
      <c r="BN122" s="346">
        <f t="shared" ref="BN122:BN129" si="56">SUM(BB122:BM122)</f>
        <v>30000000</v>
      </c>
    </row>
    <row r="123" spans="1:66" x14ac:dyDescent="0.3">
      <c r="A123" s="342"/>
      <c r="B123" s="343"/>
      <c r="C123" s="344" t="s">
        <v>407</v>
      </c>
      <c r="D123" s="521">
        <f>IFERROR(VLOOKUP($C123,'2019'!$D:$G,4,0),0)</f>
        <v>0</v>
      </c>
      <c r="E123" s="345">
        <f>SUMIFS('2019'!$I:$I,'2019'!$E:$E,Category!$B$121,'2019'!$N:$N,Category!E$1,'2019'!$D:$D,Category!$C123)</f>
        <v>0</v>
      </c>
      <c r="F123" s="345">
        <f>SUMIFS('2019'!$I:$I,'2019'!$E:$E,Category!$B$121,'2019'!$N:$N,Category!F$1,'2019'!$D:$D,Category!$C123)</f>
        <v>0</v>
      </c>
      <c r="G123" s="345">
        <f>SUMIFS('2019'!$I:$I,'2019'!$E:$E,Category!$B$121,'2019'!$N:$N,Category!G$1,'2019'!$D:$D,Category!$C123)</f>
        <v>0</v>
      </c>
      <c r="H123" s="345">
        <f>SUMIFS('2019'!$I:$I,'2019'!$E:$E,Category!$B$121,'2019'!$N:$N,Category!H$1,'2019'!$D:$D,Category!$C123)</f>
        <v>0</v>
      </c>
      <c r="I123" s="345">
        <f>SUMIFS('2019'!$I:$I,'2019'!$E:$E,Category!$B$121,'2019'!$N:$N,Category!I$1,'2019'!$D:$D,Category!$C123)</f>
        <v>0</v>
      </c>
      <c r="J123" s="346">
        <f t="shared" si="52"/>
        <v>0</v>
      </c>
      <c r="K123" s="505">
        <f>IFERROR(VLOOKUP($C123,'2020'!$D:$G,4,0),0)</f>
        <v>0</v>
      </c>
      <c r="L123" s="345">
        <f>SUMIFS('2020'!$I:$I,'2020'!$E:$E,Category!$B$121,'2020'!$N:$N,Category!L$1,'2020'!$D:$D,Category!$C123)</f>
        <v>0</v>
      </c>
      <c r="M123" s="345">
        <f>SUMIFS('2020'!$I:$I,'2020'!$E:$E,Category!$B$121,'2020'!$N:$N,Category!M$1,'2020'!$D:$D,Category!$C123)</f>
        <v>0</v>
      </c>
      <c r="N123" s="345">
        <f>SUMIFS('2020'!$I:$I,'2020'!$E:$E,Category!$B$121,'2020'!$N:$N,Category!N$1,'2020'!$D:$D,Category!$C123)</f>
        <v>0</v>
      </c>
      <c r="O123" s="345">
        <f>SUMIFS('2020'!$I:$I,'2020'!$E:$E,Category!$B$121,'2020'!$N:$N,Category!O$1,'2020'!$D:$D,Category!$C123)</f>
        <v>0</v>
      </c>
      <c r="P123" s="345">
        <f>SUMIFS('2020'!$I:$I,'2020'!$E:$E,Category!$B$121,'2020'!$N:$N,Category!P$1,'2020'!$D:$D,Category!$C123)</f>
        <v>0</v>
      </c>
      <c r="Q123" s="345">
        <f>SUMIFS('2020'!$I:$I,'2020'!$E:$E,Category!$B$121,'2020'!$N:$N,Category!Q$1,'2020'!$D:$D,Category!$C123)</f>
        <v>0</v>
      </c>
      <c r="R123" s="345">
        <f>SUMIFS('2020'!$I:$I,'2020'!$E:$E,Category!$B$121,'2020'!$N:$N,Category!R$1,'2020'!$D:$D,Category!$C123)</f>
        <v>0</v>
      </c>
      <c r="S123" s="345">
        <f>SUMIFS('2020'!$I:$I,'2020'!$E:$E,Category!$B$121,'2020'!$N:$N,Category!S$1,'2020'!$D:$D,Category!$C123)</f>
        <v>0</v>
      </c>
      <c r="T123" s="345">
        <f>SUMIFS('2020'!$I:$I,'2020'!$E:$E,Category!$B$121,'2020'!$N:$N,Category!T$1,'2020'!$D:$D,Category!$C123)</f>
        <v>0</v>
      </c>
      <c r="U123" s="345">
        <f>SUMIFS('2020'!$I:$I,'2020'!$E:$E,Category!$B$121,'2020'!$N:$N,Category!U$1,'2020'!$D:$D,Category!$C123)</f>
        <v>0</v>
      </c>
      <c r="V123" s="345">
        <f>SUMIFS('2020'!$I:$I,'2020'!$E:$E,Category!$B$121,'2020'!$N:$N,Category!V$1,'2020'!$D:$D,Category!$C123)</f>
        <v>0</v>
      </c>
      <c r="W123" s="345">
        <f>SUMIFS('2020'!$I:$I,'2020'!$E:$E,Category!$B$121,'2020'!$N:$N,Category!W$1,'2020'!$D:$D,Category!$C123)</f>
        <v>0</v>
      </c>
      <c r="X123" s="346">
        <f t="shared" si="53"/>
        <v>0</v>
      </c>
      <c r="Y123" s="505">
        <f>IFERROR(VLOOKUP(C123,'2021'!$D:$G,4,0),0)</f>
        <v>64</v>
      </c>
      <c r="Z123" s="345">
        <f>SUMIFS('2021'!$I:$I,'2021'!$E:$E,Category!$B$121,'2021'!$N:$N,Category!Z$1,'2021'!$D:$D,Category!$C123)</f>
        <v>0</v>
      </c>
      <c r="AA123" s="345">
        <f>SUMIFS('2021'!$I:$I,'2021'!$E:$E,Category!$B$121,'2021'!$N:$N,Category!AA$1,'2021'!$D:$D,Category!$C123)</f>
        <v>0</v>
      </c>
      <c r="AB123" s="345">
        <f>SUMIFS('2021'!$I:$I,'2021'!$E:$E,Category!$B$121,'2021'!$N:$N,Category!AB$1,'2021'!$D:$D,Category!$C123)</f>
        <v>0</v>
      </c>
      <c r="AC123" s="345">
        <f>SUMIFS('2021'!$I:$I,'2021'!$E:$E,Category!$B$121,'2021'!$N:$N,Category!AC$1,'2021'!$D:$D,Category!$C123)</f>
        <v>0</v>
      </c>
      <c r="AD123" s="345">
        <f>SUMIFS('2021'!$I:$I,'2021'!$E:$E,Category!$B$121,'2021'!$N:$N,Category!AD$1,'2021'!$D:$D,Category!$C123)</f>
        <v>0</v>
      </c>
      <c r="AE123" s="345">
        <f>SUMIFS('2021'!$I:$I,'2021'!$E:$E,Category!$B$121,'2021'!$N:$N,Category!AE$1,'2021'!$D:$D,Category!$C123)</f>
        <v>0</v>
      </c>
      <c r="AF123" s="345">
        <f>SUMIFS('2021'!$I:$I,'2021'!$E:$E,Category!$B$121,'2021'!$N:$N,Category!AF$1,'2021'!$D:$D,Category!$C123)</f>
        <v>0</v>
      </c>
      <c r="AG123" s="345">
        <f>SUMIFS('2021'!$I:$I,'2021'!$E:$E,Category!$B$121,'2021'!$N:$N,Category!AG$1,'2021'!$D:$D,Category!$C123)</f>
        <v>10000000</v>
      </c>
      <c r="AH123" s="345">
        <f>SUMIFS('2021'!$I:$I,'2021'!$E:$E,Category!$B$121,'2021'!$N:$N,Category!AH$1,'2021'!$D:$D,Category!$C123)</f>
        <v>0</v>
      </c>
      <c r="AI123" s="345">
        <f>SUMIFS('2021'!$I:$I,'2021'!$E:$E,Category!$B$121,'2021'!$N:$N,Category!AI$1,'2021'!$D:$D,Category!$C123)</f>
        <v>20000000</v>
      </c>
      <c r="AJ123" s="345">
        <f>SUMIFS('2021'!$I:$I,'2021'!$E:$E,Category!$B$121,'2021'!$N:$N,Category!AJ$1,'2021'!$D:$D,Category!$C123)</f>
        <v>10000000</v>
      </c>
      <c r="AK123" s="345">
        <f>SUMIFS('2021'!$I:$I,'2021'!$E:$E,Category!$B$121,'2021'!$N:$N,Category!AK$1,'2021'!$D:$D,Category!$C123)</f>
        <v>10000000</v>
      </c>
      <c r="AL123" s="346">
        <f t="shared" si="54"/>
        <v>50000000</v>
      </c>
      <c r="AM123" s="505">
        <f>IFERROR(VLOOKUP(C123,'2022'!$D:$G,4,0),0)</f>
        <v>64</v>
      </c>
      <c r="AN123" s="345">
        <f>SUMIFS('2022'!$I:$I,'2022'!$E:$E,Category!$B$121,'2022'!$N:$N,Category!AN$1,'2022'!$D:$D,Category!$C123)</f>
        <v>10000000</v>
      </c>
      <c r="AO123" s="345">
        <f>SUMIFS('2022'!$I:$I,'2022'!$E:$E,Category!$B$121,'2022'!$N:$N,Category!AO$1,'2022'!$D:$D,Category!$C123)</f>
        <v>10000000</v>
      </c>
      <c r="AP123" s="345">
        <f>SUMIFS('2022'!$I:$I,'2022'!$E:$E,Category!$B$121,'2022'!$N:$N,Category!AP$1,'2022'!$D:$D,Category!$C123)</f>
        <v>10000000</v>
      </c>
      <c r="AQ123" s="345">
        <f>SUMIFS('2022'!$I:$I,'2022'!$E:$E,Category!$B$121,'2022'!$N:$N,Category!AQ$1,'2022'!$D:$D,Category!$C123)</f>
        <v>10000000</v>
      </c>
      <c r="AR123" s="345">
        <f>SUMIFS('2022'!$I:$I,'2022'!$E:$E,Category!$B$121,'2022'!$N:$N,Category!AR$1,'2022'!$D:$D,Category!$C123)</f>
        <v>10000000</v>
      </c>
      <c r="AS123" s="345">
        <f>SUMIFS('2022'!$I:$I,'2022'!$E:$E,Category!$B$121,'2022'!$N:$N,Category!AS$1,'2022'!$D:$D,Category!$C123)</f>
        <v>10000000</v>
      </c>
      <c r="AT123" s="345">
        <f>SUMIFS('2022'!$I:$I,'2022'!$E:$E,Category!$B$121,'2022'!$N:$N,Category!AT$1,'2022'!$D:$D,Category!$C123)</f>
        <v>10000000</v>
      </c>
      <c r="AU123" s="345">
        <f>SUMIFS('2022'!$I:$I,'2022'!$E:$E,Category!$B$121,'2022'!$N:$N,Category!AU$1,'2022'!$D:$D,Category!$C123)</f>
        <v>10000000</v>
      </c>
      <c r="AV123" s="345">
        <f>SUMIFS('2022'!$I:$I,'2022'!$E:$E,Category!$B$121,'2022'!$N:$N,Category!AV$1,'2022'!$D:$D,Category!$C123)</f>
        <v>10000000</v>
      </c>
      <c r="AW123" s="345">
        <f>SUMIFS('2022'!$I:$I,'2022'!$E:$E,Category!$B$121,'2022'!$N:$N,Category!AW$1,'2022'!$D:$D,Category!$C123)</f>
        <v>10000000</v>
      </c>
      <c r="AX123" s="345">
        <f>SUMIFS('2022'!$I:$I,'2022'!$E:$E,Category!$B$121,'2022'!$N:$N,Category!AX$1,'2022'!$D:$D,Category!$C123)</f>
        <v>10000000</v>
      </c>
      <c r="AY123" s="345">
        <f>SUMIFS('2022'!$I:$I,'2022'!$E:$E,Category!$B$121,'2022'!$N:$N,Category!AY$1,'2022'!$D:$D,Category!$C123)</f>
        <v>10000000</v>
      </c>
      <c r="AZ123" s="346">
        <f t="shared" si="55"/>
        <v>120000000</v>
      </c>
      <c r="BA123" s="505">
        <f>IFERROR(VLOOKUP(C123,'2023'!$D:$G,4,0),0)</f>
        <v>64</v>
      </c>
      <c r="BB123" s="345">
        <f>SUMIFS('2023'!$I:$I,'2023'!$E:$E,Category!$B$121,'2023'!$N:$N,Category!BB$1,'2023'!$D:$D,Category!$C123)</f>
        <v>10000000</v>
      </c>
      <c r="BC123" s="345">
        <f>SUMIFS('2023'!$I:$I,'2023'!$E:$E,Category!$B$121,'2023'!$N:$N,Category!BC$1,'2023'!$D:$D,Category!$C123)</f>
        <v>20000000</v>
      </c>
      <c r="BD123" s="345">
        <f>SUMIFS('2023'!$I:$I,'2023'!$E:$E,Category!$B$121,'2023'!$N:$N,Category!BD$1,'2023'!$D:$D,Category!$C123)</f>
        <v>0</v>
      </c>
      <c r="BE123" s="345">
        <f>SUMIFS('2023'!$I:$I,'2023'!$E:$E,Category!$B$121,'2023'!$N:$N,Category!BE$1,'2023'!$D:$D,Category!$C123)</f>
        <v>0</v>
      </c>
      <c r="BF123" s="345">
        <f>SUMIFS('2023'!$I:$I,'2023'!$E:$E,Category!$B$121,'2023'!$N:$N,Category!BF$1,'2023'!$D:$D,Category!$C123)</f>
        <v>0</v>
      </c>
      <c r="BG123" s="345">
        <f>SUMIFS('2023'!$I:$I,'2023'!$E:$E,Category!$B$121,'2023'!$N:$N,Category!BG$1,'2023'!$D:$D,Category!$C123)</f>
        <v>0</v>
      </c>
      <c r="BH123" s="345">
        <f>SUMIFS('2023'!$I:$I,'2023'!$E:$E,Category!$B$121,'2023'!$N:$N,Category!BH$1,'2023'!$D:$D,Category!$C123)</f>
        <v>0</v>
      </c>
      <c r="BI123" s="345">
        <f>SUMIFS('2023'!$I:$I,'2023'!$E:$E,Category!$B$121,'2023'!$N:$N,Category!BI$1,'2023'!$D:$D,Category!$C123)</f>
        <v>0</v>
      </c>
      <c r="BJ123" s="345">
        <f>SUMIFS('2023'!$I:$I,'2023'!$E:$E,Category!$B$121,'2023'!$N:$N,Category!BJ$1,'2023'!$D:$D,Category!$C123)</f>
        <v>0</v>
      </c>
      <c r="BK123" s="345">
        <f>SUMIFS('2023'!$I:$I,'2023'!$E:$E,Category!$B$121,'2023'!$N:$N,Category!BK$1,'2023'!$D:$D,Category!$C123)</f>
        <v>0</v>
      </c>
      <c r="BL123" s="345">
        <f>SUMIFS('2023'!$I:$I,'2023'!$E:$E,Category!$B$121,'2023'!$N:$N,Category!BL$1,'2023'!$D:$D,Category!$C123)</f>
        <v>0</v>
      </c>
      <c r="BM123" s="345">
        <f>SUMIFS('2023'!$I:$I,'2023'!$E:$E,Category!$B$121,'2023'!$N:$N,Category!BM$1,'2023'!$D:$D,Category!$C123)</f>
        <v>0</v>
      </c>
      <c r="BN123" s="346">
        <f t="shared" si="56"/>
        <v>30000000</v>
      </c>
    </row>
    <row r="124" spans="1:66" x14ac:dyDescent="0.25">
      <c r="A124" s="342"/>
      <c r="B124" s="343"/>
      <c r="C124" s="343" t="s">
        <v>410</v>
      </c>
      <c r="D124" s="522">
        <f>IFERROR(VLOOKUP($C124,'2019'!$D:$G,4,0),0)</f>
        <v>0</v>
      </c>
      <c r="E124" s="345">
        <f>SUMIFS('2019'!$I:$I,'2019'!$E:$E,Category!$B$121,'2019'!$N:$N,Category!E$1,'2019'!$D:$D,Category!$C124)</f>
        <v>0</v>
      </c>
      <c r="F124" s="345">
        <f>SUMIFS('2019'!$I:$I,'2019'!$E:$E,Category!$B$121,'2019'!$N:$N,Category!F$1,'2019'!$D:$D,Category!$C124)</f>
        <v>0</v>
      </c>
      <c r="G124" s="345">
        <f>SUMIFS('2019'!$I:$I,'2019'!$E:$E,Category!$B$121,'2019'!$N:$N,Category!G$1,'2019'!$D:$D,Category!$C124)</f>
        <v>0</v>
      </c>
      <c r="H124" s="345">
        <f>SUMIFS('2019'!$I:$I,'2019'!$E:$E,Category!$B$121,'2019'!$N:$N,Category!H$1,'2019'!$D:$D,Category!$C124)</f>
        <v>0</v>
      </c>
      <c r="I124" s="345">
        <f>SUMIFS('2019'!$I:$I,'2019'!$E:$E,Category!$B$121,'2019'!$N:$N,Category!I$1,'2019'!$D:$D,Category!$C124)</f>
        <v>0</v>
      </c>
      <c r="J124" s="346">
        <f t="shared" si="52"/>
        <v>0</v>
      </c>
      <c r="K124" s="505">
        <f>IFERROR(VLOOKUP($C124,'2020'!$D:$G,4,0),0)</f>
        <v>0</v>
      </c>
      <c r="L124" s="345">
        <f>SUMIFS('2020'!$I:$I,'2020'!$E:$E,Category!$B$121,'2020'!$N:$N,Category!L$1,'2020'!$D:$D,Category!$C124)</f>
        <v>0</v>
      </c>
      <c r="M124" s="345">
        <f>SUMIFS('2020'!$I:$I,'2020'!$E:$E,Category!$B$121,'2020'!$N:$N,Category!M$1,'2020'!$D:$D,Category!$C124)</f>
        <v>0</v>
      </c>
      <c r="N124" s="345">
        <f>SUMIFS('2020'!$I:$I,'2020'!$E:$E,Category!$B$121,'2020'!$N:$N,Category!N$1,'2020'!$D:$D,Category!$C124)</f>
        <v>0</v>
      </c>
      <c r="O124" s="345">
        <f>SUMIFS('2020'!$I:$I,'2020'!$E:$E,Category!$B$121,'2020'!$N:$N,Category!O$1,'2020'!$D:$D,Category!$C124)</f>
        <v>0</v>
      </c>
      <c r="P124" s="345">
        <f>SUMIFS('2020'!$I:$I,'2020'!$E:$E,Category!$B$121,'2020'!$N:$N,Category!P$1,'2020'!$D:$D,Category!$C124)</f>
        <v>0</v>
      </c>
      <c r="Q124" s="345">
        <f>SUMIFS('2020'!$I:$I,'2020'!$E:$E,Category!$B$121,'2020'!$N:$N,Category!Q$1,'2020'!$D:$D,Category!$C124)</f>
        <v>0</v>
      </c>
      <c r="R124" s="345">
        <f>SUMIFS('2020'!$I:$I,'2020'!$E:$E,Category!$B$121,'2020'!$N:$N,Category!R$1,'2020'!$D:$D,Category!$C124)</f>
        <v>0</v>
      </c>
      <c r="S124" s="345">
        <f>SUMIFS('2020'!$I:$I,'2020'!$E:$E,Category!$B$121,'2020'!$N:$N,Category!S$1,'2020'!$D:$D,Category!$C124)</f>
        <v>0</v>
      </c>
      <c r="T124" s="345">
        <f>SUMIFS('2020'!$I:$I,'2020'!$E:$E,Category!$B$121,'2020'!$N:$N,Category!T$1,'2020'!$D:$D,Category!$C124)</f>
        <v>0</v>
      </c>
      <c r="U124" s="345">
        <f>SUMIFS('2020'!$I:$I,'2020'!$E:$E,Category!$B$121,'2020'!$N:$N,Category!U$1,'2020'!$D:$D,Category!$C124)</f>
        <v>0</v>
      </c>
      <c r="V124" s="345">
        <f>SUMIFS('2020'!$I:$I,'2020'!$E:$E,Category!$B$121,'2020'!$N:$N,Category!V$1,'2020'!$D:$D,Category!$C124)</f>
        <v>0</v>
      </c>
      <c r="W124" s="345">
        <f>SUMIFS('2020'!$I:$I,'2020'!$E:$E,Category!$B$121,'2020'!$N:$N,Category!W$1,'2020'!$D:$D,Category!$C124)</f>
        <v>0</v>
      </c>
      <c r="X124" s="346">
        <f t="shared" si="53"/>
        <v>0</v>
      </c>
      <c r="Y124" s="505">
        <f>IFERROR(VLOOKUP(C124,'2021'!$D:$G,4,0),0)</f>
        <v>78</v>
      </c>
      <c r="Z124" s="345">
        <f>SUMIFS('2021'!$I:$I,'2021'!$E:$E,Category!$B$121,'2021'!$N:$N,Category!Z$1,'2021'!$D:$D,Category!$C124)</f>
        <v>0</v>
      </c>
      <c r="AA124" s="345">
        <f>SUMIFS('2021'!$I:$I,'2021'!$E:$E,Category!$B$121,'2021'!$N:$N,Category!AA$1,'2021'!$D:$D,Category!$C124)</f>
        <v>0</v>
      </c>
      <c r="AB124" s="345">
        <f>SUMIFS('2021'!$I:$I,'2021'!$E:$E,Category!$B$121,'2021'!$N:$N,Category!AB$1,'2021'!$D:$D,Category!$C124)</f>
        <v>0</v>
      </c>
      <c r="AC124" s="345">
        <f>SUMIFS('2021'!$I:$I,'2021'!$E:$E,Category!$B$121,'2021'!$N:$N,Category!AC$1,'2021'!$D:$D,Category!$C124)</f>
        <v>0</v>
      </c>
      <c r="AD124" s="345">
        <f>SUMIFS('2021'!$I:$I,'2021'!$E:$E,Category!$B$121,'2021'!$N:$N,Category!AD$1,'2021'!$D:$D,Category!$C124)</f>
        <v>0</v>
      </c>
      <c r="AE124" s="345">
        <f>SUMIFS('2021'!$I:$I,'2021'!$E:$E,Category!$B$121,'2021'!$N:$N,Category!AE$1,'2021'!$D:$D,Category!$C124)</f>
        <v>0</v>
      </c>
      <c r="AF124" s="345">
        <f>SUMIFS('2021'!$I:$I,'2021'!$E:$E,Category!$B$121,'2021'!$N:$N,Category!AF$1,'2021'!$D:$D,Category!$C124)</f>
        <v>0</v>
      </c>
      <c r="AG124" s="345">
        <f>SUMIFS('2021'!$I:$I,'2021'!$E:$E,Category!$B$121,'2021'!$N:$N,Category!AG$1,'2021'!$D:$D,Category!$C124)</f>
        <v>35000000</v>
      </c>
      <c r="AH124" s="345">
        <f>SUMIFS('2021'!$I:$I,'2021'!$E:$E,Category!$B$121,'2021'!$N:$N,Category!AH$1,'2021'!$D:$D,Category!$C124)</f>
        <v>0</v>
      </c>
      <c r="AI124" s="345">
        <f>SUMIFS('2021'!$I:$I,'2021'!$E:$E,Category!$B$121,'2021'!$N:$N,Category!AI$1,'2021'!$D:$D,Category!$C124)</f>
        <v>0</v>
      </c>
      <c r="AJ124" s="345">
        <f>SUMIFS('2021'!$I:$I,'2021'!$E:$E,Category!$B$121,'2021'!$N:$N,Category!AJ$1,'2021'!$D:$D,Category!$C124)</f>
        <v>15000000</v>
      </c>
      <c r="AK124" s="345">
        <f>SUMIFS('2021'!$I:$I,'2021'!$E:$E,Category!$B$121,'2021'!$N:$N,Category!AK$1,'2021'!$D:$D,Category!$C124)</f>
        <v>10000000</v>
      </c>
      <c r="AL124" s="346">
        <f t="shared" si="54"/>
        <v>60000000</v>
      </c>
      <c r="AM124" s="505">
        <f>IFERROR(VLOOKUP(C124,'2022'!$D:$G,4,0),0)</f>
        <v>78</v>
      </c>
      <c r="AN124" s="345">
        <f>SUMIFS('2022'!$I:$I,'2022'!$E:$E,Category!$B$121,'2022'!$N:$N,Category!AN$1,'2022'!$D:$D,Category!$C124)</f>
        <v>5000000</v>
      </c>
      <c r="AO124" s="345">
        <f>SUMIFS('2022'!$I:$I,'2022'!$E:$E,Category!$B$121,'2022'!$N:$N,Category!AO$1,'2022'!$D:$D,Category!$C124)</f>
        <v>5000000</v>
      </c>
      <c r="AP124" s="345">
        <f>SUMIFS('2022'!$I:$I,'2022'!$E:$E,Category!$B$121,'2022'!$N:$N,Category!AP$1,'2022'!$D:$D,Category!$C124)</f>
        <v>5000000</v>
      </c>
      <c r="AQ124" s="345">
        <f>SUMIFS('2022'!$I:$I,'2022'!$E:$E,Category!$B$121,'2022'!$N:$N,Category!AQ$1,'2022'!$D:$D,Category!$C124)</f>
        <v>0</v>
      </c>
      <c r="AR124" s="345">
        <f>SUMIFS('2022'!$I:$I,'2022'!$E:$E,Category!$B$121,'2022'!$N:$N,Category!AR$1,'2022'!$D:$D,Category!$C124)</f>
        <v>0</v>
      </c>
      <c r="AS124" s="345">
        <f>SUMIFS('2022'!$I:$I,'2022'!$E:$E,Category!$B$121,'2022'!$N:$N,Category!AS$1,'2022'!$D:$D,Category!$C124)</f>
        <v>0</v>
      </c>
      <c r="AT124" s="345">
        <f>SUMIFS('2022'!$I:$I,'2022'!$E:$E,Category!$B$121,'2022'!$N:$N,Category!AT$1,'2022'!$D:$D,Category!$C124)</f>
        <v>0</v>
      </c>
      <c r="AU124" s="345">
        <f>SUMIFS('2022'!$I:$I,'2022'!$E:$E,Category!$B$121,'2022'!$N:$N,Category!AU$1,'2022'!$D:$D,Category!$C124)</f>
        <v>0</v>
      </c>
      <c r="AV124" s="345">
        <f>SUMIFS('2022'!$I:$I,'2022'!$E:$E,Category!$B$121,'2022'!$N:$N,Category!AV$1,'2022'!$D:$D,Category!$C124)</f>
        <v>0</v>
      </c>
      <c r="AW124" s="345">
        <f>SUMIFS('2022'!$I:$I,'2022'!$E:$E,Category!$B$121,'2022'!$N:$N,Category!AW$1,'2022'!$D:$D,Category!$C124)</f>
        <v>0</v>
      </c>
      <c r="AX124" s="345">
        <f>SUMIFS('2022'!$I:$I,'2022'!$E:$E,Category!$B$121,'2022'!$N:$N,Category!AX$1,'2022'!$D:$D,Category!$C124)</f>
        <v>0</v>
      </c>
      <c r="AY124" s="345">
        <f>SUMIFS('2022'!$I:$I,'2022'!$E:$E,Category!$B$121,'2022'!$N:$N,Category!AY$1,'2022'!$D:$D,Category!$C124)</f>
        <v>0</v>
      </c>
      <c r="AZ124" s="346">
        <f t="shared" si="55"/>
        <v>15000000</v>
      </c>
      <c r="BA124" s="505">
        <f>IFERROR(VLOOKUP(C124,'2023'!$D:$G,4,0),0)</f>
        <v>0</v>
      </c>
      <c r="BB124" s="345">
        <f>SUMIFS('2023'!$I:$I,'2023'!$E:$E,Category!$B$121,'2023'!$N:$N,Category!BB$1,'2023'!$D:$D,Category!$C124)</f>
        <v>0</v>
      </c>
      <c r="BC124" s="345">
        <f>SUMIFS('2023'!$I:$I,'2023'!$E:$E,Category!$B$121,'2023'!$N:$N,Category!BC$1,'2023'!$D:$D,Category!$C124)</f>
        <v>0</v>
      </c>
      <c r="BD124" s="345">
        <f>SUMIFS('2023'!$I:$I,'2023'!$E:$E,Category!$B$121,'2023'!$N:$N,Category!BD$1,'2023'!$D:$D,Category!$C124)</f>
        <v>0</v>
      </c>
      <c r="BE124" s="345">
        <f>SUMIFS('2023'!$I:$I,'2023'!$E:$E,Category!$B$121,'2023'!$N:$N,Category!BE$1,'2023'!$D:$D,Category!$C124)</f>
        <v>0</v>
      </c>
      <c r="BF124" s="345">
        <f>SUMIFS('2023'!$I:$I,'2023'!$E:$E,Category!$B$121,'2023'!$N:$N,Category!BF$1,'2023'!$D:$D,Category!$C124)</f>
        <v>0</v>
      </c>
      <c r="BG124" s="345">
        <f>SUMIFS('2023'!$I:$I,'2023'!$E:$E,Category!$B$121,'2023'!$N:$N,Category!BG$1,'2023'!$D:$D,Category!$C124)</f>
        <v>0</v>
      </c>
      <c r="BH124" s="345">
        <f>SUMIFS('2023'!$I:$I,'2023'!$E:$E,Category!$B$121,'2023'!$N:$N,Category!BH$1,'2023'!$D:$D,Category!$C124)</f>
        <v>0</v>
      </c>
      <c r="BI124" s="345">
        <f>SUMIFS('2023'!$I:$I,'2023'!$E:$E,Category!$B$121,'2023'!$N:$N,Category!BI$1,'2023'!$D:$D,Category!$C124)</f>
        <v>0</v>
      </c>
      <c r="BJ124" s="345">
        <f>SUMIFS('2023'!$I:$I,'2023'!$E:$E,Category!$B$121,'2023'!$N:$N,Category!BJ$1,'2023'!$D:$D,Category!$C124)</f>
        <v>0</v>
      </c>
      <c r="BK124" s="345">
        <f>SUMIFS('2023'!$I:$I,'2023'!$E:$E,Category!$B$121,'2023'!$N:$N,Category!BK$1,'2023'!$D:$D,Category!$C124)</f>
        <v>0</v>
      </c>
      <c r="BL124" s="345">
        <f>SUMIFS('2023'!$I:$I,'2023'!$E:$E,Category!$B$121,'2023'!$N:$N,Category!BL$1,'2023'!$D:$D,Category!$C124)</f>
        <v>0</v>
      </c>
      <c r="BM124" s="345">
        <f>SUMIFS('2023'!$I:$I,'2023'!$E:$E,Category!$B$121,'2023'!$N:$N,Category!BM$1,'2023'!$D:$D,Category!$C124)</f>
        <v>0</v>
      </c>
      <c r="BN124" s="346">
        <f t="shared" si="56"/>
        <v>0</v>
      </c>
    </row>
    <row r="125" spans="1:66" x14ac:dyDescent="0.25">
      <c r="A125" s="342"/>
      <c r="B125" s="343"/>
      <c r="C125" s="343" t="s">
        <v>413</v>
      </c>
      <c r="D125" s="522">
        <f>IFERROR(VLOOKUP($C125,'2019'!$D:$G,4,0),0)</f>
        <v>0</v>
      </c>
      <c r="E125" s="345">
        <f>SUMIFS('2019'!$I:$I,'2019'!$E:$E,Category!$B$121,'2019'!$N:$N,Category!E$1,'2019'!$D:$D,Category!$C125)</f>
        <v>0</v>
      </c>
      <c r="F125" s="345">
        <f>SUMIFS('2019'!$I:$I,'2019'!$E:$E,Category!$B$121,'2019'!$N:$N,Category!F$1,'2019'!$D:$D,Category!$C125)</f>
        <v>0</v>
      </c>
      <c r="G125" s="345">
        <f>SUMIFS('2019'!$I:$I,'2019'!$E:$E,Category!$B$121,'2019'!$N:$N,Category!G$1,'2019'!$D:$D,Category!$C125)</f>
        <v>0</v>
      </c>
      <c r="H125" s="345">
        <f>SUMIFS('2019'!$I:$I,'2019'!$E:$E,Category!$B$121,'2019'!$N:$N,Category!H$1,'2019'!$D:$D,Category!$C125)</f>
        <v>0</v>
      </c>
      <c r="I125" s="345">
        <f>SUMIFS('2019'!$I:$I,'2019'!$E:$E,Category!$B$121,'2019'!$N:$N,Category!I$1,'2019'!$D:$D,Category!$C125)</f>
        <v>0</v>
      </c>
      <c r="J125" s="346">
        <f t="shared" si="52"/>
        <v>0</v>
      </c>
      <c r="K125" s="505">
        <f>IFERROR(VLOOKUP($C125,'2020'!$D:$G,4,0),0)</f>
        <v>6</v>
      </c>
      <c r="L125" s="345">
        <f>SUMIFS('2020'!$I:$I,'2020'!$E:$E,Category!$B$121,'2020'!$N:$N,Category!L$1,'2020'!$D:$D,Category!$C125)</f>
        <v>0</v>
      </c>
      <c r="M125" s="345">
        <f>SUMIFS('2020'!$I:$I,'2020'!$E:$E,Category!$B$121,'2020'!$N:$N,Category!M$1,'2020'!$D:$D,Category!$C125)</f>
        <v>0</v>
      </c>
      <c r="N125" s="345">
        <f>SUMIFS('2020'!$I:$I,'2020'!$E:$E,Category!$B$121,'2020'!$N:$N,Category!N$1,'2020'!$D:$D,Category!$C125)</f>
        <v>0</v>
      </c>
      <c r="O125" s="345">
        <f>SUMIFS('2020'!$I:$I,'2020'!$E:$E,Category!$B$121,'2020'!$N:$N,Category!O$1,'2020'!$D:$D,Category!$C125)</f>
        <v>0</v>
      </c>
      <c r="P125" s="345">
        <f>SUMIFS('2020'!$I:$I,'2020'!$E:$E,Category!$B$121,'2020'!$N:$N,Category!P$1,'2020'!$D:$D,Category!$C125)</f>
        <v>0</v>
      </c>
      <c r="Q125" s="345">
        <f>SUMIFS('2020'!$I:$I,'2020'!$E:$E,Category!$B$121,'2020'!$N:$N,Category!Q$1,'2020'!$D:$D,Category!$C125)</f>
        <v>0</v>
      </c>
      <c r="R125" s="345">
        <f>SUMIFS('2020'!$I:$I,'2020'!$E:$E,Category!$B$121,'2020'!$N:$N,Category!R$1,'2020'!$D:$D,Category!$C125)</f>
        <v>0</v>
      </c>
      <c r="S125" s="345">
        <f>SUMIFS('2020'!$I:$I,'2020'!$E:$E,Category!$B$121,'2020'!$N:$N,Category!S$1,'2020'!$D:$D,Category!$C125)</f>
        <v>0</v>
      </c>
      <c r="T125" s="345">
        <f>SUMIFS('2020'!$I:$I,'2020'!$E:$E,Category!$B$121,'2020'!$N:$N,Category!T$1,'2020'!$D:$D,Category!$C125)</f>
        <v>30000000</v>
      </c>
      <c r="U125" s="345">
        <f>SUMIFS('2020'!$I:$I,'2020'!$E:$E,Category!$B$121,'2020'!$N:$N,Category!U$1,'2020'!$D:$D,Category!$C125)</f>
        <v>0</v>
      </c>
      <c r="V125" s="345">
        <f>SUMIFS('2020'!$I:$I,'2020'!$E:$E,Category!$B$121,'2020'!$N:$N,Category!V$1,'2020'!$D:$D,Category!$C125)</f>
        <v>0</v>
      </c>
      <c r="W125" s="345">
        <f>SUMIFS('2020'!$I:$I,'2020'!$E:$E,Category!$B$121,'2020'!$N:$N,Category!W$1,'2020'!$D:$D,Category!$C125)</f>
        <v>0</v>
      </c>
      <c r="X125" s="346">
        <f t="shared" si="53"/>
        <v>30000000</v>
      </c>
      <c r="Y125" s="505">
        <f>IFERROR(VLOOKUP(C125,'2021'!$D:$G,4,0),0)</f>
        <v>8</v>
      </c>
      <c r="Z125" s="345">
        <f>SUMIFS('2021'!$I:$I,'2021'!$E:$E,Category!$B$121,'2021'!$N:$N,Category!Z$1,'2021'!$D:$D,Category!$C125)</f>
        <v>0</v>
      </c>
      <c r="AA125" s="345">
        <f>SUMIFS('2021'!$I:$I,'2021'!$E:$E,Category!$B$121,'2021'!$N:$N,Category!AA$1,'2021'!$D:$D,Category!$C125)</f>
        <v>26400000</v>
      </c>
      <c r="AB125" s="345">
        <f>SUMIFS('2021'!$I:$I,'2021'!$E:$E,Category!$B$121,'2021'!$N:$N,Category!AB$1,'2021'!$D:$D,Category!$C125)</f>
        <v>0</v>
      </c>
      <c r="AC125" s="345">
        <f>SUMIFS('2021'!$I:$I,'2021'!$E:$E,Category!$B$121,'2021'!$N:$N,Category!AC$1,'2021'!$D:$D,Category!$C125)</f>
        <v>0</v>
      </c>
      <c r="AD125" s="345">
        <f>SUMIFS('2021'!$I:$I,'2021'!$E:$E,Category!$B$121,'2021'!$N:$N,Category!AD$1,'2021'!$D:$D,Category!$C125)</f>
        <v>0</v>
      </c>
      <c r="AE125" s="345">
        <f>SUMIFS('2021'!$I:$I,'2021'!$E:$E,Category!$B$121,'2021'!$N:$N,Category!AE$1,'2021'!$D:$D,Category!$C125)</f>
        <v>0</v>
      </c>
      <c r="AF125" s="345">
        <f>SUMIFS('2021'!$I:$I,'2021'!$E:$E,Category!$B$121,'2021'!$N:$N,Category!AF$1,'2021'!$D:$D,Category!$C125)</f>
        <v>0</v>
      </c>
      <c r="AG125" s="345">
        <f>SUMIFS('2021'!$I:$I,'2021'!$E:$E,Category!$B$121,'2021'!$N:$N,Category!AG$1,'2021'!$D:$D,Category!$C125)</f>
        <v>10000000</v>
      </c>
      <c r="AH125" s="345">
        <f>SUMIFS('2021'!$I:$I,'2021'!$E:$E,Category!$B$121,'2021'!$N:$N,Category!AH$1,'2021'!$D:$D,Category!$C125)</f>
        <v>0</v>
      </c>
      <c r="AI125" s="345">
        <f>SUMIFS('2021'!$I:$I,'2021'!$E:$E,Category!$B$121,'2021'!$N:$N,Category!AI$1,'2021'!$D:$D,Category!$C125)</f>
        <v>20000000</v>
      </c>
      <c r="AJ125" s="345">
        <f>SUMIFS('2021'!$I:$I,'2021'!$E:$E,Category!$B$121,'2021'!$N:$N,Category!AJ$1,'2021'!$D:$D,Category!$C125)</f>
        <v>0</v>
      </c>
      <c r="AK125" s="345">
        <f>SUMIFS('2021'!$I:$I,'2021'!$E:$E,Category!$B$121,'2021'!$N:$N,Category!AK$1,'2021'!$D:$D,Category!$C125)</f>
        <v>20000000</v>
      </c>
      <c r="AL125" s="346">
        <f t="shared" si="54"/>
        <v>76400000</v>
      </c>
      <c r="AM125" s="505">
        <f>IFERROR(VLOOKUP(C125,'2022'!$D:$G,4,0),0)</f>
        <v>16</v>
      </c>
      <c r="AN125" s="345">
        <f>SUMIFS('2022'!$I:$I,'2022'!$E:$E,Category!$B$121,'2022'!$N:$N,Category!AN$1,'2022'!$D:$D,Category!$C125)</f>
        <v>10000000</v>
      </c>
      <c r="AO125" s="345">
        <f>SUMIFS('2022'!$I:$I,'2022'!$E:$E,Category!$B$121,'2022'!$N:$N,Category!AO$1,'2022'!$D:$D,Category!$C125)</f>
        <v>10000000</v>
      </c>
      <c r="AP125" s="345">
        <f>SUMIFS('2022'!$I:$I,'2022'!$E:$E,Category!$B$121,'2022'!$N:$N,Category!AP$1,'2022'!$D:$D,Category!$C125)</f>
        <v>10000000</v>
      </c>
      <c r="AQ125" s="345">
        <f>SUMIFS('2022'!$I:$I,'2022'!$E:$E,Category!$B$121,'2022'!$N:$N,Category!AQ$1,'2022'!$D:$D,Category!$C125)</f>
        <v>10000000</v>
      </c>
      <c r="AR125" s="345">
        <f>SUMIFS('2022'!$I:$I,'2022'!$E:$E,Category!$B$121,'2022'!$N:$N,Category!AR$1,'2022'!$D:$D,Category!$C125)</f>
        <v>10000000</v>
      </c>
      <c r="AS125" s="345">
        <f>SUMIFS('2022'!$I:$I,'2022'!$E:$E,Category!$B$121,'2022'!$N:$N,Category!AS$1,'2022'!$D:$D,Category!$C125)</f>
        <v>10000000</v>
      </c>
      <c r="AT125" s="345">
        <f>SUMIFS('2022'!$I:$I,'2022'!$E:$E,Category!$B$121,'2022'!$N:$N,Category!AT$1,'2022'!$D:$D,Category!$C125)</f>
        <v>10000000</v>
      </c>
      <c r="AU125" s="345">
        <f>SUMIFS('2022'!$I:$I,'2022'!$E:$E,Category!$B$121,'2022'!$N:$N,Category!AU$1,'2022'!$D:$D,Category!$C125)</f>
        <v>10000000</v>
      </c>
      <c r="AV125" s="345">
        <f>SUMIFS('2022'!$I:$I,'2022'!$E:$E,Category!$B$121,'2022'!$N:$N,Category!AV$1,'2022'!$D:$D,Category!$C125)</f>
        <v>10000000</v>
      </c>
      <c r="AW125" s="345">
        <f>SUMIFS('2022'!$I:$I,'2022'!$E:$E,Category!$B$121,'2022'!$N:$N,Category!AW$1,'2022'!$D:$D,Category!$C125)</f>
        <v>10000000</v>
      </c>
      <c r="AX125" s="345">
        <f>SUMIFS('2022'!$I:$I,'2022'!$E:$E,Category!$B$121,'2022'!$N:$N,Category!AX$1,'2022'!$D:$D,Category!$C125)</f>
        <v>10000000</v>
      </c>
      <c r="AY125" s="345">
        <f>SUMIFS('2022'!$I:$I,'2022'!$E:$E,Category!$B$121,'2022'!$N:$N,Category!AY$1,'2022'!$D:$D,Category!$C125)</f>
        <v>10000000</v>
      </c>
      <c r="AZ125" s="346">
        <f t="shared" si="55"/>
        <v>120000000</v>
      </c>
      <c r="BA125" s="505">
        <f>IFERROR(VLOOKUP(C125,'2023'!$D:$G,4,0),0)</f>
        <v>22</v>
      </c>
      <c r="BB125" s="345">
        <f>SUMIFS('2023'!$I:$I,'2023'!$E:$E,Category!$B$121,'2023'!$N:$N,Category!BB$1,'2023'!$D:$D,Category!$C125)</f>
        <v>10000000</v>
      </c>
      <c r="BC125" s="345">
        <f>SUMIFS('2023'!$I:$I,'2023'!$E:$E,Category!$B$121,'2023'!$N:$N,Category!BC$1,'2023'!$D:$D,Category!$C125)</f>
        <v>10000000</v>
      </c>
      <c r="BD125" s="345">
        <f>SUMIFS('2023'!$I:$I,'2023'!$E:$E,Category!$B$121,'2023'!$N:$N,Category!BD$1,'2023'!$D:$D,Category!$C125)</f>
        <v>0</v>
      </c>
      <c r="BE125" s="345">
        <f>SUMIFS('2023'!$I:$I,'2023'!$E:$E,Category!$B$121,'2023'!$N:$N,Category!BE$1,'2023'!$D:$D,Category!$C125)</f>
        <v>0</v>
      </c>
      <c r="BF125" s="345">
        <f>SUMIFS('2023'!$I:$I,'2023'!$E:$E,Category!$B$121,'2023'!$N:$N,Category!BF$1,'2023'!$D:$D,Category!$C125)</f>
        <v>0</v>
      </c>
      <c r="BG125" s="345">
        <f>SUMIFS('2023'!$I:$I,'2023'!$E:$E,Category!$B$121,'2023'!$N:$N,Category!BG$1,'2023'!$D:$D,Category!$C125)</f>
        <v>0</v>
      </c>
      <c r="BH125" s="345">
        <f>SUMIFS('2023'!$I:$I,'2023'!$E:$E,Category!$B$121,'2023'!$N:$N,Category!BH$1,'2023'!$D:$D,Category!$C125)</f>
        <v>0</v>
      </c>
      <c r="BI125" s="345">
        <f>SUMIFS('2023'!$I:$I,'2023'!$E:$E,Category!$B$121,'2023'!$N:$N,Category!BI$1,'2023'!$D:$D,Category!$C125)</f>
        <v>0</v>
      </c>
      <c r="BJ125" s="345">
        <f>SUMIFS('2023'!$I:$I,'2023'!$E:$E,Category!$B$121,'2023'!$N:$N,Category!BJ$1,'2023'!$D:$D,Category!$C125)</f>
        <v>0</v>
      </c>
      <c r="BK125" s="345">
        <f>SUMIFS('2023'!$I:$I,'2023'!$E:$E,Category!$B$121,'2023'!$N:$N,Category!BK$1,'2023'!$D:$D,Category!$C125)</f>
        <v>0</v>
      </c>
      <c r="BL125" s="345">
        <f>SUMIFS('2023'!$I:$I,'2023'!$E:$E,Category!$B$121,'2023'!$N:$N,Category!BL$1,'2023'!$D:$D,Category!$C125)</f>
        <v>0</v>
      </c>
      <c r="BM125" s="345">
        <f>SUMIFS('2023'!$I:$I,'2023'!$E:$E,Category!$B$121,'2023'!$N:$N,Category!BM$1,'2023'!$D:$D,Category!$C125)</f>
        <v>0</v>
      </c>
      <c r="BN125" s="346">
        <f t="shared" si="56"/>
        <v>20000000</v>
      </c>
    </row>
    <row r="126" spans="1:66" x14ac:dyDescent="0.25">
      <c r="A126" s="342"/>
      <c r="B126" s="343"/>
      <c r="C126" s="343" t="s">
        <v>420</v>
      </c>
      <c r="D126" s="522">
        <f>IFERROR(VLOOKUP($C126,'2019'!$D:$G,4,0),0)</f>
        <v>0</v>
      </c>
      <c r="E126" s="345">
        <f>SUMIFS('2019'!$I:$I,'2019'!$E:$E,Category!$B$121,'2019'!$N:$N,Category!E$1,'2019'!$D:$D,Category!$C126)</f>
        <v>0</v>
      </c>
      <c r="F126" s="345">
        <f>SUMIFS('2019'!$I:$I,'2019'!$E:$E,Category!$B$121,'2019'!$N:$N,Category!F$1,'2019'!$D:$D,Category!$C126)</f>
        <v>0</v>
      </c>
      <c r="G126" s="345">
        <f>SUMIFS('2019'!$I:$I,'2019'!$E:$E,Category!$B$121,'2019'!$N:$N,Category!G$1,'2019'!$D:$D,Category!$C126)</f>
        <v>0</v>
      </c>
      <c r="H126" s="345">
        <f>SUMIFS('2019'!$I:$I,'2019'!$E:$E,Category!$B$121,'2019'!$N:$N,Category!H$1,'2019'!$D:$D,Category!$C126)</f>
        <v>0</v>
      </c>
      <c r="I126" s="345">
        <f>SUMIFS('2019'!$I:$I,'2019'!$E:$E,Category!$B$121,'2019'!$N:$N,Category!I$1,'2019'!$D:$D,Category!$C126)</f>
        <v>0</v>
      </c>
      <c r="J126" s="346">
        <f t="shared" si="52"/>
        <v>0</v>
      </c>
      <c r="K126" s="505">
        <f>IFERROR(VLOOKUP($C126,'2020'!$D:$G,4,0),0)</f>
        <v>0</v>
      </c>
      <c r="L126" s="345">
        <f>SUMIFS('2020'!$I:$I,'2020'!$E:$E,Category!$B$121,'2020'!$N:$N,Category!L$1,'2020'!$D:$D,Category!$C126)</f>
        <v>0</v>
      </c>
      <c r="M126" s="345">
        <f>SUMIFS('2020'!$I:$I,'2020'!$E:$E,Category!$B$121,'2020'!$N:$N,Category!M$1,'2020'!$D:$D,Category!$C126)</f>
        <v>0</v>
      </c>
      <c r="N126" s="345">
        <f>SUMIFS('2020'!$I:$I,'2020'!$E:$E,Category!$B$121,'2020'!$N:$N,Category!N$1,'2020'!$D:$D,Category!$C126)</f>
        <v>0</v>
      </c>
      <c r="O126" s="345">
        <f>SUMIFS('2020'!$I:$I,'2020'!$E:$E,Category!$B$121,'2020'!$N:$N,Category!O$1,'2020'!$D:$D,Category!$C126)</f>
        <v>0</v>
      </c>
      <c r="P126" s="345">
        <f>SUMIFS('2020'!$I:$I,'2020'!$E:$E,Category!$B$121,'2020'!$N:$N,Category!P$1,'2020'!$D:$D,Category!$C126)</f>
        <v>0</v>
      </c>
      <c r="Q126" s="345">
        <f>SUMIFS('2020'!$I:$I,'2020'!$E:$E,Category!$B$121,'2020'!$N:$N,Category!Q$1,'2020'!$D:$D,Category!$C126)</f>
        <v>0</v>
      </c>
      <c r="R126" s="345">
        <f>SUMIFS('2020'!$I:$I,'2020'!$E:$E,Category!$B$121,'2020'!$N:$N,Category!R$1,'2020'!$D:$D,Category!$C126)</f>
        <v>0</v>
      </c>
      <c r="S126" s="345">
        <f>SUMIFS('2020'!$I:$I,'2020'!$E:$E,Category!$B$121,'2020'!$N:$N,Category!S$1,'2020'!$D:$D,Category!$C126)</f>
        <v>0</v>
      </c>
      <c r="T126" s="345">
        <f>SUMIFS('2020'!$I:$I,'2020'!$E:$E,Category!$B$121,'2020'!$N:$N,Category!T$1,'2020'!$D:$D,Category!$C126)</f>
        <v>0</v>
      </c>
      <c r="U126" s="345">
        <f>SUMIFS('2020'!$I:$I,'2020'!$E:$E,Category!$B$121,'2020'!$N:$N,Category!U$1,'2020'!$D:$D,Category!$C126)</f>
        <v>0</v>
      </c>
      <c r="V126" s="345">
        <f>SUMIFS('2020'!$I:$I,'2020'!$E:$E,Category!$B$121,'2020'!$N:$N,Category!V$1,'2020'!$D:$D,Category!$C126)</f>
        <v>0</v>
      </c>
      <c r="W126" s="345">
        <f>SUMIFS('2020'!$I:$I,'2020'!$E:$E,Category!$B$121,'2020'!$N:$N,Category!W$1,'2020'!$D:$D,Category!$C126)</f>
        <v>0</v>
      </c>
      <c r="X126" s="346">
        <f t="shared" si="53"/>
        <v>0</v>
      </c>
      <c r="Y126" s="505">
        <f>IFERROR(VLOOKUP(C126,'2021'!$D:$G,4,0),0)</f>
        <v>29</v>
      </c>
      <c r="Z126" s="345">
        <f>SUMIFS('2021'!$I:$I,'2021'!$E:$E,Category!$B$121,'2021'!$N:$N,Category!Z$1,'2021'!$D:$D,Category!$C126)</f>
        <v>0</v>
      </c>
      <c r="AA126" s="345">
        <f>SUMIFS('2021'!$I:$I,'2021'!$E:$E,Category!$B$121,'2021'!$N:$N,Category!AA$1,'2021'!$D:$D,Category!$C126)</f>
        <v>0</v>
      </c>
      <c r="AB126" s="345">
        <f>SUMIFS('2021'!$I:$I,'2021'!$E:$E,Category!$B$121,'2021'!$N:$N,Category!AB$1,'2021'!$D:$D,Category!$C126)</f>
        <v>0</v>
      </c>
      <c r="AC126" s="345">
        <f>SUMIFS('2021'!$I:$I,'2021'!$E:$E,Category!$B$121,'2021'!$N:$N,Category!AC$1,'2021'!$D:$D,Category!$C126)</f>
        <v>0</v>
      </c>
      <c r="AD126" s="345">
        <f>SUMIFS('2021'!$I:$I,'2021'!$E:$E,Category!$B$121,'2021'!$N:$N,Category!AD$1,'2021'!$D:$D,Category!$C126)</f>
        <v>0</v>
      </c>
      <c r="AE126" s="345">
        <f>SUMIFS('2021'!$I:$I,'2021'!$E:$E,Category!$B$121,'2021'!$N:$N,Category!AE$1,'2021'!$D:$D,Category!$C126)</f>
        <v>0</v>
      </c>
      <c r="AF126" s="345">
        <f>SUMIFS('2021'!$I:$I,'2021'!$E:$E,Category!$B$121,'2021'!$N:$N,Category!AF$1,'2021'!$D:$D,Category!$C126)</f>
        <v>10000000</v>
      </c>
      <c r="AG126" s="345">
        <f>SUMIFS('2021'!$I:$I,'2021'!$E:$E,Category!$B$121,'2021'!$N:$N,Category!AG$1,'2021'!$D:$D,Category!$C126)</f>
        <v>10000000</v>
      </c>
      <c r="AH126" s="345">
        <f>SUMIFS('2021'!$I:$I,'2021'!$E:$E,Category!$B$121,'2021'!$N:$N,Category!AH$1,'2021'!$D:$D,Category!$C126)</f>
        <v>0</v>
      </c>
      <c r="AI126" s="345">
        <f>SUMIFS('2021'!$I:$I,'2021'!$E:$E,Category!$B$121,'2021'!$N:$N,Category!AI$1,'2021'!$D:$D,Category!$C126)</f>
        <v>20000000</v>
      </c>
      <c r="AJ126" s="345">
        <f>SUMIFS('2021'!$I:$I,'2021'!$E:$E,Category!$B$121,'2021'!$N:$N,Category!AJ$1,'2021'!$D:$D,Category!$C126)</f>
        <v>10000000</v>
      </c>
      <c r="AK126" s="345">
        <f>SUMIFS('2021'!$I:$I,'2021'!$E:$E,Category!$B$121,'2021'!$N:$N,Category!AK$1,'2021'!$D:$D,Category!$C126)</f>
        <v>10000000</v>
      </c>
      <c r="AL126" s="346">
        <f t="shared" ref="AL126:AL131" si="57">SUM(Z126:AK126)</f>
        <v>60000000</v>
      </c>
      <c r="AM126" s="505">
        <f>IFERROR(VLOOKUP(C126,'2022'!$D:$G,4,0),0)</f>
        <v>29</v>
      </c>
      <c r="AN126" s="345">
        <f>SUMIFS('2022'!$I:$I,'2022'!$E:$E,Category!$B$121,'2022'!$N:$N,Category!AN$1,'2022'!$D:$D,Category!$C126)</f>
        <v>10000000</v>
      </c>
      <c r="AO126" s="345">
        <f>SUMIFS('2022'!$I:$I,'2022'!$E:$E,Category!$B$121,'2022'!$N:$N,Category!AO$1,'2022'!$D:$D,Category!$C126)</f>
        <v>10000000</v>
      </c>
      <c r="AP126" s="345">
        <f>SUMIFS('2022'!$I:$I,'2022'!$E:$E,Category!$B$121,'2022'!$N:$N,Category!AP$1,'2022'!$D:$D,Category!$C126)</f>
        <v>10000000</v>
      </c>
      <c r="AQ126" s="345">
        <f>SUMIFS('2022'!$I:$I,'2022'!$E:$E,Category!$B$121,'2022'!$N:$N,Category!AQ$1,'2022'!$D:$D,Category!$C126)</f>
        <v>10000000</v>
      </c>
      <c r="AR126" s="345">
        <f>SUMIFS('2022'!$I:$I,'2022'!$E:$E,Category!$B$121,'2022'!$N:$N,Category!AR$1,'2022'!$D:$D,Category!$C126)</f>
        <v>10000000</v>
      </c>
      <c r="AS126" s="345">
        <f>SUMIFS('2022'!$I:$I,'2022'!$E:$E,Category!$B$121,'2022'!$N:$N,Category!AS$1,'2022'!$D:$D,Category!$C126)</f>
        <v>10000000</v>
      </c>
      <c r="AT126" s="345">
        <f>SUMIFS('2022'!$I:$I,'2022'!$E:$E,Category!$B$121,'2022'!$N:$N,Category!AT$1,'2022'!$D:$D,Category!$C126)</f>
        <v>10000000</v>
      </c>
      <c r="AU126" s="345">
        <f>SUMIFS('2022'!$I:$I,'2022'!$E:$E,Category!$B$121,'2022'!$N:$N,Category!AU$1,'2022'!$D:$D,Category!$C126)</f>
        <v>10000000</v>
      </c>
      <c r="AV126" s="345">
        <f>SUMIFS('2022'!$I:$I,'2022'!$E:$E,Category!$B$121,'2022'!$N:$N,Category!AV$1,'2022'!$D:$D,Category!$C126)</f>
        <v>10000000</v>
      </c>
      <c r="AW126" s="345">
        <f>SUMIFS('2022'!$I:$I,'2022'!$E:$E,Category!$B$121,'2022'!$N:$N,Category!AW$1,'2022'!$D:$D,Category!$C126)</f>
        <v>10000000</v>
      </c>
      <c r="AX126" s="345">
        <f>SUMIFS('2022'!$I:$I,'2022'!$E:$E,Category!$B$121,'2022'!$N:$N,Category!AX$1,'2022'!$D:$D,Category!$C126)</f>
        <v>10000000</v>
      </c>
      <c r="AY126" s="345">
        <f>SUMIFS('2022'!$I:$I,'2022'!$E:$E,Category!$B$121,'2022'!$N:$N,Category!AY$1,'2022'!$D:$D,Category!$C126)</f>
        <v>10000000</v>
      </c>
      <c r="AZ126" s="346">
        <f t="shared" si="55"/>
        <v>120000000</v>
      </c>
      <c r="BA126" s="505">
        <f>IFERROR(VLOOKUP(C126,'2023'!$D:$G,4,0),0)</f>
        <v>29</v>
      </c>
      <c r="BB126" s="345">
        <f>SUMIFS('2023'!$I:$I,'2023'!$E:$E,Category!$B$121,'2023'!$N:$N,Category!BB$1,'2023'!$D:$D,Category!$C126)</f>
        <v>10000000</v>
      </c>
      <c r="BC126" s="345">
        <f>SUMIFS('2023'!$I:$I,'2023'!$E:$E,Category!$B$121,'2023'!$N:$N,Category!BC$1,'2023'!$D:$D,Category!$C126)</f>
        <v>10000000</v>
      </c>
      <c r="BD126" s="345">
        <f>SUMIFS('2023'!$I:$I,'2023'!$E:$E,Category!$B$121,'2023'!$N:$N,Category!BD$1,'2023'!$D:$D,Category!$C126)</f>
        <v>0</v>
      </c>
      <c r="BE126" s="345">
        <f>SUMIFS('2023'!$I:$I,'2023'!$E:$E,Category!$B$121,'2023'!$N:$N,Category!BE$1,'2023'!$D:$D,Category!$C126)</f>
        <v>0</v>
      </c>
      <c r="BF126" s="345">
        <f>SUMIFS('2023'!$I:$I,'2023'!$E:$E,Category!$B$121,'2023'!$N:$N,Category!BF$1,'2023'!$D:$D,Category!$C126)</f>
        <v>0</v>
      </c>
      <c r="BG126" s="345">
        <f>SUMIFS('2023'!$I:$I,'2023'!$E:$E,Category!$B$121,'2023'!$N:$N,Category!BG$1,'2023'!$D:$D,Category!$C126)</f>
        <v>0</v>
      </c>
      <c r="BH126" s="345">
        <f>SUMIFS('2023'!$I:$I,'2023'!$E:$E,Category!$B$121,'2023'!$N:$N,Category!BH$1,'2023'!$D:$D,Category!$C126)</f>
        <v>0</v>
      </c>
      <c r="BI126" s="345">
        <f>SUMIFS('2023'!$I:$I,'2023'!$E:$E,Category!$B$121,'2023'!$N:$N,Category!BI$1,'2023'!$D:$D,Category!$C126)</f>
        <v>0</v>
      </c>
      <c r="BJ126" s="345">
        <f>SUMIFS('2023'!$I:$I,'2023'!$E:$E,Category!$B$121,'2023'!$N:$N,Category!BJ$1,'2023'!$D:$D,Category!$C126)</f>
        <v>0</v>
      </c>
      <c r="BK126" s="345">
        <f>SUMIFS('2023'!$I:$I,'2023'!$E:$E,Category!$B$121,'2023'!$N:$N,Category!BK$1,'2023'!$D:$D,Category!$C126)</f>
        <v>0</v>
      </c>
      <c r="BL126" s="345">
        <f>SUMIFS('2023'!$I:$I,'2023'!$E:$E,Category!$B$121,'2023'!$N:$N,Category!BL$1,'2023'!$D:$D,Category!$C126)</f>
        <v>0</v>
      </c>
      <c r="BM126" s="345">
        <f>SUMIFS('2023'!$I:$I,'2023'!$E:$E,Category!$B$121,'2023'!$N:$N,Category!BM$1,'2023'!$D:$D,Category!$C126)</f>
        <v>0</v>
      </c>
      <c r="BN126" s="346">
        <f t="shared" si="56"/>
        <v>20000000</v>
      </c>
    </row>
    <row r="127" spans="1:66" x14ac:dyDescent="0.25">
      <c r="A127" s="342"/>
      <c r="B127" s="343"/>
      <c r="C127" s="343" t="s">
        <v>423</v>
      </c>
      <c r="D127" s="522">
        <f>IFERROR(VLOOKUP($C127,'2019'!$D:$G,4,0),0)</f>
        <v>0</v>
      </c>
      <c r="E127" s="345">
        <f>SUMIFS('2019'!$I:$I,'2019'!$E:$E,Category!$B$121,'2019'!$N:$N,Category!E$1,'2019'!$D:$D,Category!$C127)</f>
        <v>0</v>
      </c>
      <c r="F127" s="345">
        <f>SUMIFS('2019'!$I:$I,'2019'!$E:$E,Category!$B$121,'2019'!$N:$N,Category!F$1,'2019'!$D:$D,Category!$C127)</f>
        <v>0</v>
      </c>
      <c r="G127" s="345">
        <f>SUMIFS('2019'!$I:$I,'2019'!$E:$E,Category!$B$121,'2019'!$N:$N,Category!G$1,'2019'!$D:$D,Category!$C127)</f>
        <v>0</v>
      </c>
      <c r="H127" s="345">
        <f>SUMIFS('2019'!$I:$I,'2019'!$E:$E,Category!$B$121,'2019'!$N:$N,Category!H$1,'2019'!$D:$D,Category!$C127)</f>
        <v>0</v>
      </c>
      <c r="I127" s="345">
        <f>SUMIFS('2019'!$I:$I,'2019'!$E:$E,Category!$B$121,'2019'!$N:$N,Category!I$1,'2019'!$D:$D,Category!$C127)</f>
        <v>0</v>
      </c>
      <c r="J127" s="346">
        <f t="shared" si="52"/>
        <v>0</v>
      </c>
      <c r="K127" s="505">
        <f>IFERROR(VLOOKUP($C127,'2020'!$D:$G,4,0),0)</f>
        <v>0</v>
      </c>
      <c r="L127" s="345">
        <f>SUMIFS('2020'!$I:$I,'2020'!$E:$E,Category!$B$121,'2020'!$N:$N,Category!L$1,'2020'!$D:$D,Category!$C127)</f>
        <v>0</v>
      </c>
      <c r="M127" s="345">
        <f>SUMIFS('2020'!$I:$I,'2020'!$E:$E,Category!$B$121,'2020'!$N:$N,Category!M$1,'2020'!$D:$D,Category!$C127)</f>
        <v>0</v>
      </c>
      <c r="N127" s="345">
        <f>SUMIFS('2020'!$I:$I,'2020'!$E:$E,Category!$B$121,'2020'!$N:$N,Category!N$1,'2020'!$D:$D,Category!$C127)</f>
        <v>0</v>
      </c>
      <c r="O127" s="345">
        <f>SUMIFS('2020'!$I:$I,'2020'!$E:$E,Category!$B$121,'2020'!$N:$N,Category!O$1,'2020'!$D:$D,Category!$C127)</f>
        <v>0</v>
      </c>
      <c r="P127" s="345">
        <f>SUMIFS('2020'!$I:$I,'2020'!$E:$E,Category!$B$121,'2020'!$N:$N,Category!P$1,'2020'!$D:$D,Category!$C127)</f>
        <v>0</v>
      </c>
      <c r="Q127" s="345">
        <f>SUMIFS('2020'!$I:$I,'2020'!$E:$E,Category!$B$121,'2020'!$N:$N,Category!Q$1,'2020'!$D:$D,Category!$C127)</f>
        <v>0</v>
      </c>
      <c r="R127" s="345">
        <f>SUMIFS('2020'!$I:$I,'2020'!$E:$E,Category!$B$121,'2020'!$N:$N,Category!R$1,'2020'!$D:$D,Category!$C127)</f>
        <v>0</v>
      </c>
      <c r="S127" s="345">
        <f>SUMIFS('2020'!$I:$I,'2020'!$E:$E,Category!$B$121,'2020'!$N:$N,Category!S$1,'2020'!$D:$D,Category!$C127)</f>
        <v>0</v>
      </c>
      <c r="T127" s="345">
        <f>SUMIFS('2020'!$I:$I,'2020'!$E:$E,Category!$B$121,'2020'!$N:$N,Category!T$1,'2020'!$D:$D,Category!$C127)</f>
        <v>0</v>
      </c>
      <c r="U127" s="345">
        <f>SUMIFS('2020'!$I:$I,'2020'!$E:$E,Category!$B$121,'2020'!$N:$N,Category!U$1,'2020'!$D:$D,Category!$C127)</f>
        <v>0</v>
      </c>
      <c r="V127" s="345">
        <f>SUMIFS('2020'!$I:$I,'2020'!$E:$E,Category!$B$121,'2020'!$N:$N,Category!V$1,'2020'!$D:$D,Category!$C127)</f>
        <v>0</v>
      </c>
      <c r="W127" s="345">
        <f>SUMIFS('2020'!$I:$I,'2020'!$E:$E,Category!$B$121,'2020'!$N:$N,Category!W$1,'2020'!$D:$D,Category!$C127)</f>
        <v>0</v>
      </c>
      <c r="X127" s="346">
        <f t="shared" si="53"/>
        <v>0</v>
      </c>
      <c r="Y127" s="505">
        <f>IFERROR(VLOOKUP(C127,'2021'!$D:$G,4,0),0)</f>
        <v>35</v>
      </c>
      <c r="Z127" s="345">
        <f>SUMIFS('2021'!$I:$I,'2021'!$E:$E,Category!$B$121,'2021'!$N:$N,Category!Z$1,'2021'!$D:$D,Category!$C127)</f>
        <v>0</v>
      </c>
      <c r="AA127" s="345">
        <f>SUMIFS('2021'!$I:$I,'2021'!$E:$E,Category!$B$121,'2021'!$N:$N,Category!AA$1,'2021'!$D:$D,Category!$C127)</f>
        <v>0</v>
      </c>
      <c r="AB127" s="345">
        <f>SUMIFS('2021'!$I:$I,'2021'!$E:$E,Category!$B$121,'2021'!$N:$N,Category!AB$1,'2021'!$D:$D,Category!$C127)</f>
        <v>0</v>
      </c>
      <c r="AC127" s="345">
        <f>SUMIFS('2021'!$I:$I,'2021'!$E:$E,Category!$B$121,'2021'!$N:$N,Category!AC$1,'2021'!$D:$D,Category!$C127)</f>
        <v>0</v>
      </c>
      <c r="AD127" s="345">
        <f>SUMIFS('2021'!$I:$I,'2021'!$E:$E,Category!$B$121,'2021'!$N:$N,Category!AD$1,'2021'!$D:$D,Category!$C127)</f>
        <v>0</v>
      </c>
      <c r="AE127" s="345">
        <f>SUMIFS('2021'!$I:$I,'2021'!$E:$E,Category!$B$121,'2021'!$N:$N,Category!AE$1,'2021'!$D:$D,Category!$C127)</f>
        <v>0</v>
      </c>
      <c r="AF127" s="345">
        <f>SUMIFS('2021'!$I:$I,'2021'!$E:$E,Category!$B$121,'2021'!$N:$N,Category!AF$1,'2021'!$D:$D,Category!$C127)</f>
        <v>35000000</v>
      </c>
      <c r="AG127" s="345">
        <f>SUMIFS('2021'!$I:$I,'2021'!$E:$E,Category!$B$121,'2021'!$N:$N,Category!AG$1,'2021'!$D:$D,Category!$C127)</f>
        <v>5000000</v>
      </c>
      <c r="AH127" s="345">
        <f>SUMIFS('2021'!$I:$I,'2021'!$E:$E,Category!$B$121,'2021'!$N:$N,Category!AH$1,'2021'!$D:$D,Category!$C127)</f>
        <v>0</v>
      </c>
      <c r="AI127" s="345">
        <f>SUMIFS('2021'!$I:$I,'2021'!$E:$E,Category!$B$121,'2021'!$N:$N,Category!AI$1,'2021'!$D:$D,Category!$C127)</f>
        <v>10000000</v>
      </c>
      <c r="AJ127" s="345">
        <f>SUMIFS('2021'!$I:$I,'2021'!$E:$E,Category!$B$121,'2021'!$N:$N,Category!AJ$1,'2021'!$D:$D,Category!$C127)</f>
        <v>5000000</v>
      </c>
      <c r="AK127" s="345">
        <f>SUMIFS('2021'!$I:$I,'2021'!$E:$E,Category!$B$121,'2021'!$N:$N,Category!AK$1,'2021'!$D:$D,Category!$C127)</f>
        <v>5000000</v>
      </c>
      <c r="AL127" s="346">
        <f t="shared" si="57"/>
        <v>60000000</v>
      </c>
      <c r="AM127" s="505">
        <f>IFERROR(VLOOKUP(C127,'2022'!$D:$G,4,0),0)</f>
        <v>35</v>
      </c>
      <c r="AN127" s="345">
        <f>SUMIFS('2022'!$I:$I,'2022'!$E:$E,Category!$B$121,'2022'!$N:$N,Category!AN$1,'2022'!$D:$D,Category!$C127)</f>
        <v>0</v>
      </c>
      <c r="AO127" s="345">
        <f>SUMIFS('2022'!$I:$I,'2022'!$E:$E,Category!$B$121,'2022'!$N:$N,Category!AO$1,'2022'!$D:$D,Category!$C127)</f>
        <v>10000000</v>
      </c>
      <c r="AP127" s="345">
        <f>SUMIFS('2022'!$I:$I,'2022'!$E:$E,Category!$B$121,'2022'!$N:$N,Category!AP$1,'2022'!$D:$D,Category!$C127)</f>
        <v>0</v>
      </c>
      <c r="AQ127" s="345">
        <f>SUMIFS('2022'!$I:$I,'2022'!$E:$E,Category!$B$121,'2022'!$N:$N,Category!AQ$1,'2022'!$D:$D,Category!$C127)</f>
        <v>0</v>
      </c>
      <c r="AR127" s="345">
        <f>SUMIFS('2022'!$I:$I,'2022'!$E:$E,Category!$B$121,'2022'!$N:$N,Category!AR$1,'2022'!$D:$D,Category!$C127)</f>
        <v>0</v>
      </c>
      <c r="AS127" s="345">
        <f>SUMIFS('2022'!$I:$I,'2022'!$E:$E,Category!$B$121,'2022'!$N:$N,Category!AS$1,'2022'!$D:$D,Category!$C127)</f>
        <v>0</v>
      </c>
      <c r="AT127" s="345">
        <f>SUMIFS('2022'!$I:$I,'2022'!$E:$E,Category!$B$121,'2022'!$N:$N,Category!AT$1,'2022'!$D:$D,Category!$C127)</f>
        <v>0</v>
      </c>
      <c r="AU127" s="345">
        <f>SUMIFS('2022'!$I:$I,'2022'!$E:$E,Category!$B$121,'2022'!$N:$N,Category!AU$1,'2022'!$D:$D,Category!$C127)</f>
        <v>0</v>
      </c>
      <c r="AV127" s="345">
        <f>SUMIFS('2022'!$I:$I,'2022'!$E:$E,Category!$B$121,'2022'!$N:$N,Category!AV$1,'2022'!$D:$D,Category!$C127)</f>
        <v>0</v>
      </c>
      <c r="AW127" s="345">
        <f>SUMIFS('2022'!$I:$I,'2022'!$E:$E,Category!$B$121,'2022'!$N:$N,Category!AW$1,'2022'!$D:$D,Category!$C127)</f>
        <v>0</v>
      </c>
      <c r="AX127" s="345">
        <f>SUMIFS('2022'!$I:$I,'2022'!$E:$E,Category!$B$121,'2022'!$N:$N,Category!AX$1,'2022'!$D:$D,Category!$C127)</f>
        <v>0</v>
      </c>
      <c r="AY127" s="345">
        <f>SUMIFS('2022'!$I:$I,'2022'!$E:$E,Category!$B$121,'2022'!$N:$N,Category!AY$1,'2022'!$D:$D,Category!$C127)</f>
        <v>30000000</v>
      </c>
      <c r="AZ127" s="346">
        <f t="shared" si="55"/>
        <v>40000000</v>
      </c>
      <c r="BA127" s="505">
        <f>IFERROR(VLOOKUP(C127,'2023'!$D:$G,4,0),0)</f>
        <v>0</v>
      </c>
      <c r="BB127" s="345">
        <f>SUMIFS('2023'!$I:$I,'2023'!$E:$E,Category!$B$121,'2023'!$N:$N,Category!BB$1,'2023'!$D:$D,Category!$C127)</f>
        <v>0</v>
      </c>
      <c r="BC127" s="345">
        <f>SUMIFS('2023'!$I:$I,'2023'!$E:$E,Category!$B$121,'2023'!$N:$N,Category!BC$1,'2023'!$D:$D,Category!$C127)</f>
        <v>0</v>
      </c>
      <c r="BD127" s="345">
        <f>SUMIFS('2023'!$I:$I,'2023'!$E:$E,Category!$B$121,'2023'!$N:$N,Category!BD$1,'2023'!$D:$D,Category!$C127)</f>
        <v>0</v>
      </c>
      <c r="BE127" s="345">
        <f>SUMIFS('2023'!$I:$I,'2023'!$E:$E,Category!$B$121,'2023'!$N:$N,Category!BE$1,'2023'!$D:$D,Category!$C127)</f>
        <v>0</v>
      </c>
      <c r="BF127" s="345">
        <f>SUMIFS('2023'!$I:$I,'2023'!$E:$E,Category!$B$121,'2023'!$N:$N,Category!BF$1,'2023'!$D:$D,Category!$C127)</f>
        <v>0</v>
      </c>
      <c r="BG127" s="345">
        <f>SUMIFS('2023'!$I:$I,'2023'!$E:$E,Category!$B$121,'2023'!$N:$N,Category!BG$1,'2023'!$D:$D,Category!$C127)</f>
        <v>0</v>
      </c>
      <c r="BH127" s="345">
        <f>SUMIFS('2023'!$I:$I,'2023'!$E:$E,Category!$B$121,'2023'!$N:$N,Category!BH$1,'2023'!$D:$D,Category!$C127)</f>
        <v>0</v>
      </c>
      <c r="BI127" s="345">
        <f>SUMIFS('2023'!$I:$I,'2023'!$E:$E,Category!$B$121,'2023'!$N:$N,Category!BI$1,'2023'!$D:$D,Category!$C127)</f>
        <v>0</v>
      </c>
      <c r="BJ127" s="345">
        <f>SUMIFS('2023'!$I:$I,'2023'!$E:$E,Category!$B$121,'2023'!$N:$N,Category!BJ$1,'2023'!$D:$D,Category!$C127)</f>
        <v>0</v>
      </c>
      <c r="BK127" s="345">
        <f>SUMIFS('2023'!$I:$I,'2023'!$E:$E,Category!$B$121,'2023'!$N:$N,Category!BK$1,'2023'!$D:$D,Category!$C127)</f>
        <v>0</v>
      </c>
      <c r="BL127" s="345">
        <f>SUMIFS('2023'!$I:$I,'2023'!$E:$E,Category!$B$121,'2023'!$N:$N,Category!BL$1,'2023'!$D:$D,Category!$C127)</f>
        <v>0</v>
      </c>
      <c r="BM127" s="345">
        <f>SUMIFS('2023'!$I:$I,'2023'!$E:$E,Category!$B$121,'2023'!$N:$N,Category!BM$1,'2023'!$D:$D,Category!$C127)</f>
        <v>0</v>
      </c>
      <c r="BN127" s="346">
        <f t="shared" si="56"/>
        <v>0</v>
      </c>
    </row>
    <row r="128" spans="1:66" x14ac:dyDescent="0.25">
      <c r="A128" s="342"/>
      <c r="B128" s="343"/>
      <c r="C128" s="343" t="s">
        <v>426</v>
      </c>
      <c r="D128" s="522">
        <f>IFERROR(VLOOKUP($C128,'2019'!$D:$G,4,0),0)</f>
        <v>0</v>
      </c>
      <c r="E128" s="345">
        <f>SUMIFS('2019'!$I:$I,'2019'!$E:$E,Category!$B$121,'2019'!$N:$N,Category!E$1,'2019'!$D:$D,Category!$C128)</f>
        <v>0</v>
      </c>
      <c r="F128" s="345">
        <f>SUMIFS('2019'!$I:$I,'2019'!$E:$E,Category!$B$121,'2019'!$N:$N,Category!F$1,'2019'!$D:$D,Category!$C128)</f>
        <v>0</v>
      </c>
      <c r="G128" s="345">
        <f>SUMIFS('2019'!$I:$I,'2019'!$E:$E,Category!$B$121,'2019'!$N:$N,Category!G$1,'2019'!$D:$D,Category!$C128)</f>
        <v>0</v>
      </c>
      <c r="H128" s="345">
        <f>SUMIFS('2019'!$I:$I,'2019'!$E:$E,Category!$B$121,'2019'!$N:$N,Category!H$1,'2019'!$D:$D,Category!$C128)</f>
        <v>0</v>
      </c>
      <c r="I128" s="345">
        <f>SUMIFS('2019'!$I:$I,'2019'!$E:$E,Category!$B$121,'2019'!$N:$N,Category!I$1,'2019'!$D:$D,Category!$C128)</f>
        <v>0</v>
      </c>
      <c r="J128" s="346">
        <f t="shared" si="52"/>
        <v>0</v>
      </c>
      <c r="K128" s="505">
        <f>IFERROR(VLOOKUP($C128,'2020'!$D:$G,4,0),0)</f>
        <v>0</v>
      </c>
      <c r="L128" s="345">
        <f>SUMIFS('2020'!$I:$I,'2020'!$E:$E,Category!$B$121,'2020'!$N:$N,Category!L$1,'2020'!$D:$D,Category!$C128)</f>
        <v>0</v>
      </c>
      <c r="M128" s="345">
        <f>SUMIFS('2020'!$I:$I,'2020'!$E:$E,Category!$B$121,'2020'!$N:$N,Category!M$1,'2020'!$D:$D,Category!$C128)</f>
        <v>0</v>
      </c>
      <c r="N128" s="345">
        <f>SUMIFS('2020'!$I:$I,'2020'!$E:$E,Category!$B$121,'2020'!$N:$N,Category!N$1,'2020'!$D:$D,Category!$C128)</f>
        <v>0</v>
      </c>
      <c r="O128" s="345">
        <f>SUMIFS('2020'!$I:$I,'2020'!$E:$E,Category!$B$121,'2020'!$N:$N,Category!O$1,'2020'!$D:$D,Category!$C128)</f>
        <v>0</v>
      </c>
      <c r="P128" s="345">
        <f>SUMIFS('2020'!$I:$I,'2020'!$E:$E,Category!$B$121,'2020'!$N:$N,Category!P$1,'2020'!$D:$D,Category!$C128)</f>
        <v>0</v>
      </c>
      <c r="Q128" s="345">
        <f>SUMIFS('2020'!$I:$I,'2020'!$E:$E,Category!$B$121,'2020'!$N:$N,Category!Q$1,'2020'!$D:$D,Category!$C128)</f>
        <v>0</v>
      </c>
      <c r="R128" s="345">
        <f>SUMIFS('2020'!$I:$I,'2020'!$E:$E,Category!$B$121,'2020'!$N:$N,Category!R$1,'2020'!$D:$D,Category!$C128)</f>
        <v>0</v>
      </c>
      <c r="S128" s="345">
        <f>SUMIFS('2020'!$I:$I,'2020'!$E:$E,Category!$B$121,'2020'!$N:$N,Category!S$1,'2020'!$D:$D,Category!$C128)</f>
        <v>0</v>
      </c>
      <c r="T128" s="345">
        <f>SUMIFS('2020'!$I:$I,'2020'!$E:$E,Category!$B$121,'2020'!$N:$N,Category!T$1,'2020'!$D:$D,Category!$C128)</f>
        <v>0</v>
      </c>
      <c r="U128" s="345">
        <f>SUMIFS('2020'!$I:$I,'2020'!$E:$E,Category!$B$121,'2020'!$N:$N,Category!U$1,'2020'!$D:$D,Category!$C128)</f>
        <v>0</v>
      </c>
      <c r="V128" s="345">
        <f>SUMIFS('2020'!$I:$I,'2020'!$E:$E,Category!$B$121,'2020'!$N:$N,Category!V$1,'2020'!$D:$D,Category!$C128)</f>
        <v>0</v>
      </c>
      <c r="W128" s="345">
        <f>SUMIFS('2020'!$I:$I,'2020'!$E:$E,Category!$B$121,'2020'!$N:$N,Category!W$1,'2020'!$D:$D,Category!$C128)</f>
        <v>0</v>
      </c>
      <c r="X128" s="346">
        <f t="shared" si="53"/>
        <v>0</v>
      </c>
      <c r="Y128" s="505">
        <f>IFERROR(VLOOKUP(C128,'2021'!$D:$G,4,0),0)</f>
        <v>31</v>
      </c>
      <c r="Z128" s="345">
        <f>SUMIFS('2021'!$I:$I,'2021'!$E:$E,Category!$B$121,'2021'!$N:$N,Category!Z$1,'2021'!$D:$D,Category!$C128)</f>
        <v>0</v>
      </c>
      <c r="AA128" s="345">
        <f>SUMIFS('2021'!$I:$I,'2021'!$E:$E,Category!$B$121,'2021'!$N:$N,Category!AA$1,'2021'!$D:$D,Category!$C128)</f>
        <v>0</v>
      </c>
      <c r="AB128" s="345">
        <f>SUMIFS('2021'!$I:$I,'2021'!$E:$E,Category!$B$121,'2021'!$N:$N,Category!AB$1,'2021'!$D:$D,Category!$C128)</f>
        <v>0</v>
      </c>
      <c r="AC128" s="345">
        <f>SUMIFS('2021'!$I:$I,'2021'!$E:$E,Category!$B$121,'2021'!$N:$N,Category!AC$1,'2021'!$D:$D,Category!$C128)</f>
        <v>0</v>
      </c>
      <c r="AD128" s="345">
        <f>SUMIFS('2021'!$I:$I,'2021'!$E:$E,Category!$B$121,'2021'!$N:$N,Category!AD$1,'2021'!$D:$D,Category!$C128)</f>
        <v>0</v>
      </c>
      <c r="AE128" s="345">
        <f>SUMIFS('2021'!$I:$I,'2021'!$E:$E,Category!$B$121,'2021'!$N:$N,Category!AE$1,'2021'!$D:$D,Category!$C128)</f>
        <v>0</v>
      </c>
      <c r="AF128" s="345">
        <f>SUMIFS('2021'!$I:$I,'2021'!$E:$E,Category!$B$121,'2021'!$N:$N,Category!AF$1,'2021'!$D:$D,Category!$C128)</f>
        <v>30000000</v>
      </c>
      <c r="AG128" s="345">
        <f>SUMIFS('2021'!$I:$I,'2021'!$E:$E,Category!$B$121,'2021'!$N:$N,Category!AG$1,'2021'!$D:$D,Category!$C128)</f>
        <v>0</v>
      </c>
      <c r="AH128" s="345">
        <f>SUMIFS('2021'!$I:$I,'2021'!$E:$E,Category!$B$121,'2021'!$N:$N,Category!AH$1,'2021'!$D:$D,Category!$C128)</f>
        <v>0</v>
      </c>
      <c r="AI128" s="345">
        <f>SUMIFS('2021'!$I:$I,'2021'!$E:$E,Category!$B$121,'2021'!$N:$N,Category!AI$1,'2021'!$D:$D,Category!$C128)</f>
        <v>0</v>
      </c>
      <c r="AJ128" s="345">
        <f>SUMIFS('2021'!$I:$I,'2021'!$E:$E,Category!$B$121,'2021'!$N:$N,Category!AJ$1,'2021'!$D:$D,Category!$C128)</f>
        <v>16500000</v>
      </c>
      <c r="AK128" s="345">
        <f>SUMIFS('2021'!$I:$I,'2021'!$E:$E,Category!$B$121,'2021'!$N:$N,Category!AK$1,'2021'!$D:$D,Category!$C128)</f>
        <v>5500000</v>
      </c>
      <c r="AL128" s="346">
        <f t="shared" si="57"/>
        <v>52000000</v>
      </c>
      <c r="AM128" s="505">
        <f>IFERROR(VLOOKUP(C128,'2022'!$D:$G,4,0),0)</f>
        <v>31</v>
      </c>
      <c r="AN128" s="345">
        <f>SUMIFS('2022'!$I:$I,'2022'!$E:$E,Category!$B$121,'2022'!$N:$N,Category!AN$1,'2022'!$D:$D,Category!$C128)</f>
        <v>0</v>
      </c>
      <c r="AO128" s="345">
        <f>SUMIFS('2022'!$I:$I,'2022'!$E:$E,Category!$B$121,'2022'!$N:$N,Category!AO$1,'2022'!$D:$D,Category!$C128)</f>
        <v>0</v>
      </c>
      <c r="AP128" s="345">
        <f>SUMIFS('2022'!$I:$I,'2022'!$E:$E,Category!$B$121,'2022'!$N:$N,Category!AP$1,'2022'!$D:$D,Category!$C128)</f>
        <v>20000000</v>
      </c>
      <c r="AQ128" s="345">
        <f>SUMIFS('2022'!$I:$I,'2022'!$E:$E,Category!$B$121,'2022'!$N:$N,Category!AQ$1,'2022'!$D:$D,Category!$C128)</f>
        <v>20000000</v>
      </c>
      <c r="AR128" s="345">
        <f>SUMIFS('2022'!$I:$I,'2022'!$E:$E,Category!$B$121,'2022'!$N:$N,Category!AR$1,'2022'!$D:$D,Category!$C128)</f>
        <v>10000000</v>
      </c>
      <c r="AS128" s="345">
        <f>SUMIFS('2022'!$I:$I,'2022'!$E:$E,Category!$B$121,'2022'!$N:$N,Category!AS$1,'2022'!$D:$D,Category!$C128)</f>
        <v>10000000</v>
      </c>
      <c r="AT128" s="345">
        <f>SUMIFS('2022'!$I:$I,'2022'!$E:$E,Category!$B$121,'2022'!$N:$N,Category!AT$1,'2022'!$D:$D,Category!$C128)</f>
        <v>10000000</v>
      </c>
      <c r="AU128" s="345">
        <f>SUMIFS('2022'!$I:$I,'2022'!$E:$E,Category!$B$121,'2022'!$N:$N,Category!AU$1,'2022'!$D:$D,Category!$C128)</f>
        <v>10000000</v>
      </c>
      <c r="AV128" s="345">
        <f>SUMIFS('2022'!$I:$I,'2022'!$E:$E,Category!$B$121,'2022'!$N:$N,Category!AV$1,'2022'!$D:$D,Category!$C128)</f>
        <v>10000000</v>
      </c>
      <c r="AW128" s="345">
        <f>SUMIFS('2022'!$I:$I,'2022'!$E:$E,Category!$B$121,'2022'!$N:$N,Category!AW$1,'2022'!$D:$D,Category!$C128)</f>
        <v>48690000</v>
      </c>
      <c r="AX128" s="345">
        <f>SUMIFS('2022'!$I:$I,'2022'!$E:$E,Category!$B$121,'2022'!$N:$N,Category!AX$1,'2022'!$D:$D,Category!$C128)</f>
        <v>0</v>
      </c>
      <c r="AY128" s="345">
        <f>SUMIFS('2022'!$I:$I,'2022'!$E:$E,Category!$B$121,'2022'!$N:$N,Category!AY$1,'2022'!$D:$D,Category!$C128)</f>
        <v>0</v>
      </c>
      <c r="AZ128" s="346">
        <f t="shared" si="55"/>
        <v>138690000</v>
      </c>
      <c r="BA128" s="505">
        <f>IFERROR(VLOOKUP(C128,'2023'!$D:$G,4,0),0)</f>
        <v>0</v>
      </c>
      <c r="BB128" s="345">
        <f>SUMIFS('2023'!$I:$I,'2023'!$E:$E,Category!$B$121,'2023'!$N:$N,Category!BB$1,'2023'!$D:$D,Category!$C128)</f>
        <v>0</v>
      </c>
      <c r="BC128" s="345">
        <f>SUMIFS('2023'!$I:$I,'2023'!$E:$E,Category!$B$121,'2023'!$N:$N,Category!BC$1,'2023'!$D:$D,Category!$C128)</f>
        <v>0</v>
      </c>
      <c r="BD128" s="345">
        <f>SUMIFS('2023'!$I:$I,'2023'!$E:$E,Category!$B$121,'2023'!$N:$N,Category!BD$1,'2023'!$D:$D,Category!$C128)</f>
        <v>0</v>
      </c>
      <c r="BE128" s="345">
        <f>SUMIFS('2023'!$I:$I,'2023'!$E:$E,Category!$B$121,'2023'!$N:$N,Category!BE$1,'2023'!$D:$D,Category!$C128)</f>
        <v>0</v>
      </c>
      <c r="BF128" s="345">
        <f>SUMIFS('2023'!$I:$I,'2023'!$E:$E,Category!$B$121,'2023'!$N:$N,Category!BF$1,'2023'!$D:$D,Category!$C128)</f>
        <v>0</v>
      </c>
      <c r="BG128" s="345">
        <f>SUMIFS('2023'!$I:$I,'2023'!$E:$E,Category!$B$121,'2023'!$N:$N,Category!BG$1,'2023'!$D:$D,Category!$C128)</f>
        <v>0</v>
      </c>
      <c r="BH128" s="345">
        <f>SUMIFS('2023'!$I:$I,'2023'!$E:$E,Category!$B$121,'2023'!$N:$N,Category!BH$1,'2023'!$D:$D,Category!$C128)</f>
        <v>0</v>
      </c>
      <c r="BI128" s="345">
        <f>SUMIFS('2023'!$I:$I,'2023'!$E:$E,Category!$B$121,'2023'!$N:$N,Category!BI$1,'2023'!$D:$D,Category!$C128)</f>
        <v>0</v>
      </c>
      <c r="BJ128" s="345">
        <f>SUMIFS('2023'!$I:$I,'2023'!$E:$E,Category!$B$121,'2023'!$N:$N,Category!BJ$1,'2023'!$D:$D,Category!$C128)</f>
        <v>0</v>
      </c>
      <c r="BK128" s="345">
        <f>SUMIFS('2023'!$I:$I,'2023'!$E:$E,Category!$B$121,'2023'!$N:$N,Category!BK$1,'2023'!$D:$D,Category!$C128)</f>
        <v>0</v>
      </c>
      <c r="BL128" s="345">
        <f>SUMIFS('2023'!$I:$I,'2023'!$E:$E,Category!$B$121,'2023'!$N:$N,Category!BL$1,'2023'!$D:$D,Category!$C128)</f>
        <v>0</v>
      </c>
      <c r="BM128" s="345">
        <f>SUMIFS('2023'!$I:$I,'2023'!$E:$E,Category!$B$121,'2023'!$N:$N,Category!BM$1,'2023'!$D:$D,Category!$C128)</f>
        <v>0</v>
      </c>
      <c r="BN128" s="346">
        <f t="shared" si="56"/>
        <v>0</v>
      </c>
    </row>
    <row r="129" spans="1:66" x14ac:dyDescent="0.25">
      <c r="A129" s="342"/>
      <c r="B129" s="343"/>
      <c r="C129" s="343" t="s">
        <v>429</v>
      </c>
      <c r="D129" s="522">
        <f>IFERROR(VLOOKUP($C129,'2019'!$D:$G,4,0),0)</f>
        <v>0</v>
      </c>
      <c r="E129" s="345">
        <f>SUMIFS('2019'!$I:$I,'2019'!$E:$E,Category!$B$121,'2019'!$N:$N,Category!E$1,'2019'!$D:$D,Category!$C129)</f>
        <v>0</v>
      </c>
      <c r="F129" s="345">
        <f>SUMIFS('2019'!$I:$I,'2019'!$E:$E,Category!$B$121,'2019'!$N:$N,Category!F$1,'2019'!$D:$D,Category!$C129)</f>
        <v>0</v>
      </c>
      <c r="G129" s="345">
        <f>SUMIFS('2019'!$I:$I,'2019'!$E:$E,Category!$B$121,'2019'!$N:$N,Category!G$1,'2019'!$D:$D,Category!$C129)</f>
        <v>0</v>
      </c>
      <c r="H129" s="345">
        <f>SUMIFS('2019'!$I:$I,'2019'!$E:$E,Category!$B$121,'2019'!$N:$N,Category!H$1,'2019'!$D:$D,Category!$C129)</f>
        <v>0</v>
      </c>
      <c r="I129" s="345">
        <f>SUMIFS('2019'!$I:$I,'2019'!$E:$E,Category!$B$121,'2019'!$N:$N,Category!I$1,'2019'!$D:$D,Category!$C129)</f>
        <v>0</v>
      </c>
      <c r="J129" s="346">
        <f t="shared" si="52"/>
        <v>0</v>
      </c>
      <c r="K129" s="505">
        <f>IFERROR(VLOOKUP($C129,'2020'!$D:$G,4,0),0)</f>
        <v>0</v>
      </c>
      <c r="L129" s="345">
        <f>SUMIFS('2020'!$I:$I,'2020'!$E:$E,Category!$B$121,'2020'!$N:$N,Category!L$1,'2020'!$D:$D,Category!$C129)</f>
        <v>0</v>
      </c>
      <c r="M129" s="345">
        <f>SUMIFS('2020'!$I:$I,'2020'!$E:$E,Category!$B$121,'2020'!$N:$N,Category!M$1,'2020'!$D:$D,Category!$C129)</f>
        <v>0</v>
      </c>
      <c r="N129" s="345">
        <f>SUMIFS('2020'!$I:$I,'2020'!$E:$E,Category!$B$121,'2020'!$N:$N,Category!N$1,'2020'!$D:$D,Category!$C129)</f>
        <v>0</v>
      </c>
      <c r="O129" s="345">
        <f>SUMIFS('2020'!$I:$I,'2020'!$E:$E,Category!$B$121,'2020'!$N:$N,Category!O$1,'2020'!$D:$D,Category!$C129)</f>
        <v>0</v>
      </c>
      <c r="P129" s="345">
        <f>SUMIFS('2020'!$I:$I,'2020'!$E:$E,Category!$B$121,'2020'!$N:$N,Category!P$1,'2020'!$D:$D,Category!$C129)</f>
        <v>0</v>
      </c>
      <c r="Q129" s="345">
        <f>SUMIFS('2020'!$I:$I,'2020'!$E:$E,Category!$B$121,'2020'!$N:$N,Category!Q$1,'2020'!$D:$D,Category!$C129)</f>
        <v>0</v>
      </c>
      <c r="R129" s="345">
        <f>SUMIFS('2020'!$I:$I,'2020'!$E:$E,Category!$B$121,'2020'!$N:$N,Category!R$1,'2020'!$D:$D,Category!$C129)</f>
        <v>0</v>
      </c>
      <c r="S129" s="345">
        <f>SUMIFS('2020'!$I:$I,'2020'!$E:$E,Category!$B$121,'2020'!$N:$N,Category!S$1,'2020'!$D:$D,Category!$C129)</f>
        <v>0</v>
      </c>
      <c r="T129" s="345">
        <f>SUMIFS('2020'!$I:$I,'2020'!$E:$E,Category!$B$121,'2020'!$N:$N,Category!T$1,'2020'!$D:$D,Category!$C129)</f>
        <v>0</v>
      </c>
      <c r="U129" s="345">
        <f>SUMIFS('2020'!$I:$I,'2020'!$E:$E,Category!$B$121,'2020'!$N:$N,Category!U$1,'2020'!$D:$D,Category!$C129)</f>
        <v>0</v>
      </c>
      <c r="V129" s="345">
        <f>SUMIFS('2020'!$I:$I,'2020'!$E:$E,Category!$B$121,'2020'!$N:$N,Category!V$1,'2020'!$D:$D,Category!$C129)</f>
        <v>0</v>
      </c>
      <c r="W129" s="345">
        <f>SUMIFS('2020'!$I:$I,'2020'!$E:$E,Category!$B$121,'2020'!$N:$N,Category!W$1,'2020'!$D:$D,Category!$C129)</f>
        <v>0</v>
      </c>
      <c r="X129" s="346">
        <f t="shared" si="53"/>
        <v>0</v>
      </c>
      <c r="Y129" s="505">
        <f>IFERROR(VLOOKUP(C129,'2021'!$D:$G,4,0),0)</f>
        <v>38</v>
      </c>
      <c r="Z129" s="345">
        <f>SUMIFS('2021'!$I:$I,'2021'!$E:$E,Category!$B$121,'2021'!$N:$N,Category!Z$1,'2021'!$D:$D,Category!$C129)</f>
        <v>0</v>
      </c>
      <c r="AA129" s="345">
        <f>SUMIFS('2021'!$I:$I,'2021'!$E:$E,Category!$B$121,'2021'!$N:$N,Category!AA$1,'2021'!$D:$D,Category!$C129)</f>
        <v>0</v>
      </c>
      <c r="AB129" s="345">
        <f>SUMIFS('2021'!$I:$I,'2021'!$E:$E,Category!$B$121,'2021'!$N:$N,Category!AB$1,'2021'!$D:$D,Category!$C129)</f>
        <v>0</v>
      </c>
      <c r="AC129" s="345">
        <f>SUMIFS('2021'!$I:$I,'2021'!$E:$E,Category!$B$121,'2021'!$N:$N,Category!AC$1,'2021'!$D:$D,Category!$C129)</f>
        <v>0</v>
      </c>
      <c r="AD129" s="345">
        <f>SUMIFS('2021'!$I:$I,'2021'!$E:$E,Category!$B$121,'2021'!$N:$N,Category!AD$1,'2021'!$D:$D,Category!$C129)</f>
        <v>0</v>
      </c>
      <c r="AE129" s="345">
        <f>SUMIFS('2021'!$I:$I,'2021'!$E:$E,Category!$B$121,'2021'!$N:$N,Category!AE$1,'2021'!$D:$D,Category!$C129)</f>
        <v>0</v>
      </c>
      <c r="AF129" s="345">
        <f>SUMIFS('2021'!$I:$I,'2021'!$E:$E,Category!$B$121,'2021'!$N:$N,Category!AF$1,'2021'!$D:$D,Category!$C129)</f>
        <v>35000000</v>
      </c>
      <c r="AG129" s="345">
        <f>SUMIFS('2021'!$I:$I,'2021'!$E:$E,Category!$B$121,'2021'!$N:$N,Category!AG$1,'2021'!$D:$D,Category!$C129)</f>
        <v>5000000</v>
      </c>
      <c r="AH129" s="345">
        <f>SUMIFS('2021'!$I:$I,'2021'!$E:$E,Category!$B$121,'2021'!$N:$N,Category!AH$1,'2021'!$D:$D,Category!$C129)</f>
        <v>0</v>
      </c>
      <c r="AI129" s="345">
        <f>SUMIFS('2021'!$I:$I,'2021'!$E:$E,Category!$B$121,'2021'!$N:$N,Category!AI$1,'2021'!$D:$D,Category!$C129)</f>
        <v>10000000</v>
      </c>
      <c r="AJ129" s="345">
        <f>SUMIFS('2021'!$I:$I,'2021'!$E:$E,Category!$B$121,'2021'!$N:$N,Category!AJ$1,'2021'!$D:$D,Category!$C129)</f>
        <v>5000000</v>
      </c>
      <c r="AK129" s="345">
        <f>SUMIFS('2021'!$I:$I,'2021'!$E:$E,Category!$B$121,'2021'!$N:$N,Category!AK$1,'2021'!$D:$D,Category!$C129)</f>
        <v>10000000</v>
      </c>
      <c r="AL129" s="346">
        <f t="shared" si="57"/>
        <v>65000000</v>
      </c>
      <c r="AM129" s="505">
        <f>IFERROR(VLOOKUP(C129,'2022'!$D:$G,4,0),0)</f>
        <v>38</v>
      </c>
      <c r="AN129" s="345">
        <f>SUMIFS('2022'!$I:$I,'2022'!$E:$E,Category!$B$121,'2022'!$N:$N,Category!AN$1,'2022'!$D:$D,Category!$C129)</f>
        <v>5000000</v>
      </c>
      <c r="AO129" s="345">
        <f>SUMIFS('2022'!$I:$I,'2022'!$E:$E,Category!$B$121,'2022'!$N:$N,Category!AO$1,'2022'!$D:$D,Category!$C129)</f>
        <v>5000000</v>
      </c>
      <c r="AP129" s="345">
        <f>SUMIFS('2022'!$I:$I,'2022'!$E:$E,Category!$B$121,'2022'!$N:$N,Category!AP$1,'2022'!$D:$D,Category!$C129)</f>
        <v>5000000</v>
      </c>
      <c r="AQ129" s="345">
        <f>SUMIFS('2022'!$I:$I,'2022'!$E:$E,Category!$B$121,'2022'!$N:$N,Category!AQ$1,'2022'!$D:$D,Category!$C129)</f>
        <v>15000000</v>
      </c>
      <c r="AR129" s="345">
        <f>SUMIFS('2022'!$I:$I,'2022'!$E:$E,Category!$B$121,'2022'!$N:$N,Category!AR$1,'2022'!$D:$D,Category!$C129)</f>
        <v>15000000</v>
      </c>
      <c r="AS129" s="345">
        <f>SUMIFS('2022'!$I:$I,'2022'!$E:$E,Category!$B$121,'2022'!$N:$N,Category!AS$1,'2022'!$D:$D,Category!$C129)</f>
        <v>15000000</v>
      </c>
      <c r="AT129" s="345">
        <f>SUMIFS('2022'!$I:$I,'2022'!$E:$E,Category!$B$121,'2022'!$N:$N,Category!AT$1,'2022'!$D:$D,Category!$C129)</f>
        <v>10000000</v>
      </c>
      <c r="AU129" s="345">
        <f>SUMIFS('2022'!$I:$I,'2022'!$E:$E,Category!$B$121,'2022'!$N:$N,Category!AU$1,'2022'!$D:$D,Category!$C129)</f>
        <v>10000000</v>
      </c>
      <c r="AV129" s="345">
        <f>SUMIFS('2022'!$I:$I,'2022'!$E:$E,Category!$B$121,'2022'!$N:$N,Category!AV$1,'2022'!$D:$D,Category!$C129)</f>
        <v>10000000</v>
      </c>
      <c r="AW129" s="345">
        <f>SUMIFS('2022'!$I:$I,'2022'!$E:$E,Category!$B$121,'2022'!$N:$N,Category!AW$1,'2022'!$D:$D,Category!$C129)</f>
        <v>10000000</v>
      </c>
      <c r="AX129" s="345">
        <f>SUMIFS('2022'!$I:$I,'2022'!$E:$E,Category!$B$121,'2022'!$N:$N,Category!AX$1,'2022'!$D:$D,Category!$C129)</f>
        <v>10000000</v>
      </c>
      <c r="AY129" s="345">
        <f>SUMIFS('2022'!$I:$I,'2022'!$E:$E,Category!$B$121,'2022'!$N:$N,Category!AY$1,'2022'!$D:$D,Category!$C129)</f>
        <v>10000000</v>
      </c>
      <c r="AZ129" s="346">
        <f t="shared" si="55"/>
        <v>120000000</v>
      </c>
      <c r="BA129" s="505">
        <f>IFERROR(VLOOKUP(C129,'2023'!$D:$G,4,0),0)</f>
        <v>38</v>
      </c>
      <c r="BB129" s="345">
        <f>SUMIFS('2023'!$I:$I,'2023'!$E:$E,Category!$B$121,'2023'!$N:$N,Category!BB$1,'2023'!$D:$D,Category!$C129)</f>
        <v>10000000</v>
      </c>
      <c r="BC129" s="345">
        <f>SUMIFS('2023'!$I:$I,'2023'!$E:$E,Category!$B$121,'2023'!$N:$N,Category!BC$1,'2023'!$D:$D,Category!$C129)</f>
        <v>10000000</v>
      </c>
      <c r="BD129" s="345">
        <f>SUMIFS('2023'!$I:$I,'2023'!$E:$E,Category!$B$121,'2023'!$N:$N,Category!BD$1,'2023'!$D:$D,Category!$C129)</f>
        <v>0</v>
      </c>
      <c r="BE129" s="345">
        <f>SUMIFS('2023'!$I:$I,'2023'!$E:$E,Category!$B$121,'2023'!$N:$N,Category!BE$1,'2023'!$D:$D,Category!$C129)</f>
        <v>0</v>
      </c>
      <c r="BF129" s="345">
        <f>SUMIFS('2023'!$I:$I,'2023'!$E:$E,Category!$B$121,'2023'!$N:$N,Category!BF$1,'2023'!$D:$D,Category!$C129)</f>
        <v>0</v>
      </c>
      <c r="BG129" s="345">
        <f>SUMIFS('2023'!$I:$I,'2023'!$E:$E,Category!$B$121,'2023'!$N:$N,Category!BG$1,'2023'!$D:$D,Category!$C129)</f>
        <v>0</v>
      </c>
      <c r="BH129" s="345">
        <f>SUMIFS('2023'!$I:$I,'2023'!$E:$E,Category!$B$121,'2023'!$N:$N,Category!BH$1,'2023'!$D:$D,Category!$C129)</f>
        <v>0</v>
      </c>
      <c r="BI129" s="345">
        <f>SUMIFS('2023'!$I:$I,'2023'!$E:$E,Category!$B$121,'2023'!$N:$N,Category!BI$1,'2023'!$D:$D,Category!$C129)</f>
        <v>0</v>
      </c>
      <c r="BJ129" s="345">
        <f>SUMIFS('2023'!$I:$I,'2023'!$E:$E,Category!$B$121,'2023'!$N:$N,Category!BJ$1,'2023'!$D:$D,Category!$C129)</f>
        <v>0</v>
      </c>
      <c r="BK129" s="345">
        <f>SUMIFS('2023'!$I:$I,'2023'!$E:$E,Category!$B$121,'2023'!$N:$N,Category!BK$1,'2023'!$D:$D,Category!$C129)</f>
        <v>0</v>
      </c>
      <c r="BL129" s="345">
        <f>SUMIFS('2023'!$I:$I,'2023'!$E:$E,Category!$B$121,'2023'!$N:$N,Category!BL$1,'2023'!$D:$D,Category!$C129)</f>
        <v>0</v>
      </c>
      <c r="BM129" s="345">
        <f>SUMIFS('2023'!$I:$I,'2023'!$E:$E,Category!$B$121,'2023'!$N:$N,Category!BM$1,'2023'!$D:$D,Category!$C129)</f>
        <v>0</v>
      </c>
      <c r="BN129" s="346">
        <f t="shared" si="56"/>
        <v>20000000</v>
      </c>
    </row>
    <row r="130" spans="1:66" s="347" customFormat="1" x14ac:dyDescent="0.3">
      <c r="A130" s="342"/>
      <c r="B130" s="343"/>
      <c r="C130" s="344" t="s">
        <v>558</v>
      </c>
      <c r="D130" s="521">
        <f>IFERROR(VLOOKUP($C130,'2019'!$D:$G,4,0),0)</f>
        <v>0</v>
      </c>
      <c r="E130" s="345">
        <f>SUMIFS('2019'!$I:$I,'2019'!$E:$E,Category!$B$121,'2019'!$N:$N,Category!E$1,'2019'!$D:$D,Category!$C130)</f>
        <v>0</v>
      </c>
      <c r="F130" s="345">
        <f>SUMIFS('2019'!$I:$I,'2019'!$E:$E,Category!$B$121,'2019'!$N:$N,Category!F$1,'2019'!$D:$D,Category!$C130)</f>
        <v>0</v>
      </c>
      <c r="G130" s="345">
        <f>SUMIFS('2019'!$I:$I,'2019'!$E:$E,Category!$B$121,'2019'!$N:$N,Category!G$1,'2019'!$D:$D,Category!$C130)</f>
        <v>0</v>
      </c>
      <c r="H130" s="345">
        <f>SUMIFS('2019'!$I:$I,'2019'!$E:$E,Category!$B$121,'2019'!$N:$N,Category!H$1,'2019'!$D:$D,Category!$C130)</f>
        <v>0</v>
      </c>
      <c r="I130" s="345">
        <f>SUMIFS('2019'!$I:$I,'2019'!$E:$E,Category!$B$121,'2019'!$N:$N,Category!I$1,'2019'!$D:$D,Category!$C130)</f>
        <v>0</v>
      </c>
      <c r="J130" s="346">
        <f t="shared" si="52"/>
        <v>0</v>
      </c>
      <c r="K130" s="505">
        <f>IFERROR(VLOOKUP($C130,'2020'!$D:$G,4,0),0)</f>
        <v>0</v>
      </c>
      <c r="L130" s="345">
        <f>SUMIFS('2020'!$I:$I,'2020'!$E:$E,Category!$B$121,'2020'!$N:$N,Category!L$1,'2020'!$D:$D,Category!$C130)</f>
        <v>0</v>
      </c>
      <c r="M130" s="345">
        <f>SUMIFS('2020'!$I:$I,'2020'!$E:$E,Category!$B$121,'2020'!$N:$N,Category!M$1,'2020'!$D:$D,Category!$C130)</f>
        <v>0</v>
      </c>
      <c r="N130" s="345">
        <f>SUMIFS('2020'!$I:$I,'2020'!$E:$E,Category!$B$121,'2020'!$N:$N,Category!N$1,'2020'!$D:$D,Category!$C130)</f>
        <v>0</v>
      </c>
      <c r="O130" s="345">
        <f>SUMIFS('2020'!$I:$I,'2020'!$E:$E,Category!$B$121,'2020'!$N:$N,Category!O$1,'2020'!$D:$D,Category!$C130)</f>
        <v>0</v>
      </c>
      <c r="P130" s="345">
        <f>SUMIFS('2020'!$I:$I,'2020'!$E:$E,Category!$B$121,'2020'!$N:$N,Category!P$1,'2020'!$D:$D,Category!$C130)</f>
        <v>0</v>
      </c>
      <c r="Q130" s="345">
        <f>SUMIFS('2020'!$I:$I,'2020'!$E:$E,Category!$B$121,'2020'!$N:$N,Category!Q$1,'2020'!$D:$D,Category!$C130)</f>
        <v>0</v>
      </c>
      <c r="R130" s="345">
        <f>SUMIFS('2020'!$I:$I,'2020'!$E:$E,Category!$B$121,'2020'!$N:$N,Category!R$1,'2020'!$D:$D,Category!$C130)</f>
        <v>0</v>
      </c>
      <c r="S130" s="345">
        <f>SUMIFS('2020'!$I:$I,'2020'!$E:$E,Category!$B$121,'2020'!$N:$N,Category!S$1,'2020'!$D:$D,Category!$C130)</f>
        <v>0</v>
      </c>
      <c r="T130" s="345">
        <f>SUMIFS('2020'!$I:$I,'2020'!$E:$E,Category!$B$121,'2020'!$N:$N,Category!T$1,'2020'!$D:$D,Category!$C130)</f>
        <v>0</v>
      </c>
      <c r="U130" s="345">
        <f>SUMIFS('2020'!$I:$I,'2020'!$E:$E,Category!$B$121,'2020'!$N:$N,Category!U$1,'2020'!$D:$D,Category!$C130)</f>
        <v>0</v>
      </c>
      <c r="V130" s="345">
        <f>SUMIFS('2020'!$I:$I,'2020'!$E:$E,Category!$B$121,'2020'!$N:$N,Category!V$1,'2020'!$D:$D,Category!$C130)</f>
        <v>0</v>
      </c>
      <c r="W130" s="345">
        <f>SUMIFS('2020'!$I:$I,'2020'!$E:$E,Category!$B$121,'2020'!$N:$N,Category!W$1,'2020'!$D:$D,Category!$C130)</f>
        <v>0</v>
      </c>
      <c r="X130" s="346">
        <f t="shared" si="53"/>
        <v>0</v>
      </c>
      <c r="Y130" s="505">
        <f>IFERROR(VLOOKUP(C130,'2021'!$D:$G,4,0),0)</f>
        <v>40</v>
      </c>
      <c r="Z130" s="345">
        <f>SUMIFS('2021'!$I:$I,'2021'!$E:$E,Category!$B$121,'2021'!$N:$N,Category!Z$1,'2021'!$D:$D,Category!$C130)</f>
        <v>0</v>
      </c>
      <c r="AA130" s="345">
        <f>SUMIFS('2021'!$I:$I,'2021'!$E:$E,Category!$B$121,'2021'!$N:$N,Category!AA$1,'2021'!$D:$D,Category!$C130)</f>
        <v>0</v>
      </c>
      <c r="AB130" s="345">
        <f>SUMIFS('2021'!$I:$I,'2021'!$E:$E,Category!$B$121,'2021'!$N:$N,Category!AB$1,'2021'!$D:$D,Category!$C130)</f>
        <v>0</v>
      </c>
      <c r="AC130" s="345">
        <f>SUMIFS('2021'!$I:$I,'2021'!$E:$E,Category!$B$121,'2021'!$N:$N,Category!AC$1,'2021'!$D:$D,Category!$C130)</f>
        <v>0</v>
      </c>
      <c r="AD130" s="345">
        <f>SUMIFS('2021'!$I:$I,'2021'!$E:$E,Category!$B$121,'2021'!$N:$N,Category!AD$1,'2021'!$D:$D,Category!$C130)</f>
        <v>0</v>
      </c>
      <c r="AE130" s="345">
        <f>SUMIFS('2021'!$I:$I,'2021'!$E:$E,Category!$B$121,'2021'!$N:$N,Category!AE$1,'2021'!$D:$D,Category!$C130)</f>
        <v>0</v>
      </c>
      <c r="AF130" s="345">
        <f>SUMIFS('2021'!$I:$I,'2021'!$E:$E,Category!$B$121,'2021'!$N:$N,Category!AF$1,'2021'!$D:$D,Category!$C130)</f>
        <v>0</v>
      </c>
      <c r="AG130" s="345">
        <f>SUMIFS('2021'!$I:$I,'2021'!$E:$E,Category!$B$121,'2021'!$N:$N,Category!AG$1,'2021'!$D:$D,Category!$C130)</f>
        <v>0</v>
      </c>
      <c r="AH130" s="345">
        <f>SUMIFS('2021'!$I:$I,'2021'!$E:$E,Category!$B$121,'2021'!$N:$N,Category!AH$1,'2021'!$D:$D,Category!$C130)</f>
        <v>0</v>
      </c>
      <c r="AI130" s="345">
        <f>SUMIFS('2021'!$I:$I,'2021'!$E:$E,Category!$B$121,'2021'!$N:$N,Category!AI$1,'2021'!$D:$D,Category!$C130)</f>
        <v>30000000</v>
      </c>
      <c r="AJ130" s="345">
        <f>SUMIFS('2021'!$I:$I,'2021'!$E:$E,Category!$B$121,'2021'!$N:$N,Category!AJ$1,'2021'!$D:$D,Category!$C130)</f>
        <v>29100000</v>
      </c>
      <c r="AK130" s="345">
        <f>SUMIFS('2021'!$I:$I,'2021'!$E:$E,Category!$B$121,'2021'!$N:$N,Category!AK$1,'2021'!$D:$D,Category!$C130)</f>
        <v>0</v>
      </c>
      <c r="AL130" s="346">
        <f t="shared" si="57"/>
        <v>59100000</v>
      </c>
      <c r="AM130" s="505">
        <f>IFERROR(VLOOKUP(C130,'2022'!$D:$G,4,0),0)</f>
        <v>25</v>
      </c>
      <c r="AN130" s="345">
        <f>SUMIFS('2022'!$I:$I,'2022'!$E:$E,Category!$B$121,'2022'!$N:$N,Category!AN$1,'2022'!$D:$D,Category!$C130)</f>
        <v>0</v>
      </c>
      <c r="AO130" s="345">
        <f>SUMIFS('2022'!$I:$I,'2022'!$E:$E,Category!$B$121,'2022'!$N:$N,Category!AO$1,'2022'!$D:$D,Category!$C130)</f>
        <v>0</v>
      </c>
      <c r="AP130" s="345">
        <f>SUMIFS('2022'!$I:$I,'2022'!$E:$E,Category!$B$121,'2022'!$N:$N,Category!AP$1,'2022'!$D:$D,Category!$C130)</f>
        <v>0</v>
      </c>
      <c r="AQ130" s="345">
        <f>SUMIFS('2022'!$I:$I,'2022'!$E:$E,Category!$B$121,'2022'!$N:$N,Category!AQ$1,'2022'!$D:$D,Category!$C130)</f>
        <v>0</v>
      </c>
      <c r="AR130" s="345">
        <f>SUMIFS('2022'!$I:$I,'2022'!$E:$E,Category!$B$121,'2022'!$N:$N,Category!AR$1,'2022'!$D:$D,Category!$C130)</f>
        <v>25000000</v>
      </c>
      <c r="AS130" s="345">
        <f>SUMIFS('2022'!$I:$I,'2022'!$E:$E,Category!$B$121,'2022'!$N:$N,Category!AS$1,'2022'!$D:$D,Category!$C130)</f>
        <v>0</v>
      </c>
      <c r="AT130" s="345">
        <f>SUMIFS('2022'!$I:$I,'2022'!$E:$E,Category!$B$121,'2022'!$N:$N,Category!AT$1,'2022'!$D:$D,Category!$C130)</f>
        <v>0</v>
      </c>
      <c r="AU130" s="345">
        <f>SUMIFS('2022'!$I:$I,'2022'!$E:$E,Category!$B$121,'2022'!$N:$N,Category!AU$1,'2022'!$D:$D,Category!$C130)</f>
        <v>21000000</v>
      </c>
      <c r="AV130" s="345">
        <f>SUMIFS('2022'!$I:$I,'2022'!$E:$E,Category!$B$121,'2022'!$N:$N,Category!AV$1,'2022'!$D:$D,Category!$C130)</f>
        <v>5481000</v>
      </c>
      <c r="AW130" s="345">
        <f>SUMIFS('2022'!$I:$I,'2022'!$E:$E,Category!$B$121,'2022'!$N:$N,Category!AW$1,'2022'!$D:$D,Category!$C130)</f>
        <v>0</v>
      </c>
      <c r="AX130" s="345">
        <f>SUMIFS('2022'!$I:$I,'2022'!$E:$E,Category!$B$121,'2022'!$N:$N,Category!AX$1,'2022'!$D:$D,Category!$C130)</f>
        <v>32462000</v>
      </c>
      <c r="AY130" s="345">
        <f>SUMIFS('2022'!$I:$I,'2022'!$E:$E,Category!$B$121,'2022'!$N:$N,Category!AY$1,'2022'!$D:$D,Category!$C130)</f>
        <v>5481000</v>
      </c>
      <c r="AZ130" s="346">
        <f>SUM(AN130:AY130)</f>
        <v>89424000</v>
      </c>
      <c r="BA130" s="505">
        <f>IFERROR(VLOOKUP(C130,'2023'!$D:$G,4,0),0)</f>
        <v>25</v>
      </c>
      <c r="BB130" s="345">
        <f>SUMIFS('2023'!$I:$I,'2023'!$E:$E,Category!$B$121,'2023'!$N:$N,Category!BB$1,'2023'!$D:$D,Category!$C130)</f>
        <v>5481000</v>
      </c>
      <c r="BC130" s="345">
        <f>SUMIFS('2023'!$I:$I,'2023'!$E:$E,Category!$B$121,'2023'!$N:$N,Category!BC$1,'2023'!$D:$D,Category!$C130)</f>
        <v>5481000</v>
      </c>
      <c r="BD130" s="345">
        <f>SUMIFS('2023'!$I:$I,'2023'!$E:$E,Category!$B$121,'2023'!$N:$N,Category!BD$1,'2023'!$D:$D,Category!$C130)</f>
        <v>0</v>
      </c>
      <c r="BE130" s="345">
        <f>SUMIFS('2023'!$I:$I,'2023'!$E:$E,Category!$B$121,'2023'!$N:$N,Category!BE$1,'2023'!$D:$D,Category!$C130)</f>
        <v>0</v>
      </c>
      <c r="BF130" s="345">
        <f>SUMIFS('2023'!$I:$I,'2023'!$E:$E,Category!$B$121,'2023'!$N:$N,Category!BF$1,'2023'!$D:$D,Category!$C130)</f>
        <v>0</v>
      </c>
      <c r="BG130" s="345">
        <f>SUMIFS('2023'!$I:$I,'2023'!$E:$E,Category!$B$121,'2023'!$N:$N,Category!BG$1,'2023'!$D:$D,Category!$C130)</f>
        <v>0</v>
      </c>
      <c r="BH130" s="345">
        <f>SUMIFS('2023'!$I:$I,'2023'!$E:$E,Category!$B$121,'2023'!$N:$N,Category!BH$1,'2023'!$D:$D,Category!$C130)</f>
        <v>0</v>
      </c>
      <c r="BI130" s="345">
        <f>SUMIFS('2023'!$I:$I,'2023'!$E:$E,Category!$B$121,'2023'!$N:$N,Category!BI$1,'2023'!$D:$D,Category!$C130)</f>
        <v>0</v>
      </c>
      <c r="BJ130" s="345">
        <f>SUMIFS('2023'!$I:$I,'2023'!$E:$E,Category!$B$121,'2023'!$N:$N,Category!BJ$1,'2023'!$D:$D,Category!$C130)</f>
        <v>0</v>
      </c>
      <c r="BK130" s="345">
        <f>SUMIFS('2023'!$I:$I,'2023'!$E:$E,Category!$B$121,'2023'!$N:$N,Category!BK$1,'2023'!$D:$D,Category!$C130)</f>
        <v>0</v>
      </c>
      <c r="BL130" s="345">
        <f>SUMIFS('2023'!$I:$I,'2023'!$E:$E,Category!$B$121,'2023'!$N:$N,Category!BL$1,'2023'!$D:$D,Category!$C130)</f>
        <v>0</v>
      </c>
      <c r="BM130" s="345">
        <f>SUMIFS('2023'!$I:$I,'2023'!$E:$E,Category!$B$121,'2023'!$N:$N,Category!BM$1,'2023'!$D:$D,Category!$C130)</f>
        <v>0</v>
      </c>
      <c r="BN130" s="346">
        <f>SUM(BB130:BM130)</f>
        <v>10962000</v>
      </c>
    </row>
    <row r="131" spans="1:66" x14ac:dyDescent="0.25">
      <c r="A131" s="342"/>
      <c r="B131" s="343"/>
      <c r="C131" s="343"/>
      <c r="D131" s="522">
        <f>IFERROR(VLOOKUP($C131,'2019'!$D:$G,4,0),0)</f>
        <v>0</v>
      </c>
      <c r="E131" s="345">
        <f>SUMIFS('2019'!$I:$I,'2019'!$E:$E,Category!$B$121,'2019'!$N:$N,Category!E$1,'2019'!$D:$D,Category!$C131)</f>
        <v>0</v>
      </c>
      <c r="F131" s="345">
        <f>SUMIFS('2019'!$I:$I,'2019'!$E:$E,Category!$B$121,'2019'!$N:$N,Category!F$1,'2019'!$D:$D,Category!$C131)</f>
        <v>0</v>
      </c>
      <c r="G131" s="345">
        <f>SUMIFS('2019'!$I:$I,'2019'!$E:$E,Category!$B$121,'2019'!$N:$N,Category!G$1,'2019'!$D:$D,Category!$C131)</f>
        <v>0</v>
      </c>
      <c r="H131" s="345">
        <f>SUMIFS('2019'!$I:$I,'2019'!$E:$E,Category!$B$121,'2019'!$N:$N,Category!H$1,'2019'!$D:$D,Category!$C131)</f>
        <v>0</v>
      </c>
      <c r="I131" s="345">
        <f>SUMIFS('2019'!$I:$I,'2019'!$E:$E,Category!$B$121,'2019'!$N:$N,Category!I$1,'2019'!$D:$D,Category!$C131)</f>
        <v>0</v>
      </c>
      <c r="J131" s="346">
        <f t="shared" si="52"/>
        <v>0</v>
      </c>
      <c r="K131" s="505">
        <f>IFERROR(VLOOKUP($C131,'2020'!$D:$G,4,0),0)</f>
        <v>0</v>
      </c>
      <c r="L131" s="345">
        <f>SUMIFS('2020'!$I:$I,'2020'!$E:$E,Category!$B$121,'2020'!$N:$N,Category!L$1,'2020'!$D:$D,Category!$C131)</f>
        <v>0</v>
      </c>
      <c r="M131" s="345">
        <f>SUMIFS('2020'!$I:$I,'2020'!$E:$E,Category!$B$121,'2020'!$N:$N,Category!M$1,'2020'!$D:$D,Category!$C131)</f>
        <v>0</v>
      </c>
      <c r="N131" s="345">
        <f>SUMIFS('2020'!$I:$I,'2020'!$E:$E,Category!$B$121,'2020'!$N:$N,Category!N$1,'2020'!$D:$D,Category!$C131)</f>
        <v>0</v>
      </c>
      <c r="O131" s="345">
        <f>SUMIFS('2020'!$I:$I,'2020'!$E:$E,Category!$B$121,'2020'!$N:$N,Category!O$1,'2020'!$D:$D,Category!$C131)</f>
        <v>0</v>
      </c>
      <c r="P131" s="345">
        <f>SUMIFS('2020'!$I:$I,'2020'!$E:$E,Category!$B$121,'2020'!$N:$N,Category!P$1,'2020'!$D:$D,Category!$C131)</f>
        <v>0</v>
      </c>
      <c r="Q131" s="345">
        <f>SUMIFS('2020'!$I:$I,'2020'!$E:$E,Category!$B$121,'2020'!$N:$N,Category!Q$1,'2020'!$D:$D,Category!$C131)</f>
        <v>0</v>
      </c>
      <c r="R131" s="345">
        <f>SUMIFS('2020'!$I:$I,'2020'!$E:$E,Category!$B$121,'2020'!$N:$N,Category!R$1,'2020'!$D:$D,Category!$C131)</f>
        <v>0</v>
      </c>
      <c r="S131" s="345">
        <f>SUMIFS('2020'!$I:$I,'2020'!$E:$E,Category!$B$121,'2020'!$N:$N,Category!S$1,'2020'!$D:$D,Category!$C131)</f>
        <v>0</v>
      </c>
      <c r="T131" s="345">
        <f>SUMIFS('2020'!$I:$I,'2020'!$E:$E,Category!$B$121,'2020'!$N:$N,Category!T$1,'2020'!$D:$D,Category!$C131)</f>
        <v>0</v>
      </c>
      <c r="U131" s="345">
        <f>SUMIFS('2020'!$I:$I,'2020'!$E:$E,Category!$B$121,'2020'!$N:$N,Category!U$1,'2020'!$D:$D,Category!$C131)</f>
        <v>0</v>
      </c>
      <c r="V131" s="345">
        <f>SUMIFS('2020'!$I:$I,'2020'!$E:$E,Category!$B$121,'2020'!$N:$N,Category!V$1,'2020'!$D:$D,Category!$C131)</f>
        <v>0</v>
      </c>
      <c r="W131" s="345">
        <f>SUMIFS('2020'!$I:$I,'2020'!$E:$E,Category!$B$121,'2020'!$N:$N,Category!W$1,'2020'!$D:$D,Category!$C131)</f>
        <v>0</v>
      </c>
      <c r="X131" s="346">
        <f t="shared" si="53"/>
        <v>0</v>
      </c>
      <c r="Y131" s="505">
        <f>IFERROR(VLOOKUP(C131,'2021'!$D:$G,4,0),0)</f>
        <v>0</v>
      </c>
      <c r="Z131" s="345">
        <f>SUMIFS('2021'!$I:$I,'2021'!$E:$E,Category!$B$121,'2021'!$N:$N,Category!Z$1,'2021'!$D:$D,Category!$C131)</f>
        <v>0</v>
      </c>
      <c r="AA131" s="345">
        <f>SUMIFS('2021'!$I:$I,'2021'!$E:$E,Category!$B$121,'2021'!$N:$N,Category!AA$1,'2021'!$D:$D,Category!$C131)</f>
        <v>0</v>
      </c>
      <c r="AB131" s="345">
        <f>SUMIFS('2021'!$I:$I,'2021'!$E:$E,Category!$B$121,'2021'!$N:$N,Category!AB$1,'2021'!$D:$D,Category!$C131)</f>
        <v>0</v>
      </c>
      <c r="AC131" s="345">
        <f>SUMIFS('2021'!$I:$I,'2021'!$E:$E,Category!$B$121,'2021'!$N:$N,Category!AC$1,'2021'!$D:$D,Category!$C131)</f>
        <v>0</v>
      </c>
      <c r="AD131" s="345">
        <f>SUMIFS('2021'!$I:$I,'2021'!$E:$E,Category!$B$121,'2021'!$N:$N,Category!AD$1,'2021'!$D:$D,Category!$C131)</f>
        <v>0</v>
      </c>
      <c r="AE131" s="345">
        <f>SUMIFS('2021'!$I:$I,'2021'!$E:$E,Category!$B$121,'2021'!$N:$N,Category!AE$1,'2021'!$D:$D,Category!$C131)</f>
        <v>0</v>
      </c>
      <c r="AF131" s="345">
        <f>SUMIFS('2021'!$I:$I,'2021'!$E:$E,Category!$B$121,'2021'!$N:$N,Category!AF$1,'2021'!$D:$D,Category!$C131)</f>
        <v>0</v>
      </c>
      <c r="AG131" s="345">
        <f>SUMIFS('2021'!$I:$I,'2021'!$E:$E,Category!$B$121,'2021'!$N:$N,Category!AG$1,'2021'!$D:$D,Category!$C131)</f>
        <v>0</v>
      </c>
      <c r="AH131" s="345">
        <f>SUMIFS('2021'!$I:$I,'2021'!$E:$E,Category!$B$121,'2021'!$N:$N,Category!AH$1,'2021'!$D:$D,Category!$C131)</f>
        <v>0</v>
      </c>
      <c r="AI131" s="345">
        <f>SUMIFS('2021'!$I:$I,'2021'!$E:$E,Category!$B$121,'2021'!$N:$N,Category!AI$1,'2021'!$D:$D,Category!$C131)</f>
        <v>0</v>
      </c>
      <c r="AJ131" s="345">
        <f>SUMIFS('2021'!$I:$I,'2021'!$E:$E,Category!$B$121,'2021'!$N:$N,Category!AJ$1,'2021'!$D:$D,Category!$C131)</f>
        <v>0</v>
      </c>
      <c r="AK131" s="345">
        <f>SUMIFS('2021'!$I:$I,'2021'!$E:$E,Category!$B$121,'2021'!$N:$N,Category!AK$1,'2021'!$D:$D,Category!$C131)</f>
        <v>0</v>
      </c>
      <c r="AL131" s="346">
        <f t="shared" si="57"/>
        <v>0</v>
      </c>
      <c r="AM131" s="505">
        <f>IFERROR(VLOOKUP(C131,'2022'!$D:$G,4,0),0)</f>
        <v>0</v>
      </c>
      <c r="AN131" s="345">
        <f>SUMIFS('2022'!$I:$I,'2022'!$E:$E,Category!$B$121,'2022'!$N:$N,Category!AN$1,'2022'!$D:$D,Category!$C131)</f>
        <v>0</v>
      </c>
      <c r="AO131" s="345">
        <f>SUMIFS('2022'!$I:$I,'2022'!$E:$E,Category!$B$121,'2022'!$N:$N,Category!AO$1,'2022'!$D:$D,Category!$C131)</f>
        <v>0</v>
      </c>
      <c r="AP131" s="345">
        <f>SUMIFS('2022'!$I:$I,'2022'!$E:$E,Category!$B$121,'2022'!$N:$N,Category!AP$1,'2022'!$D:$D,Category!$C131)</f>
        <v>0</v>
      </c>
      <c r="AQ131" s="345">
        <f>SUMIFS('2022'!$I:$I,'2022'!$E:$E,Category!$B$121,'2022'!$N:$N,Category!AQ$1,'2022'!$D:$D,Category!$C131)</f>
        <v>0</v>
      </c>
      <c r="AR131" s="345">
        <f>SUMIFS('2022'!$I:$I,'2022'!$E:$E,Category!$B$121,'2022'!$N:$N,Category!AR$1,'2022'!$D:$D,Category!$C131)</f>
        <v>0</v>
      </c>
      <c r="AS131" s="345">
        <f>SUMIFS('2022'!$I:$I,'2022'!$E:$E,Category!$B$121,'2022'!$N:$N,Category!AS$1,'2022'!$D:$D,Category!$C131)</f>
        <v>0</v>
      </c>
      <c r="AT131" s="345">
        <f>SUMIFS('2022'!$I:$I,'2022'!$E:$E,Category!$B$121,'2022'!$N:$N,Category!AT$1,'2022'!$D:$D,Category!$C131)</f>
        <v>0</v>
      </c>
      <c r="AU131" s="345">
        <f>SUMIFS('2022'!$I:$I,'2022'!$E:$E,Category!$B$121,'2022'!$N:$N,Category!AU$1,'2022'!$D:$D,Category!$C131)</f>
        <v>0</v>
      </c>
      <c r="AV131" s="345">
        <f>SUMIFS('2022'!$I:$I,'2022'!$E:$E,Category!$B$121,'2022'!$N:$N,Category!AV$1,'2022'!$D:$D,Category!$C131)</f>
        <v>0</v>
      </c>
      <c r="AW131" s="345">
        <f>SUMIFS('2022'!$I:$I,'2022'!$E:$E,Category!$B$121,'2022'!$N:$N,Category!AW$1,'2022'!$D:$D,Category!$C131)</f>
        <v>0</v>
      </c>
      <c r="AX131" s="345">
        <f>SUMIFS('2022'!$I:$I,'2022'!$E:$E,Category!$B$121,'2022'!$N:$N,Category!AX$1,'2022'!$D:$D,Category!$C131)</f>
        <v>0</v>
      </c>
      <c r="AY131" s="345">
        <f>SUMIFS('2022'!$I:$I,'2022'!$E:$E,Category!$B$121,'2022'!$N:$N,Category!AY$1,'2022'!$D:$D,Category!$C131)</f>
        <v>0</v>
      </c>
      <c r="AZ131" s="346">
        <f t="shared" si="55"/>
        <v>0</v>
      </c>
      <c r="BA131" s="505">
        <f>IFERROR(VLOOKUP(C131,'2023'!$D:$G,4,0),0)</f>
        <v>0</v>
      </c>
      <c r="BB131" s="345">
        <f>SUMIFS('2023'!$I:$I,'2023'!$E:$E,Category!$B$121,'2023'!$N:$N,Category!BB$1,'2023'!$D:$D,Category!$C131)</f>
        <v>0</v>
      </c>
      <c r="BC131" s="345">
        <f>SUMIFS('2023'!$I:$I,'2023'!$E:$E,Category!$B$121,'2023'!$N:$N,Category!BC$1,'2023'!$D:$D,Category!$C131)</f>
        <v>0</v>
      </c>
      <c r="BD131" s="345">
        <f>SUMIFS('2023'!$I:$I,'2023'!$E:$E,Category!$B$121,'2023'!$N:$N,Category!BD$1,'2023'!$D:$D,Category!$C131)</f>
        <v>0</v>
      </c>
      <c r="BE131" s="345">
        <f>SUMIFS('2023'!$I:$I,'2023'!$E:$E,Category!$B$121,'2023'!$N:$N,Category!BE$1,'2023'!$D:$D,Category!$C131)</f>
        <v>0</v>
      </c>
      <c r="BF131" s="345">
        <f>SUMIFS('2023'!$I:$I,'2023'!$E:$E,Category!$B$121,'2023'!$N:$N,Category!BF$1,'2023'!$D:$D,Category!$C131)</f>
        <v>0</v>
      </c>
      <c r="BG131" s="345">
        <f>SUMIFS('2023'!$I:$I,'2023'!$E:$E,Category!$B$121,'2023'!$N:$N,Category!BG$1,'2023'!$D:$D,Category!$C131)</f>
        <v>0</v>
      </c>
      <c r="BH131" s="345">
        <f>SUMIFS('2023'!$I:$I,'2023'!$E:$E,Category!$B$121,'2023'!$N:$N,Category!BH$1,'2023'!$D:$D,Category!$C131)</f>
        <v>0</v>
      </c>
      <c r="BI131" s="345">
        <f>SUMIFS('2023'!$I:$I,'2023'!$E:$E,Category!$B$121,'2023'!$N:$N,Category!BI$1,'2023'!$D:$D,Category!$C131)</f>
        <v>0</v>
      </c>
      <c r="BJ131" s="345">
        <f>SUMIFS('2023'!$I:$I,'2023'!$E:$E,Category!$B$121,'2023'!$N:$N,Category!BJ$1,'2023'!$D:$D,Category!$C131)</f>
        <v>0</v>
      </c>
      <c r="BK131" s="345">
        <f>SUMIFS('2023'!$I:$I,'2023'!$E:$E,Category!$B$121,'2023'!$N:$N,Category!BK$1,'2023'!$D:$D,Category!$C131)</f>
        <v>0</v>
      </c>
      <c r="BL131" s="345">
        <f>SUMIFS('2023'!$I:$I,'2023'!$E:$E,Category!$B$121,'2023'!$N:$N,Category!BL$1,'2023'!$D:$D,Category!$C131)</f>
        <v>0</v>
      </c>
      <c r="BM131" s="345">
        <f>SUMIFS('2023'!$I:$I,'2023'!$E:$E,Category!$B$121,'2023'!$N:$N,Category!BM$1,'2023'!$D:$D,Category!$C131)</f>
        <v>0</v>
      </c>
      <c r="BN131" s="346">
        <f>SUM(BB131:BM131)</f>
        <v>0</v>
      </c>
    </row>
    <row r="132" spans="1:66" x14ac:dyDescent="0.3">
      <c r="A132" s="342"/>
      <c r="B132" s="343"/>
      <c r="C132" s="344" t="s">
        <v>372</v>
      </c>
      <c r="D132" s="521">
        <f>IFERROR(VLOOKUP($C132,'2019'!$D:$G,4,0),0)</f>
        <v>0</v>
      </c>
      <c r="E132" s="345">
        <f>SUMIFS('2019'!$I:$I,'2019'!$E:$E,Category!$B$121,'2019'!$N:$N,Category!E$1,'2019'!$D:$D,Category!$C132)</f>
        <v>0</v>
      </c>
      <c r="F132" s="345">
        <f>SUMIFS('2019'!$I:$I,'2019'!$E:$E,Category!$B$121,'2019'!$N:$N,Category!F$1,'2019'!$D:$D,Category!$C132)</f>
        <v>0</v>
      </c>
      <c r="G132" s="345">
        <f>SUMIFS('2019'!$I:$I,'2019'!$E:$E,Category!$B$121,'2019'!$N:$N,Category!G$1,'2019'!$D:$D,Category!$C132)</f>
        <v>0</v>
      </c>
      <c r="H132" s="345">
        <f>SUMIFS('2019'!$I:$I,'2019'!$E:$E,Category!$B$121,'2019'!$N:$N,Category!H$1,'2019'!$D:$D,Category!$C132)</f>
        <v>0</v>
      </c>
      <c r="I132" s="345">
        <f>SUMIFS('2019'!$I:$I,'2019'!$E:$E,Category!$B$121,'2019'!$N:$N,Category!I$1,'2019'!$D:$D,Category!$C132)</f>
        <v>0</v>
      </c>
      <c r="J132" s="346">
        <f t="shared" si="52"/>
        <v>0</v>
      </c>
      <c r="K132" s="505">
        <f>IFERROR(VLOOKUP($C132,'2020'!$D:$G,4,0),0)</f>
        <v>0</v>
      </c>
      <c r="L132" s="345">
        <f>SUMIFS('2020'!$I:$I,'2020'!$E:$E,Category!$B$121,'2020'!$N:$N,Category!L$1,'2020'!$D:$D,Category!$C132)</f>
        <v>0</v>
      </c>
      <c r="M132" s="345">
        <f>SUMIFS('2020'!$I:$I,'2020'!$E:$E,Category!$B$121,'2020'!$N:$N,Category!M$1,'2020'!$D:$D,Category!$C132)</f>
        <v>0</v>
      </c>
      <c r="N132" s="345">
        <f>SUMIFS('2020'!$I:$I,'2020'!$E:$E,Category!$B$121,'2020'!$N:$N,Category!N$1,'2020'!$D:$D,Category!$C132)</f>
        <v>0</v>
      </c>
      <c r="O132" s="345">
        <f>SUMIFS('2020'!$I:$I,'2020'!$E:$E,Category!$B$121,'2020'!$N:$N,Category!O$1,'2020'!$D:$D,Category!$C132)</f>
        <v>0</v>
      </c>
      <c r="P132" s="345">
        <f>SUMIFS('2020'!$I:$I,'2020'!$E:$E,Category!$B$121,'2020'!$N:$N,Category!P$1,'2020'!$D:$D,Category!$C132)</f>
        <v>0</v>
      </c>
      <c r="Q132" s="345">
        <f>SUMIFS('2020'!$I:$I,'2020'!$E:$E,Category!$B$121,'2020'!$N:$N,Category!Q$1,'2020'!$D:$D,Category!$C132)</f>
        <v>0</v>
      </c>
      <c r="R132" s="345">
        <f>SUMIFS('2020'!$I:$I,'2020'!$E:$E,Category!$B$121,'2020'!$N:$N,Category!R$1,'2020'!$D:$D,Category!$C132)</f>
        <v>0</v>
      </c>
      <c r="S132" s="345">
        <f>SUMIFS('2020'!$I:$I,'2020'!$E:$E,Category!$B$121,'2020'!$N:$N,Category!S$1,'2020'!$D:$D,Category!$C132)</f>
        <v>0</v>
      </c>
      <c r="T132" s="345">
        <f>SUMIFS('2020'!$I:$I,'2020'!$E:$E,Category!$B$121,'2020'!$N:$N,Category!T$1,'2020'!$D:$D,Category!$C132)</f>
        <v>0</v>
      </c>
      <c r="U132" s="345">
        <f>SUMIFS('2020'!$I:$I,'2020'!$E:$E,Category!$B$121,'2020'!$N:$N,Category!U$1,'2020'!$D:$D,Category!$C132)</f>
        <v>0</v>
      </c>
      <c r="V132" s="345">
        <f>SUMIFS('2020'!$I:$I,'2020'!$E:$E,Category!$B$121,'2020'!$N:$N,Category!V$1,'2020'!$D:$D,Category!$C132)</f>
        <v>0</v>
      </c>
      <c r="W132" s="345">
        <f>SUMIFS('2020'!$I:$I,'2020'!$E:$E,Category!$B$121,'2020'!$N:$N,Category!W$1,'2020'!$D:$D,Category!$C132)</f>
        <v>0</v>
      </c>
      <c r="X132" s="346">
        <f t="shared" si="53"/>
        <v>0</v>
      </c>
      <c r="Y132" s="505">
        <f>IFERROR(VLOOKUP(C132,'2021'!$D:$G,4,0),0)</f>
        <v>0</v>
      </c>
      <c r="Z132" s="345">
        <f>SUMIFS('2021'!$I:$I,'2021'!$E:$E,Category!$B$121,'2021'!$N:$N,Category!Z$1,'2021'!$D:$D,Category!$C132)</f>
        <v>0</v>
      </c>
      <c r="AA132" s="345">
        <f>SUMIFS('2021'!$I:$I,'2021'!$E:$E,Category!$B$121,'2021'!$N:$N,Category!AA$1,'2021'!$D:$D,Category!$C132)</f>
        <v>0</v>
      </c>
      <c r="AB132" s="345">
        <f>SUMIFS('2021'!$I:$I,'2021'!$E:$E,Category!$B$121,'2021'!$N:$N,Category!AB$1,'2021'!$D:$D,Category!$C132)</f>
        <v>0</v>
      </c>
      <c r="AC132" s="345">
        <f>SUMIFS('2021'!$I:$I,'2021'!$E:$E,Category!$B$121,'2021'!$N:$N,Category!AC$1,'2021'!$D:$D,Category!$C132)</f>
        <v>0</v>
      </c>
      <c r="AD132" s="345">
        <f>SUMIFS('2021'!$I:$I,'2021'!$E:$E,Category!$B$121,'2021'!$N:$N,Category!AD$1,'2021'!$D:$D,Category!$C132)</f>
        <v>0</v>
      </c>
      <c r="AE132" s="345">
        <f>SUMIFS('2021'!$I:$I,'2021'!$E:$E,Category!$B$121,'2021'!$N:$N,Category!AE$1,'2021'!$D:$D,Category!$C132)</f>
        <v>0</v>
      </c>
      <c r="AF132" s="345">
        <f>SUMIFS('2021'!$I:$I,'2021'!$E:$E,Category!$B$121,'2021'!$N:$N,Category!AF$1,'2021'!$D:$D,Category!$C132)</f>
        <v>0</v>
      </c>
      <c r="AG132" s="345">
        <f>SUMIFS('2021'!$I:$I,'2021'!$E:$E,Category!$B$121,'2021'!$N:$N,Category!AG$1,'2021'!$D:$D,Category!$C132)</f>
        <v>0</v>
      </c>
      <c r="AH132" s="345">
        <f>SUMIFS('2021'!$I:$I,'2021'!$E:$E,Category!$B$121,'2021'!$N:$N,Category!AH$1,'2021'!$D:$D,Category!$C132)</f>
        <v>0</v>
      </c>
      <c r="AI132" s="345">
        <f>SUMIFS('2021'!$I:$I,'2021'!$E:$E,Category!$B$121,'2021'!$N:$N,Category!AI$1,'2021'!$D:$D,Category!$C132)</f>
        <v>0</v>
      </c>
      <c r="AJ132" s="345">
        <f>SUMIFS('2021'!$I:$I,'2021'!$E:$E,Category!$B$121,'2021'!$N:$N,Category!AJ$1,'2021'!$D:$D,Category!$C132)</f>
        <v>0</v>
      </c>
      <c r="AK132" s="345">
        <f>SUMIFS('2021'!$I:$I,'2021'!$E:$E,Category!$B$121,'2021'!$N:$N,Category!AK$1,'2021'!$D:$D,Category!$C132)</f>
        <v>0</v>
      </c>
      <c r="AL132" s="346">
        <f t="shared" si="54"/>
        <v>0</v>
      </c>
      <c r="AM132" s="505">
        <f>IFERROR(VLOOKUP(C132,'2022'!$D:$G,4,0),0)</f>
        <v>0</v>
      </c>
      <c r="AN132" s="345">
        <f>SUMIFS('2022'!$I:$I,'2022'!$E:$E,Category!$B$121,'2022'!$N:$N,Category!AN$1,'2022'!$D:$D,Category!$C132)</f>
        <v>0</v>
      </c>
      <c r="AO132" s="345">
        <f>SUMIFS('2022'!$I:$I,'2022'!$E:$E,Category!$B$121,'2022'!$N:$N,Category!AO$1,'2022'!$D:$D,Category!$C132)</f>
        <v>0</v>
      </c>
      <c r="AP132" s="345">
        <f>SUMIFS('2022'!$I:$I,'2022'!$E:$E,Category!$B$121,'2022'!$N:$N,Category!AP$1,'2022'!$D:$D,Category!$C132)</f>
        <v>0</v>
      </c>
      <c r="AQ132" s="345">
        <f>SUMIFS('2022'!$I:$I,'2022'!$E:$E,Category!$B$121,'2022'!$N:$N,Category!AQ$1,'2022'!$D:$D,Category!$C132)</f>
        <v>0</v>
      </c>
      <c r="AR132" s="345">
        <f>SUMIFS('2022'!$I:$I,'2022'!$E:$E,Category!$B$121,'2022'!$N:$N,Category!AR$1,'2022'!$D:$D,Category!$C132)</f>
        <v>0</v>
      </c>
      <c r="AS132" s="345">
        <f>SUMIFS('2022'!$I:$I,'2022'!$E:$E,Category!$B$121,'2022'!$N:$N,Category!AS$1,'2022'!$D:$D,Category!$C132)</f>
        <v>0</v>
      </c>
      <c r="AT132" s="345">
        <f>SUMIFS('2022'!$I:$I,'2022'!$E:$E,Category!$B$121,'2022'!$N:$N,Category!AT$1,'2022'!$D:$D,Category!$C132)</f>
        <v>0</v>
      </c>
      <c r="AU132" s="345">
        <f>SUMIFS('2022'!$I:$I,'2022'!$E:$E,Category!$B$121,'2022'!$N:$N,Category!AU$1,'2022'!$D:$D,Category!$C132)</f>
        <v>0</v>
      </c>
      <c r="AV132" s="345">
        <f>SUMIFS('2022'!$I:$I,'2022'!$E:$E,Category!$B$121,'2022'!$N:$N,Category!AV$1,'2022'!$D:$D,Category!$C132)</f>
        <v>0</v>
      </c>
      <c r="AW132" s="345">
        <f>SUMIFS('2022'!$I:$I,'2022'!$E:$E,Category!$B$121,'2022'!$N:$N,Category!AW$1,'2022'!$D:$D,Category!$C132)</f>
        <v>0</v>
      </c>
      <c r="AX132" s="345">
        <f>SUMIFS('2022'!$I:$I,'2022'!$E:$E,Category!$B$121,'2022'!$N:$N,Category!AX$1,'2022'!$D:$D,Category!$C132)</f>
        <v>0</v>
      </c>
      <c r="AY132" s="345">
        <f>SUMIFS('2022'!$I:$I,'2022'!$E:$E,Category!$B$121,'2022'!$N:$N,Category!AY$1,'2022'!$D:$D,Category!$C132)</f>
        <v>0</v>
      </c>
      <c r="AZ132" s="346">
        <f>SUM(AN132:AY132)</f>
        <v>0</v>
      </c>
      <c r="BA132" s="505">
        <f>IFERROR(VLOOKUP(C132,'2023'!$D:$G,4,0),0)</f>
        <v>0</v>
      </c>
      <c r="BB132" s="345">
        <f>SUMIFS('2023'!$I:$I,'2023'!$E:$E,Category!$B$121,'2023'!$N:$N,Category!BB$1,'2023'!$D:$D,Category!$C132)</f>
        <v>0</v>
      </c>
      <c r="BC132" s="345">
        <f>SUMIFS('2023'!$I:$I,'2023'!$E:$E,Category!$B$121,'2023'!$N:$N,Category!BC$1,'2023'!$D:$D,Category!$C132)</f>
        <v>0</v>
      </c>
      <c r="BD132" s="345">
        <f>SUMIFS('2023'!$I:$I,'2023'!$E:$E,Category!$B$121,'2023'!$N:$N,Category!BD$1,'2023'!$D:$D,Category!$C132)</f>
        <v>0</v>
      </c>
      <c r="BE132" s="345">
        <f>SUMIFS('2023'!$I:$I,'2023'!$E:$E,Category!$B$121,'2023'!$N:$N,Category!BE$1,'2023'!$D:$D,Category!$C132)</f>
        <v>0</v>
      </c>
      <c r="BF132" s="345">
        <f>SUMIFS('2023'!$I:$I,'2023'!$E:$E,Category!$B$121,'2023'!$N:$N,Category!BF$1,'2023'!$D:$D,Category!$C132)</f>
        <v>0</v>
      </c>
      <c r="BG132" s="345">
        <f>SUMIFS('2023'!$I:$I,'2023'!$E:$E,Category!$B$121,'2023'!$N:$N,Category!BG$1,'2023'!$D:$D,Category!$C132)</f>
        <v>0</v>
      </c>
      <c r="BH132" s="345">
        <f>SUMIFS('2023'!$I:$I,'2023'!$E:$E,Category!$B$121,'2023'!$N:$N,Category!BH$1,'2023'!$D:$D,Category!$C132)</f>
        <v>0</v>
      </c>
      <c r="BI132" s="345">
        <f>SUMIFS('2023'!$I:$I,'2023'!$E:$E,Category!$B$121,'2023'!$N:$N,Category!BI$1,'2023'!$D:$D,Category!$C132)</f>
        <v>0</v>
      </c>
      <c r="BJ132" s="345">
        <f>SUMIFS('2023'!$I:$I,'2023'!$E:$E,Category!$B$121,'2023'!$N:$N,Category!BJ$1,'2023'!$D:$D,Category!$C132)</f>
        <v>0</v>
      </c>
      <c r="BK132" s="345">
        <f>SUMIFS('2023'!$I:$I,'2023'!$E:$E,Category!$B$121,'2023'!$N:$N,Category!BK$1,'2023'!$D:$D,Category!$C132)</f>
        <v>0</v>
      </c>
      <c r="BL132" s="345">
        <f>SUMIFS('2023'!$I:$I,'2023'!$E:$E,Category!$B$121,'2023'!$N:$N,Category!BL$1,'2023'!$D:$D,Category!$C132)</f>
        <v>0</v>
      </c>
      <c r="BM132" s="345">
        <f>SUMIFS('2023'!$I:$I,'2023'!$E:$E,Category!$B$121,'2023'!$N:$N,Category!BM$1,'2023'!$D:$D,Category!$C132)</f>
        <v>0</v>
      </c>
      <c r="BN132" s="346">
        <f>SUM(BB132:BM132)</f>
        <v>0</v>
      </c>
    </row>
    <row r="133" spans="1:66" x14ac:dyDescent="0.3">
      <c r="A133" s="342"/>
      <c r="B133" s="343"/>
      <c r="C133" s="344" t="s">
        <v>372</v>
      </c>
      <c r="D133" s="521">
        <f>IFERROR(VLOOKUP($C133,'2019'!$D:$G,4,0),0)</f>
        <v>0</v>
      </c>
      <c r="E133" s="345">
        <f>SUMIFS('2019'!$I:$I,'2019'!$E:$E,Category!$B$121,'2019'!$N:$N,Category!E$1,'2019'!$D:$D,Category!$C133)</f>
        <v>0</v>
      </c>
      <c r="F133" s="345">
        <f>SUMIFS('2019'!$I:$I,'2019'!$E:$E,Category!$B$121,'2019'!$N:$N,Category!F$1,'2019'!$D:$D,Category!$C133)</f>
        <v>0</v>
      </c>
      <c r="G133" s="345">
        <f>SUMIFS('2019'!$I:$I,'2019'!$E:$E,Category!$B$121,'2019'!$N:$N,Category!G$1,'2019'!$D:$D,Category!$C133)</f>
        <v>0</v>
      </c>
      <c r="H133" s="345">
        <f>SUMIFS('2019'!$I:$I,'2019'!$E:$E,Category!$B$121,'2019'!$N:$N,Category!H$1,'2019'!$D:$D,Category!$C133)</f>
        <v>0</v>
      </c>
      <c r="I133" s="345">
        <f>SUMIFS('2019'!$I:$I,'2019'!$E:$E,Category!$B$121,'2019'!$N:$N,Category!I$1,'2019'!$D:$D,Category!$C133)</f>
        <v>0</v>
      </c>
      <c r="J133" s="346">
        <f t="shared" si="52"/>
        <v>0</v>
      </c>
      <c r="K133" s="505">
        <f>IFERROR(VLOOKUP($C133,'2020'!$D:$G,4,0),0)</f>
        <v>0</v>
      </c>
      <c r="L133" s="345">
        <f>SUMIFS('2020'!$I:$I,'2020'!$E:$E,Category!$B$121,'2020'!$N:$N,Category!L$1,'2020'!$D:$D,Category!$C133)</f>
        <v>0</v>
      </c>
      <c r="M133" s="345">
        <f>SUMIFS('2020'!$I:$I,'2020'!$E:$E,Category!$B$121,'2020'!$N:$N,Category!M$1,'2020'!$D:$D,Category!$C133)</f>
        <v>0</v>
      </c>
      <c r="N133" s="345">
        <f>SUMIFS('2020'!$I:$I,'2020'!$E:$E,Category!$B$121,'2020'!$N:$N,Category!N$1,'2020'!$D:$D,Category!$C133)</f>
        <v>0</v>
      </c>
      <c r="O133" s="345">
        <f>SUMIFS('2020'!$I:$I,'2020'!$E:$E,Category!$B$121,'2020'!$N:$N,Category!O$1,'2020'!$D:$D,Category!$C133)</f>
        <v>0</v>
      </c>
      <c r="P133" s="345">
        <f>SUMIFS('2020'!$I:$I,'2020'!$E:$E,Category!$B$121,'2020'!$N:$N,Category!P$1,'2020'!$D:$D,Category!$C133)</f>
        <v>0</v>
      </c>
      <c r="Q133" s="345">
        <f>SUMIFS('2020'!$I:$I,'2020'!$E:$E,Category!$B$121,'2020'!$N:$N,Category!Q$1,'2020'!$D:$D,Category!$C133)</f>
        <v>0</v>
      </c>
      <c r="R133" s="345">
        <f>SUMIFS('2020'!$I:$I,'2020'!$E:$E,Category!$B$121,'2020'!$N:$N,Category!R$1,'2020'!$D:$D,Category!$C133)</f>
        <v>0</v>
      </c>
      <c r="S133" s="345">
        <f>SUMIFS('2020'!$I:$I,'2020'!$E:$E,Category!$B$121,'2020'!$N:$N,Category!S$1,'2020'!$D:$D,Category!$C133)</f>
        <v>0</v>
      </c>
      <c r="T133" s="345">
        <f>SUMIFS('2020'!$I:$I,'2020'!$E:$E,Category!$B$121,'2020'!$N:$N,Category!T$1,'2020'!$D:$D,Category!$C133)</f>
        <v>0</v>
      </c>
      <c r="U133" s="345">
        <f>SUMIFS('2020'!$I:$I,'2020'!$E:$E,Category!$B$121,'2020'!$N:$N,Category!U$1,'2020'!$D:$D,Category!$C133)</f>
        <v>0</v>
      </c>
      <c r="V133" s="345">
        <f>SUMIFS('2020'!$I:$I,'2020'!$E:$E,Category!$B$121,'2020'!$N:$N,Category!V$1,'2020'!$D:$D,Category!$C133)</f>
        <v>0</v>
      </c>
      <c r="W133" s="345">
        <f>SUMIFS('2020'!$I:$I,'2020'!$E:$E,Category!$B$121,'2020'!$N:$N,Category!W$1,'2020'!$D:$D,Category!$C133)</f>
        <v>0</v>
      </c>
      <c r="X133" s="346">
        <f t="shared" si="53"/>
        <v>0</v>
      </c>
      <c r="Y133" s="505">
        <f>IFERROR(VLOOKUP(C133,'2021'!$D:$G,4,0),0)</f>
        <v>0</v>
      </c>
      <c r="Z133" s="345">
        <f>SUMIFS('2021'!$I:$I,'2021'!$E:$E,Category!$B$121,'2021'!$N:$N,Category!Z$1,'2021'!$D:$D,Category!$C133)</f>
        <v>0</v>
      </c>
      <c r="AA133" s="345">
        <f>SUMIFS('2021'!$I:$I,'2021'!$E:$E,Category!$B$121,'2021'!$N:$N,Category!AA$1,'2021'!$D:$D,Category!$C133)</f>
        <v>0</v>
      </c>
      <c r="AB133" s="345">
        <f>SUMIFS('2021'!$I:$I,'2021'!$E:$E,Category!$B$121,'2021'!$N:$N,Category!AB$1,'2021'!$D:$D,Category!$C133)</f>
        <v>0</v>
      </c>
      <c r="AC133" s="345">
        <f>SUMIFS('2021'!$I:$I,'2021'!$E:$E,Category!$B$121,'2021'!$N:$N,Category!AC$1,'2021'!$D:$D,Category!$C133)</f>
        <v>0</v>
      </c>
      <c r="AD133" s="345">
        <f>SUMIFS('2021'!$I:$I,'2021'!$E:$E,Category!$B$121,'2021'!$N:$N,Category!AD$1,'2021'!$D:$D,Category!$C133)</f>
        <v>0</v>
      </c>
      <c r="AE133" s="345">
        <f>SUMIFS('2021'!$I:$I,'2021'!$E:$E,Category!$B$121,'2021'!$N:$N,Category!AE$1,'2021'!$D:$D,Category!$C133)</f>
        <v>0</v>
      </c>
      <c r="AF133" s="345">
        <f>SUMIFS('2021'!$I:$I,'2021'!$E:$E,Category!$B$121,'2021'!$N:$N,Category!AF$1,'2021'!$D:$D,Category!$C133)</f>
        <v>0</v>
      </c>
      <c r="AG133" s="345">
        <f>SUMIFS('2021'!$I:$I,'2021'!$E:$E,Category!$B$121,'2021'!$N:$N,Category!AG$1,'2021'!$D:$D,Category!$C133)</f>
        <v>0</v>
      </c>
      <c r="AH133" s="345">
        <f>SUMIFS('2021'!$I:$I,'2021'!$E:$E,Category!$B$121,'2021'!$N:$N,Category!AH$1,'2021'!$D:$D,Category!$C133)</f>
        <v>0</v>
      </c>
      <c r="AI133" s="345">
        <f>SUMIFS('2021'!$I:$I,'2021'!$E:$E,Category!$B$121,'2021'!$N:$N,Category!AI$1,'2021'!$D:$D,Category!$C133)</f>
        <v>0</v>
      </c>
      <c r="AJ133" s="345">
        <f>SUMIFS('2021'!$I:$I,'2021'!$E:$E,Category!$B$121,'2021'!$N:$N,Category!AJ$1,'2021'!$D:$D,Category!$C133)</f>
        <v>0</v>
      </c>
      <c r="AK133" s="345">
        <f>SUMIFS('2021'!$I:$I,'2021'!$E:$E,Category!$B$121,'2021'!$N:$N,Category!AK$1,'2021'!$D:$D,Category!$C133)</f>
        <v>0</v>
      </c>
      <c r="AL133" s="346">
        <f t="shared" si="54"/>
        <v>0</v>
      </c>
      <c r="AM133" s="505">
        <f>IFERROR(VLOOKUP(C133,'2022'!$D:$G,4,0),0)</f>
        <v>0</v>
      </c>
      <c r="AN133" s="345">
        <f>SUMIFS('2022'!$I:$I,'2022'!$E:$E,Category!$B$121,'2022'!$N:$N,Category!AN$1,'2022'!$D:$D,Category!$C133)</f>
        <v>0</v>
      </c>
      <c r="AO133" s="345">
        <f>SUMIFS('2022'!$I:$I,'2022'!$E:$E,Category!$B$121,'2022'!$N:$N,Category!AO$1,'2022'!$D:$D,Category!$C133)</f>
        <v>0</v>
      </c>
      <c r="AP133" s="345">
        <f>SUMIFS('2022'!$I:$I,'2022'!$E:$E,Category!$B$121,'2022'!$N:$N,Category!AP$1,'2022'!$D:$D,Category!$C133)</f>
        <v>0</v>
      </c>
      <c r="AQ133" s="345">
        <f>SUMIFS('2022'!$I:$I,'2022'!$E:$E,Category!$B$121,'2022'!$N:$N,Category!AQ$1,'2022'!$D:$D,Category!$C133)</f>
        <v>0</v>
      </c>
      <c r="AR133" s="345">
        <f>SUMIFS('2022'!$I:$I,'2022'!$E:$E,Category!$B$121,'2022'!$N:$N,Category!AR$1,'2022'!$D:$D,Category!$C133)</f>
        <v>0</v>
      </c>
      <c r="AS133" s="345">
        <f>SUMIFS('2022'!$I:$I,'2022'!$E:$E,Category!$B$121,'2022'!$N:$N,Category!AS$1,'2022'!$D:$D,Category!$C133)</f>
        <v>0</v>
      </c>
      <c r="AT133" s="345">
        <f>SUMIFS('2022'!$I:$I,'2022'!$E:$E,Category!$B$121,'2022'!$N:$N,Category!AT$1,'2022'!$D:$D,Category!$C133)</f>
        <v>0</v>
      </c>
      <c r="AU133" s="345">
        <f>SUMIFS('2022'!$I:$I,'2022'!$E:$E,Category!$B$121,'2022'!$N:$N,Category!AU$1,'2022'!$D:$D,Category!$C133)</f>
        <v>0</v>
      </c>
      <c r="AV133" s="345">
        <f>SUMIFS('2022'!$I:$I,'2022'!$E:$E,Category!$B$121,'2022'!$N:$N,Category!AV$1,'2022'!$D:$D,Category!$C133)</f>
        <v>0</v>
      </c>
      <c r="AW133" s="345">
        <f>SUMIFS('2022'!$I:$I,'2022'!$E:$E,Category!$B$121,'2022'!$N:$N,Category!AW$1,'2022'!$D:$D,Category!$C133)</f>
        <v>0</v>
      </c>
      <c r="AX133" s="345">
        <f>SUMIFS('2022'!$I:$I,'2022'!$E:$E,Category!$B$121,'2022'!$N:$N,Category!AX$1,'2022'!$D:$D,Category!$C133)</f>
        <v>0</v>
      </c>
      <c r="AY133" s="345">
        <f>SUMIFS('2022'!$I:$I,'2022'!$E:$E,Category!$B$121,'2022'!$N:$N,Category!AY$1,'2022'!$D:$D,Category!$C133)</f>
        <v>0</v>
      </c>
      <c r="AZ133" s="346">
        <f>SUM(AN133:AY133)</f>
        <v>0</v>
      </c>
      <c r="BA133" s="505">
        <f>IFERROR(VLOOKUP(C133,'2023'!$D:$G,4,0),0)</f>
        <v>0</v>
      </c>
      <c r="BB133" s="345">
        <f>SUMIFS('2023'!$I:$I,'2023'!$E:$E,Category!$B$121,'2023'!$N:$N,Category!BB$1,'2023'!$D:$D,Category!$C133)</f>
        <v>0</v>
      </c>
      <c r="BC133" s="345">
        <f>SUMIFS('2023'!$I:$I,'2023'!$E:$E,Category!$B$121,'2023'!$N:$N,Category!BC$1,'2023'!$D:$D,Category!$C133)</f>
        <v>0</v>
      </c>
      <c r="BD133" s="345">
        <f>SUMIFS('2023'!$I:$I,'2023'!$E:$E,Category!$B$121,'2023'!$N:$N,Category!BD$1,'2023'!$D:$D,Category!$C133)</f>
        <v>0</v>
      </c>
      <c r="BE133" s="345">
        <f>SUMIFS('2023'!$I:$I,'2023'!$E:$E,Category!$B$121,'2023'!$N:$N,Category!BE$1,'2023'!$D:$D,Category!$C133)</f>
        <v>0</v>
      </c>
      <c r="BF133" s="345">
        <f>SUMIFS('2023'!$I:$I,'2023'!$E:$E,Category!$B$121,'2023'!$N:$N,Category!BF$1,'2023'!$D:$D,Category!$C133)</f>
        <v>0</v>
      </c>
      <c r="BG133" s="345">
        <f>SUMIFS('2023'!$I:$I,'2023'!$E:$E,Category!$B$121,'2023'!$N:$N,Category!BG$1,'2023'!$D:$D,Category!$C133)</f>
        <v>0</v>
      </c>
      <c r="BH133" s="345">
        <f>SUMIFS('2023'!$I:$I,'2023'!$E:$E,Category!$B$121,'2023'!$N:$N,Category!BH$1,'2023'!$D:$D,Category!$C133)</f>
        <v>0</v>
      </c>
      <c r="BI133" s="345">
        <f>SUMIFS('2023'!$I:$I,'2023'!$E:$E,Category!$B$121,'2023'!$N:$N,Category!BI$1,'2023'!$D:$D,Category!$C133)</f>
        <v>0</v>
      </c>
      <c r="BJ133" s="345">
        <f>SUMIFS('2023'!$I:$I,'2023'!$E:$E,Category!$B$121,'2023'!$N:$N,Category!BJ$1,'2023'!$D:$D,Category!$C133)</f>
        <v>0</v>
      </c>
      <c r="BK133" s="345">
        <f>SUMIFS('2023'!$I:$I,'2023'!$E:$E,Category!$B$121,'2023'!$N:$N,Category!BK$1,'2023'!$D:$D,Category!$C133)</f>
        <v>0</v>
      </c>
      <c r="BL133" s="345">
        <f>SUMIFS('2023'!$I:$I,'2023'!$E:$E,Category!$B$121,'2023'!$N:$N,Category!BL$1,'2023'!$D:$D,Category!$C133)</f>
        <v>0</v>
      </c>
      <c r="BM133" s="345">
        <f>SUMIFS('2023'!$I:$I,'2023'!$E:$E,Category!$B$121,'2023'!$N:$N,Category!BM$1,'2023'!$D:$D,Category!$C133)</f>
        <v>0</v>
      </c>
      <c r="BN133" s="346">
        <f>SUM(BB133:BM133)</f>
        <v>0</v>
      </c>
    </row>
    <row r="134" spans="1:66" x14ac:dyDescent="0.3">
      <c r="A134" s="383">
        <v>6</v>
      </c>
      <c r="B134" s="384" t="str">
        <f>'S2 2020'!B8</f>
        <v>Donasi Lainnya</v>
      </c>
      <c r="C134" s="384"/>
      <c r="D134" s="384">
        <f t="shared" ref="D134:AI134" si="58">SUM(D135:D225)</f>
        <v>32</v>
      </c>
      <c r="E134" s="384">
        <f t="shared" si="58"/>
        <v>0</v>
      </c>
      <c r="F134" s="384">
        <f t="shared" si="58"/>
        <v>0</v>
      </c>
      <c r="G134" s="384">
        <f t="shared" si="58"/>
        <v>0</v>
      </c>
      <c r="H134" s="384">
        <f t="shared" si="58"/>
        <v>0</v>
      </c>
      <c r="I134" s="384">
        <f t="shared" si="58"/>
        <v>0</v>
      </c>
      <c r="J134" s="575">
        <f t="shared" si="58"/>
        <v>0</v>
      </c>
      <c r="K134" s="575">
        <f t="shared" si="58"/>
        <v>68</v>
      </c>
      <c r="L134" s="575">
        <f t="shared" si="58"/>
        <v>0</v>
      </c>
      <c r="M134" s="575">
        <f t="shared" si="58"/>
        <v>0</v>
      </c>
      <c r="N134" s="575">
        <f t="shared" si="58"/>
        <v>0</v>
      </c>
      <c r="O134" s="575">
        <f t="shared" si="58"/>
        <v>0</v>
      </c>
      <c r="P134" s="575">
        <f t="shared" si="58"/>
        <v>13500000</v>
      </c>
      <c r="Q134" s="575">
        <f t="shared" si="58"/>
        <v>0</v>
      </c>
      <c r="R134" s="575">
        <f t="shared" si="58"/>
        <v>10575000</v>
      </c>
      <c r="S134" s="575">
        <f t="shared" si="58"/>
        <v>0</v>
      </c>
      <c r="T134" s="575">
        <f t="shared" si="58"/>
        <v>0</v>
      </c>
      <c r="U134" s="575">
        <f t="shared" si="58"/>
        <v>13000028</v>
      </c>
      <c r="V134" s="575">
        <f t="shared" si="58"/>
        <v>0</v>
      </c>
      <c r="W134" s="575">
        <f t="shared" si="58"/>
        <v>35000000</v>
      </c>
      <c r="X134" s="575">
        <f t="shared" si="58"/>
        <v>72075028</v>
      </c>
      <c r="Y134" s="575">
        <f t="shared" si="58"/>
        <v>109</v>
      </c>
      <c r="Z134" s="575">
        <f t="shared" si="58"/>
        <v>0</v>
      </c>
      <c r="AA134" s="575">
        <f t="shared" si="58"/>
        <v>3580500</v>
      </c>
      <c r="AB134" s="575">
        <f t="shared" si="58"/>
        <v>0</v>
      </c>
      <c r="AC134" s="575">
        <f t="shared" si="58"/>
        <v>165000024</v>
      </c>
      <c r="AD134" s="575">
        <f t="shared" si="58"/>
        <v>0</v>
      </c>
      <c r="AE134" s="575">
        <f t="shared" si="58"/>
        <v>0</v>
      </c>
      <c r="AF134" s="575">
        <f t="shared" si="58"/>
        <v>7500000</v>
      </c>
      <c r="AG134" s="575">
        <f t="shared" si="58"/>
        <v>28500023</v>
      </c>
      <c r="AH134" s="575">
        <f t="shared" si="58"/>
        <v>40500000</v>
      </c>
      <c r="AI134" s="575">
        <f t="shared" si="58"/>
        <v>40500000</v>
      </c>
      <c r="AJ134" s="575">
        <f t="shared" ref="AJ134:AZ134" si="59">SUM(AJ135:AJ225)</f>
        <v>40406500</v>
      </c>
      <c r="AK134" s="575">
        <f t="shared" si="59"/>
        <v>182501800</v>
      </c>
      <c r="AL134" s="575">
        <f t="shared" si="59"/>
        <v>508488847</v>
      </c>
      <c r="AM134" s="575">
        <f t="shared" si="59"/>
        <v>74</v>
      </c>
      <c r="AN134" s="576">
        <f t="shared" si="59"/>
        <v>82150000</v>
      </c>
      <c r="AO134" s="576">
        <f t="shared" si="59"/>
        <v>24000000</v>
      </c>
      <c r="AP134" s="576">
        <f t="shared" si="59"/>
        <v>57633324</v>
      </c>
      <c r="AQ134" s="576">
        <f t="shared" si="59"/>
        <v>36883300</v>
      </c>
      <c r="AR134" s="576">
        <f t="shared" si="59"/>
        <v>35000000</v>
      </c>
      <c r="AS134" s="576">
        <f t="shared" si="59"/>
        <v>26508700</v>
      </c>
      <c r="AT134" s="576">
        <f t="shared" si="59"/>
        <v>25000000</v>
      </c>
      <c r="AU134" s="576">
        <f t="shared" si="59"/>
        <v>60750000</v>
      </c>
      <c r="AV134" s="576">
        <f t="shared" si="59"/>
        <v>26750000</v>
      </c>
      <c r="AW134" s="576">
        <f t="shared" si="59"/>
        <v>26750000</v>
      </c>
      <c r="AX134" s="576">
        <f t="shared" si="59"/>
        <v>78750000</v>
      </c>
      <c r="AY134" s="576">
        <f t="shared" si="59"/>
        <v>37750000</v>
      </c>
      <c r="AZ134" s="385">
        <f t="shared" si="59"/>
        <v>517925324</v>
      </c>
      <c r="BA134" s="575">
        <f t="shared" ref="BA134:BN134" si="60">SUM(BA135:BA225)</f>
        <v>83</v>
      </c>
      <c r="BB134" s="576">
        <f t="shared" si="60"/>
        <v>28750000</v>
      </c>
      <c r="BC134" s="576">
        <f t="shared" si="60"/>
        <v>128900432</v>
      </c>
      <c r="BD134" s="576">
        <f t="shared" si="60"/>
        <v>0</v>
      </c>
      <c r="BE134" s="576">
        <f t="shared" si="60"/>
        <v>0</v>
      </c>
      <c r="BF134" s="576">
        <f t="shared" si="60"/>
        <v>0</v>
      </c>
      <c r="BG134" s="576">
        <f t="shared" si="60"/>
        <v>0</v>
      </c>
      <c r="BH134" s="576">
        <f t="shared" si="60"/>
        <v>0</v>
      </c>
      <c r="BI134" s="576">
        <f t="shared" si="60"/>
        <v>0</v>
      </c>
      <c r="BJ134" s="576">
        <f t="shared" si="60"/>
        <v>0</v>
      </c>
      <c r="BK134" s="576">
        <f t="shared" si="60"/>
        <v>0</v>
      </c>
      <c r="BL134" s="576">
        <f t="shared" si="60"/>
        <v>0</v>
      </c>
      <c r="BM134" s="576">
        <f t="shared" si="60"/>
        <v>0</v>
      </c>
      <c r="BN134" s="385">
        <f t="shared" si="60"/>
        <v>157650432</v>
      </c>
    </row>
    <row r="135" spans="1:66" x14ac:dyDescent="0.3">
      <c r="A135" s="401"/>
      <c r="B135" s="387"/>
      <c r="C135" s="402" t="s">
        <v>25</v>
      </c>
      <c r="D135" s="523">
        <v>0</v>
      </c>
      <c r="E135" s="388">
        <f>SUMIFS('2019'!$I:$I,'2019'!$E:$E,Category!$B$134,'2019'!$N:$N,Category!E$1,'2019'!$D:$D,Category!$C135)</f>
        <v>0</v>
      </c>
      <c r="F135" s="388">
        <f>SUMIFS('2019'!$I:$I,'2019'!$E:$E,Category!$B$134,'2019'!$N:$N,Category!F$1,'2019'!$D:$D,Category!$C135)</f>
        <v>0</v>
      </c>
      <c r="G135" s="388">
        <f>SUMIFS('2019'!$I:$I,'2019'!$E:$E,Category!$B$134,'2019'!$N:$N,Category!G$1,'2019'!$D:$D,Category!$C135)</f>
        <v>0</v>
      </c>
      <c r="H135" s="388">
        <f>SUMIFS('2019'!$I:$I,'2019'!$E:$E,Category!$B$134,'2019'!$N:$N,Category!H$1,'2019'!$D:$D,Category!$C135)</f>
        <v>0</v>
      </c>
      <c r="I135" s="388">
        <f>SUMIFS('2019'!$I:$I,'2019'!$E:$E,Category!$B$134,'2019'!$N:$N,Category!I$1,'2019'!$D:$D,Category!$C135)</f>
        <v>0</v>
      </c>
      <c r="J135" s="389">
        <f t="shared" ref="J135:J170" si="61">SUM(E135:I135)</f>
        <v>0</v>
      </c>
      <c r="K135" s="506">
        <v>1</v>
      </c>
      <c r="L135" s="388">
        <f>SUMIFS('2020'!$I:$I,'2020'!$E:$E,Category!$B$134,'2020'!$N:$N,Category!L$1,'2020'!$D:$D,Category!$C135)</f>
        <v>0</v>
      </c>
      <c r="M135" s="388">
        <f>SUMIFS('2020'!$I:$I,'2020'!$E:$E,Category!$B$134,'2020'!$N:$N,Category!M$1,'2020'!$D:$D,Category!$C135)</f>
        <v>0</v>
      </c>
      <c r="N135" s="388">
        <f>SUMIFS('2020'!$I:$I,'2020'!$E:$E,Category!$B$134,'2020'!$N:$N,Category!N$1,'2020'!$D:$D,Category!$C135)</f>
        <v>0</v>
      </c>
      <c r="O135" s="388">
        <f>SUMIFS('2020'!$I:$I,'2020'!$E:$E,Category!$B$134,'2020'!$N:$N,Category!O$1,'2020'!$D:$D,Category!$C135)</f>
        <v>0</v>
      </c>
      <c r="P135" s="388">
        <f>SUMIFS('2020'!$I:$I,'2020'!$E:$E,Category!$B$134,'2020'!$N:$N,Category!P$1,'2020'!$D:$D,Category!$C135)</f>
        <v>0</v>
      </c>
      <c r="Q135" s="388">
        <f>SUMIFS('2020'!$I:$I,'2020'!$E:$E,Category!$B$134,'2020'!$N:$N,Category!Q$1,'2020'!$D:$D,Category!$C135)</f>
        <v>0</v>
      </c>
      <c r="R135" s="388">
        <f>SUMIFS('2020'!$I:$I,'2020'!$E:$E,Category!$B$134,'2020'!$N:$N,Category!R$1,'2020'!$D:$D,Category!$C135)</f>
        <v>0</v>
      </c>
      <c r="S135" s="388">
        <f>SUMIFS('2020'!$I:$I,'2020'!$E:$E,Category!$B$134,'2020'!$N:$N,Category!S$1,'2020'!$D:$D,Category!$C135)</f>
        <v>0</v>
      </c>
      <c r="T135" s="388">
        <f>SUMIFS('2020'!$I:$I,'2020'!$E:$E,Category!$B$134,'2020'!$N:$N,Category!T$1,'2020'!$D:$D,Category!$C135)</f>
        <v>0</v>
      </c>
      <c r="U135" s="388">
        <f>SUMIFS('2020'!$I:$I,'2020'!$E:$E,Category!$B$134,'2020'!$N:$N,Category!U$1,'2020'!$D:$D,Category!$C135)</f>
        <v>0</v>
      </c>
      <c r="V135" s="388">
        <f>SUMIFS('2020'!$I:$I,'2020'!$E:$E,Category!$B$134,'2020'!$N:$N,Category!V$1,'2020'!$D:$D,Category!$C135)</f>
        <v>0</v>
      </c>
      <c r="W135" s="388">
        <f>SUMIFS('2020'!$I:$I,'2020'!$E:$E,Category!$B$134,'2020'!$N:$N,Category!W$1,'2020'!$D:$D,Category!$C135)</f>
        <v>35000000</v>
      </c>
      <c r="X135" s="389">
        <f t="shared" ref="X135:X140" si="62">SUM(L135:W135)</f>
        <v>35000000</v>
      </c>
      <c r="Y135" s="506">
        <v>0</v>
      </c>
      <c r="Z135" s="388">
        <f>SUMIFS('2021'!$I:$I,'2021'!$E:$E,Category!$B$134,'2021'!$N:$N,Category!Z$1,'2021'!$D:$D,Category!$C135)</f>
        <v>0</v>
      </c>
      <c r="AA135" s="388">
        <f>SUMIFS('2021'!$I:$I,'2021'!$E:$E,Category!$B$134,'2021'!$N:$N,Category!AA$1,'2021'!$D:$D,Category!$C135)</f>
        <v>0</v>
      </c>
      <c r="AB135" s="388">
        <f>SUMIFS('2021'!$I:$I,'2021'!$E:$E,Category!$B$134,'2021'!$N:$N,Category!AB$1,'2021'!$D:$D,Category!$C135)</f>
        <v>0</v>
      </c>
      <c r="AC135" s="388">
        <f>SUMIFS('2021'!$I:$I,'2021'!$E:$E,Category!$B$134,'2021'!$N:$N,Category!AC$1,'2021'!$D:$D,Category!$C135)</f>
        <v>0</v>
      </c>
      <c r="AD135" s="388">
        <f>SUMIFS('2021'!$I:$I,'2021'!$E:$E,Category!$B$134,'2021'!$N:$N,Category!AD$1,'2021'!$D:$D,Category!$C135)</f>
        <v>0</v>
      </c>
      <c r="AE135" s="388">
        <f>SUMIFS('2021'!$I:$I,'2021'!$E:$E,Category!$B$134,'2021'!$N:$N,Category!AE$1,'2021'!$D:$D,Category!$C135)</f>
        <v>0</v>
      </c>
      <c r="AF135" s="388">
        <f>SUMIFS('2021'!$I:$I,'2021'!$E:$E,Category!$B$134,'2021'!$N:$N,Category!AF$1,'2021'!$D:$D,Category!$C135)</f>
        <v>0</v>
      </c>
      <c r="AG135" s="388">
        <f>SUMIFS('2021'!$I:$I,'2021'!$E:$E,Category!$B$134,'2021'!$N:$N,Category!AG$1,'2021'!$D:$D,Category!$C135)</f>
        <v>0</v>
      </c>
      <c r="AH135" s="388">
        <f>SUMIFS('2021'!$I:$I,'2021'!$E:$E,Category!$B$134,'2021'!$N:$N,Category!AH$1,'2021'!$D:$D,Category!$C135)</f>
        <v>0</v>
      </c>
      <c r="AI135" s="388">
        <f>SUMIFS('2021'!$I:$I,'2021'!$E:$E,Category!$B$134,'2021'!$N:$N,Category!AI$1,'2021'!$D:$D,Category!$C135)</f>
        <v>0</v>
      </c>
      <c r="AJ135" s="388">
        <f>SUMIFS('2021'!$I:$I,'2021'!$E:$E,Category!$B$134,'2021'!$N:$N,Category!AJ$1,'2021'!$D:$D,Category!$C135)</f>
        <v>0</v>
      </c>
      <c r="AK135" s="388">
        <f>SUMIFS('2021'!$I:$I,'2021'!$E:$E,Category!$B$134,'2021'!$N:$N,Category!AK$1,'2021'!$D:$D,Category!$C135)</f>
        <v>0</v>
      </c>
      <c r="AL135" s="389">
        <f t="shared" ref="AL135:AL151" si="63">SUM(Z135:AK135)</f>
        <v>0</v>
      </c>
      <c r="AM135" s="506">
        <v>0</v>
      </c>
      <c r="AN135" s="388">
        <f>SUMIFS('2022'!$I:$I,'2022'!$E:$E,Category!$B$134,'2022'!$N:$N,Category!AN$1,'2022'!$D:$D,Category!$C135)</f>
        <v>0</v>
      </c>
      <c r="AO135" s="388">
        <f>SUMIFS('2022'!$I:$I,'2022'!$E:$E,Category!$B$134,'2022'!$N:$N,Category!AO$1,'2022'!$D:$D,Category!$C135)</f>
        <v>0</v>
      </c>
      <c r="AP135" s="388">
        <f>SUMIFS('2022'!$I:$I,'2022'!$E:$E,Category!$B$134,'2022'!$N:$N,Category!AP$1,'2022'!$D:$D,Category!$C135)</f>
        <v>0</v>
      </c>
      <c r="AQ135" s="388">
        <f>SUMIFS('2022'!$I:$I,'2022'!$E:$E,Category!$B$134,'2022'!$N:$N,Category!AQ$1,'2022'!$D:$D,Category!$C135)</f>
        <v>0</v>
      </c>
      <c r="AR135" s="388">
        <f>SUMIFS('2022'!$I:$I,'2022'!$E:$E,Category!$B$134,'2022'!$N:$N,Category!AR$1,'2022'!$D:$D,Category!$C135)</f>
        <v>0</v>
      </c>
      <c r="AS135" s="388">
        <f>SUMIFS('2022'!$I:$I,'2022'!$E:$E,Category!$B$134,'2022'!$N:$N,Category!AS$1,'2022'!$D:$D,Category!$C135)</f>
        <v>0</v>
      </c>
      <c r="AT135" s="388">
        <f>SUMIFS('2022'!$I:$I,'2022'!$E:$E,Category!$B$134,'2022'!$N:$N,Category!AT$1,'2022'!$D:$D,Category!$C135)</f>
        <v>0</v>
      </c>
      <c r="AU135" s="388">
        <f>SUMIFS('2022'!$I:$I,'2022'!$E:$E,Category!$B$134,'2022'!$N:$N,Category!AU$1,'2022'!$D:$D,Category!$C135)</f>
        <v>0</v>
      </c>
      <c r="AV135" s="388">
        <f>SUMIFS('2022'!$I:$I,'2022'!$E:$E,Category!$B$134,'2022'!$N:$N,Category!AV$1,'2022'!$D:$D,Category!$C135)</f>
        <v>0</v>
      </c>
      <c r="AW135" s="388">
        <f>SUMIFS('2022'!$I:$I,'2022'!$E:$E,Category!$B$134,'2022'!$N:$N,Category!AW$1,'2022'!$D:$D,Category!$C135)</f>
        <v>0</v>
      </c>
      <c r="AX135" s="388">
        <f>SUMIFS('2022'!$I:$I,'2022'!$E:$E,Category!$B$134,'2022'!$N:$N,Category!AX$1,'2022'!$D:$D,Category!$C135)</f>
        <v>0</v>
      </c>
      <c r="AY135" s="388">
        <f>SUMIFS('2022'!$I:$I,'2022'!$E:$E,Category!$B$134,'2022'!$N:$N,Category!AY$1,'2022'!$D:$D,Category!$C135)</f>
        <v>0</v>
      </c>
      <c r="AZ135" s="389">
        <f t="shared" ref="AZ135:AZ166" si="64">SUM(AN135:AY135)</f>
        <v>0</v>
      </c>
      <c r="BA135" s="506">
        <f>IFERROR(VLOOKUP(C135,'2023'!$D:$G,4,0),0)</f>
        <v>0</v>
      </c>
      <c r="BB135" s="388">
        <f>SUMIFS('2023'!$I:$I,'2023'!$E:$E,Category!$B$134,'2023'!$N:$N,Category!BB$1,'2023'!$D:$D,Category!$C135)</f>
        <v>0</v>
      </c>
      <c r="BC135" s="388">
        <f>SUMIFS('2023'!$I:$I,'2023'!$E:$E,Category!$B$134,'2023'!$N:$N,Category!BC$1,'2023'!$D:$D,Category!$C135)</f>
        <v>0</v>
      </c>
      <c r="BD135" s="388">
        <f>SUMIFS('2023'!$I:$I,'2023'!$E:$E,Category!$B$134,'2023'!$N:$N,Category!BD$1,'2023'!$D:$D,Category!$C135)</f>
        <v>0</v>
      </c>
      <c r="BE135" s="388">
        <f>SUMIFS('2023'!$I:$I,'2023'!$E:$E,Category!$B$134,'2023'!$N:$N,Category!BE$1,'2023'!$D:$D,Category!$C135)</f>
        <v>0</v>
      </c>
      <c r="BF135" s="388">
        <f>SUMIFS('2023'!$I:$I,'2023'!$E:$E,Category!$B$134,'2023'!$N:$N,Category!BF$1,'2023'!$D:$D,Category!$C135)</f>
        <v>0</v>
      </c>
      <c r="BG135" s="388">
        <f>SUMIFS('2023'!$I:$I,'2023'!$E:$E,Category!$B$134,'2023'!$N:$N,Category!BG$1,'2023'!$D:$D,Category!$C135)</f>
        <v>0</v>
      </c>
      <c r="BH135" s="388">
        <f>SUMIFS('2023'!$I:$I,'2023'!$E:$E,Category!$B$134,'2023'!$N:$N,Category!BH$1,'2023'!$D:$D,Category!$C135)</f>
        <v>0</v>
      </c>
      <c r="BI135" s="388">
        <f>SUMIFS('2023'!$I:$I,'2023'!$E:$E,Category!$B$134,'2023'!$N:$N,Category!BI$1,'2023'!$D:$D,Category!$C135)</f>
        <v>0</v>
      </c>
      <c r="BJ135" s="388">
        <f>SUMIFS('2023'!$I:$I,'2023'!$E:$E,Category!$B$134,'2023'!$N:$N,Category!BJ$1,'2023'!$D:$D,Category!$C135)</f>
        <v>0</v>
      </c>
      <c r="BK135" s="388">
        <f>SUMIFS('2023'!$I:$I,'2023'!$E:$E,Category!$B$134,'2023'!$N:$N,Category!BK$1,'2023'!$D:$D,Category!$C135)</f>
        <v>0</v>
      </c>
      <c r="BL135" s="388">
        <f>SUMIFS('2023'!$I:$I,'2023'!$E:$E,Category!$B$134,'2023'!$N:$N,Category!BL$1,'2023'!$D:$D,Category!$C135)</f>
        <v>0</v>
      </c>
      <c r="BM135" s="388">
        <f>SUMIFS('2023'!$I:$I,'2023'!$E:$E,Category!$B$134,'2023'!$N:$N,Category!BM$1,'2023'!$D:$D,Category!$C135)</f>
        <v>0</v>
      </c>
      <c r="BN135" s="389">
        <f t="shared" ref="BN135:BN161" si="65">SUM(BB135:BM135)</f>
        <v>0</v>
      </c>
    </row>
    <row r="136" spans="1:66" x14ac:dyDescent="0.3">
      <c r="A136" s="401"/>
      <c r="B136" s="387"/>
      <c r="C136" s="387" t="str">
        <f>'2020'!D62</f>
        <v xml:space="preserve">PGDP SANTO GABRIEL                                                    </v>
      </c>
      <c r="D136" s="524">
        <f>IFERROR(VLOOKUP($C136,'2019'!$D:$G,4,0),0)</f>
        <v>0</v>
      </c>
      <c r="E136" s="388">
        <f>SUMIFS('2019'!$I:$I,'2019'!$E:$E,Category!$B$134,'2019'!$N:$N,Category!E$1,'2019'!$D:$D,Category!$C136)</f>
        <v>0</v>
      </c>
      <c r="F136" s="388">
        <f>SUMIFS('2019'!$I:$I,'2019'!$E:$E,Category!$B$134,'2019'!$N:$N,Category!F$1,'2019'!$D:$D,Category!$C136)</f>
        <v>0</v>
      </c>
      <c r="G136" s="388">
        <f>SUMIFS('2019'!$I:$I,'2019'!$E:$E,Category!$B$134,'2019'!$N:$N,Category!G$1,'2019'!$D:$D,Category!$C136)</f>
        <v>0</v>
      </c>
      <c r="H136" s="388">
        <f>SUMIFS('2019'!$I:$I,'2019'!$E:$E,Category!$B$134,'2019'!$N:$N,Category!H$1,'2019'!$D:$D,Category!$C136)</f>
        <v>0</v>
      </c>
      <c r="I136" s="388">
        <f>SUMIFS('2019'!$I:$I,'2019'!$E:$E,Category!$B$134,'2019'!$N:$N,Category!I$1,'2019'!$D:$D,Category!$C136)</f>
        <v>0</v>
      </c>
      <c r="J136" s="389">
        <f t="shared" si="61"/>
        <v>0</v>
      </c>
      <c r="K136" s="506">
        <f>IFERROR(VLOOKUP($C136,'2020'!$D:$G,4,0),0)</f>
        <v>1</v>
      </c>
      <c r="L136" s="388">
        <f>SUMIFS('2020'!$I:$I,'2020'!$E:$E,Category!$B$134,'2020'!$N:$N,Category!L$1,'2020'!$D:$D,Category!$C136)</f>
        <v>0</v>
      </c>
      <c r="M136" s="388">
        <f>SUMIFS('2020'!$I:$I,'2020'!$E:$E,Category!$B$134,'2020'!$N:$N,Category!M$1,'2020'!$D:$D,Category!$C136)</f>
        <v>0</v>
      </c>
      <c r="N136" s="388">
        <f>SUMIFS('2020'!$I:$I,'2020'!$E:$E,Category!$B$134,'2020'!$N:$N,Category!N$1,'2020'!$D:$D,Category!$C136)</f>
        <v>0</v>
      </c>
      <c r="O136" s="388">
        <f>SUMIFS('2020'!$I:$I,'2020'!$E:$E,Category!$B$134,'2020'!$N:$N,Category!O$1,'2020'!$D:$D,Category!$C136)</f>
        <v>0</v>
      </c>
      <c r="P136" s="388">
        <f>SUMIFS('2020'!$I:$I,'2020'!$E:$E,Category!$B$134,'2020'!$N:$N,Category!P$1,'2020'!$D:$D,Category!$C136)</f>
        <v>0</v>
      </c>
      <c r="Q136" s="388">
        <f>SUMIFS('2020'!$I:$I,'2020'!$E:$E,Category!$B$134,'2020'!$N:$N,Category!Q$1,'2020'!$D:$D,Category!$C136)</f>
        <v>0</v>
      </c>
      <c r="R136" s="388">
        <f>SUMIFS('2020'!$I:$I,'2020'!$E:$E,Category!$B$134,'2020'!$N:$N,Category!R$1,'2020'!$D:$D,Category!$C136)</f>
        <v>0</v>
      </c>
      <c r="S136" s="388">
        <f>SUMIFS('2020'!$I:$I,'2020'!$E:$E,Category!$B$134,'2020'!$N:$N,Category!S$1,'2020'!$D:$D,Category!$C136)</f>
        <v>0</v>
      </c>
      <c r="T136" s="388">
        <f>SUMIFS('2020'!$I:$I,'2020'!$E:$E,Category!$B$134,'2020'!$N:$N,Category!T$1,'2020'!$D:$D,Category!$C136)</f>
        <v>0</v>
      </c>
      <c r="U136" s="388">
        <f>SUMIFS('2020'!$I:$I,'2020'!$E:$E,Category!$B$134,'2020'!$N:$N,Category!U$1,'2020'!$D:$D,Category!$C136)</f>
        <v>5000000</v>
      </c>
      <c r="V136" s="388">
        <f>SUMIFS('2020'!$I:$I,'2020'!$E:$E,Category!$B$134,'2020'!$N:$N,Category!V$1,'2020'!$D:$D,Category!$C136)</f>
        <v>0</v>
      </c>
      <c r="W136" s="388">
        <f>SUMIFS('2020'!$I:$I,'2020'!$E:$E,Category!$B$134,'2020'!$N:$N,Category!W$1,'2020'!$D:$D,Category!$C136)</f>
        <v>0</v>
      </c>
      <c r="X136" s="389">
        <f t="shared" si="62"/>
        <v>5000000</v>
      </c>
      <c r="Y136" s="506">
        <f>IFERROR(VLOOKUP(C136,'2021'!$D:$G,4,0),0)</f>
        <v>0</v>
      </c>
      <c r="Z136" s="388">
        <f>SUMIFS('2021'!$I:$I,'2021'!$E:$E,Category!$B$134,'2021'!$N:$N,Category!Z$1,'2021'!$D:$D,Category!$C136)</f>
        <v>0</v>
      </c>
      <c r="AA136" s="388">
        <f>SUMIFS('2021'!$I:$I,'2021'!$E:$E,Category!$B$134,'2021'!$N:$N,Category!AA$1,'2021'!$D:$D,Category!$C136)</f>
        <v>0</v>
      </c>
      <c r="AB136" s="388">
        <f>SUMIFS('2021'!$I:$I,'2021'!$E:$E,Category!$B$134,'2021'!$N:$N,Category!AB$1,'2021'!$D:$D,Category!$C136)</f>
        <v>0</v>
      </c>
      <c r="AC136" s="388">
        <f>SUMIFS('2021'!$I:$I,'2021'!$E:$E,Category!$B$134,'2021'!$N:$N,Category!AC$1,'2021'!$D:$D,Category!$C136)</f>
        <v>0</v>
      </c>
      <c r="AD136" s="388">
        <f>SUMIFS('2021'!$I:$I,'2021'!$E:$E,Category!$B$134,'2021'!$N:$N,Category!AD$1,'2021'!$D:$D,Category!$C136)</f>
        <v>0</v>
      </c>
      <c r="AE136" s="388">
        <f>SUMIFS('2021'!$I:$I,'2021'!$E:$E,Category!$B$134,'2021'!$N:$N,Category!AE$1,'2021'!$D:$D,Category!$C136)</f>
        <v>0</v>
      </c>
      <c r="AF136" s="388">
        <f>SUMIFS('2021'!$I:$I,'2021'!$E:$E,Category!$B$134,'2021'!$N:$N,Category!AF$1,'2021'!$D:$D,Category!$C136)</f>
        <v>0</v>
      </c>
      <c r="AG136" s="388">
        <f>SUMIFS('2021'!$I:$I,'2021'!$E:$E,Category!$B$134,'2021'!$N:$N,Category!AG$1,'2021'!$D:$D,Category!$C136)</f>
        <v>0</v>
      </c>
      <c r="AH136" s="388">
        <f>SUMIFS('2021'!$I:$I,'2021'!$E:$E,Category!$B$134,'2021'!$N:$N,Category!AH$1,'2021'!$D:$D,Category!$C136)</f>
        <v>0</v>
      </c>
      <c r="AI136" s="388">
        <f>SUMIFS('2021'!$I:$I,'2021'!$E:$E,Category!$B$134,'2021'!$N:$N,Category!AI$1,'2021'!$D:$D,Category!$C136)</f>
        <v>0</v>
      </c>
      <c r="AJ136" s="388">
        <f>SUMIFS('2021'!$I:$I,'2021'!$E:$E,Category!$B$134,'2021'!$N:$N,Category!AJ$1,'2021'!$D:$D,Category!$C136)</f>
        <v>0</v>
      </c>
      <c r="AK136" s="388">
        <f>SUMIFS('2021'!$I:$I,'2021'!$E:$E,Category!$B$134,'2021'!$N:$N,Category!AK$1,'2021'!$D:$D,Category!$C136)</f>
        <v>0</v>
      </c>
      <c r="AL136" s="389">
        <f t="shared" si="63"/>
        <v>0</v>
      </c>
      <c r="AM136" s="506">
        <f>IFERROR(VLOOKUP(C136,'2022'!$D:$G,4,0),0)</f>
        <v>0</v>
      </c>
      <c r="AN136" s="388">
        <f>SUMIFS('2022'!$I:$I,'2022'!$E:$E,Category!$B$134,'2022'!$N:$N,Category!AN$1,'2022'!$D:$D,Category!$C136)</f>
        <v>0</v>
      </c>
      <c r="AO136" s="388">
        <f>SUMIFS('2022'!$I:$I,'2022'!$E:$E,Category!$B$134,'2022'!$N:$N,Category!AO$1,'2022'!$D:$D,Category!$C136)</f>
        <v>0</v>
      </c>
      <c r="AP136" s="388">
        <f>SUMIFS('2022'!$I:$I,'2022'!$E:$E,Category!$B$134,'2022'!$N:$N,Category!AP$1,'2022'!$D:$D,Category!$C136)</f>
        <v>0</v>
      </c>
      <c r="AQ136" s="388">
        <f>SUMIFS('2022'!$I:$I,'2022'!$E:$E,Category!$B$134,'2022'!$N:$N,Category!AQ$1,'2022'!$D:$D,Category!$C136)</f>
        <v>0</v>
      </c>
      <c r="AR136" s="388">
        <f>SUMIFS('2022'!$I:$I,'2022'!$E:$E,Category!$B$134,'2022'!$N:$N,Category!AR$1,'2022'!$D:$D,Category!$C136)</f>
        <v>0</v>
      </c>
      <c r="AS136" s="388">
        <f>SUMIFS('2022'!$I:$I,'2022'!$E:$E,Category!$B$134,'2022'!$N:$N,Category!AS$1,'2022'!$D:$D,Category!$C136)</f>
        <v>0</v>
      </c>
      <c r="AT136" s="388">
        <f>SUMIFS('2022'!$I:$I,'2022'!$E:$E,Category!$B$134,'2022'!$N:$N,Category!AT$1,'2022'!$D:$D,Category!$C136)</f>
        <v>0</v>
      </c>
      <c r="AU136" s="388">
        <f>SUMIFS('2022'!$I:$I,'2022'!$E:$E,Category!$B$134,'2022'!$N:$N,Category!AU$1,'2022'!$D:$D,Category!$C136)</f>
        <v>0</v>
      </c>
      <c r="AV136" s="388">
        <f>SUMIFS('2022'!$I:$I,'2022'!$E:$E,Category!$B$134,'2022'!$N:$N,Category!AV$1,'2022'!$D:$D,Category!$C136)</f>
        <v>0</v>
      </c>
      <c r="AW136" s="388">
        <f>SUMIFS('2022'!$I:$I,'2022'!$E:$E,Category!$B$134,'2022'!$N:$N,Category!AW$1,'2022'!$D:$D,Category!$C136)</f>
        <v>0</v>
      </c>
      <c r="AX136" s="388">
        <f>SUMIFS('2022'!$I:$I,'2022'!$E:$E,Category!$B$134,'2022'!$N:$N,Category!AX$1,'2022'!$D:$D,Category!$C136)</f>
        <v>0</v>
      </c>
      <c r="AY136" s="388">
        <f>SUMIFS('2022'!$I:$I,'2022'!$E:$E,Category!$B$134,'2022'!$N:$N,Category!AY$1,'2022'!$D:$D,Category!$C136)</f>
        <v>0</v>
      </c>
      <c r="AZ136" s="389">
        <f t="shared" si="64"/>
        <v>0</v>
      </c>
      <c r="BA136" s="506">
        <f>IFERROR(VLOOKUP(C136,'2023'!$D:$G,4,0),0)</f>
        <v>0</v>
      </c>
      <c r="BB136" s="388">
        <f>SUMIFS('2023'!$I:$I,'2023'!$E:$E,Category!$B$134,'2023'!$N:$N,Category!BB$1,'2023'!$D:$D,Category!$C136)</f>
        <v>0</v>
      </c>
      <c r="BC136" s="388">
        <f>SUMIFS('2023'!$I:$I,'2023'!$E:$E,Category!$B$134,'2023'!$N:$N,Category!BC$1,'2023'!$D:$D,Category!$C136)</f>
        <v>0</v>
      </c>
      <c r="BD136" s="388">
        <f>SUMIFS('2023'!$I:$I,'2023'!$E:$E,Category!$B$134,'2023'!$N:$N,Category!BD$1,'2023'!$D:$D,Category!$C136)</f>
        <v>0</v>
      </c>
      <c r="BE136" s="388">
        <f>SUMIFS('2023'!$I:$I,'2023'!$E:$E,Category!$B$134,'2023'!$N:$N,Category!BE$1,'2023'!$D:$D,Category!$C136)</f>
        <v>0</v>
      </c>
      <c r="BF136" s="388">
        <f>SUMIFS('2023'!$I:$I,'2023'!$E:$E,Category!$B$134,'2023'!$N:$N,Category!BF$1,'2023'!$D:$D,Category!$C136)</f>
        <v>0</v>
      </c>
      <c r="BG136" s="388">
        <f>SUMIFS('2023'!$I:$I,'2023'!$E:$E,Category!$B$134,'2023'!$N:$N,Category!BG$1,'2023'!$D:$D,Category!$C136)</f>
        <v>0</v>
      </c>
      <c r="BH136" s="388">
        <f>SUMIFS('2023'!$I:$I,'2023'!$E:$E,Category!$B$134,'2023'!$N:$N,Category!BH$1,'2023'!$D:$D,Category!$C136)</f>
        <v>0</v>
      </c>
      <c r="BI136" s="388">
        <f>SUMIFS('2023'!$I:$I,'2023'!$E:$E,Category!$B$134,'2023'!$N:$N,Category!BI$1,'2023'!$D:$D,Category!$C136)</f>
        <v>0</v>
      </c>
      <c r="BJ136" s="388">
        <f>SUMIFS('2023'!$I:$I,'2023'!$E:$E,Category!$B$134,'2023'!$N:$N,Category!BJ$1,'2023'!$D:$D,Category!$C136)</f>
        <v>0</v>
      </c>
      <c r="BK136" s="388">
        <f>SUMIFS('2023'!$I:$I,'2023'!$E:$E,Category!$B$134,'2023'!$N:$N,Category!BK$1,'2023'!$D:$D,Category!$C136)</f>
        <v>0</v>
      </c>
      <c r="BL136" s="388">
        <f>SUMIFS('2023'!$I:$I,'2023'!$E:$E,Category!$B$134,'2023'!$N:$N,Category!BL$1,'2023'!$D:$D,Category!$C136)</f>
        <v>0</v>
      </c>
      <c r="BM136" s="388">
        <f>SUMIFS('2023'!$I:$I,'2023'!$E:$E,Category!$B$134,'2023'!$N:$N,Category!BM$1,'2023'!$D:$D,Category!$C136)</f>
        <v>0</v>
      </c>
      <c r="BN136" s="389">
        <f t="shared" si="65"/>
        <v>0</v>
      </c>
    </row>
    <row r="137" spans="1:66" x14ac:dyDescent="0.3">
      <c r="A137" s="401"/>
      <c r="B137" s="387"/>
      <c r="C137" s="387" t="s">
        <v>48</v>
      </c>
      <c r="D137" s="524">
        <f>IFERROR(VLOOKUP($C137,'2019'!$D:$G,4,0),0)</f>
        <v>32</v>
      </c>
      <c r="E137" s="388">
        <f>SUMIFS('2019'!$I:$I,'2019'!$E:$E,Category!$B$134,'2019'!$N:$N,Category!E$1,'2019'!$D:$D,Category!$C137)</f>
        <v>0</v>
      </c>
      <c r="F137" s="388">
        <f>SUMIFS('2019'!$I:$I,'2019'!$E:$E,Category!$B$134,'2019'!$N:$N,Category!F$1,'2019'!$D:$D,Category!$C137)</f>
        <v>0</v>
      </c>
      <c r="G137" s="388">
        <f>SUMIFS('2019'!$I:$I,'2019'!$E:$E,Category!$B$134,'2019'!$N:$N,Category!G$1,'2019'!$D:$D,Category!$C137)</f>
        <v>0</v>
      </c>
      <c r="H137" s="388">
        <f>SUMIFS('2019'!$I:$I,'2019'!$E:$E,Category!$B$134,'2019'!$N:$N,Category!H$1,'2019'!$D:$D,Category!$C137)</f>
        <v>0</v>
      </c>
      <c r="I137" s="388">
        <f>SUMIFS('2019'!$I:$I,'2019'!$E:$E,Category!$B$134,'2019'!$N:$N,Category!I$1,'2019'!$D:$D,Category!$C137)</f>
        <v>0</v>
      </c>
      <c r="J137" s="389">
        <f t="shared" si="61"/>
        <v>0</v>
      </c>
      <c r="K137" s="506">
        <f>IFERROR(VLOOKUP($C137,'2020'!$D:$G,4,0),0)</f>
        <v>0</v>
      </c>
      <c r="L137" s="388">
        <f>SUMIFS('2020'!$I:$I,'2020'!$E:$E,Category!$B$134,'2020'!$N:$N,Category!L$1,'2020'!$D:$D,Category!$C137)</f>
        <v>0</v>
      </c>
      <c r="M137" s="388">
        <f>SUMIFS('2020'!$I:$I,'2020'!$E:$E,Category!$B$134,'2020'!$N:$N,Category!M$1,'2020'!$D:$D,Category!$C137)</f>
        <v>0</v>
      </c>
      <c r="N137" s="388">
        <f>SUMIFS('2020'!$I:$I,'2020'!$E:$E,Category!$B$134,'2020'!$N:$N,Category!N$1,'2020'!$D:$D,Category!$C137)</f>
        <v>0</v>
      </c>
      <c r="O137" s="388">
        <f>SUMIFS('2020'!$I:$I,'2020'!$E:$E,Category!$B$134,'2020'!$N:$N,Category!O$1,'2020'!$D:$D,Category!$C137)</f>
        <v>0</v>
      </c>
      <c r="P137" s="388">
        <f>SUMIFS('2020'!$I:$I,'2020'!$E:$E,Category!$B$134,'2020'!$N:$N,Category!P$1,'2020'!$D:$D,Category!$C137)</f>
        <v>0</v>
      </c>
      <c r="Q137" s="388">
        <f>SUMIFS('2020'!$I:$I,'2020'!$E:$E,Category!$B$134,'2020'!$N:$N,Category!Q$1,'2020'!$D:$D,Category!$C137)</f>
        <v>0</v>
      </c>
      <c r="R137" s="388">
        <f>SUMIFS('2020'!$I:$I,'2020'!$E:$E,Category!$B$134,'2020'!$N:$N,Category!R$1,'2020'!$D:$D,Category!$C137)</f>
        <v>0</v>
      </c>
      <c r="S137" s="388">
        <f>SUMIFS('2020'!$I:$I,'2020'!$E:$E,Category!$B$134,'2020'!$N:$N,Category!S$1,'2020'!$D:$D,Category!$C137)</f>
        <v>0</v>
      </c>
      <c r="T137" s="388">
        <f>SUMIFS('2020'!$I:$I,'2020'!$E:$E,Category!$B$134,'2020'!$N:$N,Category!T$1,'2020'!$D:$D,Category!$C137)</f>
        <v>0</v>
      </c>
      <c r="U137" s="388">
        <f>SUMIFS('2020'!$I:$I,'2020'!$E:$E,Category!$B$134,'2020'!$N:$N,Category!U$1,'2020'!$D:$D,Category!$C137)</f>
        <v>0</v>
      </c>
      <c r="V137" s="388">
        <f>SUMIFS('2020'!$I:$I,'2020'!$E:$E,Category!$B$134,'2020'!$N:$N,Category!V$1,'2020'!$D:$D,Category!$C137)</f>
        <v>0</v>
      </c>
      <c r="W137" s="388">
        <f>SUMIFS('2020'!$I:$I,'2020'!$E:$E,Category!$B$134,'2020'!$N:$N,Category!W$1,'2020'!$D:$D,Category!$C137)</f>
        <v>0</v>
      </c>
      <c r="X137" s="389">
        <f t="shared" si="62"/>
        <v>0</v>
      </c>
      <c r="Y137" s="506">
        <f>IFERROR(VLOOKUP(C137,'2021'!$D:$G,4,0),0)</f>
        <v>32</v>
      </c>
      <c r="Z137" s="388">
        <f>SUMIFS('2021'!$I:$I,'2021'!$E:$E,Category!$B$134,'2021'!$N:$N,Category!Z$1,'2021'!$D:$D,Category!$C137)</f>
        <v>0</v>
      </c>
      <c r="AA137" s="388">
        <f>SUMIFS('2021'!$I:$I,'2021'!$E:$E,Category!$B$134,'2021'!$N:$N,Category!AA$1,'2021'!$D:$D,Category!$C137)</f>
        <v>3580500</v>
      </c>
      <c r="AB137" s="388">
        <f>SUMIFS('2021'!$I:$I,'2021'!$E:$E,Category!$B$134,'2021'!$N:$N,Category!AB$1,'2021'!$D:$D,Category!$C137)</f>
        <v>0</v>
      </c>
      <c r="AC137" s="388">
        <f>SUMIFS('2021'!$I:$I,'2021'!$E:$E,Category!$B$134,'2021'!$N:$N,Category!AC$1,'2021'!$D:$D,Category!$C137)</f>
        <v>0</v>
      </c>
      <c r="AD137" s="388">
        <f>SUMIFS('2021'!$I:$I,'2021'!$E:$E,Category!$B$134,'2021'!$N:$N,Category!AD$1,'2021'!$D:$D,Category!$C137)</f>
        <v>0</v>
      </c>
      <c r="AE137" s="388">
        <f>SUMIFS('2021'!$I:$I,'2021'!$E:$E,Category!$B$134,'2021'!$N:$N,Category!AE$1,'2021'!$D:$D,Category!$C137)</f>
        <v>0</v>
      </c>
      <c r="AF137" s="388">
        <f>SUMIFS('2021'!$I:$I,'2021'!$E:$E,Category!$B$134,'2021'!$N:$N,Category!AF$1,'2021'!$D:$D,Category!$C137)</f>
        <v>0</v>
      </c>
      <c r="AG137" s="388">
        <f>SUMIFS('2021'!$I:$I,'2021'!$E:$E,Category!$B$134,'2021'!$N:$N,Category!AG$1,'2021'!$D:$D,Category!$C137)</f>
        <v>0</v>
      </c>
      <c r="AH137" s="388">
        <f>SUMIFS('2021'!$I:$I,'2021'!$E:$E,Category!$B$134,'2021'!$N:$N,Category!AH$1,'2021'!$D:$D,Category!$C137)</f>
        <v>0</v>
      </c>
      <c r="AI137" s="388">
        <f>SUMIFS('2021'!$I:$I,'2021'!$E:$E,Category!$B$134,'2021'!$N:$N,Category!AI$1,'2021'!$D:$D,Category!$C137)</f>
        <v>0</v>
      </c>
      <c r="AJ137" s="388">
        <f>SUMIFS('2021'!$I:$I,'2021'!$E:$E,Category!$B$134,'2021'!$N:$N,Category!AJ$1,'2021'!$D:$D,Category!$C137)</f>
        <v>0</v>
      </c>
      <c r="AK137" s="388">
        <f>SUMIFS('2021'!$I:$I,'2021'!$E:$E,Category!$B$134,'2021'!$N:$N,Category!AK$1,'2021'!$D:$D,Category!$C137)</f>
        <v>0</v>
      </c>
      <c r="AL137" s="389">
        <f t="shared" si="63"/>
        <v>3580500</v>
      </c>
      <c r="AM137" s="506">
        <f>IFERROR(VLOOKUP(C137,'2022'!$D:$G,4,0),0)</f>
        <v>39</v>
      </c>
      <c r="AN137" s="388">
        <f>SUMIFS('2022'!$I:$I,'2022'!$E:$E,Category!$B$134,'2022'!$N:$N,Category!AN$1,'2022'!$D:$D,Category!$C137)</f>
        <v>0</v>
      </c>
      <c r="AO137" s="388">
        <f>SUMIFS('2022'!$I:$I,'2022'!$E:$E,Category!$B$134,'2022'!$N:$N,Category!AO$1,'2022'!$D:$D,Category!$C137)</f>
        <v>0</v>
      </c>
      <c r="AP137" s="388">
        <f>SUMIFS('2022'!$I:$I,'2022'!$E:$E,Category!$B$134,'2022'!$N:$N,Category!AP$1,'2022'!$D:$D,Category!$C137)</f>
        <v>0</v>
      </c>
      <c r="AQ137" s="388">
        <f>SUMIFS('2022'!$I:$I,'2022'!$E:$E,Category!$B$134,'2022'!$N:$N,Category!AQ$1,'2022'!$D:$D,Category!$C137)</f>
        <v>0</v>
      </c>
      <c r="AR137" s="388">
        <f>SUMIFS('2022'!$I:$I,'2022'!$E:$E,Category!$B$134,'2022'!$N:$N,Category!AR$1,'2022'!$D:$D,Category!$C137)</f>
        <v>0</v>
      </c>
      <c r="AS137" s="388">
        <f>SUMIFS('2022'!$I:$I,'2022'!$E:$E,Category!$B$134,'2022'!$N:$N,Category!AS$1,'2022'!$D:$D,Category!$C137)</f>
        <v>0</v>
      </c>
      <c r="AT137" s="388">
        <f>SUMIFS('2022'!$I:$I,'2022'!$E:$E,Category!$B$134,'2022'!$N:$N,Category!AT$1,'2022'!$D:$D,Category!$C137)</f>
        <v>0</v>
      </c>
      <c r="AU137" s="388">
        <f>SUMIFS('2022'!$I:$I,'2022'!$E:$E,Category!$B$134,'2022'!$N:$N,Category!AU$1,'2022'!$D:$D,Category!$C137)</f>
        <v>0</v>
      </c>
      <c r="AV137" s="388">
        <f>SUMIFS('2022'!$I:$I,'2022'!$E:$E,Category!$B$134,'2022'!$N:$N,Category!AV$1,'2022'!$D:$D,Category!$C137)</f>
        <v>0</v>
      </c>
      <c r="AW137" s="388">
        <f>SUMIFS('2022'!$I:$I,'2022'!$E:$E,Category!$B$134,'2022'!$N:$N,Category!AW$1,'2022'!$D:$D,Category!$C137)</f>
        <v>0</v>
      </c>
      <c r="AX137" s="388">
        <f>SUMIFS('2022'!$I:$I,'2022'!$E:$E,Category!$B$134,'2022'!$N:$N,Category!AX$1,'2022'!$D:$D,Category!$C137)</f>
        <v>0</v>
      </c>
      <c r="AY137" s="388">
        <f>SUMIFS('2022'!$I:$I,'2022'!$E:$E,Category!$B$134,'2022'!$N:$N,Category!AY$1,'2022'!$D:$D,Category!$C137)</f>
        <v>0</v>
      </c>
      <c r="AZ137" s="389">
        <f t="shared" si="64"/>
        <v>0</v>
      </c>
      <c r="BA137" s="506">
        <f>IFERROR(VLOOKUP(C137,'2023'!$D:$G,4,0),0)</f>
        <v>47</v>
      </c>
      <c r="BB137" s="388">
        <f>SUMIFS('2023'!$I:$I,'2023'!$E:$E,Category!$B$134,'2023'!$N:$N,Category!BB$1,'2023'!$D:$D,Category!$C137)</f>
        <v>0</v>
      </c>
      <c r="BC137" s="388">
        <f>SUMIFS('2023'!$I:$I,'2023'!$E:$E,Category!$B$134,'2023'!$N:$N,Category!BC$1,'2023'!$D:$D,Category!$C137)</f>
        <v>0</v>
      </c>
      <c r="BD137" s="388">
        <f>SUMIFS('2023'!$I:$I,'2023'!$E:$E,Category!$B$134,'2023'!$N:$N,Category!BD$1,'2023'!$D:$D,Category!$C137)</f>
        <v>0</v>
      </c>
      <c r="BE137" s="388">
        <f>SUMIFS('2023'!$I:$I,'2023'!$E:$E,Category!$B$134,'2023'!$N:$N,Category!BE$1,'2023'!$D:$D,Category!$C137)</f>
        <v>0</v>
      </c>
      <c r="BF137" s="388">
        <f>SUMIFS('2023'!$I:$I,'2023'!$E:$E,Category!$B$134,'2023'!$N:$N,Category!BF$1,'2023'!$D:$D,Category!$C137)</f>
        <v>0</v>
      </c>
      <c r="BG137" s="388">
        <f>SUMIFS('2023'!$I:$I,'2023'!$E:$E,Category!$B$134,'2023'!$N:$N,Category!BG$1,'2023'!$D:$D,Category!$C137)</f>
        <v>0</v>
      </c>
      <c r="BH137" s="388">
        <f>SUMIFS('2023'!$I:$I,'2023'!$E:$E,Category!$B$134,'2023'!$N:$N,Category!BH$1,'2023'!$D:$D,Category!$C137)</f>
        <v>0</v>
      </c>
      <c r="BI137" s="388">
        <f>SUMIFS('2023'!$I:$I,'2023'!$E:$E,Category!$B$134,'2023'!$N:$N,Category!BI$1,'2023'!$D:$D,Category!$C137)</f>
        <v>0</v>
      </c>
      <c r="BJ137" s="388">
        <f>SUMIFS('2023'!$I:$I,'2023'!$E:$E,Category!$B$134,'2023'!$N:$N,Category!BJ$1,'2023'!$D:$D,Category!$C137)</f>
        <v>0</v>
      </c>
      <c r="BK137" s="388">
        <f>SUMIFS('2023'!$I:$I,'2023'!$E:$E,Category!$B$134,'2023'!$N:$N,Category!BK$1,'2023'!$D:$D,Category!$C137)</f>
        <v>0</v>
      </c>
      <c r="BL137" s="388">
        <f>SUMIFS('2023'!$I:$I,'2023'!$E:$E,Category!$B$134,'2023'!$N:$N,Category!BL$1,'2023'!$D:$D,Category!$C137)</f>
        <v>0</v>
      </c>
      <c r="BM137" s="388">
        <f>SUMIFS('2023'!$I:$I,'2023'!$E:$E,Category!$B$134,'2023'!$N:$N,Category!BM$1,'2023'!$D:$D,Category!$C137)</f>
        <v>0</v>
      </c>
      <c r="BN137" s="389">
        <f t="shared" si="65"/>
        <v>0</v>
      </c>
    </row>
    <row r="138" spans="1:66" s="354" customFormat="1" x14ac:dyDescent="0.3">
      <c r="A138" s="386"/>
      <c r="B138" s="387"/>
      <c r="C138" s="387" t="s">
        <v>335</v>
      </c>
      <c r="D138" s="524">
        <f>IFERROR(VLOOKUP($C138,'2019'!$D:$G,4,0),0)</f>
        <v>0</v>
      </c>
      <c r="E138" s="388">
        <f>SUMIFS('2019'!$I:$I,'2019'!$E:$E,Category!$B$134,'2019'!$N:$N,Category!E$1,'2019'!$D:$D,Category!$C138)</f>
        <v>0</v>
      </c>
      <c r="F138" s="388">
        <f>SUMIFS('2019'!$I:$I,'2019'!$E:$E,Category!$B$134,'2019'!$N:$N,Category!F$1,'2019'!$D:$D,Category!$C138)</f>
        <v>0</v>
      </c>
      <c r="G138" s="388">
        <f>SUMIFS('2019'!$I:$I,'2019'!$E:$E,Category!$B$134,'2019'!$N:$N,Category!G$1,'2019'!$D:$D,Category!$C138)</f>
        <v>0</v>
      </c>
      <c r="H138" s="388">
        <f>SUMIFS('2019'!$I:$I,'2019'!$E:$E,Category!$B$134,'2019'!$N:$N,Category!H$1,'2019'!$D:$D,Category!$C138)</f>
        <v>0</v>
      </c>
      <c r="I138" s="388">
        <f>SUMIFS('2019'!$I:$I,'2019'!$E:$E,Category!$B$134,'2019'!$N:$N,Category!I$1,'2019'!$D:$D,Category!$C138)</f>
        <v>0</v>
      </c>
      <c r="J138" s="389">
        <f t="shared" si="61"/>
        <v>0</v>
      </c>
      <c r="K138" s="506">
        <f>IFERROR(VLOOKUP($C138,'2020'!$D:$G,4,0),0)</f>
        <v>0</v>
      </c>
      <c r="L138" s="388">
        <f>SUMIFS('2020'!$I:$I,'2020'!$E:$E,Category!$B$134,'2020'!$N:$N,Category!L$1,'2020'!$D:$D,Category!$C138)</f>
        <v>0</v>
      </c>
      <c r="M138" s="388">
        <f>SUMIFS('2020'!$I:$I,'2020'!$E:$E,Category!$B$134,'2020'!$N:$N,Category!M$1,'2020'!$D:$D,Category!$C138)</f>
        <v>0</v>
      </c>
      <c r="N138" s="388">
        <f>SUMIFS('2020'!$I:$I,'2020'!$E:$E,Category!$B$134,'2020'!$N:$N,Category!N$1,'2020'!$D:$D,Category!$C138)</f>
        <v>0</v>
      </c>
      <c r="O138" s="388">
        <f>SUMIFS('2020'!$I:$I,'2020'!$E:$E,Category!$B$134,'2020'!$N:$N,Category!O$1,'2020'!$D:$D,Category!$C138)</f>
        <v>0</v>
      </c>
      <c r="P138" s="388">
        <f>SUMIFS('2020'!$I:$I,'2020'!$E:$E,Category!$B$134,'2020'!$N:$N,Category!P$1,'2020'!$D:$D,Category!$C138)</f>
        <v>0</v>
      </c>
      <c r="Q138" s="388">
        <f>SUMIFS('2020'!$I:$I,'2020'!$E:$E,Category!$B$134,'2020'!$N:$N,Category!Q$1,'2020'!$D:$D,Category!$C138)</f>
        <v>0</v>
      </c>
      <c r="R138" s="388">
        <f>SUMIFS('2020'!$I:$I,'2020'!$E:$E,Category!$B$134,'2020'!$N:$N,Category!R$1,'2020'!$D:$D,Category!$C138)</f>
        <v>0</v>
      </c>
      <c r="S138" s="388">
        <f>SUMIFS('2020'!$I:$I,'2020'!$E:$E,Category!$B$134,'2020'!$N:$N,Category!S$1,'2020'!$D:$D,Category!$C138)</f>
        <v>0</v>
      </c>
      <c r="T138" s="388">
        <f>SUMIFS('2020'!$I:$I,'2020'!$E:$E,Category!$B$134,'2020'!$N:$N,Category!T$1,'2020'!$D:$D,Category!$C138)</f>
        <v>0</v>
      </c>
      <c r="U138" s="388">
        <f>SUMIFS('2020'!$I:$I,'2020'!$E:$E,Category!$B$134,'2020'!$N:$N,Category!U$1,'2020'!$D:$D,Category!$C138)</f>
        <v>0</v>
      </c>
      <c r="V138" s="388">
        <f>SUMIFS('2020'!$I:$I,'2020'!$E:$E,Category!$B$134,'2020'!$N:$N,Category!V$1,'2020'!$D:$D,Category!$C138)</f>
        <v>0</v>
      </c>
      <c r="W138" s="388">
        <f>SUMIFS('2020'!$I:$I,'2020'!$E:$E,Category!$B$134,'2020'!$N:$N,Category!W$1,'2020'!$D:$D,Category!$C138)</f>
        <v>0</v>
      </c>
      <c r="X138" s="389">
        <f t="shared" si="62"/>
        <v>0</v>
      </c>
      <c r="Y138" s="506">
        <f>IFERROR(VLOOKUP(C138,'2021'!$D:$G,4,0),0)</f>
        <v>0</v>
      </c>
      <c r="Z138" s="388">
        <f>SUMIFS('2021'!$I:$I,'2021'!$E:$E,Category!$B$134,'2021'!$N:$N,Category!Z$1,'2021'!$D:$D,Category!$C138)</f>
        <v>0</v>
      </c>
      <c r="AA138" s="388">
        <f>SUMIFS('2021'!$I:$I,'2021'!$E:$E,Category!$B$134,'2021'!$N:$N,Category!AA$1,'2021'!$D:$D,Category!$C138)</f>
        <v>0</v>
      </c>
      <c r="AB138" s="388">
        <f>SUMIFS('2021'!$I:$I,'2021'!$E:$E,Category!$B$134,'2021'!$N:$N,Category!AB$1,'2021'!$D:$D,Category!$C138)</f>
        <v>0</v>
      </c>
      <c r="AC138" s="388">
        <f>SUMIFS('2021'!$I:$I,'2021'!$E:$E,Category!$B$134,'2021'!$N:$N,Category!AC$1,'2021'!$D:$D,Category!$C138)</f>
        <v>35000000</v>
      </c>
      <c r="AD138" s="388">
        <f>SUMIFS('2021'!$I:$I,'2021'!$E:$E,Category!$B$134,'2021'!$N:$N,Category!AD$1,'2021'!$D:$D,Category!$C138)</f>
        <v>0</v>
      </c>
      <c r="AE138" s="388">
        <f>SUMIFS('2021'!$I:$I,'2021'!$E:$E,Category!$B$134,'2021'!$N:$N,Category!AE$1,'2021'!$D:$D,Category!$C138)</f>
        <v>0</v>
      </c>
      <c r="AF138" s="388">
        <f>SUMIFS('2021'!$I:$I,'2021'!$E:$E,Category!$B$134,'2021'!$N:$N,Category!AF$1,'2021'!$D:$D,Category!$C138)</f>
        <v>0</v>
      </c>
      <c r="AG138" s="388">
        <f>SUMIFS('2021'!$I:$I,'2021'!$E:$E,Category!$B$134,'2021'!$N:$N,Category!AG$1,'2021'!$D:$D,Category!$C138)</f>
        <v>0</v>
      </c>
      <c r="AH138" s="388">
        <f>SUMIFS('2021'!$I:$I,'2021'!$E:$E,Category!$B$134,'2021'!$N:$N,Category!AH$1,'2021'!$D:$D,Category!$C138)</f>
        <v>0</v>
      </c>
      <c r="AI138" s="388">
        <f>SUMIFS('2021'!$I:$I,'2021'!$E:$E,Category!$B$134,'2021'!$N:$N,Category!AI$1,'2021'!$D:$D,Category!$C138)</f>
        <v>0</v>
      </c>
      <c r="AJ138" s="388">
        <f>SUMIFS('2021'!$I:$I,'2021'!$E:$E,Category!$B$134,'2021'!$N:$N,Category!AJ$1,'2021'!$D:$D,Category!$C138)</f>
        <v>0</v>
      </c>
      <c r="AK138" s="388">
        <f>SUMIFS('2021'!$I:$I,'2021'!$E:$E,Category!$B$134,'2021'!$N:$N,Category!AK$1,'2021'!$D:$D,Category!$C138)</f>
        <v>0</v>
      </c>
      <c r="AL138" s="389">
        <f>SUM(Z138:AK138)</f>
        <v>35000000</v>
      </c>
      <c r="AM138" s="506">
        <f>IFERROR(VLOOKUP(C138,'2022'!$D:$G,4,0),0)</f>
        <v>0</v>
      </c>
      <c r="AN138" s="388">
        <f>SUMIFS('2022'!$I:$I,'2022'!$E:$E,Category!$B$134,'2022'!$N:$N,Category!AN$1,'2022'!$D:$D,Category!$C138)</f>
        <v>0</v>
      </c>
      <c r="AO138" s="388">
        <f>SUMIFS('2022'!$I:$I,'2022'!$E:$E,Category!$B$134,'2022'!$N:$N,Category!AO$1,'2022'!$D:$D,Category!$C138)</f>
        <v>0</v>
      </c>
      <c r="AP138" s="388">
        <f>SUMIFS('2022'!$I:$I,'2022'!$E:$E,Category!$B$134,'2022'!$N:$N,Category!AP$1,'2022'!$D:$D,Category!$C138)</f>
        <v>0</v>
      </c>
      <c r="AQ138" s="388">
        <f>SUMIFS('2022'!$I:$I,'2022'!$E:$E,Category!$B$134,'2022'!$N:$N,Category!AQ$1,'2022'!$D:$D,Category!$C138)</f>
        <v>0</v>
      </c>
      <c r="AR138" s="388">
        <f>SUMIFS('2022'!$I:$I,'2022'!$E:$E,Category!$B$134,'2022'!$N:$N,Category!AR$1,'2022'!$D:$D,Category!$C138)</f>
        <v>0</v>
      </c>
      <c r="AS138" s="388">
        <f>SUMIFS('2022'!$I:$I,'2022'!$E:$E,Category!$B$134,'2022'!$N:$N,Category!AS$1,'2022'!$D:$D,Category!$C138)</f>
        <v>0</v>
      </c>
      <c r="AT138" s="388">
        <f>SUMIFS('2022'!$I:$I,'2022'!$E:$E,Category!$B$134,'2022'!$N:$N,Category!AT$1,'2022'!$D:$D,Category!$C138)</f>
        <v>0</v>
      </c>
      <c r="AU138" s="388">
        <f>SUMIFS('2022'!$I:$I,'2022'!$E:$E,Category!$B$134,'2022'!$N:$N,Category!AU$1,'2022'!$D:$D,Category!$C138)</f>
        <v>0</v>
      </c>
      <c r="AV138" s="388">
        <f>SUMIFS('2022'!$I:$I,'2022'!$E:$E,Category!$B$134,'2022'!$N:$N,Category!AV$1,'2022'!$D:$D,Category!$C138)</f>
        <v>0</v>
      </c>
      <c r="AW138" s="388">
        <f>SUMIFS('2022'!$I:$I,'2022'!$E:$E,Category!$B$134,'2022'!$N:$N,Category!AW$1,'2022'!$D:$D,Category!$C138)</f>
        <v>0</v>
      </c>
      <c r="AX138" s="388">
        <f>SUMIFS('2022'!$I:$I,'2022'!$E:$E,Category!$B$134,'2022'!$N:$N,Category!AX$1,'2022'!$D:$D,Category!$C138)</f>
        <v>0</v>
      </c>
      <c r="AY138" s="388">
        <f>SUMIFS('2022'!$I:$I,'2022'!$E:$E,Category!$B$134,'2022'!$N:$N,Category!AY$1,'2022'!$D:$D,Category!$C138)</f>
        <v>0</v>
      </c>
      <c r="AZ138" s="389">
        <f t="shared" si="64"/>
        <v>0</v>
      </c>
      <c r="BA138" s="506">
        <f>IFERROR(VLOOKUP(C138,'2023'!$D:$G,4,0),0)</f>
        <v>0</v>
      </c>
      <c r="BB138" s="388">
        <f>SUMIFS('2023'!$I:$I,'2023'!$E:$E,Category!$B$134,'2023'!$N:$N,Category!BB$1,'2023'!$D:$D,Category!$C138)</f>
        <v>0</v>
      </c>
      <c r="BC138" s="388">
        <f>SUMIFS('2023'!$I:$I,'2023'!$E:$E,Category!$B$134,'2023'!$N:$N,Category!BC$1,'2023'!$D:$D,Category!$C138)</f>
        <v>0</v>
      </c>
      <c r="BD138" s="388">
        <f>SUMIFS('2023'!$I:$I,'2023'!$E:$E,Category!$B$134,'2023'!$N:$N,Category!BD$1,'2023'!$D:$D,Category!$C138)</f>
        <v>0</v>
      </c>
      <c r="BE138" s="388">
        <f>SUMIFS('2023'!$I:$I,'2023'!$E:$E,Category!$B$134,'2023'!$N:$N,Category!BE$1,'2023'!$D:$D,Category!$C138)</f>
        <v>0</v>
      </c>
      <c r="BF138" s="388">
        <f>SUMIFS('2023'!$I:$I,'2023'!$E:$E,Category!$B$134,'2023'!$N:$N,Category!BF$1,'2023'!$D:$D,Category!$C138)</f>
        <v>0</v>
      </c>
      <c r="BG138" s="388">
        <f>SUMIFS('2023'!$I:$I,'2023'!$E:$E,Category!$B$134,'2023'!$N:$N,Category!BG$1,'2023'!$D:$D,Category!$C138)</f>
        <v>0</v>
      </c>
      <c r="BH138" s="388">
        <f>SUMIFS('2023'!$I:$I,'2023'!$E:$E,Category!$B$134,'2023'!$N:$N,Category!BH$1,'2023'!$D:$D,Category!$C138)</f>
        <v>0</v>
      </c>
      <c r="BI138" s="388">
        <f>SUMIFS('2023'!$I:$I,'2023'!$E:$E,Category!$B$134,'2023'!$N:$N,Category!BI$1,'2023'!$D:$D,Category!$C138)</f>
        <v>0</v>
      </c>
      <c r="BJ138" s="388">
        <f>SUMIFS('2023'!$I:$I,'2023'!$E:$E,Category!$B$134,'2023'!$N:$N,Category!BJ$1,'2023'!$D:$D,Category!$C138)</f>
        <v>0</v>
      </c>
      <c r="BK138" s="388">
        <f>SUMIFS('2023'!$I:$I,'2023'!$E:$E,Category!$B$134,'2023'!$N:$N,Category!BK$1,'2023'!$D:$D,Category!$C138)</f>
        <v>0</v>
      </c>
      <c r="BL138" s="388">
        <f>SUMIFS('2023'!$I:$I,'2023'!$E:$E,Category!$B$134,'2023'!$N:$N,Category!BL$1,'2023'!$D:$D,Category!$C138)</f>
        <v>0</v>
      </c>
      <c r="BM138" s="388">
        <f>SUMIFS('2023'!$I:$I,'2023'!$E:$E,Category!$B$134,'2023'!$N:$N,Category!BM$1,'2023'!$D:$D,Category!$C138)</f>
        <v>0</v>
      </c>
      <c r="BN138" s="389">
        <f t="shared" si="65"/>
        <v>0</v>
      </c>
    </row>
    <row r="139" spans="1:66" x14ac:dyDescent="0.3">
      <c r="A139" s="386"/>
      <c r="B139" s="387"/>
      <c r="C139" s="387" t="s">
        <v>338</v>
      </c>
      <c r="D139" s="524">
        <f>IFERROR(VLOOKUP($C139,'2019'!$D:$G,4,0),0)</f>
        <v>0</v>
      </c>
      <c r="E139" s="388">
        <f>SUMIFS('2019'!$I:$I,'2019'!$E:$E,Category!$B$134,'2019'!$N:$N,Category!E$1,'2019'!$D:$D,Category!$C139)</f>
        <v>0</v>
      </c>
      <c r="F139" s="388">
        <f>SUMIFS('2019'!$I:$I,'2019'!$E:$E,Category!$B$134,'2019'!$N:$N,Category!F$1,'2019'!$D:$D,Category!$C139)</f>
        <v>0</v>
      </c>
      <c r="G139" s="388">
        <f>SUMIFS('2019'!$I:$I,'2019'!$E:$E,Category!$B$134,'2019'!$N:$N,Category!G$1,'2019'!$D:$D,Category!$C139)</f>
        <v>0</v>
      </c>
      <c r="H139" s="388">
        <f>SUMIFS('2019'!$I:$I,'2019'!$E:$E,Category!$B$134,'2019'!$N:$N,Category!H$1,'2019'!$D:$D,Category!$C139)</f>
        <v>0</v>
      </c>
      <c r="I139" s="388">
        <f>SUMIFS('2019'!$I:$I,'2019'!$E:$E,Category!$B$134,'2019'!$N:$N,Category!I$1,'2019'!$D:$D,Category!$C139)</f>
        <v>0</v>
      </c>
      <c r="J139" s="389">
        <f t="shared" si="61"/>
        <v>0</v>
      </c>
      <c r="K139" s="506">
        <f>IFERROR(VLOOKUP($C139,'2020'!$D:$G,4,0),0)</f>
        <v>0</v>
      </c>
      <c r="L139" s="388">
        <f>SUMIFS('2020'!$I:$I,'2020'!$E:$E,Category!$B$134,'2020'!$N:$N,Category!L$1,'2020'!$D:$D,Category!$C139)</f>
        <v>0</v>
      </c>
      <c r="M139" s="388">
        <f>SUMIFS('2020'!$I:$I,'2020'!$E:$E,Category!$B$134,'2020'!$N:$N,Category!M$1,'2020'!$D:$D,Category!$C139)</f>
        <v>0</v>
      </c>
      <c r="N139" s="388">
        <f>SUMIFS('2020'!$I:$I,'2020'!$E:$E,Category!$B$134,'2020'!$N:$N,Category!N$1,'2020'!$D:$D,Category!$C139)</f>
        <v>0</v>
      </c>
      <c r="O139" s="388">
        <f>SUMIFS('2020'!$I:$I,'2020'!$E:$E,Category!$B$134,'2020'!$N:$N,Category!O$1,'2020'!$D:$D,Category!$C139)</f>
        <v>0</v>
      </c>
      <c r="P139" s="388">
        <f>SUMIFS('2020'!$I:$I,'2020'!$E:$E,Category!$B$134,'2020'!$N:$N,Category!P$1,'2020'!$D:$D,Category!$C139)</f>
        <v>0</v>
      </c>
      <c r="Q139" s="388">
        <f>SUMIFS('2020'!$I:$I,'2020'!$E:$E,Category!$B$134,'2020'!$N:$N,Category!Q$1,'2020'!$D:$D,Category!$C139)</f>
        <v>0</v>
      </c>
      <c r="R139" s="388">
        <f>SUMIFS('2020'!$I:$I,'2020'!$E:$E,Category!$B$134,'2020'!$N:$N,Category!R$1,'2020'!$D:$D,Category!$C139)</f>
        <v>0</v>
      </c>
      <c r="S139" s="388">
        <f>SUMIFS('2020'!$I:$I,'2020'!$E:$E,Category!$B$134,'2020'!$N:$N,Category!S$1,'2020'!$D:$D,Category!$C139)</f>
        <v>0</v>
      </c>
      <c r="T139" s="388">
        <f>SUMIFS('2020'!$I:$I,'2020'!$E:$E,Category!$B$134,'2020'!$N:$N,Category!T$1,'2020'!$D:$D,Category!$C139)</f>
        <v>0</v>
      </c>
      <c r="U139" s="388">
        <f>SUMIFS('2020'!$I:$I,'2020'!$E:$E,Category!$B$134,'2020'!$N:$N,Category!U$1,'2020'!$D:$D,Category!$C139)</f>
        <v>0</v>
      </c>
      <c r="V139" s="388">
        <f>SUMIFS('2020'!$I:$I,'2020'!$E:$E,Category!$B$134,'2020'!$N:$N,Category!V$1,'2020'!$D:$D,Category!$C139)</f>
        <v>0</v>
      </c>
      <c r="W139" s="388">
        <f>SUMIFS('2020'!$I:$I,'2020'!$E:$E,Category!$B$134,'2020'!$N:$N,Category!W$1,'2020'!$D:$D,Category!$C139)</f>
        <v>0</v>
      </c>
      <c r="X139" s="389">
        <f t="shared" si="62"/>
        <v>0</v>
      </c>
      <c r="Y139" s="506">
        <f>IFERROR(VLOOKUP(C139,'2021'!$D:$G,4,0),0)</f>
        <v>0</v>
      </c>
      <c r="Z139" s="388">
        <f>SUMIFS('2021'!$I:$I,'2021'!$E:$E,Category!$B$134,'2021'!$N:$N,Category!Z$1,'2021'!$D:$D,Category!$C139)</f>
        <v>0</v>
      </c>
      <c r="AA139" s="388">
        <f>SUMIFS('2021'!$I:$I,'2021'!$E:$E,Category!$B$134,'2021'!$N:$N,Category!AA$1,'2021'!$D:$D,Category!$C139)</f>
        <v>0</v>
      </c>
      <c r="AB139" s="388">
        <f>SUMIFS('2021'!$I:$I,'2021'!$E:$E,Category!$B$134,'2021'!$N:$N,Category!AB$1,'2021'!$D:$D,Category!$C139)</f>
        <v>0</v>
      </c>
      <c r="AC139" s="388">
        <f>SUMIFS('2021'!$I:$I,'2021'!$E:$E,Category!$B$134,'2021'!$N:$N,Category!AC$1,'2021'!$D:$D,Category!$C139)</f>
        <v>35000024</v>
      </c>
      <c r="AD139" s="388">
        <f>SUMIFS('2021'!$I:$I,'2021'!$E:$E,Category!$B$134,'2021'!$N:$N,Category!AD$1,'2021'!$D:$D,Category!$C139)</f>
        <v>0</v>
      </c>
      <c r="AE139" s="388">
        <f>SUMIFS('2021'!$I:$I,'2021'!$E:$E,Category!$B$134,'2021'!$N:$N,Category!AE$1,'2021'!$D:$D,Category!$C139)</f>
        <v>0</v>
      </c>
      <c r="AF139" s="388">
        <f>SUMIFS('2021'!$I:$I,'2021'!$E:$E,Category!$B$134,'2021'!$N:$N,Category!AF$1,'2021'!$D:$D,Category!$C139)</f>
        <v>0</v>
      </c>
      <c r="AG139" s="388">
        <f>SUMIFS('2021'!$I:$I,'2021'!$E:$E,Category!$B$134,'2021'!$N:$N,Category!AG$1,'2021'!$D:$D,Category!$C139)</f>
        <v>0</v>
      </c>
      <c r="AH139" s="388">
        <f>SUMIFS('2021'!$I:$I,'2021'!$E:$E,Category!$B$134,'2021'!$N:$N,Category!AH$1,'2021'!$D:$D,Category!$C139)</f>
        <v>0</v>
      </c>
      <c r="AI139" s="388">
        <f>SUMIFS('2021'!$I:$I,'2021'!$E:$E,Category!$B$134,'2021'!$N:$N,Category!AI$1,'2021'!$D:$D,Category!$C139)</f>
        <v>0</v>
      </c>
      <c r="AJ139" s="388">
        <f>SUMIFS('2021'!$I:$I,'2021'!$E:$E,Category!$B$134,'2021'!$N:$N,Category!AJ$1,'2021'!$D:$D,Category!$C139)</f>
        <v>0</v>
      </c>
      <c r="AK139" s="388">
        <f>SUMIFS('2021'!$I:$I,'2021'!$E:$E,Category!$B$134,'2021'!$N:$N,Category!AK$1,'2021'!$D:$D,Category!$C139)</f>
        <v>0</v>
      </c>
      <c r="AL139" s="389">
        <f t="shared" si="63"/>
        <v>35000024</v>
      </c>
      <c r="AM139" s="506">
        <f>IFERROR(VLOOKUP(C139,'2022'!$D:$G,4,0),0)</f>
        <v>0</v>
      </c>
      <c r="AN139" s="388">
        <f>SUMIFS('2022'!$I:$I,'2022'!$E:$E,Category!$B$134,'2022'!$N:$N,Category!AN$1,'2022'!$D:$D,Category!$C139)</f>
        <v>0</v>
      </c>
      <c r="AO139" s="388">
        <f>SUMIFS('2022'!$I:$I,'2022'!$E:$E,Category!$B$134,'2022'!$N:$N,Category!AO$1,'2022'!$D:$D,Category!$C139)</f>
        <v>0</v>
      </c>
      <c r="AP139" s="388">
        <f>SUMIFS('2022'!$I:$I,'2022'!$E:$E,Category!$B$134,'2022'!$N:$N,Category!AP$1,'2022'!$D:$D,Category!$C139)</f>
        <v>0</v>
      </c>
      <c r="AQ139" s="388">
        <f>SUMIFS('2022'!$I:$I,'2022'!$E:$E,Category!$B$134,'2022'!$N:$N,Category!AQ$1,'2022'!$D:$D,Category!$C139)</f>
        <v>0</v>
      </c>
      <c r="AR139" s="388">
        <f>SUMIFS('2022'!$I:$I,'2022'!$E:$E,Category!$B$134,'2022'!$N:$N,Category!AR$1,'2022'!$D:$D,Category!$C139)</f>
        <v>0</v>
      </c>
      <c r="AS139" s="388">
        <f>SUMIFS('2022'!$I:$I,'2022'!$E:$E,Category!$B$134,'2022'!$N:$N,Category!AS$1,'2022'!$D:$D,Category!$C139)</f>
        <v>0</v>
      </c>
      <c r="AT139" s="388">
        <f>SUMIFS('2022'!$I:$I,'2022'!$E:$E,Category!$B$134,'2022'!$N:$N,Category!AT$1,'2022'!$D:$D,Category!$C139)</f>
        <v>0</v>
      </c>
      <c r="AU139" s="388">
        <f>SUMIFS('2022'!$I:$I,'2022'!$E:$E,Category!$B$134,'2022'!$N:$N,Category!AU$1,'2022'!$D:$D,Category!$C139)</f>
        <v>0</v>
      </c>
      <c r="AV139" s="388">
        <f>SUMIFS('2022'!$I:$I,'2022'!$E:$E,Category!$B$134,'2022'!$N:$N,Category!AV$1,'2022'!$D:$D,Category!$C139)</f>
        <v>0</v>
      </c>
      <c r="AW139" s="388">
        <f>SUMIFS('2022'!$I:$I,'2022'!$E:$E,Category!$B$134,'2022'!$N:$N,Category!AW$1,'2022'!$D:$D,Category!$C139)</f>
        <v>0</v>
      </c>
      <c r="AX139" s="388">
        <f>SUMIFS('2022'!$I:$I,'2022'!$E:$E,Category!$B$134,'2022'!$N:$N,Category!AX$1,'2022'!$D:$D,Category!$C139)</f>
        <v>0</v>
      </c>
      <c r="AY139" s="388">
        <f>SUMIFS('2022'!$I:$I,'2022'!$E:$E,Category!$B$134,'2022'!$N:$N,Category!AY$1,'2022'!$D:$D,Category!$C139)</f>
        <v>0</v>
      </c>
      <c r="AZ139" s="389">
        <f t="shared" si="64"/>
        <v>0</v>
      </c>
      <c r="BA139" s="506">
        <f>IFERROR(VLOOKUP(C139,'2023'!$D:$G,4,0),0)</f>
        <v>0</v>
      </c>
      <c r="BB139" s="388">
        <f>SUMIFS('2023'!$I:$I,'2023'!$E:$E,Category!$B$134,'2023'!$N:$N,Category!BB$1,'2023'!$D:$D,Category!$C139)</f>
        <v>0</v>
      </c>
      <c r="BC139" s="388">
        <f>SUMIFS('2023'!$I:$I,'2023'!$E:$E,Category!$B$134,'2023'!$N:$N,Category!BC$1,'2023'!$D:$D,Category!$C139)</f>
        <v>0</v>
      </c>
      <c r="BD139" s="388">
        <f>SUMIFS('2023'!$I:$I,'2023'!$E:$E,Category!$B$134,'2023'!$N:$N,Category!BD$1,'2023'!$D:$D,Category!$C139)</f>
        <v>0</v>
      </c>
      <c r="BE139" s="388">
        <f>SUMIFS('2023'!$I:$I,'2023'!$E:$E,Category!$B$134,'2023'!$N:$N,Category!BE$1,'2023'!$D:$D,Category!$C139)</f>
        <v>0</v>
      </c>
      <c r="BF139" s="388">
        <f>SUMIFS('2023'!$I:$I,'2023'!$E:$E,Category!$B$134,'2023'!$N:$N,Category!BF$1,'2023'!$D:$D,Category!$C139)</f>
        <v>0</v>
      </c>
      <c r="BG139" s="388">
        <f>SUMIFS('2023'!$I:$I,'2023'!$E:$E,Category!$B$134,'2023'!$N:$N,Category!BG$1,'2023'!$D:$D,Category!$C139)</f>
        <v>0</v>
      </c>
      <c r="BH139" s="388">
        <f>SUMIFS('2023'!$I:$I,'2023'!$E:$E,Category!$B$134,'2023'!$N:$N,Category!BH$1,'2023'!$D:$D,Category!$C139)</f>
        <v>0</v>
      </c>
      <c r="BI139" s="388">
        <f>SUMIFS('2023'!$I:$I,'2023'!$E:$E,Category!$B$134,'2023'!$N:$N,Category!BI$1,'2023'!$D:$D,Category!$C139)</f>
        <v>0</v>
      </c>
      <c r="BJ139" s="388">
        <f>SUMIFS('2023'!$I:$I,'2023'!$E:$E,Category!$B$134,'2023'!$N:$N,Category!BJ$1,'2023'!$D:$D,Category!$C139)</f>
        <v>0</v>
      </c>
      <c r="BK139" s="388">
        <f>SUMIFS('2023'!$I:$I,'2023'!$E:$E,Category!$B$134,'2023'!$N:$N,Category!BK$1,'2023'!$D:$D,Category!$C139)</f>
        <v>0</v>
      </c>
      <c r="BL139" s="388">
        <f>SUMIFS('2023'!$I:$I,'2023'!$E:$E,Category!$B$134,'2023'!$N:$N,Category!BL$1,'2023'!$D:$D,Category!$C139)</f>
        <v>0</v>
      </c>
      <c r="BM139" s="388">
        <f>SUMIFS('2023'!$I:$I,'2023'!$E:$E,Category!$B$134,'2023'!$N:$N,Category!BM$1,'2023'!$D:$D,Category!$C139)</f>
        <v>0</v>
      </c>
      <c r="BN139" s="389">
        <f t="shared" si="65"/>
        <v>0</v>
      </c>
    </row>
    <row r="140" spans="1:66" x14ac:dyDescent="0.3">
      <c r="A140" s="386"/>
      <c r="B140" s="387"/>
      <c r="C140" s="387" t="s">
        <v>348</v>
      </c>
      <c r="D140" s="524">
        <f>IFERROR(VLOOKUP($C140,'2019'!$D:$G,4,0),0)</f>
        <v>0</v>
      </c>
      <c r="E140" s="388">
        <f>SUMIFS('2019'!$I:$I,'2019'!$E:$E,Category!$B$134,'2019'!$N:$N,Category!E$1,'2019'!$D:$D,Category!$C140)</f>
        <v>0</v>
      </c>
      <c r="F140" s="388">
        <f>SUMIFS('2019'!$I:$I,'2019'!$E:$E,Category!$B$134,'2019'!$N:$N,Category!F$1,'2019'!$D:$D,Category!$C140)</f>
        <v>0</v>
      </c>
      <c r="G140" s="388">
        <f>SUMIFS('2019'!$I:$I,'2019'!$E:$E,Category!$B$134,'2019'!$N:$N,Category!G$1,'2019'!$D:$D,Category!$C140)</f>
        <v>0</v>
      </c>
      <c r="H140" s="388">
        <f>SUMIFS('2019'!$I:$I,'2019'!$E:$E,Category!$B$134,'2019'!$N:$N,Category!H$1,'2019'!$D:$D,Category!$C140)</f>
        <v>0</v>
      </c>
      <c r="I140" s="388">
        <f>SUMIFS('2019'!$I:$I,'2019'!$E:$E,Category!$B$134,'2019'!$N:$N,Category!I$1,'2019'!$D:$D,Category!$C140)</f>
        <v>0</v>
      </c>
      <c r="J140" s="389">
        <f t="shared" si="61"/>
        <v>0</v>
      </c>
      <c r="K140" s="506">
        <f>IFERROR(VLOOKUP($C140,'2020'!$D:$G,4,0),0)</f>
        <v>0</v>
      </c>
      <c r="L140" s="388">
        <f>SUMIFS('2020'!$I:$I,'2020'!$E:$E,Category!$B$134,'2020'!$N:$N,Category!L$1,'2020'!$D:$D,Category!$C140)</f>
        <v>0</v>
      </c>
      <c r="M140" s="388">
        <f>SUMIFS('2020'!$I:$I,'2020'!$E:$E,Category!$B$134,'2020'!$N:$N,Category!M$1,'2020'!$D:$D,Category!$C140)</f>
        <v>0</v>
      </c>
      <c r="N140" s="388">
        <f>SUMIFS('2020'!$I:$I,'2020'!$E:$E,Category!$B$134,'2020'!$N:$N,Category!N$1,'2020'!$D:$D,Category!$C140)</f>
        <v>0</v>
      </c>
      <c r="O140" s="388">
        <f>SUMIFS('2020'!$I:$I,'2020'!$E:$E,Category!$B$134,'2020'!$N:$N,Category!O$1,'2020'!$D:$D,Category!$C140)</f>
        <v>0</v>
      </c>
      <c r="P140" s="388">
        <f>SUMIFS('2020'!$I:$I,'2020'!$E:$E,Category!$B$134,'2020'!$N:$N,Category!P$1,'2020'!$D:$D,Category!$C140)</f>
        <v>0</v>
      </c>
      <c r="Q140" s="388">
        <f>SUMIFS('2020'!$I:$I,'2020'!$E:$E,Category!$B$134,'2020'!$N:$N,Category!Q$1,'2020'!$D:$D,Category!$C140)</f>
        <v>0</v>
      </c>
      <c r="R140" s="388">
        <f>SUMIFS('2020'!$I:$I,'2020'!$E:$E,Category!$B$134,'2020'!$N:$N,Category!R$1,'2020'!$D:$D,Category!$C140)</f>
        <v>0</v>
      </c>
      <c r="S140" s="388">
        <f>SUMIFS('2020'!$I:$I,'2020'!$E:$E,Category!$B$134,'2020'!$N:$N,Category!S$1,'2020'!$D:$D,Category!$C140)</f>
        <v>0</v>
      </c>
      <c r="T140" s="388">
        <f>SUMIFS('2020'!$I:$I,'2020'!$E:$E,Category!$B$134,'2020'!$N:$N,Category!T$1,'2020'!$D:$D,Category!$C140)</f>
        <v>0</v>
      </c>
      <c r="U140" s="388">
        <f>SUMIFS('2020'!$I:$I,'2020'!$E:$E,Category!$B$134,'2020'!$N:$N,Category!U$1,'2020'!$D:$D,Category!$C140)</f>
        <v>0</v>
      </c>
      <c r="V140" s="388">
        <f>SUMIFS('2020'!$I:$I,'2020'!$E:$E,Category!$B$134,'2020'!$N:$N,Category!V$1,'2020'!$D:$D,Category!$C140)</f>
        <v>0</v>
      </c>
      <c r="W140" s="388">
        <f>SUMIFS('2020'!$I:$I,'2020'!$E:$E,Category!$B$134,'2020'!$N:$N,Category!W$1,'2020'!$D:$D,Category!$C140)</f>
        <v>0</v>
      </c>
      <c r="X140" s="389">
        <f t="shared" si="62"/>
        <v>0</v>
      </c>
      <c r="Y140" s="506">
        <f>IFERROR(VLOOKUP(C140,'2021'!$D:$G,4,0),0)</f>
        <v>0</v>
      </c>
      <c r="Z140" s="388">
        <f>SUMIFS('2021'!$I:$I,'2021'!$E:$E,Category!$B$134,'2021'!$N:$N,Category!Z$1,'2021'!$D:$D,Category!$C140)</f>
        <v>0</v>
      </c>
      <c r="AA140" s="388">
        <f>SUMIFS('2021'!$I:$I,'2021'!$E:$E,Category!$B$134,'2021'!$N:$N,Category!AA$1,'2021'!$D:$D,Category!$C140)</f>
        <v>0</v>
      </c>
      <c r="AB140" s="388">
        <f>SUMIFS('2021'!$I:$I,'2021'!$E:$E,Category!$B$134,'2021'!$N:$N,Category!AB$1,'2021'!$D:$D,Category!$C140)</f>
        <v>0</v>
      </c>
      <c r="AC140" s="388">
        <f>SUMIFS('2021'!$I:$I,'2021'!$E:$E,Category!$B$134,'2021'!$N:$N,Category!AC$1,'2021'!$D:$D,Category!$C140)</f>
        <v>95000000</v>
      </c>
      <c r="AD140" s="388">
        <f>SUMIFS('2021'!$I:$I,'2021'!$E:$E,Category!$B$134,'2021'!$N:$N,Category!AD$1,'2021'!$D:$D,Category!$C140)</f>
        <v>0</v>
      </c>
      <c r="AE140" s="388">
        <f>SUMIFS('2021'!$I:$I,'2021'!$E:$E,Category!$B$134,'2021'!$N:$N,Category!AE$1,'2021'!$D:$D,Category!$C140)</f>
        <v>0</v>
      </c>
      <c r="AF140" s="388">
        <f>SUMIFS('2021'!$I:$I,'2021'!$E:$E,Category!$B$134,'2021'!$N:$N,Category!AF$1,'2021'!$D:$D,Category!$C140)</f>
        <v>0</v>
      </c>
      <c r="AG140" s="388">
        <f>SUMIFS('2021'!$I:$I,'2021'!$E:$E,Category!$B$134,'2021'!$N:$N,Category!AG$1,'2021'!$D:$D,Category!$C140)</f>
        <v>0</v>
      </c>
      <c r="AH140" s="388">
        <f>SUMIFS('2021'!$I:$I,'2021'!$E:$E,Category!$B$134,'2021'!$N:$N,Category!AH$1,'2021'!$D:$D,Category!$C140)</f>
        <v>0</v>
      </c>
      <c r="AI140" s="388">
        <f>SUMIFS('2021'!$I:$I,'2021'!$E:$E,Category!$B$134,'2021'!$N:$N,Category!AI$1,'2021'!$D:$D,Category!$C140)</f>
        <v>0</v>
      </c>
      <c r="AJ140" s="388">
        <f>SUMIFS('2021'!$I:$I,'2021'!$E:$E,Category!$B$134,'2021'!$N:$N,Category!AJ$1,'2021'!$D:$D,Category!$C140)</f>
        <v>0</v>
      </c>
      <c r="AK140" s="388">
        <f>SUMIFS('2021'!$I:$I,'2021'!$E:$E,Category!$B$134,'2021'!$N:$N,Category!AK$1,'2021'!$D:$D,Category!$C140)</f>
        <v>0</v>
      </c>
      <c r="AL140" s="389">
        <f t="shared" si="63"/>
        <v>95000000</v>
      </c>
      <c r="AM140" s="506">
        <f>IFERROR(VLOOKUP(C140,'2022'!$D:$G,4,0),0)</f>
        <v>0</v>
      </c>
      <c r="AN140" s="388">
        <f>SUMIFS('2022'!$I:$I,'2022'!$E:$E,Category!$B$134,'2022'!$N:$N,Category!AN$1,'2022'!$D:$D,Category!$C140)</f>
        <v>0</v>
      </c>
      <c r="AO140" s="388">
        <f>SUMIFS('2022'!$I:$I,'2022'!$E:$E,Category!$B$134,'2022'!$N:$N,Category!AO$1,'2022'!$D:$D,Category!$C140)</f>
        <v>0</v>
      </c>
      <c r="AP140" s="388">
        <f>SUMIFS('2022'!$I:$I,'2022'!$E:$E,Category!$B$134,'2022'!$N:$N,Category!AP$1,'2022'!$D:$D,Category!$C140)</f>
        <v>0</v>
      </c>
      <c r="AQ140" s="388">
        <f>SUMIFS('2022'!$I:$I,'2022'!$E:$E,Category!$B$134,'2022'!$N:$N,Category!AQ$1,'2022'!$D:$D,Category!$C140)</f>
        <v>0</v>
      </c>
      <c r="AR140" s="388">
        <f>SUMIFS('2022'!$I:$I,'2022'!$E:$E,Category!$B$134,'2022'!$N:$N,Category!AR$1,'2022'!$D:$D,Category!$C140)</f>
        <v>0</v>
      </c>
      <c r="AS140" s="388">
        <f>SUMIFS('2022'!$I:$I,'2022'!$E:$E,Category!$B$134,'2022'!$N:$N,Category!AS$1,'2022'!$D:$D,Category!$C140)</f>
        <v>0</v>
      </c>
      <c r="AT140" s="388">
        <f>SUMIFS('2022'!$I:$I,'2022'!$E:$E,Category!$B$134,'2022'!$N:$N,Category!AT$1,'2022'!$D:$D,Category!$C140)</f>
        <v>0</v>
      </c>
      <c r="AU140" s="388">
        <f>SUMIFS('2022'!$I:$I,'2022'!$E:$E,Category!$B$134,'2022'!$N:$N,Category!AU$1,'2022'!$D:$D,Category!$C140)</f>
        <v>0</v>
      </c>
      <c r="AV140" s="388">
        <f>SUMIFS('2022'!$I:$I,'2022'!$E:$E,Category!$B$134,'2022'!$N:$N,Category!AV$1,'2022'!$D:$D,Category!$C140)</f>
        <v>0</v>
      </c>
      <c r="AW140" s="388">
        <f>SUMIFS('2022'!$I:$I,'2022'!$E:$E,Category!$B$134,'2022'!$N:$N,Category!AW$1,'2022'!$D:$D,Category!$C140)</f>
        <v>0</v>
      </c>
      <c r="AX140" s="388">
        <f>SUMIFS('2022'!$I:$I,'2022'!$E:$E,Category!$B$134,'2022'!$N:$N,Category!AX$1,'2022'!$D:$D,Category!$C140)</f>
        <v>0</v>
      </c>
      <c r="AY140" s="388">
        <f>SUMIFS('2022'!$I:$I,'2022'!$E:$E,Category!$B$134,'2022'!$N:$N,Category!AY$1,'2022'!$D:$D,Category!$C140)</f>
        <v>0</v>
      </c>
      <c r="AZ140" s="389">
        <f t="shared" si="64"/>
        <v>0</v>
      </c>
      <c r="BA140" s="506">
        <f>IFERROR(VLOOKUP(C140,'2023'!$D:$G,4,0),0)</f>
        <v>0</v>
      </c>
      <c r="BB140" s="388">
        <f>SUMIFS('2023'!$I:$I,'2023'!$E:$E,Category!$B$134,'2023'!$N:$N,Category!BB$1,'2023'!$D:$D,Category!$C140)</f>
        <v>0</v>
      </c>
      <c r="BC140" s="388">
        <f>SUMIFS('2023'!$I:$I,'2023'!$E:$E,Category!$B$134,'2023'!$N:$N,Category!BC$1,'2023'!$D:$D,Category!$C140)</f>
        <v>0</v>
      </c>
      <c r="BD140" s="388">
        <f>SUMIFS('2023'!$I:$I,'2023'!$E:$E,Category!$B$134,'2023'!$N:$N,Category!BD$1,'2023'!$D:$D,Category!$C140)</f>
        <v>0</v>
      </c>
      <c r="BE140" s="388">
        <f>SUMIFS('2023'!$I:$I,'2023'!$E:$E,Category!$B$134,'2023'!$N:$N,Category!BE$1,'2023'!$D:$D,Category!$C140)</f>
        <v>0</v>
      </c>
      <c r="BF140" s="388">
        <f>SUMIFS('2023'!$I:$I,'2023'!$E:$E,Category!$B$134,'2023'!$N:$N,Category!BF$1,'2023'!$D:$D,Category!$C140)</f>
        <v>0</v>
      </c>
      <c r="BG140" s="388">
        <f>SUMIFS('2023'!$I:$I,'2023'!$E:$E,Category!$B$134,'2023'!$N:$N,Category!BG$1,'2023'!$D:$D,Category!$C140)</f>
        <v>0</v>
      </c>
      <c r="BH140" s="388">
        <f>SUMIFS('2023'!$I:$I,'2023'!$E:$E,Category!$B$134,'2023'!$N:$N,Category!BH$1,'2023'!$D:$D,Category!$C140)</f>
        <v>0</v>
      </c>
      <c r="BI140" s="388">
        <f>SUMIFS('2023'!$I:$I,'2023'!$E:$E,Category!$B$134,'2023'!$N:$N,Category!BI$1,'2023'!$D:$D,Category!$C140)</f>
        <v>0</v>
      </c>
      <c r="BJ140" s="388">
        <f>SUMIFS('2023'!$I:$I,'2023'!$E:$E,Category!$B$134,'2023'!$N:$N,Category!BJ$1,'2023'!$D:$D,Category!$C140)</f>
        <v>0</v>
      </c>
      <c r="BK140" s="388">
        <f>SUMIFS('2023'!$I:$I,'2023'!$E:$E,Category!$B$134,'2023'!$N:$N,Category!BK$1,'2023'!$D:$D,Category!$C140)</f>
        <v>0</v>
      </c>
      <c r="BL140" s="388">
        <f>SUMIFS('2023'!$I:$I,'2023'!$E:$E,Category!$B$134,'2023'!$N:$N,Category!BL$1,'2023'!$D:$D,Category!$C140)</f>
        <v>0</v>
      </c>
      <c r="BM140" s="388">
        <f>SUMIFS('2023'!$I:$I,'2023'!$E:$E,Category!$B$134,'2023'!$N:$N,Category!BM$1,'2023'!$D:$D,Category!$C140)</f>
        <v>0</v>
      </c>
      <c r="BN140" s="389">
        <f t="shared" si="65"/>
        <v>0</v>
      </c>
    </row>
    <row r="141" spans="1:66" x14ac:dyDescent="0.3">
      <c r="A141" s="386"/>
      <c r="B141" s="387"/>
      <c r="C141" s="387" t="s">
        <v>386</v>
      </c>
      <c r="D141" s="524">
        <f>IFERROR(VLOOKUP($C141,'2019'!$D:$G,4,0),0)</f>
        <v>0</v>
      </c>
      <c r="E141" s="388">
        <f>SUMIFS('2019'!$I:$I,'2019'!$E:$E,Category!$B$134,'2019'!$N:$N,Category!E$1,'2019'!$D:$D,Category!$C141)</f>
        <v>0</v>
      </c>
      <c r="F141" s="388">
        <f>SUMIFS('2019'!$I:$I,'2019'!$E:$E,Category!$B$134,'2019'!$N:$N,Category!F$1,'2019'!$D:$D,Category!$C141)</f>
        <v>0</v>
      </c>
      <c r="G141" s="388">
        <f>SUMIFS('2019'!$I:$I,'2019'!$E:$E,Category!$B$134,'2019'!$N:$N,Category!G$1,'2019'!$D:$D,Category!$C141)</f>
        <v>0</v>
      </c>
      <c r="H141" s="388">
        <f>SUMIFS('2019'!$I:$I,'2019'!$E:$E,Category!$B$134,'2019'!$N:$N,Category!H$1,'2019'!$D:$D,Category!$C141)</f>
        <v>0</v>
      </c>
      <c r="I141" s="388">
        <f>SUMIFS('2019'!$I:$I,'2019'!$E:$E,Category!$B$134,'2019'!$N:$N,Category!I$1,'2019'!$D:$D,Category!$C141)</f>
        <v>0</v>
      </c>
      <c r="J141" s="389">
        <f t="shared" si="61"/>
        <v>0</v>
      </c>
      <c r="K141" s="506">
        <f>IFERROR(VLOOKUP($C141,'2020'!$D:$G,4,0),0)</f>
        <v>0</v>
      </c>
      <c r="L141" s="388">
        <f>SUMIFS('2020'!$I:$I,'2020'!$E:$E,Category!$B$134,'2020'!$N:$N,Category!L$1,'2020'!$D:$D,Category!$C141)</f>
        <v>0</v>
      </c>
      <c r="M141" s="388">
        <f>SUMIFS('2020'!$I:$I,'2020'!$E:$E,Category!$B$134,'2020'!$N:$N,Category!M$1,'2020'!$D:$D,Category!$C141)</f>
        <v>0</v>
      </c>
      <c r="N141" s="388">
        <f>SUMIFS('2020'!$I:$I,'2020'!$E:$E,Category!$B$134,'2020'!$N:$N,Category!N$1,'2020'!$D:$D,Category!$C141)</f>
        <v>0</v>
      </c>
      <c r="O141" s="388">
        <f>SUMIFS('2020'!$I:$I,'2020'!$E:$E,Category!$B$134,'2020'!$N:$N,Category!O$1,'2020'!$D:$D,Category!$C141)</f>
        <v>0</v>
      </c>
      <c r="P141" s="388">
        <f>SUMIFS('2020'!$I:$I,'2020'!$E:$E,Category!$B$134,'2020'!$N:$N,Category!P$1,'2020'!$D:$D,Category!$C141)</f>
        <v>0</v>
      </c>
      <c r="Q141" s="388">
        <f>SUMIFS('2020'!$I:$I,'2020'!$E:$E,Category!$B$134,'2020'!$N:$N,Category!Q$1,'2020'!$D:$D,Category!$C141)</f>
        <v>0</v>
      </c>
      <c r="R141" s="388">
        <f>SUMIFS('2020'!$I:$I,'2020'!$E:$E,Category!$B$134,'2020'!$N:$N,Category!R$1,'2020'!$D:$D,Category!$C141)</f>
        <v>0</v>
      </c>
      <c r="S141" s="388">
        <f>SUMIFS('2020'!$I:$I,'2020'!$E:$E,Category!$B$134,'2020'!$N:$N,Category!S$1,'2020'!$D:$D,Category!$C141)</f>
        <v>0</v>
      </c>
      <c r="T141" s="388">
        <f>SUMIFS('2020'!$I:$I,'2020'!$E:$E,Category!$B$134,'2020'!$N:$N,Category!T$1,'2020'!$D:$D,Category!$C141)</f>
        <v>0</v>
      </c>
      <c r="U141" s="388">
        <f>SUMIFS('2020'!$I:$I,'2020'!$E:$E,Category!$B$134,'2020'!$N:$N,Category!U$1,'2020'!$D:$D,Category!$C141)</f>
        <v>0</v>
      </c>
      <c r="V141" s="388">
        <f>SUMIFS('2020'!$I:$I,'2020'!$E:$E,Category!$B$134,'2020'!$N:$N,Category!V$1,'2020'!$D:$D,Category!$C141)</f>
        <v>0</v>
      </c>
      <c r="W141" s="388">
        <f>SUMIFS('2020'!$I:$I,'2020'!$E:$E,Category!$B$134,'2020'!$N:$N,Category!W$1,'2020'!$D:$D,Category!$C141)</f>
        <v>0</v>
      </c>
      <c r="X141" s="389">
        <f>SUM(L141:W141)</f>
        <v>0</v>
      </c>
      <c r="Y141" s="506">
        <f>IFERROR(VLOOKUP(C141,'2021'!$D:$G,4,0),0)</f>
        <v>63</v>
      </c>
      <c r="Z141" s="388">
        <f>SUMIFS('2021'!$I:$I,'2021'!$E:$E,Category!$B$134,'2021'!$N:$N,Category!Z$1,'2021'!$D:$D,Category!$C141)</f>
        <v>0</v>
      </c>
      <c r="AA141" s="388">
        <f>SUMIFS('2021'!$I:$I,'2021'!$E:$E,Category!$B$134,'2021'!$N:$N,Category!AA$1,'2021'!$D:$D,Category!$C141)</f>
        <v>0</v>
      </c>
      <c r="AB141" s="388">
        <f>SUMIFS('2021'!$I:$I,'2021'!$E:$E,Category!$B$134,'2021'!$N:$N,Category!AB$1,'2021'!$D:$D,Category!$C141)</f>
        <v>0</v>
      </c>
      <c r="AC141" s="388">
        <f>SUMIFS('2021'!$I:$I,'2021'!$E:$E,Category!$B$134,'2021'!$N:$N,Category!AC$1,'2021'!$D:$D,Category!$C141)</f>
        <v>0</v>
      </c>
      <c r="AD141" s="388">
        <f>SUMIFS('2021'!$I:$I,'2021'!$E:$E,Category!$B$134,'2021'!$N:$N,Category!AD$1,'2021'!$D:$D,Category!$C141)</f>
        <v>0</v>
      </c>
      <c r="AE141" s="388">
        <f>SUMIFS('2021'!$I:$I,'2021'!$E:$E,Category!$B$134,'2021'!$N:$N,Category!AE$1,'2021'!$D:$D,Category!$C141)</f>
        <v>0</v>
      </c>
      <c r="AF141" s="388">
        <f>SUMIFS('2021'!$I:$I,'2021'!$E:$E,Category!$B$134,'2021'!$N:$N,Category!AF$1,'2021'!$D:$D,Category!$C141)</f>
        <v>7500000</v>
      </c>
      <c r="AG141" s="388">
        <f>SUMIFS('2021'!$I:$I,'2021'!$E:$E,Category!$B$134,'2021'!$N:$N,Category!AG$1,'2021'!$D:$D,Category!$C141)</f>
        <v>2500000</v>
      </c>
      <c r="AH141" s="388">
        <f>SUMIFS('2021'!$I:$I,'2021'!$E:$E,Category!$B$134,'2021'!$N:$N,Category!AH$1,'2021'!$D:$D,Category!$C141)</f>
        <v>0</v>
      </c>
      <c r="AI141" s="388">
        <f>SUMIFS('2021'!$I:$I,'2021'!$E:$E,Category!$B$134,'2021'!$N:$N,Category!AI$1,'2021'!$D:$D,Category!$C141)</f>
        <v>0</v>
      </c>
      <c r="AJ141" s="388">
        <f>SUMIFS('2021'!$I:$I,'2021'!$E:$E,Category!$B$134,'2021'!$N:$N,Category!AJ$1,'2021'!$D:$D,Category!$C141)</f>
        <v>0</v>
      </c>
      <c r="AK141" s="388">
        <f>SUMIFS('2021'!$I:$I,'2021'!$E:$E,Category!$B$134,'2021'!$N:$N,Category!AK$1,'2021'!$D:$D,Category!$C141)</f>
        <v>0</v>
      </c>
      <c r="AL141" s="389">
        <f t="shared" si="63"/>
        <v>10000000</v>
      </c>
      <c r="AM141" s="506">
        <f>IFERROR(VLOOKUP(C141,'2022'!$D:$G,4,0),0)</f>
        <v>0</v>
      </c>
      <c r="AN141" s="388">
        <f>SUMIFS('2022'!$I:$I,'2022'!$E:$E,Category!$B$134,'2022'!$N:$N,Category!AN$1,'2022'!$D:$D,Category!$C141)</f>
        <v>0</v>
      </c>
      <c r="AO141" s="388">
        <f>SUMIFS('2022'!$I:$I,'2022'!$E:$E,Category!$B$134,'2022'!$N:$N,Category!AO$1,'2022'!$D:$D,Category!$C141)</f>
        <v>0</v>
      </c>
      <c r="AP141" s="388">
        <f>SUMIFS('2022'!$I:$I,'2022'!$E:$E,Category!$B$134,'2022'!$N:$N,Category!AP$1,'2022'!$D:$D,Category!$C141)</f>
        <v>0</v>
      </c>
      <c r="AQ141" s="388">
        <f>SUMIFS('2022'!$I:$I,'2022'!$E:$E,Category!$B$134,'2022'!$N:$N,Category!AQ$1,'2022'!$D:$D,Category!$C141)</f>
        <v>0</v>
      </c>
      <c r="AR141" s="388">
        <f>SUMIFS('2022'!$I:$I,'2022'!$E:$E,Category!$B$134,'2022'!$N:$N,Category!AR$1,'2022'!$D:$D,Category!$C141)</f>
        <v>0</v>
      </c>
      <c r="AS141" s="388">
        <f>SUMIFS('2022'!$I:$I,'2022'!$E:$E,Category!$B$134,'2022'!$N:$N,Category!AS$1,'2022'!$D:$D,Category!$C141)</f>
        <v>0</v>
      </c>
      <c r="AT141" s="388">
        <f>SUMIFS('2022'!$I:$I,'2022'!$E:$E,Category!$B$134,'2022'!$N:$N,Category!AT$1,'2022'!$D:$D,Category!$C141)</f>
        <v>0</v>
      </c>
      <c r="AU141" s="388">
        <f>SUMIFS('2022'!$I:$I,'2022'!$E:$E,Category!$B$134,'2022'!$N:$N,Category!AU$1,'2022'!$D:$D,Category!$C141)</f>
        <v>0</v>
      </c>
      <c r="AV141" s="388">
        <f>SUMIFS('2022'!$I:$I,'2022'!$E:$E,Category!$B$134,'2022'!$N:$N,Category!AV$1,'2022'!$D:$D,Category!$C141)</f>
        <v>0</v>
      </c>
      <c r="AW141" s="388">
        <f>SUMIFS('2022'!$I:$I,'2022'!$E:$E,Category!$B$134,'2022'!$N:$N,Category!AW$1,'2022'!$D:$D,Category!$C141)</f>
        <v>0</v>
      </c>
      <c r="AX141" s="388">
        <f>SUMIFS('2022'!$I:$I,'2022'!$E:$E,Category!$B$134,'2022'!$N:$N,Category!AX$1,'2022'!$D:$D,Category!$C141)</f>
        <v>0</v>
      </c>
      <c r="AY141" s="388">
        <f>SUMIFS('2022'!$I:$I,'2022'!$E:$E,Category!$B$134,'2022'!$N:$N,Category!AY$1,'2022'!$D:$D,Category!$C141)</f>
        <v>0</v>
      </c>
      <c r="AZ141" s="389">
        <f t="shared" si="64"/>
        <v>0</v>
      </c>
      <c r="BA141" s="506">
        <f>IFERROR(VLOOKUP(C141,'2023'!$D:$G,4,0),0)</f>
        <v>0</v>
      </c>
      <c r="BB141" s="388">
        <f>SUMIFS('2023'!$I:$I,'2023'!$E:$E,Category!$B$134,'2023'!$N:$N,Category!BB$1,'2023'!$D:$D,Category!$C141)</f>
        <v>0</v>
      </c>
      <c r="BC141" s="388">
        <f>SUMIFS('2023'!$I:$I,'2023'!$E:$E,Category!$B$134,'2023'!$N:$N,Category!BC$1,'2023'!$D:$D,Category!$C141)</f>
        <v>0</v>
      </c>
      <c r="BD141" s="388">
        <f>SUMIFS('2023'!$I:$I,'2023'!$E:$E,Category!$B$134,'2023'!$N:$N,Category!BD$1,'2023'!$D:$D,Category!$C141)</f>
        <v>0</v>
      </c>
      <c r="BE141" s="388">
        <f>SUMIFS('2023'!$I:$I,'2023'!$E:$E,Category!$B$134,'2023'!$N:$N,Category!BE$1,'2023'!$D:$D,Category!$C141)</f>
        <v>0</v>
      </c>
      <c r="BF141" s="388">
        <f>SUMIFS('2023'!$I:$I,'2023'!$E:$E,Category!$B$134,'2023'!$N:$N,Category!BF$1,'2023'!$D:$D,Category!$C141)</f>
        <v>0</v>
      </c>
      <c r="BG141" s="388">
        <f>SUMIFS('2023'!$I:$I,'2023'!$E:$E,Category!$B$134,'2023'!$N:$N,Category!BG$1,'2023'!$D:$D,Category!$C141)</f>
        <v>0</v>
      </c>
      <c r="BH141" s="388">
        <f>SUMIFS('2023'!$I:$I,'2023'!$E:$E,Category!$B$134,'2023'!$N:$N,Category!BH$1,'2023'!$D:$D,Category!$C141)</f>
        <v>0</v>
      </c>
      <c r="BI141" s="388">
        <f>SUMIFS('2023'!$I:$I,'2023'!$E:$E,Category!$B$134,'2023'!$N:$N,Category!BI$1,'2023'!$D:$D,Category!$C141)</f>
        <v>0</v>
      </c>
      <c r="BJ141" s="388">
        <f>SUMIFS('2023'!$I:$I,'2023'!$E:$E,Category!$B$134,'2023'!$N:$N,Category!BJ$1,'2023'!$D:$D,Category!$C141)</f>
        <v>0</v>
      </c>
      <c r="BK141" s="388">
        <f>SUMIFS('2023'!$I:$I,'2023'!$E:$E,Category!$B$134,'2023'!$N:$N,Category!BK$1,'2023'!$D:$D,Category!$C141)</f>
        <v>0</v>
      </c>
      <c r="BL141" s="388">
        <f>SUMIFS('2023'!$I:$I,'2023'!$E:$E,Category!$B$134,'2023'!$N:$N,Category!BL$1,'2023'!$D:$D,Category!$C141)</f>
        <v>0</v>
      </c>
      <c r="BM141" s="388">
        <f>SUMIFS('2023'!$I:$I,'2023'!$E:$E,Category!$B$134,'2023'!$N:$N,Category!BM$1,'2023'!$D:$D,Category!$C141)</f>
        <v>0</v>
      </c>
      <c r="BN141" s="389">
        <f t="shared" si="65"/>
        <v>0</v>
      </c>
    </row>
    <row r="142" spans="1:66" x14ac:dyDescent="0.3">
      <c r="A142" s="386"/>
      <c r="B142" s="387"/>
      <c r="C142" s="387" t="s">
        <v>910</v>
      </c>
      <c r="D142" s="524">
        <f>IFERROR(VLOOKUP($C142,'2019'!$D:$G,4,0),0)</f>
        <v>0</v>
      </c>
      <c r="E142" s="388">
        <f>SUMIFS('2019'!$I:$I,'2019'!$E:$E,Category!$B$134,'2019'!$N:$N,Category!E$1,'2019'!$D:$D,Category!$C142)</f>
        <v>0</v>
      </c>
      <c r="F142" s="388">
        <f>SUMIFS('2019'!$I:$I,'2019'!$E:$E,Category!$B$134,'2019'!$N:$N,Category!F$1,'2019'!$D:$D,Category!$C142)</f>
        <v>0</v>
      </c>
      <c r="G142" s="388">
        <f>SUMIFS('2019'!$I:$I,'2019'!$E:$E,Category!$B$134,'2019'!$N:$N,Category!G$1,'2019'!$D:$D,Category!$C142)</f>
        <v>0</v>
      </c>
      <c r="H142" s="388">
        <f>SUMIFS('2019'!$I:$I,'2019'!$E:$E,Category!$B$134,'2019'!$N:$N,Category!H$1,'2019'!$D:$D,Category!$C142)</f>
        <v>0</v>
      </c>
      <c r="I142" s="388">
        <f>SUMIFS('2019'!$I:$I,'2019'!$E:$E,Category!$B$134,'2019'!$N:$N,Category!I$1,'2019'!$D:$D,Category!$C142)</f>
        <v>0</v>
      </c>
      <c r="J142" s="389">
        <f t="shared" si="61"/>
        <v>0</v>
      </c>
      <c r="K142" s="506">
        <f>IFERROR(VLOOKUP($C142,'2020'!$D:$G,4,0),0)</f>
        <v>0</v>
      </c>
      <c r="L142" s="388">
        <f>SUMIFS('2020'!$I:$I,'2020'!$E:$E,Category!$B$134,'2020'!$N:$N,Category!L$1,'2020'!$D:$D,Category!$C142)</f>
        <v>0</v>
      </c>
      <c r="M142" s="388">
        <f>SUMIFS('2020'!$I:$I,'2020'!$E:$E,Category!$B$134,'2020'!$N:$N,Category!M$1,'2020'!$D:$D,Category!$C142)</f>
        <v>0</v>
      </c>
      <c r="N142" s="388">
        <f>SUMIFS('2020'!$I:$I,'2020'!$E:$E,Category!$B$134,'2020'!$N:$N,Category!N$1,'2020'!$D:$D,Category!$C142)</f>
        <v>0</v>
      </c>
      <c r="O142" s="388">
        <f>SUMIFS('2020'!$I:$I,'2020'!$E:$E,Category!$B$134,'2020'!$N:$N,Category!O$1,'2020'!$D:$D,Category!$C142)</f>
        <v>0</v>
      </c>
      <c r="P142" s="388">
        <f>SUMIFS('2020'!$I:$I,'2020'!$E:$E,Category!$B$134,'2020'!$N:$N,Category!P$1,'2020'!$D:$D,Category!$C142)</f>
        <v>0</v>
      </c>
      <c r="Q142" s="388">
        <f>SUMIFS('2020'!$I:$I,'2020'!$E:$E,Category!$B$134,'2020'!$N:$N,Category!Q$1,'2020'!$D:$D,Category!$C142)</f>
        <v>0</v>
      </c>
      <c r="R142" s="388">
        <f>SUMIFS('2020'!$I:$I,'2020'!$E:$E,Category!$B$134,'2020'!$N:$N,Category!R$1,'2020'!$D:$D,Category!$C142)</f>
        <v>0</v>
      </c>
      <c r="S142" s="388">
        <f>SUMIFS('2020'!$I:$I,'2020'!$E:$E,Category!$B$134,'2020'!$N:$N,Category!S$1,'2020'!$D:$D,Category!$C142)</f>
        <v>0</v>
      </c>
      <c r="T142" s="388">
        <f>SUMIFS('2020'!$I:$I,'2020'!$E:$E,Category!$B$134,'2020'!$N:$N,Category!T$1,'2020'!$D:$D,Category!$C142)</f>
        <v>0</v>
      </c>
      <c r="U142" s="388">
        <f>SUMIFS('2020'!$I:$I,'2020'!$E:$E,Category!$B$134,'2020'!$N:$N,Category!U$1,'2020'!$D:$D,Category!$C142)</f>
        <v>0</v>
      </c>
      <c r="V142" s="388">
        <f>SUMIFS('2020'!$I:$I,'2020'!$E:$E,Category!$B$134,'2020'!$N:$N,Category!V$1,'2020'!$D:$D,Category!$C142)</f>
        <v>0</v>
      </c>
      <c r="W142" s="388">
        <f>SUMIFS('2020'!$I:$I,'2020'!$E:$E,Category!$B$134,'2020'!$N:$N,Category!W$1,'2020'!$D:$D,Category!$C142)</f>
        <v>0</v>
      </c>
      <c r="X142" s="388">
        <v>0</v>
      </c>
      <c r="Y142" s="506">
        <f>IFERROR(VLOOKUP(C142,'2021'!$D:$G,4,0),0)</f>
        <v>0</v>
      </c>
      <c r="Z142" s="388">
        <f>SUMIFS('2021'!$I:$I,'2021'!$E:$E,Category!$B$134,'2021'!$N:$N,Category!Z$1,'2021'!$D:$D,Category!$C142)</f>
        <v>0</v>
      </c>
      <c r="AA142" s="388">
        <f>SUMIFS('2021'!$I:$I,'2021'!$E:$E,Category!$B$134,'2021'!$N:$N,Category!AA$1,'2021'!$D:$D,Category!$C142)</f>
        <v>0</v>
      </c>
      <c r="AB142" s="388">
        <f>SUMIFS('2021'!$I:$I,'2021'!$E:$E,Category!$B$134,'2021'!$N:$N,Category!AB$1,'2021'!$D:$D,Category!$C142)</f>
        <v>0</v>
      </c>
      <c r="AC142" s="388">
        <f>SUMIFS('2021'!$I:$I,'2021'!$E:$E,Category!$B$134,'2021'!$N:$N,Category!AC$1,'2021'!$D:$D,Category!$C142)</f>
        <v>0</v>
      </c>
      <c r="AD142" s="388">
        <f>SUMIFS('2021'!$I:$I,'2021'!$E:$E,Category!$B$134,'2021'!$N:$N,Category!AD$1,'2021'!$D:$D,Category!$C142)</f>
        <v>0</v>
      </c>
      <c r="AE142" s="388">
        <f>SUMIFS('2021'!$I:$I,'2021'!$E:$E,Category!$B$134,'2021'!$N:$N,Category!AE$1,'2021'!$D:$D,Category!$C142)</f>
        <v>0</v>
      </c>
      <c r="AF142" s="388">
        <f>SUMIFS('2021'!$I:$I,'2021'!$E:$E,Category!$B$134,'2021'!$N:$N,Category!AF$1,'2021'!$D:$D,Category!$C142)</f>
        <v>0</v>
      </c>
      <c r="AG142" s="388">
        <f>SUMIFS('2021'!$I:$I,'2021'!$E:$E,Category!$B$134,'2021'!$N:$N,Category!AG$1,'2021'!$D:$D,Category!$C142)</f>
        <v>6000000</v>
      </c>
      <c r="AH142" s="388">
        <f>SUMIFS('2021'!$I:$I,'2021'!$E:$E,Category!$B$134,'2021'!$N:$N,Category!AH$1,'2021'!$D:$D,Category!$C142)</f>
        <v>0</v>
      </c>
      <c r="AI142" s="388">
        <f>SUMIFS('2021'!$I:$I,'2021'!$E:$E,Category!$B$134,'2021'!$N:$N,Category!AI$1,'2021'!$D:$D,Category!$C142)</f>
        <v>0</v>
      </c>
      <c r="AJ142" s="388">
        <f>SUMIFS('2021'!$I:$I,'2021'!$E:$E,Category!$B$134,'2021'!$N:$N,Category!AJ$1,'2021'!$D:$D,Category!$C142)</f>
        <v>0</v>
      </c>
      <c r="AK142" s="388">
        <f>SUMIFS('2021'!$I:$I,'2021'!$E:$E,Category!$B$134,'2021'!$N:$N,Category!AK$1,'2021'!$D:$D,Category!$C142)</f>
        <v>0</v>
      </c>
      <c r="AL142" s="389">
        <f t="shared" si="63"/>
        <v>6000000</v>
      </c>
      <c r="AM142" s="506">
        <f>IFERROR(VLOOKUP(C142,'2022'!$D:$G,4,0),0)</f>
        <v>0</v>
      </c>
      <c r="AN142" s="388">
        <f>SUMIFS('2022'!$I:$I,'2022'!$E:$E,Category!$B$134,'2022'!$N:$N,Category!AN$1,'2022'!$D:$D,Category!$C142)</f>
        <v>0</v>
      </c>
      <c r="AO142" s="388">
        <f>SUMIFS('2022'!$I:$I,'2022'!$E:$E,Category!$B$134,'2022'!$N:$N,Category!AO$1,'2022'!$D:$D,Category!$C142)</f>
        <v>0</v>
      </c>
      <c r="AP142" s="388">
        <f>SUMIFS('2022'!$I:$I,'2022'!$E:$E,Category!$B$134,'2022'!$N:$N,Category!AP$1,'2022'!$D:$D,Category!$C142)</f>
        <v>0</v>
      </c>
      <c r="AQ142" s="388">
        <f>SUMIFS('2022'!$I:$I,'2022'!$E:$E,Category!$B$134,'2022'!$N:$N,Category!AQ$1,'2022'!$D:$D,Category!$C142)</f>
        <v>0</v>
      </c>
      <c r="AR142" s="388">
        <f>SUMIFS('2022'!$I:$I,'2022'!$E:$E,Category!$B$134,'2022'!$N:$N,Category!AR$1,'2022'!$D:$D,Category!$C142)</f>
        <v>0</v>
      </c>
      <c r="AS142" s="388">
        <f>SUMIFS('2022'!$I:$I,'2022'!$E:$E,Category!$B$134,'2022'!$N:$N,Category!AS$1,'2022'!$D:$D,Category!$C142)</f>
        <v>0</v>
      </c>
      <c r="AT142" s="388">
        <f>SUMIFS('2022'!$I:$I,'2022'!$E:$E,Category!$B$134,'2022'!$N:$N,Category!AT$1,'2022'!$D:$D,Category!$C142)</f>
        <v>0</v>
      </c>
      <c r="AU142" s="388">
        <f>SUMIFS('2022'!$I:$I,'2022'!$E:$E,Category!$B$134,'2022'!$N:$N,Category!AU$1,'2022'!$D:$D,Category!$C142)</f>
        <v>0</v>
      </c>
      <c r="AV142" s="388">
        <f>SUMIFS('2022'!$I:$I,'2022'!$E:$E,Category!$B$134,'2022'!$N:$N,Category!AV$1,'2022'!$D:$D,Category!$C142)</f>
        <v>0</v>
      </c>
      <c r="AW142" s="388">
        <f>SUMIFS('2022'!$I:$I,'2022'!$E:$E,Category!$B$134,'2022'!$N:$N,Category!AW$1,'2022'!$D:$D,Category!$C142)</f>
        <v>0</v>
      </c>
      <c r="AX142" s="388">
        <f>SUMIFS('2022'!$I:$I,'2022'!$E:$E,Category!$B$134,'2022'!$N:$N,Category!AX$1,'2022'!$D:$D,Category!$C142)</f>
        <v>0</v>
      </c>
      <c r="AY142" s="388">
        <f>SUMIFS('2022'!$I:$I,'2022'!$E:$E,Category!$B$134,'2022'!$N:$N,Category!AY$1,'2022'!$D:$D,Category!$C142)</f>
        <v>0</v>
      </c>
      <c r="AZ142" s="389">
        <f t="shared" si="64"/>
        <v>0</v>
      </c>
      <c r="BA142" s="506">
        <f>IFERROR(VLOOKUP(C142,'2023'!$D:$G,4,0),0)</f>
        <v>0</v>
      </c>
      <c r="BB142" s="388">
        <f>SUMIFS('2023'!$I:$I,'2023'!$E:$E,Category!$B$134,'2023'!$N:$N,Category!BB$1,'2023'!$D:$D,Category!$C142)</f>
        <v>0</v>
      </c>
      <c r="BC142" s="388">
        <f>SUMIFS('2023'!$I:$I,'2023'!$E:$E,Category!$B$134,'2023'!$N:$N,Category!BC$1,'2023'!$D:$D,Category!$C142)</f>
        <v>0</v>
      </c>
      <c r="BD142" s="388">
        <f>SUMIFS('2023'!$I:$I,'2023'!$E:$E,Category!$B$134,'2023'!$N:$N,Category!BD$1,'2023'!$D:$D,Category!$C142)</f>
        <v>0</v>
      </c>
      <c r="BE142" s="388">
        <f>SUMIFS('2023'!$I:$I,'2023'!$E:$E,Category!$B$134,'2023'!$N:$N,Category!BE$1,'2023'!$D:$D,Category!$C142)</f>
        <v>0</v>
      </c>
      <c r="BF142" s="388">
        <f>SUMIFS('2023'!$I:$I,'2023'!$E:$E,Category!$B$134,'2023'!$N:$N,Category!BF$1,'2023'!$D:$D,Category!$C142)</f>
        <v>0</v>
      </c>
      <c r="BG142" s="388">
        <f>SUMIFS('2023'!$I:$I,'2023'!$E:$E,Category!$B$134,'2023'!$N:$N,Category!BG$1,'2023'!$D:$D,Category!$C142)</f>
        <v>0</v>
      </c>
      <c r="BH142" s="388">
        <f>SUMIFS('2023'!$I:$I,'2023'!$E:$E,Category!$B$134,'2023'!$N:$N,Category!BH$1,'2023'!$D:$D,Category!$C142)</f>
        <v>0</v>
      </c>
      <c r="BI142" s="388">
        <f>SUMIFS('2023'!$I:$I,'2023'!$E:$E,Category!$B$134,'2023'!$N:$N,Category!BI$1,'2023'!$D:$D,Category!$C142)</f>
        <v>0</v>
      </c>
      <c r="BJ142" s="388">
        <f>SUMIFS('2023'!$I:$I,'2023'!$E:$E,Category!$B$134,'2023'!$N:$N,Category!BJ$1,'2023'!$D:$D,Category!$C142)</f>
        <v>0</v>
      </c>
      <c r="BK142" s="388">
        <f>SUMIFS('2023'!$I:$I,'2023'!$E:$E,Category!$B$134,'2023'!$N:$N,Category!BK$1,'2023'!$D:$D,Category!$C142)</f>
        <v>0</v>
      </c>
      <c r="BL142" s="388">
        <f>SUMIFS('2023'!$I:$I,'2023'!$E:$E,Category!$B$134,'2023'!$N:$N,Category!BL$1,'2023'!$D:$D,Category!$C142)</f>
        <v>0</v>
      </c>
      <c r="BM142" s="388">
        <f>SUMIFS('2023'!$I:$I,'2023'!$E:$E,Category!$B$134,'2023'!$N:$N,Category!BM$1,'2023'!$D:$D,Category!$C142)</f>
        <v>0</v>
      </c>
      <c r="BN142" s="389">
        <f t="shared" si="65"/>
        <v>0</v>
      </c>
    </row>
    <row r="143" spans="1:66" x14ac:dyDescent="0.3">
      <c r="A143" s="386"/>
      <c r="B143" s="387"/>
      <c r="C143" s="387" t="s">
        <v>911</v>
      </c>
      <c r="D143" s="524">
        <f>IFERROR(VLOOKUP($C143,'2019'!$D:$G,4,0),0)</f>
        <v>0</v>
      </c>
      <c r="E143" s="388">
        <f>SUMIFS('2019'!$I:$I,'2019'!$E:$E,Category!$B$134,'2019'!$N:$N,Category!E$1,'2019'!$D:$D,Category!$C143)</f>
        <v>0</v>
      </c>
      <c r="F143" s="388">
        <f>SUMIFS('2019'!$I:$I,'2019'!$E:$E,Category!$B$134,'2019'!$N:$N,Category!F$1,'2019'!$D:$D,Category!$C143)</f>
        <v>0</v>
      </c>
      <c r="G143" s="388">
        <f>SUMIFS('2019'!$I:$I,'2019'!$E:$E,Category!$B$134,'2019'!$N:$N,Category!G$1,'2019'!$D:$D,Category!$C143)</f>
        <v>0</v>
      </c>
      <c r="H143" s="388">
        <f>SUMIFS('2019'!$I:$I,'2019'!$E:$E,Category!$B$134,'2019'!$N:$N,Category!H$1,'2019'!$D:$D,Category!$C143)</f>
        <v>0</v>
      </c>
      <c r="I143" s="388">
        <f>SUMIFS('2019'!$I:$I,'2019'!$E:$E,Category!$B$134,'2019'!$N:$N,Category!I$1,'2019'!$D:$D,Category!$C143)</f>
        <v>0</v>
      </c>
      <c r="J143" s="389">
        <f t="shared" si="61"/>
        <v>0</v>
      </c>
      <c r="K143" s="506">
        <f>IFERROR(VLOOKUP($C143,'2020'!$D:$G,4,0),0)</f>
        <v>0</v>
      </c>
      <c r="L143" s="388">
        <f>SUMIFS('2020'!$I:$I,'2020'!$E:$E,Category!$B$134,'2020'!$N:$N,Category!L$1,'2020'!$D:$D,Category!$C143)</f>
        <v>0</v>
      </c>
      <c r="M143" s="388">
        <f>SUMIFS('2020'!$I:$I,'2020'!$E:$E,Category!$B$134,'2020'!$N:$N,Category!M$1,'2020'!$D:$D,Category!$C143)</f>
        <v>0</v>
      </c>
      <c r="N143" s="388">
        <f>SUMIFS('2020'!$I:$I,'2020'!$E:$E,Category!$B$134,'2020'!$N:$N,Category!N$1,'2020'!$D:$D,Category!$C143)</f>
        <v>0</v>
      </c>
      <c r="O143" s="388">
        <f>SUMIFS('2020'!$I:$I,'2020'!$E:$E,Category!$B$134,'2020'!$N:$N,Category!O$1,'2020'!$D:$D,Category!$C143)</f>
        <v>0</v>
      </c>
      <c r="P143" s="388">
        <f>SUMIFS('2020'!$I:$I,'2020'!$E:$E,Category!$B$134,'2020'!$N:$N,Category!P$1,'2020'!$D:$D,Category!$C143)</f>
        <v>0</v>
      </c>
      <c r="Q143" s="388">
        <f>SUMIFS('2020'!$I:$I,'2020'!$E:$E,Category!$B$134,'2020'!$N:$N,Category!Q$1,'2020'!$D:$D,Category!$C143)</f>
        <v>0</v>
      </c>
      <c r="R143" s="388">
        <f>SUMIFS('2020'!$I:$I,'2020'!$E:$E,Category!$B$134,'2020'!$N:$N,Category!R$1,'2020'!$D:$D,Category!$C143)</f>
        <v>0</v>
      </c>
      <c r="S143" s="388">
        <f>SUMIFS('2020'!$I:$I,'2020'!$E:$E,Category!$B$134,'2020'!$N:$N,Category!S$1,'2020'!$D:$D,Category!$C143)</f>
        <v>0</v>
      </c>
      <c r="T143" s="388">
        <f>SUMIFS('2020'!$I:$I,'2020'!$E:$E,Category!$B$134,'2020'!$N:$N,Category!T$1,'2020'!$D:$D,Category!$C143)</f>
        <v>0</v>
      </c>
      <c r="U143" s="388">
        <f>SUMIFS('2020'!$I:$I,'2020'!$E:$E,Category!$B$134,'2020'!$N:$N,Category!U$1,'2020'!$D:$D,Category!$C143)</f>
        <v>0</v>
      </c>
      <c r="V143" s="388">
        <f>SUMIFS('2020'!$I:$I,'2020'!$E:$E,Category!$B$134,'2020'!$N:$N,Category!V$1,'2020'!$D:$D,Category!$C143)</f>
        <v>0</v>
      </c>
      <c r="W143" s="388">
        <f>SUMIFS('2020'!$I:$I,'2020'!$E:$E,Category!$B$134,'2020'!$N:$N,Category!W$1,'2020'!$D:$D,Category!$C143)</f>
        <v>0</v>
      </c>
      <c r="X143" s="388">
        <v>0</v>
      </c>
      <c r="Y143" s="506">
        <f>IFERROR(VLOOKUP(C143,'2021'!$D:$G,4,0),0)</f>
        <v>0</v>
      </c>
      <c r="Z143" s="388">
        <f>SUMIFS('2021'!$I:$I,'2021'!$E:$E,Category!$B$134,'2021'!$N:$N,Category!Z$1,'2021'!$D:$D,Category!$C143)</f>
        <v>0</v>
      </c>
      <c r="AA143" s="388">
        <f>SUMIFS('2021'!$I:$I,'2021'!$E:$E,Category!$B$134,'2021'!$N:$N,Category!AA$1,'2021'!$D:$D,Category!$C143)</f>
        <v>0</v>
      </c>
      <c r="AB143" s="388">
        <f>SUMIFS('2021'!$I:$I,'2021'!$E:$E,Category!$B$134,'2021'!$N:$N,Category!AB$1,'2021'!$D:$D,Category!$C143)</f>
        <v>0</v>
      </c>
      <c r="AC143" s="388">
        <f>SUMIFS('2021'!$I:$I,'2021'!$E:$E,Category!$B$134,'2021'!$N:$N,Category!AC$1,'2021'!$D:$D,Category!$C143)</f>
        <v>0</v>
      </c>
      <c r="AD143" s="388">
        <f>SUMIFS('2021'!$I:$I,'2021'!$E:$E,Category!$B$134,'2021'!$N:$N,Category!AD$1,'2021'!$D:$D,Category!$C143)</f>
        <v>0</v>
      </c>
      <c r="AE143" s="388">
        <f>SUMIFS('2021'!$I:$I,'2021'!$E:$E,Category!$B$134,'2021'!$N:$N,Category!AE$1,'2021'!$D:$D,Category!$C143)</f>
        <v>0</v>
      </c>
      <c r="AF143" s="388">
        <f>SUMIFS('2021'!$I:$I,'2021'!$E:$E,Category!$B$134,'2021'!$N:$N,Category!AF$1,'2021'!$D:$D,Category!$C143)</f>
        <v>0</v>
      </c>
      <c r="AG143" s="388">
        <f>SUMIFS('2021'!$I:$I,'2021'!$E:$E,Category!$B$134,'2021'!$N:$N,Category!AG$1,'2021'!$D:$D,Category!$C143)</f>
        <v>6000000</v>
      </c>
      <c r="AH143" s="388">
        <f>SUMIFS('2021'!$I:$I,'2021'!$E:$E,Category!$B$134,'2021'!$N:$N,Category!AH$1,'2021'!$D:$D,Category!$C143)</f>
        <v>0</v>
      </c>
      <c r="AI143" s="388">
        <f>SUMIFS('2021'!$I:$I,'2021'!$E:$E,Category!$B$134,'2021'!$N:$N,Category!AI$1,'2021'!$D:$D,Category!$C143)</f>
        <v>0</v>
      </c>
      <c r="AJ143" s="388">
        <f>SUMIFS('2021'!$I:$I,'2021'!$E:$E,Category!$B$134,'2021'!$N:$N,Category!AJ$1,'2021'!$D:$D,Category!$C143)</f>
        <v>0</v>
      </c>
      <c r="AK143" s="388">
        <f>SUMIFS('2021'!$I:$I,'2021'!$E:$E,Category!$B$134,'2021'!$N:$N,Category!AK$1,'2021'!$D:$D,Category!$C143)</f>
        <v>0</v>
      </c>
      <c r="AL143" s="389">
        <f t="shared" si="63"/>
        <v>6000000</v>
      </c>
      <c r="AM143" s="506">
        <f>IFERROR(VLOOKUP(C143,'2022'!$D:$G,4,0),0)</f>
        <v>0</v>
      </c>
      <c r="AN143" s="388">
        <f>SUMIFS('2022'!$I:$I,'2022'!$E:$E,Category!$B$134,'2022'!$N:$N,Category!AN$1,'2022'!$D:$D,Category!$C143)</f>
        <v>0</v>
      </c>
      <c r="AO143" s="388">
        <f>SUMIFS('2022'!$I:$I,'2022'!$E:$E,Category!$B$134,'2022'!$N:$N,Category!AO$1,'2022'!$D:$D,Category!$C143)</f>
        <v>0</v>
      </c>
      <c r="AP143" s="388">
        <f>SUMIFS('2022'!$I:$I,'2022'!$E:$E,Category!$B$134,'2022'!$N:$N,Category!AP$1,'2022'!$D:$D,Category!$C143)</f>
        <v>0</v>
      </c>
      <c r="AQ143" s="388">
        <f>SUMIFS('2022'!$I:$I,'2022'!$E:$E,Category!$B$134,'2022'!$N:$N,Category!AQ$1,'2022'!$D:$D,Category!$C143)</f>
        <v>0</v>
      </c>
      <c r="AR143" s="388">
        <f>SUMIFS('2022'!$I:$I,'2022'!$E:$E,Category!$B$134,'2022'!$N:$N,Category!AR$1,'2022'!$D:$D,Category!$C143)</f>
        <v>0</v>
      </c>
      <c r="AS143" s="388">
        <f>SUMIFS('2022'!$I:$I,'2022'!$E:$E,Category!$B$134,'2022'!$N:$N,Category!AS$1,'2022'!$D:$D,Category!$C143)</f>
        <v>0</v>
      </c>
      <c r="AT143" s="388">
        <f>SUMIFS('2022'!$I:$I,'2022'!$E:$E,Category!$B$134,'2022'!$N:$N,Category!AT$1,'2022'!$D:$D,Category!$C143)</f>
        <v>0</v>
      </c>
      <c r="AU143" s="388">
        <f>SUMIFS('2022'!$I:$I,'2022'!$E:$E,Category!$B$134,'2022'!$N:$N,Category!AU$1,'2022'!$D:$D,Category!$C143)</f>
        <v>0</v>
      </c>
      <c r="AV143" s="388">
        <f>SUMIFS('2022'!$I:$I,'2022'!$E:$E,Category!$B$134,'2022'!$N:$N,Category!AV$1,'2022'!$D:$D,Category!$C143)</f>
        <v>0</v>
      </c>
      <c r="AW143" s="388">
        <f>SUMIFS('2022'!$I:$I,'2022'!$E:$E,Category!$B$134,'2022'!$N:$N,Category!AW$1,'2022'!$D:$D,Category!$C143)</f>
        <v>0</v>
      </c>
      <c r="AX143" s="388">
        <f>SUMIFS('2022'!$I:$I,'2022'!$E:$E,Category!$B$134,'2022'!$N:$N,Category!AX$1,'2022'!$D:$D,Category!$C143)</f>
        <v>0</v>
      </c>
      <c r="AY143" s="388">
        <f>SUMIFS('2022'!$I:$I,'2022'!$E:$E,Category!$B$134,'2022'!$N:$N,Category!AY$1,'2022'!$D:$D,Category!$C143)</f>
        <v>0</v>
      </c>
      <c r="AZ143" s="389">
        <f t="shared" si="64"/>
        <v>0</v>
      </c>
      <c r="BA143" s="506">
        <f>IFERROR(VLOOKUP(C143,'2023'!$D:$G,4,0),0)</f>
        <v>0</v>
      </c>
      <c r="BB143" s="388">
        <f>SUMIFS('2023'!$I:$I,'2023'!$E:$E,Category!$B$134,'2023'!$N:$N,Category!BB$1,'2023'!$D:$D,Category!$C143)</f>
        <v>0</v>
      </c>
      <c r="BC143" s="388">
        <f>SUMIFS('2023'!$I:$I,'2023'!$E:$E,Category!$B$134,'2023'!$N:$N,Category!BC$1,'2023'!$D:$D,Category!$C143)</f>
        <v>0</v>
      </c>
      <c r="BD143" s="388">
        <f>SUMIFS('2023'!$I:$I,'2023'!$E:$E,Category!$B$134,'2023'!$N:$N,Category!BD$1,'2023'!$D:$D,Category!$C143)</f>
        <v>0</v>
      </c>
      <c r="BE143" s="388">
        <f>SUMIFS('2023'!$I:$I,'2023'!$E:$E,Category!$B$134,'2023'!$N:$N,Category!BE$1,'2023'!$D:$D,Category!$C143)</f>
        <v>0</v>
      </c>
      <c r="BF143" s="388">
        <f>SUMIFS('2023'!$I:$I,'2023'!$E:$E,Category!$B$134,'2023'!$N:$N,Category!BF$1,'2023'!$D:$D,Category!$C143)</f>
        <v>0</v>
      </c>
      <c r="BG143" s="388">
        <f>SUMIFS('2023'!$I:$I,'2023'!$E:$E,Category!$B$134,'2023'!$N:$N,Category!BG$1,'2023'!$D:$D,Category!$C143)</f>
        <v>0</v>
      </c>
      <c r="BH143" s="388">
        <f>SUMIFS('2023'!$I:$I,'2023'!$E:$E,Category!$B$134,'2023'!$N:$N,Category!BH$1,'2023'!$D:$D,Category!$C143)</f>
        <v>0</v>
      </c>
      <c r="BI143" s="388">
        <f>SUMIFS('2023'!$I:$I,'2023'!$E:$E,Category!$B$134,'2023'!$N:$N,Category!BI$1,'2023'!$D:$D,Category!$C143)</f>
        <v>0</v>
      </c>
      <c r="BJ143" s="388">
        <f>SUMIFS('2023'!$I:$I,'2023'!$E:$E,Category!$B$134,'2023'!$N:$N,Category!BJ$1,'2023'!$D:$D,Category!$C143)</f>
        <v>0</v>
      </c>
      <c r="BK143" s="388">
        <f>SUMIFS('2023'!$I:$I,'2023'!$E:$E,Category!$B$134,'2023'!$N:$N,Category!BK$1,'2023'!$D:$D,Category!$C143)</f>
        <v>0</v>
      </c>
      <c r="BL143" s="388">
        <f>SUMIFS('2023'!$I:$I,'2023'!$E:$E,Category!$B$134,'2023'!$N:$N,Category!BL$1,'2023'!$D:$D,Category!$C143)</f>
        <v>0</v>
      </c>
      <c r="BM143" s="388">
        <f>SUMIFS('2023'!$I:$I,'2023'!$E:$E,Category!$B$134,'2023'!$N:$N,Category!BM$1,'2023'!$D:$D,Category!$C143)</f>
        <v>0</v>
      </c>
      <c r="BN143" s="389">
        <f t="shared" si="65"/>
        <v>0</v>
      </c>
    </row>
    <row r="144" spans="1:66" x14ac:dyDescent="0.3">
      <c r="A144" s="386"/>
      <c r="B144" s="387"/>
      <c r="C144" s="387" t="s">
        <v>912</v>
      </c>
      <c r="D144" s="524">
        <f>IFERROR(VLOOKUP($C144,'2019'!$D:$G,4,0),0)</f>
        <v>0</v>
      </c>
      <c r="E144" s="388">
        <f>SUMIFS('2019'!$I:$I,'2019'!$E:$E,Category!$B$134,'2019'!$N:$N,Category!E$1,'2019'!$D:$D,Category!$C144)</f>
        <v>0</v>
      </c>
      <c r="F144" s="388">
        <f>SUMIFS('2019'!$I:$I,'2019'!$E:$E,Category!$B$134,'2019'!$N:$N,Category!F$1,'2019'!$D:$D,Category!$C144)</f>
        <v>0</v>
      </c>
      <c r="G144" s="388">
        <f>SUMIFS('2019'!$I:$I,'2019'!$E:$E,Category!$B$134,'2019'!$N:$N,Category!G$1,'2019'!$D:$D,Category!$C144)</f>
        <v>0</v>
      </c>
      <c r="H144" s="388">
        <f>SUMIFS('2019'!$I:$I,'2019'!$E:$E,Category!$B$134,'2019'!$N:$N,Category!H$1,'2019'!$D:$D,Category!$C144)</f>
        <v>0</v>
      </c>
      <c r="I144" s="388">
        <f>SUMIFS('2019'!$I:$I,'2019'!$E:$E,Category!$B$134,'2019'!$N:$N,Category!I$1,'2019'!$D:$D,Category!$C144)</f>
        <v>0</v>
      </c>
      <c r="J144" s="389">
        <f t="shared" si="61"/>
        <v>0</v>
      </c>
      <c r="K144" s="506">
        <f>IFERROR(VLOOKUP($C144,'2020'!$D:$G,4,0),0)</f>
        <v>0</v>
      </c>
      <c r="L144" s="388">
        <f>SUMIFS('2020'!$I:$I,'2020'!$E:$E,Category!$B$134,'2020'!$N:$N,Category!L$1,'2020'!$D:$D,Category!$C144)</f>
        <v>0</v>
      </c>
      <c r="M144" s="388">
        <f>SUMIFS('2020'!$I:$I,'2020'!$E:$E,Category!$B$134,'2020'!$N:$N,Category!M$1,'2020'!$D:$D,Category!$C144)</f>
        <v>0</v>
      </c>
      <c r="N144" s="388">
        <f>SUMIFS('2020'!$I:$I,'2020'!$E:$E,Category!$B$134,'2020'!$N:$N,Category!N$1,'2020'!$D:$D,Category!$C144)</f>
        <v>0</v>
      </c>
      <c r="O144" s="388">
        <f>SUMIFS('2020'!$I:$I,'2020'!$E:$E,Category!$B$134,'2020'!$N:$N,Category!O$1,'2020'!$D:$D,Category!$C144)</f>
        <v>0</v>
      </c>
      <c r="P144" s="388">
        <f>SUMIFS('2020'!$I:$I,'2020'!$E:$E,Category!$B$134,'2020'!$N:$N,Category!P$1,'2020'!$D:$D,Category!$C144)</f>
        <v>0</v>
      </c>
      <c r="Q144" s="388">
        <f>SUMIFS('2020'!$I:$I,'2020'!$E:$E,Category!$B$134,'2020'!$N:$N,Category!Q$1,'2020'!$D:$D,Category!$C144)</f>
        <v>0</v>
      </c>
      <c r="R144" s="388">
        <f>SUMIFS('2020'!$I:$I,'2020'!$E:$E,Category!$B$134,'2020'!$N:$N,Category!R$1,'2020'!$D:$D,Category!$C144)</f>
        <v>0</v>
      </c>
      <c r="S144" s="388">
        <f>SUMIFS('2020'!$I:$I,'2020'!$E:$E,Category!$B$134,'2020'!$N:$N,Category!S$1,'2020'!$D:$D,Category!$C144)</f>
        <v>0</v>
      </c>
      <c r="T144" s="388">
        <f>SUMIFS('2020'!$I:$I,'2020'!$E:$E,Category!$B$134,'2020'!$N:$N,Category!T$1,'2020'!$D:$D,Category!$C144)</f>
        <v>0</v>
      </c>
      <c r="U144" s="388">
        <f>SUMIFS('2020'!$I:$I,'2020'!$E:$E,Category!$B$134,'2020'!$N:$N,Category!U$1,'2020'!$D:$D,Category!$C144)</f>
        <v>0</v>
      </c>
      <c r="V144" s="388">
        <f>SUMIFS('2020'!$I:$I,'2020'!$E:$E,Category!$B$134,'2020'!$N:$N,Category!V$1,'2020'!$D:$D,Category!$C144)</f>
        <v>0</v>
      </c>
      <c r="W144" s="388">
        <f>SUMIFS('2020'!$I:$I,'2020'!$E:$E,Category!$B$134,'2020'!$N:$N,Category!W$1,'2020'!$D:$D,Category!$C144)</f>
        <v>0</v>
      </c>
      <c r="X144" s="388">
        <v>0</v>
      </c>
      <c r="Y144" s="506">
        <f>IFERROR(VLOOKUP(C144,'2021'!$D:$G,4,0),0)</f>
        <v>0</v>
      </c>
      <c r="Z144" s="388">
        <f>SUMIFS('2021'!$I:$I,'2021'!$E:$E,Category!$B$134,'2021'!$N:$N,Category!Z$1,'2021'!$D:$D,Category!$C144)</f>
        <v>0</v>
      </c>
      <c r="AA144" s="388">
        <f>SUMIFS('2021'!$I:$I,'2021'!$E:$E,Category!$B$134,'2021'!$N:$N,Category!AA$1,'2021'!$D:$D,Category!$C144)</f>
        <v>0</v>
      </c>
      <c r="AB144" s="388">
        <f>SUMIFS('2021'!$I:$I,'2021'!$E:$E,Category!$B$134,'2021'!$N:$N,Category!AB$1,'2021'!$D:$D,Category!$C144)</f>
        <v>0</v>
      </c>
      <c r="AC144" s="388">
        <f>SUMIFS('2021'!$I:$I,'2021'!$E:$E,Category!$B$134,'2021'!$N:$N,Category!AC$1,'2021'!$D:$D,Category!$C144)</f>
        <v>0</v>
      </c>
      <c r="AD144" s="388">
        <f>SUMIFS('2021'!$I:$I,'2021'!$E:$E,Category!$B$134,'2021'!$N:$N,Category!AD$1,'2021'!$D:$D,Category!$C144)</f>
        <v>0</v>
      </c>
      <c r="AE144" s="388">
        <f>SUMIFS('2021'!$I:$I,'2021'!$E:$E,Category!$B$134,'2021'!$N:$N,Category!AE$1,'2021'!$D:$D,Category!$C144)</f>
        <v>0</v>
      </c>
      <c r="AF144" s="388">
        <f>SUMIFS('2021'!$I:$I,'2021'!$E:$E,Category!$B$134,'2021'!$N:$N,Category!AF$1,'2021'!$D:$D,Category!$C144)</f>
        <v>0</v>
      </c>
      <c r="AG144" s="388">
        <f>SUMIFS('2021'!$I:$I,'2021'!$E:$E,Category!$B$134,'2021'!$N:$N,Category!AG$1,'2021'!$D:$D,Category!$C144)</f>
        <v>6000000</v>
      </c>
      <c r="AH144" s="388">
        <f>SUMIFS('2021'!$I:$I,'2021'!$E:$E,Category!$B$134,'2021'!$N:$N,Category!AH$1,'2021'!$D:$D,Category!$C144)</f>
        <v>0</v>
      </c>
      <c r="AI144" s="388">
        <f>SUMIFS('2021'!$I:$I,'2021'!$E:$E,Category!$B$134,'2021'!$N:$N,Category!AI$1,'2021'!$D:$D,Category!$C144)</f>
        <v>0</v>
      </c>
      <c r="AJ144" s="388">
        <f>SUMIFS('2021'!$I:$I,'2021'!$E:$E,Category!$B$134,'2021'!$N:$N,Category!AJ$1,'2021'!$D:$D,Category!$C144)</f>
        <v>0</v>
      </c>
      <c r="AK144" s="388">
        <f>SUMIFS('2021'!$I:$I,'2021'!$E:$E,Category!$B$134,'2021'!$N:$N,Category!AK$1,'2021'!$D:$D,Category!$C144)</f>
        <v>0</v>
      </c>
      <c r="AL144" s="389">
        <f t="shared" si="63"/>
        <v>6000000</v>
      </c>
      <c r="AM144" s="506">
        <f>IFERROR(VLOOKUP(C144,'2022'!$D:$G,4,0),0)</f>
        <v>0</v>
      </c>
      <c r="AN144" s="388">
        <f>SUMIFS('2022'!$I:$I,'2022'!$E:$E,Category!$B$134,'2022'!$N:$N,Category!AN$1,'2022'!$D:$D,Category!$C144)</f>
        <v>0</v>
      </c>
      <c r="AO144" s="388">
        <f>SUMIFS('2022'!$I:$I,'2022'!$E:$E,Category!$B$134,'2022'!$N:$N,Category!AO$1,'2022'!$D:$D,Category!$C144)</f>
        <v>0</v>
      </c>
      <c r="AP144" s="388">
        <f>SUMIFS('2022'!$I:$I,'2022'!$E:$E,Category!$B$134,'2022'!$N:$N,Category!AP$1,'2022'!$D:$D,Category!$C144)</f>
        <v>0</v>
      </c>
      <c r="AQ144" s="388">
        <f>SUMIFS('2022'!$I:$I,'2022'!$E:$E,Category!$B$134,'2022'!$N:$N,Category!AQ$1,'2022'!$D:$D,Category!$C144)</f>
        <v>0</v>
      </c>
      <c r="AR144" s="388">
        <f>SUMIFS('2022'!$I:$I,'2022'!$E:$E,Category!$B$134,'2022'!$N:$N,Category!AR$1,'2022'!$D:$D,Category!$C144)</f>
        <v>0</v>
      </c>
      <c r="AS144" s="388">
        <f>SUMIFS('2022'!$I:$I,'2022'!$E:$E,Category!$B$134,'2022'!$N:$N,Category!AS$1,'2022'!$D:$D,Category!$C144)</f>
        <v>0</v>
      </c>
      <c r="AT144" s="388">
        <f>SUMIFS('2022'!$I:$I,'2022'!$E:$E,Category!$B$134,'2022'!$N:$N,Category!AT$1,'2022'!$D:$D,Category!$C144)</f>
        <v>0</v>
      </c>
      <c r="AU144" s="388">
        <f>SUMIFS('2022'!$I:$I,'2022'!$E:$E,Category!$B$134,'2022'!$N:$N,Category!AU$1,'2022'!$D:$D,Category!$C144)</f>
        <v>0</v>
      </c>
      <c r="AV144" s="388">
        <f>SUMIFS('2022'!$I:$I,'2022'!$E:$E,Category!$B$134,'2022'!$N:$N,Category!AV$1,'2022'!$D:$D,Category!$C144)</f>
        <v>0</v>
      </c>
      <c r="AW144" s="388">
        <f>SUMIFS('2022'!$I:$I,'2022'!$E:$E,Category!$B$134,'2022'!$N:$N,Category!AW$1,'2022'!$D:$D,Category!$C144)</f>
        <v>0</v>
      </c>
      <c r="AX144" s="388">
        <f>SUMIFS('2022'!$I:$I,'2022'!$E:$E,Category!$B$134,'2022'!$N:$N,Category!AX$1,'2022'!$D:$D,Category!$C144)</f>
        <v>0</v>
      </c>
      <c r="AY144" s="388">
        <f>SUMIFS('2022'!$I:$I,'2022'!$E:$E,Category!$B$134,'2022'!$N:$N,Category!AY$1,'2022'!$D:$D,Category!$C144)</f>
        <v>0</v>
      </c>
      <c r="AZ144" s="389">
        <f t="shared" si="64"/>
        <v>0</v>
      </c>
      <c r="BA144" s="506">
        <f>IFERROR(VLOOKUP(C144,'2023'!$D:$G,4,0),0)</f>
        <v>0</v>
      </c>
      <c r="BB144" s="388">
        <f>SUMIFS('2023'!$I:$I,'2023'!$E:$E,Category!$B$134,'2023'!$N:$N,Category!BB$1,'2023'!$D:$D,Category!$C144)</f>
        <v>0</v>
      </c>
      <c r="BC144" s="388">
        <f>SUMIFS('2023'!$I:$I,'2023'!$E:$E,Category!$B$134,'2023'!$N:$N,Category!BC$1,'2023'!$D:$D,Category!$C144)</f>
        <v>0</v>
      </c>
      <c r="BD144" s="388">
        <f>SUMIFS('2023'!$I:$I,'2023'!$E:$E,Category!$B$134,'2023'!$N:$N,Category!BD$1,'2023'!$D:$D,Category!$C144)</f>
        <v>0</v>
      </c>
      <c r="BE144" s="388">
        <f>SUMIFS('2023'!$I:$I,'2023'!$E:$E,Category!$B$134,'2023'!$N:$N,Category!BE$1,'2023'!$D:$D,Category!$C144)</f>
        <v>0</v>
      </c>
      <c r="BF144" s="388">
        <f>SUMIFS('2023'!$I:$I,'2023'!$E:$E,Category!$B$134,'2023'!$N:$N,Category!BF$1,'2023'!$D:$D,Category!$C144)</f>
        <v>0</v>
      </c>
      <c r="BG144" s="388">
        <f>SUMIFS('2023'!$I:$I,'2023'!$E:$E,Category!$B$134,'2023'!$N:$N,Category!BG$1,'2023'!$D:$D,Category!$C144)</f>
        <v>0</v>
      </c>
      <c r="BH144" s="388">
        <f>SUMIFS('2023'!$I:$I,'2023'!$E:$E,Category!$B$134,'2023'!$N:$N,Category!BH$1,'2023'!$D:$D,Category!$C144)</f>
        <v>0</v>
      </c>
      <c r="BI144" s="388">
        <f>SUMIFS('2023'!$I:$I,'2023'!$E:$E,Category!$B$134,'2023'!$N:$N,Category!BI$1,'2023'!$D:$D,Category!$C144)</f>
        <v>0</v>
      </c>
      <c r="BJ144" s="388">
        <f>SUMIFS('2023'!$I:$I,'2023'!$E:$E,Category!$B$134,'2023'!$N:$N,Category!BJ$1,'2023'!$D:$D,Category!$C144)</f>
        <v>0</v>
      </c>
      <c r="BK144" s="388">
        <f>SUMIFS('2023'!$I:$I,'2023'!$E:$E,Category!$B$134,'2023'!$N:$N,Category!BK$1,'2023'!$D:$D,Category!$C144)</f>
        <v>0</v>
      </c>
      <c r="BL144" s="388">
        <f>SUMIFS('2023'!$I:$I,'2023'!$E:$E,Category!$B$134,'2023'!$N:$N,Category!BL$1,'2023'!$D:$D,Category!$C144)</f>
        <v>0</v>
      </c>
      <c r="BM144" s="388">
        <f>SUMIFS('2023'!$I:$I,'2023'!$E:$E,Category!$B$134,'2023'!$N:$N,Category!BM$1,'2023'!$D:$D,Category!$C144)</f>
        <v>0</v>
      </c>
      <c r="BN144" s="389">
        <f t="shared" si="65"/>
        <v>0</v>
      </c>
    </row>
    <row r="145" spans="1:66" s="247" customFormat="1" x14ac:dyDescent="0.25">
      <c r="A145" s="390"/>
      <c r="B145" s="391"/>
      <c r="C145" s="391" t="s">
        <v>876</v>
      </c>
      <c r="D145" s="525">
        <f>IFERROR(VLOOKUP($C145,'2019'!$D:$G,4,0),0)</f>
        <v>0</v>
      </c>
      <c r="E145" s="388">
        <f>SUMIFS('2019'!$I:$I,'2019'!$E:$E,Category!$B$134,'2019'!$N:$N,Category!E$1,'2019'!$D:$D,Category!$C145)</f>
        <v>0</v>
      </c>
      <c r="F145" s="388">
        <f>SUMIFS('2019'!$I:$I,'2019'!$E:$E,Category!$B$134,'2019'!$N:$N,Category!F$1,'2019'!$D:$D,Category!$C145)</f>
        <v>0</v>
      </c>
      <c r="G145" s="388">
        <f>SUMIFS('2019'!$I:$I,'2019'!$E:$E,Category!$B$134,'2019'!$N:$N,Category!G$1,'2019'!$D:$D,Category!$C145)</f>
        <v>0</v>
      </c>
      <c r="H145" s="388">
        <f>SUMIFS('2019'!$I:$I,'2019'!$E:$E,Category!$B$134,'2019'!$N:$N,Category!H$1,'2019'!$D:$D,Category!$C145)</f>
        <v>0</v>
      </c>
      <c r="I145" s="388">
        <f>SUMIFS('2019'!$I:$I,'2019'!$E:$E,Category!$B$134,'2019'!$N:$N,Category!I$1,'2019'!$D:$D,Category!$C145)</f>
        <v>0</v>
      </c>
      <c r="J145" s="389">
        <f t="shared" si="61"/>
        <v>0</v>
      </c>
      <c r="K145" s="506">
        <f>IFERROR(VLOOKUP($C145,'2020'!$D:$G,4,0),0)</f>
        <v>0</v>
      </c>
      <c r="L145" s="388">
        <f>SUMIFS('2020'!$I:$I,'2020'!$E:$E,Category!$B$134,'2020'!$N:$N,Category!L$1,'2020'!$D:$D,Category!$C145)</f>
        <v>0</v>
      </c>
      <c r="M145" s="388">
        <f>SUMIFS('2020'!$I:$I,'2020'!$E:$E,Category!$B$134,'2020'!$N:$N,Category!M$1,'2020'!$D:$D,Category!$C145)</f>
        <v>0</v>
      </c>
      <c r="N145" s="388">
        <f>SUMIFS('2020'!$I:$I,'2020'!$E:$E,Category!$B$134,'2020'!$N:$N,Category!N$1,'2020'!$D:$D,Category!$C145)</f>
        <v>0</v>
      </c>
      <c r="O145" s="388">
        <f>SUMIFS('2020'!$I:$I,'2020'!$E:$E,Category!$B$134,'2020'!$N:$N,Category!O$1,'2020'!$D:$D,Category!$C145)</f>
        <v>0</v>
      </c>
      <c r="P145" s="388">
        <f>SUMIFS('2020'!$I:$I,'2020'!$E:$E,Category!$B$134,'2020'!$N:$N,Category!P$1,'2020'!$D:$D,Category!$C145)</f>
        <v>0</v>
      </c>
      <c r="Q145" s="388">
        <f>SUMIFS('2020'!$I:$I,'2020'!$E:$E,Category!$B$134,'2020'!$N:$N,Category!Q$1,'2020'!$D:$D,Category!$C145)</f>
        <v>0</v>
      </c>
      <c r="R145" s="388">
        <f>SUMIFS('2020'!$I:$I,'2020'!$E:$E,Category!$B$134,'2020'!$N:$N,Category!R$1,'2020'!$D:$D,Category!$C145)</f>
        <v>0</v>
      </c>
      <c r="S145" s="388">
        <f>SUMIFS('2020'!$I:$I,'2020'!$E:$E,Category!$B$134,'2020'!$N:$N,Category!S$1,'2020'!$D:$D,Category!$C145)</f>
        <v>0</v>
      </c>
      <c r="T145" s="388">
        <f>SUMIFS('2020'!$I:$I,'2020'!$E:$E,Category!$B$134,'2020'!$N:$N,Category!T$1,'2020'!$D:$D,Category!$C145)</f>
        <v>0</v>
      </c>
      <c r="U145" s="388">
        <f>SUMIFS('2020'!$I:$I,'2020'!$E:$E,Category!$B$134,'2020'!$N:$N,Category!U$1,'2020'!$D:$D,Category!$C145)</f>
        <v>0</v>
      </c>
      <c r="V145" s="388">
        <f>SUMIFS('2020'!$I:$I,'2020'!$E:$E,Category!$B$134,'2020'!$N:$N,Category!V$1,'2020'!$D:$D,Category!$C145)</f>
        <v>0</v>
      </c>
      <c r="W145" s="388">
        <f>SUMIFS('2020'!$I:$I,'2020'!$E:$E,Category!$B$134,'2020'!$N:$N,Category!W$1,'2020'!$D:$D,Category!$C145)</f>
        <v>0</v>
      </c>
      <c r="X145" s="388">
        <v>0</v>
      </c>
      <c r="Y145" s="506">
        <f>IFERROR(VLOOKUP(C145,'2021'!$D:$G,4,0),0)</f>
        <v>1</v>
      </c>
      <c r="Z145" s="388">
        <f>SUMIFS('2021'!$I:$I,'2021'!$E:$E,Category!$B$134,'2021'!$N:$N,Category!Z$1,'2021'!$D:$D,Category!$C145)</f>
        <v>0</v>
      </c>
      <c r="AA145" s="388">
        <f>SUMIFS('2021'!$I:$I,'2021'!$E:$E,Category!$B$134,'2021'!$N:$N,Category!AA$1,'2021'!$D:$D,Category!$C145)</f>
        <v>0</v>
      </c>
      <c r="AB145" s="388">
        <f>SUMIFS('2021'!$I:$I,'2021'!$E:$E,Category!$B$134,'2021'!$N:$N,Category!AB$1,'2021'!$D:$D,Category!$C145)</f>
        <v>0</v>
      </c>
      <c r="AC145" s="388">
        <f>SUMIFS('2021'!$I:$I,'2021'!$E:$E,Category!$B$134,'2021'!$N:$N,Category!AC$1,'2021'!$D:$D,Category!$C145)</f>
        <v>0</v>
      </c>
      <c r="AD145" s="388">
        <f>SUMIFS('2021'!$I:$I,'2021'!$E:$E,Category!$B$134,'2021'!$N:$N,Category!AD$1,'2021'!$D:$D,Category!$C145)</f>
        <v>0</v>
      </c>
      <c r="AE145" s="388">
        <f>SUMIFS('2021'!$I:$I,'2021'!$E:$E,Category!$B$134,'2021'!$N:$N,Category!AE$1,'2021'!$D:$D,Category!$C145)</f>
        <v>0</v>
      </c>
      <c r="AF145" s="388">
        <f>SUMIFS('2021'!$I:$I,'2021'!$E:$E,Category!$B$134,'2021'!$N:$N,Category!AF$1,'2021'!$D:$D,Category!$C145)</f>
        <v>0</v>
      </c>
      <c r="AG145" s="388">
        <f>SUMIFS('2021'!$I:$I,'2021'!$E:$E,Category!$B$134,'2021'!$N:$N,Category!AG$1,'2021'!$D:$D,Category!$C145)</f>
        <v>0</v>
      </c>
      <c r="AH145" s="388">
        <f>SUMIFS('2021'!$I:$I,'2021'!$E:$E,Category!$B$134,'2021'!$N:$N,Category!AH$1,'2021'!$D:$D,Category!$C145)</f>
        <v>5000000</v>
      </c>
      <c r="AI145" s="388">
        <f>SUMIFS('2021'!$I:$I,'2021'!$E:$E,Category!$B$134,'2021'!$N:$N,Category!AI$1,'2021'!$D:$D,Category!$C145)</f>
        <v>5000000</v>
      </c>
      <c r="AJ145" s="388">
        <f>SUMIFS('2021'!$I:$I,'2021'!$E:$E,Category!$B$134,'2021'!$N:$N,Category!AJ$1,'2021'!$D:$D,Category!$C145)</f>
        <v>5000000</v>
      </c>
      <c r="AK145" s="388">
        <f>SUMIFS('2021'!$I:$I,'2021'!$E:$E,Category!$B$134,'2021'!$N:$N,Category!AK$1,'2021'!$D:$D,Category!$C145)</f>
        <v>5000000</v>
      </c>
      <c r="AL145" s="389">
        <f t="shared" si="63"/>
        <v>20000000</v>
      </c>
      <c r="AM145" s="506">
        <f>IFERROR(VLOOKUP(C145,'2022'!$D:$G,4,0),0)</f>
        <v>1</v>
      </c>
      <c r="AN145" s="388">
        <f>SUMIFS('2022'!$I:$I,'2022'!$E:$E,Category!$B$134,'2022'!$N:$N,Category!AN$1,'2022'!$D:$D,Category!$C145)</f>
        <v>5000000</v>
      </c>
      <c r="AO145" s="388">
        <f>SUMIFS('2022'!$I:$I,'2022'!$E:$E,Category!$B$134,'2022'!$N:$N,Category!AO$1,'2022'!$D:$D,Category!$C145)</f>
        <v>5000000</v>
      </c>
      <c r="AP145" s="388">
        <f>SUMIFS('2022'!$I:$I,'2022'!$E:$E,Category!$B$134,'2022'!$N:$N,Category!AP$1,'2022'!$D:$D,Category!$C145)</f>
        <v>5000000</v>
      </c>
      <c r="AQ145" s="388">
        <f>SUMIFS('2022'!$I:$I,'2022'!$E:$E,Category!$B$134,'2022'!$N:$N,Category!AQ$1,'2022'!$D:$D,Category!$C145)</f>
        <v>5000000</v>
      </c>
      <c r="AR145" s="388">
        <f>SUMIFS('2022'!$I:$I,'2022'!$E:$E,Category!$B$134,'2022'!$N:$N,Category!AR$1,'2022'!$D:$D,Category!$C145)</f>
        <v>5000000</v>
      </c>
      <c r="AS145" s="388">
        <f>SUMIFS('2022'!$I:$I,'2022'!$E:$E,Category!$B$134,'2022'!$N:$N,Category!AS$1,'2022'!$D:$D,Category!$C145)</f>
        <v>5000000</v>
      </c>
      <c r="AT145" s="388">
        <f>SUMIFS('2022'!$I:$I,'2022'!$E:$E,Category!$B$134,'2022'!$N:$N,Category!AT$1,'2022'!$D:$D,Category!$C145)</f>
        <v>5000000</v>
      </c>
      <c r="AU145" s="388">
        <f>SUMIFS('2022'!$I:$I,'2022'!$E:$E,Category!$B$134,'2022'!$N:$N,Category!AU$1,'2022'!$D:$D,Category!$C145)</f>
        <v>5000000</v>
      </c>
      <c r="AV145" s="388">
        <f>SUMIFS('2022'!$I:$I,'2022'!$E:$E,Category!$B$134,'2022'!$N:$N,Category!AV$1,'2022'!$D:$D,Category!$C145)</f>
        <v>5000000</v>
      </c>
      <c r="AW145" s="388">
        <f>SUMIFS('2022'!$I:$I,'2022'!$E:$E,Category!$B$134,'2022'!$N:$N,Category!AW$1,'2022'!$D:$D,Category!$C145)</f>
        <v>5000000</v>
      </c>
      <c r="AX145" s="388">
        <f>SUMIFS('2022'!$I:$I,'2022'!$E:$E,Category!$B$134,'2022'!$N:$N,Category!AX$1,'2022'!$D:$D,Category!$C145)</f>
        <v>5000000</v>
      </c>
      <c r="AY145" s="388">
        <f>SUMIFS('2022'!$I:$I,'2022'!$E:$E,Category!$B$134,'2022'!$N:$N,Category!AY$1,'2022'!$D:$D,Category!$C145)</f>
        <v>5000000</v>
      </c>
      <c r="AZ145" s="389">
        <f t="shared" si="64"/>
        <v>60000000</v>
      </c>
      <c r="BA145" s="506">
        <f>IFERROR(VLOOKUP(C145,'2023'!$D:$G,4,0),0)</f>
        <v>1</v>
      </c>
      <c r="BB145" s="388">
        <f>SUMIFS('2023'!$I:$I,'2023'!$E:$E,Category!$B$134,'2023'!$N:$N,Category!BB$1,'2023'!$D:$D,Category!$C145)</f>
        <v>5000000</v>
      </c>
      <c r="BC145" s="388">
        <f>SUMIFS('2023'!$I:$I,'2023'!$E:$E,Category!$B$134,'2023'!$N:$N,Category!BC$1,'2023'!$D:$D,Category!$C145)</f>
        <v>5000000</v>
      </c>
      <c r="BD145" s="388">
        <f>SUMIFS('2023'!$I:$I,'2023'!$E:$E,Category!$B$134,'2023'!$N:$N,Category!BD$1,'2023'!$D:$D,Category!$C145)</f>
        <v>0</v>
      </c>
      <c r="BE145" s="388">
        <f>SUMIFS('2023'!$I:$I,'2023'!$E:$E,Category!$B$134,'2023'!$N:$N,Category!BE$1,'2023'!$D:$D,Category!$C145)</f>
        <v>0</v>
      </c>
      <c r="BF145" s="388">
        <f>SUMIFS('2023'!$I:$I,'2023'!$E:$E,Category!$B$134,'2023'!$N:$N,Category!BF$1,'2023'!$D:$D,Category!$C145)</f>
        <v>0</v>
      </c>
      <c r="BG145" s="388">
        <f>SUMIFS('2023'!$I:$I,'2023'!$E:$E,Category!$B$134,'2023'!$N:$N,Category!BG$1,'2023'!$D:$D,Category!$C145)</f>
        <v>0</v>
      </c>
      <c r="BH145" s="388">
        <f>SUMIFS('2023'!$I:$I,'2023'!$E:$E,Category!$B$134,'2023'!$N:$N,Category!BH$1,'2023'!$D:$D,Category!$C145)</f>
        <v>0</v>
      </c>
      <c r="BI145" s="388">
        <f>SUMIFS('2023'!$I:$I,'2023'!$E:$E,Category!$B$134,'2023'!$N:$N,Category!BI$1,'2023'!$D:$D,Category!$C145)</f>
        <v>0</v>
      </c>
      <c r="BJ145" s="388">
        <f>SUMIFS('2023'!$I:$I,'2023'!$E:$E,Category!$B$134,'2023'!$N:$N,Category!BJ$1,'2023'!$D:$D,Category!$C145)</f>
        <v>0</v>
      </c>
      <c r="BK145" s="388">
        <f>SUMIFS('2023'!$I:$I,'2023'!$E:$E,Category!$B$134,'2023'!$N:$N,Category!BK$1,'2023'!$D:$D,Category!$C145)</f>
        <v>0</v>
      </c>
      <c r="BL145" s="388">
        <f>SUMIFS('2023'!$I:$I,'2023'!$E:$E,Category!$B$134,'2023'!$N:$N,Category!BL$1,'2023'!$D:$D,Category!$C145)</f>
        <v>0</v>
      </c>
      <c r="BM145" s="388">
        <f>SUMIFS('2023'!$I:$I,'2023'!$E:$E,Category!$B$134,'2023'!$N:$N,Category!BM$1,'2023'!$D:$D,Category!$C145)</f>
        <v>0</v>
      </c>
      <c r="BN145" s="389">
        <f t="shared" si="65"/>
        <v>10000000</v>
      </c>
    </row>
    <row r="146" spans="1:66" x14ac:dyDescent="0.3">
      <c r="A146" s="386"/>
      <c r="B146" s="387"/>
      <c r="C146" s="387" t="s">
        <v>875</v>
      </c>
      <c r="D146" s="524">
        <f>IFERROR(VLOOKUP($C146,'2019'!$D:$G,4,0),0)</f>
        <v>0</v>
      </c>
      <c r="E146" s="388">
        <f>SUMIFS('2019'!$I:$I,'2019'!$E:$E,Category!$B$134,'2019'!$N:$N,Category!E$1,'2019'!$D:$D,Category!$C146)</f>
        <v>0</v>
      </c>
      <c r="F146" s="388">
        <f>SUMIFS('2019'!$I:$I,'2019'!$E:$E,Category!$B$134,'2019'!$N:$N,Category!F$1,'2019'!$D:$D,Category!$C146)</f>
        <v>0</v>
      </c>
      <c r="G146" s="388">
        <f>SUMIFS('2019'!$I:$I,'2019'!$E:$E,Category!$B$134,'2019'!$N:$N,Category!G$1,'2019'!$D:$D,Category!$C146)</f>
        <v>0</v>
      </c>
      <c r="H146" s="388">
        <f>SUMIFS('2019'!$I:$I,'2019'!$E:$E,Category!$B$134,'2019'!$N:$N,Category!H$1,'2019'!$D:$D,Category!$C146)</f>
        <v>0</v>
      </c>
      <c r="I146" s="388">
        <f>SUMIFS('2019'!$I:$I,'2019'!$E:$E,Category!$B$134,'2019'!$N:$N,Category!I$1,'2019'!$D:$D,Category!$C146)</f>
        <v>0</v>
      </c>
      <c r="J146" s="389">
        <f t="shared" si="61"/>
        <v>0</v>
      </c>
      <c r="K146" s="506">
        <f>IFERROR(VLOOKUP($C146,'2020'!$D:$G,4,0),0)</f>
        <v>0</v>
      </c>
      <c r="L146" s="388">
        <f>SUMIFS('2020'!$I:$I,'2020'!$E:$E,Category!$B$134,'2020'!$N:$N,Category!L$1,'2020'!$D:$D,Category!$C146)</f>
        <v>0</v>
      </c>
      <c r="M146" s="388">
        <f>SUMIFS('2020'!$I:$I,'2020'!$E:$E,Category!$B$134,'2020'!$N:$N,Category!M$1,'2020'!$D:$D,Category!$C146)</f>
        <v>0</v>
      </c>
      <c r="N146" s="388">
        <f>SUMIFS('2020'!$I:$I,'2020'!$E:$E,Category!$B$134,'2020'!$N:$N,Category!N$1,'2020'!$D:$D,Category!$C146)</f>
        <v>0</v>
      </c>
      <c r="O146" s="388">
        <f>SUMIFS('2020'!$I:$I,'2020'!$E:$E,Category!$B$134,'2020'!$N:$N,Category!O$1,'2020'!$D:$D,Category!$C146)</f>
        <v>0</v>
      </c>
      <c r="P146" s="388">
        <f>SUMIFS('2020'!$I:$I,'2020'!$E:$E,Category!$B$134,'2020'!$N:$N,Category!P$1,'2020'!$D:$D,Category!$C146)</f>
        <v>0</v>
      </c>
      <c r="Q146" s="388">
        <f>SUMIFS('2020'!$I:$I,'2020'!$E:$E,Category!$B$134,'2020'!$N:$N,Category!Q$1,'2020'!$D:$D,Category!$C146)</f>
        <v>0</v>
      </c>
      <c r="R146" s="388">
        <f>SUMIFS('2020'!$I:$I,'2020'!$E:$E,Category!$B$134,'2020'!$N:$N,Category!R$1,'2020'!$D:$D,Category!$C146)</f>
        <v>0</v>
      </c>
      <c r="S146" s="388">
        <f>SUMIFS('2020'!$I:$I,'2020'!$E:$E,Category!$B$134,'2020'!$N:$N,Category!S$1,'2020'!$D:$D,Category!$C146)</f>
        <v>0</v>
      </c>
      <c r="T146" s="388">
        <f>SUMIFS('2020'!$I:$I,'2020'!$E:$E,Category!$B$134,'2020'!$N:$N,Category!T$1,'2020'!$D:$D,Category!$C146)</f>
        <v>0</v>
      </c>
      <c r="U146" s="388">
        <f>SUMIFS('2020'!$I:$I,'2020'!$E:$E,Category!$B$134,'2020'!$N:$N,Category!U$1,'2020'!$D:$D,Category!$C146)</f>
        <v>0</v>
      </c>
      <c r="V146" s="388">
        <f>SUMIFS('2020'!$I:$I,'2020'!$E:$E,Category!$B$134,'2020'!$N:$N,Category!V$1,'2020'!$D:$D,Category!$C146)</f>
        <v>0</v>
      </c>
      <c r="W146" s="388">
        <f>SUMIFS('2020'!$I:$I,'2020'!$E:$E,Category!$B$134,'2020'!$N:$N,Category!W$1,'2020'!$D:$D,Category!$C146)</f>
        <v>0</v>
      </c>
      <c r="X146" s="388">
        <v>0</v>
      </c>
      <c r="Y146" s="506">
        <f>IFERROR(VLOOKUP(C146,'2021'!$D:$G,4,0),0)</f>
        <v>1</v>
      </c>
      <c r="Z146" s="388">
        <f>SUMIFS('2021'!$I:$I,'2021'!$E:$E,Category!$B$134,'2021'!$N:$N,Category!Z$1,'2021'!$D:$D,Category!$C146)</f>
        <v>0</v>
      </c>
      <c r="AA146" s="388">
        <f>SUMIFS('2021'!$I:$I,'2021'!$E:$E,Category!$B$134,'2021'!$N:$N,Category!AA$1,'2021'!$D:$D,Category!$C146)</f>
        <v>0</v>
      </c>
      <c r="AB146" s="388">
        <f>SUMIFS('2021'!$I:$I,'2021'!$E:$E,Category!$B$134,'2021'!$N:$N,Category!AB$1,'2021'!$D:$D,Category!$C146)</f>
        <v>0</v>
      </c>
      <c r="AC146" s="388">
        <f>SUMIFS('2021'!$I:$I,'2021'!$E:$E,Category!$B$134,'2021'!$N:$N,Category!AC$1,'2021'!$D:$D,Category!$C146)</f>
        <v>0</v>
      </c>
      <c r="AD146" s="388">
        <f>SUMIFS('2021'!$I:$I,'2021'!$E:$E,Category!$B$134,'2021'!$N:$N,Category!AD$1,'2021'!$D:$D,Category!$C146)</f>
        <v>0</v>
      </c>
      <c r="AE146" s="388">
        <f>SUMIFS('2021'!$I:$I,'2021'!$E:$E,Category!$B$134,'2021'!$N:$N,Category!AE$1,'2021'!$D:$D,Category!$C146)</f>
        <v>0</v>
      </c>
      <c r="AF146" s="388">
        <f>SUMIFS('2021'!$I:$I,'2021'!$E:$E,Category!$B$134,'2021'!$N:$N,Category!AF$1,'2021'!$D:$D,Category!$C146)</f>
        <v>0</v>
      </c>
      <c r="AG146" s="388">
        <f>SUMIFS('2021'!$I:$I,'2021'!$E:$E,Category!$B$134,'2021'!$N:$N,Category!AG$1,'2021'!$D:$D,Category!$C146)</f>
        <v>0</v>
      </c>
      <c r="AH146" s="388">
        <f>SUMIFS('2021'!$I:$I,'2021'!$E:$E,Category!$B$134,'2021'!$N:$N,Category!AH$1,'2021'!$D:$D,Category!$C146)</f>
        <v>1000000</v>
      </c>
      <c r="AI146" s="388">
        <f>SUMIFS('2021'!$I:$I,'2021'!$E:$E,Category!$B$134,'2021'!$N:$N,Category!AI$1,'2021'!$D:$D,Category!$C146)</f>
        <v>1000000</v>
      </c>
      <c r="AJ146" s="388">
        <f>SUMIFS('2021'!$I:$I,'2021'!$E:$E,Category!$B$134,'2021'!$N:$N,Category!AJ$1,'2021'!$D:$D,Category!$C146)</f>
        <v>1000000</v>
      </c>
      <c r="AK146" s="388">
        <f>SUMIFS('2021'!$I:$I,'2021'!$E:$E,Category!$B$134,'2021'!$N:$N,Category!AK$1,'2021'!$D:$D,Category!$C146)</f>
        <v>1000000</v>
      </c>
      <c r="AL146" s="389">
        <f t="shared" si="63"/>
        <v>4000000</v>
      </c>
      <c r="AM146" s="506">
        <f>IFERROR(VLOOKUP(C146,'2022'!$D:$G,4,0),0)</f>
        <v>1</v>
      </c>
      <c r="AN146" s="388">
        <f>SUMIFS('2022'!$I:$I,'2022'!$E:$E,Category!$B$134,'2022'!$N:$N,Category!AN$1,'2022'!$D:$D,Category!$C146)</f>
        <v>1000000</v>
      </c>
      <c r="AO146" s="388">
        <f>SUMIFS('2022'!$I:$I,'2022'!$E:$E,Category!$B$134,'2022'!$N:$N,Category!AO$1,'2022'!$D:$D,Category!$C146)</f>
        <v>1000000</v>
      </c>
      <c r="AP146" s="388">
        <f>SUMIFS('2022'!$I:$I,'2022'!$E:$E,Category!$B$134,'2022'!$N:$N,Category!AP$1,'2022'!$D:$D,Category!$C146)</f>
        <v>1000000</v>
      </c>
      <c r="AQ146" s="388">
        <f>SUMIFS('2022'!$I:$I,'2022'!$E:$E,Category!$B$134,'2022'!$N:$N,Category!AQ$1,'2022'!$D:$D,Category!$C146)</f>
        <v>1000000</v>
      </c>
      <c r="AR146" s="388">
        <f>SUMIFS('2022'!$I:$I,'2022'!$E:$E,Category!$B$134,'2022'!$N:$N,Category!AR$1,'2022'!$D:$D,Category!$C146)</f>
        <v>1000000</v>
      </c>
      <c r="AS146" s="388">
        <f>SUMIFS('2022'!$I:$I,'2022'!$E:$E,Category!$B$134,'2022'!$N:$N,Category!AS$1,'2022'!$D:$D,Category!$C146)</f>
        <v>1000000</v>
      </c>
      <c r="AT146" s="388">
        <f>SUMIFS('2022'!$I:$I,'2022'!$E:$E,Category!$B$134,'2022'!$N:$N,Category!AT$1,'2022'!$D:$D,Category!$C146)</f>
        <v>1000000</v>
      </c>
      <c r="AU146" s="388">
        <f>SUMIFS('2022'!$I:$I,'2022'!$E:$E,Category!$B$134,'2022'!$N:$N,Category!AU$1,'2022'!$D:$D,Category!$C146)</f>
        <v>1000000</v>
      </c>
      <c r="AV146" s="388">
        <f>SUMIFS('2022'!$I:$I,'2022'!$E:$E,Category!$B$134,'2022'!$N:$N,Category!AV$1,'2022'!$D:$D,Category!$C146)</f>
        <v>1000000</v>
      </c>
      <c r="AW146" s="388">
        <f>SUMIFS('2022'!$I:$I,'2022'!$E:$E,Category!$B$134,'2022'!$N:$N,Category!AW$1,'2022'!$D:$D,Category!$C146)</f>
        <v>1000000</v>
      </c>
      <c r="AX146" s="388">
        <f>SUMIFS('2022'!$I:$I,'2022'!$E:$E,Category!$B$134,'2022'!$N:$N,Category!AX$1,'2022'!$D:$D,Category!$C146)</f>
        <v>1000000</v>
      </c>
      <c r="AY146" s="388">
        <f>SUMIFS('2022'!$I:$I,'2022'!$E:$E,Category!$B$134,'2022'!$N:$N,Category!AY$1,'2022'!$D:$D,Category!$C146)</f>
        <v>1000000</v>
      </c>
      <c r="AZ146" s="389">
        <f t="shared" si="64"/>
        <v>12000000</v>
      </c>
      <c r="BA146" s="506">
        <f>IFERROR(VLOOKUP(C146,'2023'!$D:$G,4,0),0)</f>
        <v>1</v>
      </c>
      <c r="BB146" s="388">
        <f>SUMIFS('2023'!$I:$I,'2023'!$E:$E,Category!$B$134,'2023'!$N:$N,Category!BB$1,'2023'!$D:$D,Category!$C146)</f>
        <v>1000000</v>
      </c>
      <c r="BC146" s="388">
        <f>SUMIFS('2023'!$I:$I,'2023'!$E:$E,Category!$B$134,'2023'!$N:$N,Category!BC$1,'2023'!$D:$D,Category!$C146)</f>
        <v>1000000</v>
      </c>
      <c r="BD146" s="388">
        <f>SUMIFS('2023'!$I:$I,'2023'!$E:$E,Category!$B$134,'2023'!$N:$N,Category!BD$1,'2023'!$D:$D,Category!$C146)</f>
        <v>0</v>
      </c>
      <c r="BE146" s="388">
        <f>SUMIFS('2023'!$I:$I,'2023'!$E:$E,Category!$B$134,'2023'!$N:$N,Category!BE$1,'2023'!$D:$D,Category!$C146)</f>
        <v>0</v>
      </c>
      <c r="BF146" s="388">
        <f>SUMIFS('2023'!$I:$I,'2023'!$E:$E,Category!$B$134,'2023'!$N:$N,Category!BF$1,'2023'!$D:$D,Category!$C146)</f>
        <v>0</v>
      </c>
      <c r="BG146" s="388">
        <f>SUMIFS('2023'!$I:$I,'2023'!$E:$E,Category!$B$134,'2023'!$N:$N,Category!BG$1,'2023'!$D:$D,Category!$C146)</f>
        <v>0</v>
      </c>
      <c r="BH146" s="388">
        <f>SUMIFS('2023'!$I:$I,'2023'!$E:$E,Category!$B$134,'2023'!$N:$N,Category!BH$1,'2023'!$D:$D,Category!$C146)</f>
        <v>0</v>
      </c>
      <c r="BI146" s="388">
        <f>SUMIFS('2023'!$I:$I,'2023'!$E:$E,Category!$B$134,'2023'!$N:$N,Category!BI$1,'2023'!$D:$D,Category!$C146)</f>
        <v>0</v>
      </c>
      <c r="BJ146" s="388">
        <f>SUMIFS('2023'!$I:$I,'2023'!$E:$E,Category!$B$134,'2023'!$N:$N,Category!BJ$1,'2023'!$D:$D,Category!$C146)</f>
        <v>0</v>
      </c>
      <c r="BK146" s="388">
        <f>SUMIFS('2023'!$I:$I,'2023'!$E:$E,Category!$B$134,'2023'!$N:$N,Category!BK$1,'2023'!$D:$D,Category!$C146)</f>
        <v>0</v>
      </c>
      <c r="BL146" s="388">
        <f>SUMIFS('2023'!$I:$I,'2023'!$E:$E,Category!$B$134,'2023'!$N:$N,Category!BL$1,'2023'!$D:$D,Category!$C146)</f>
        <v>0</v>
      </c>
      <c r="BM146" s="388">
        <f>SUMIFS('2023'!$I:$I,'2023'!$E:$E,Category!$B$134,'2023'!$N:$N,Category!BM$1,'2023'!$D:$D,Category!$C146)</f>
        <v>0</v>
      </c>
      <c r="BN146" s="389">
        <f t="shared" si="65"/>
        <v>2000000</v>
      </c>
    </row>
    <row r="147" spans="1:66" x14ac:dyDescent="0.3">
      <c r="A147" s="386"/>
      <c r="B147" s="387"/>
      <c r="C147" s="387" t="s">
        <v>877</v>
      </c>
      <c r="D147" s="524">
        <f>IFERROR(VLOOKUP($C147,'2019'!$D:$G,4,0),0)</f>
        <v>0</v>
      </c>
      <c r="E147" s="388">
        <f>SUMIFS('2019'!$I:$I,'2019'!$E:$E,Category!$B$134,'2019'!$N:$N,Category!E$1,'2019'!$D:$D,Category!$C147)</f>
        <v>0</v>
      </c>
      <c r="F147" s="388">
        <f>SUMIFS('2019'!$I:$I,'2019'!$E:$E,Category!$B$134,'2019'!$N:$N,Category!F$1,'2019'!$D:$D,Category!$C147)</f>
        <v>0</v>
      </c>
      <c r="G147" s="388">
        <f>SUMIFS('2019'!$I:$I,'2019'!$E:$E,Category!$B$134,'2019'!$N:$N,Category!G$1,'2019'!$D:$D,Category!$C147)</f>
        <v>0</v>
      </c>
      <c r="H147" s="388">
        <f>SUMIFS('2019'!$I:$I,'2019'!$E:$E,Category!$B$134,'2019'!$N:$N,Category!H$1,'2019'!$D:$D,Category!$C147)</f>
        <v>0</v>
      </c>
      <c r="I147" s="388">
        <f>SUMIFS('2019'!$I:$I,'2019'!$E:$E,Category!$B$134,'2019'!$N:$N,Category!I$1,'2019'!$D:$D,Category!$C147)</f>
        <v>0</v>
      </c>
      <c r="J147" s="389">
        <f t="shared" si="61"/>
        <v>0</v>
      </c>
      <c r="K147" s="506">
        <f>IFERROR(VLOOKUP($C147,'2020'!$D:$G,4,0),0)</f>
        <v>0</v>
      </c>
      <c r="L147" s="388">
        <f>SUMIFS('2020'!$I:$I,'2020'!$E:$E,Category!$B$134,'2020'!$N:$N,Category!L$1,'2020'!$D:$D,Category!$C147)</f>
        <v>0</v>
      </c>
      <c r="M147" s="388">
        <f>SUMIFS('2020'!$I:$I,'2020'!$E:$E,Category!$B$134,'2020'!$N:$N,Category!M$1,'2020'!$D:$D,Category!$C147)</f>
        <v>0</v>
      </c>
      <c r="N147" s="388">
        <f>SUMIFS('2020'!$I:$I,'2020'!$E:$E,Category!$B$134,'2020'!$N:$N,Category!N$1,'2020'!$D:$D,Category!$C147)</f>
        <v>0</v>
      </c>
      <c r="O147" s="388">
        <f>SUMIFS('2020'!$I:$I,'2020'!$E:$E,Category!$B$134,'2020'!$N:$N,Category!O$1,'2020'!$D:$D,Category!$C147)</f>
        <v>0</v>
      </c>
      <c r="P147" s="388">
        <f>SUMIFS('2020'!$I:$I,'2020'!$E:$E,Category!$B$134,'2020'!$N:$N,Category!P$1,'2020'!$D:$D,Category!$C147)</f>
        <v>0</v>
      </c>
      <c r="Q147" s="388">
        <f>SUMIFS('2020'!$I:$I,'2020'!$E:$E,Category!$B$134,'2020'!$N:$N,Category!Q$1,'2020'!$D:$D,Category!$C147)</f>
        <v>0</v>
      </c>
      <c r="R147" s="388">
        <f>SUMIFS('2020'!$I:$I,'2020'!$E:$E,Category!$B$134,'2020'!$N:$N,Category!R$1,'2020'!$D:$D,Category!$C147)</f>
        <v>0</v>
      </c>
      <c r="S147" s="388">
        <f>SUMIFS('2020'!$I:$I,'2020'!$E:$E,Category!$B$134,'2020'!$N:$N,Category!S$1,'2020'!$D:$D,Category!$C147)</f>
        <v>0</v>
      </c>
      <c r="T147" s="388">
        <f>SUMIFS('2020'!$I:$I,'2020'!$E:$E,Category!$B$134,'2020'!$N:$N,Category!T$1,'2020'!$D:$D,Category!$C147)</f>
        <v>0</v>
      </c>
      <c r="U147" s="388">
        <f>SUMIFS('2020'!$I:$I,'2020'!$E:$E,Category!$B$134,'2020'!$N:$N,Category!U$1,'2020'!$D:$D,Category!$C147)</f>
        <v>0</v>
      </c>
      <c r="V147" s="388">
        <f>SUMIFS('2020'!$I:$I,'2020'!$E:$E,Category!$B$134,'2020'!$N:$N,Category!V$1,'2020'!$D:$D,Category!$C147)</f>
        <v>0</v>
      </c>
      <c r="W147" s="388">
        <f>SUMIFS('2020'!$I:$I,'2020'!$E:$E,Category!$B$134,'2020'!$N:$N,Category!W$1,'2020'!$D:$D,Category!$C147)</f>
        <v>0</v>
      </c>
      <c r="X147" s="388">
        <v>0</v>
      </c>
      <c r="Y147" s="506">
        <f>IFERROR(VLOOKUP(C147,'2021'!$D:$G,4,0),0)</f>
        <v>1</v>
      </c>
      <c r="Z147" s="388">
        <f>SUMIFS('2021'!$I:$I,'2021'!$E:$E,Category!$B$134,'2021'!$N:$N,Category!Z$1,'2021'!$D:$D,Category!$C147)</f>
        <v>0</v>
      </c>
      <c r="AA147" s="388">
        <f>SUMIFS('2021'!$I:$I,'2021'!$E:$E,Category!$B$134,'2021'!$N:$N,Category!AA$1,'2021'!$D:$D,Category!$C147)</f>
        <v>0</v>
      </c>
      <c r="AB147" s="388">
        <f>SUMIFS('2021'!$I:$I,'2021'!$E:$E,Category!$B$134,'2021'!$N:$N,Category!AB$1,'2021'!$D:$D,Category!$C147)</f>
        <v>0</v>
      </c>
      <c r="AC147" s="388">
        <f>SUMIFS('2021'!$I:$I,'2021'!$E:$E,Category!$B$134,'2021'!$N:$N,Category!AC$1,'2021'!$D:$D,Category!$C147)</f>
        <v>0</v>
      </c>
      <c r="AD147" s="388">
        <f>SUMIFS('2021'!$I:$I,'2021'!$E:$E,Category!$B$134,'2021'!$N:$N,Category!AD$1,'2021'!$D:$D,Category!$C147)</f>
        <v>0</v>
      </c>
      <c r="AE147" s="388">
        <f>SUMIFS('2021'!$I:$I,'2021'!$E:$E,Category!$B$134,'2021'!$N:$N,Category!AE$1,'2021'!$D:$D,Category!$C147)</f>
        <v>0</v>
      </c>
      <c r="AF147" s="388">
        <f>SUMIFS('2021'!$I:$I,'2021'!$E:$E,Category!$B$134,'2021'!$N:$N,Category!AF$1,'2021'!$D:$D,Category!$C147)</f>
        <v>0</v>
      </c>
      <c r="AG147" s="388">
        <f>SUMIFS('2021'!$I:$I,'2021'!$E:$E,Category!$B$134,'2021'!$N:$N,Category!AG$1,'2021'!$D:$D,Category!$C147)</f>
        <v>0</v>
      </c>
      <c r="AH147" s="388">
        <f>SUMIFS('2021'!$I:$I,'2021'!$E:$E,Category!$B$134,'2021'!$N:$N,Category!AH$1,'2021'!$D:$D,Category!$C147)</f>
        <v>1000000</v>
      </c>
      <c r="AI147" s="388">
        <f>SUMIFS('2021'!$I:$I,'2021'!$E:$E,Category!$B$134,'2021'!$N:$N,Category!AI$1,'2021'!$D:$D,Category!$C147)</f>
        <v>1000000</v>
      </c>
      <c r="AJ147" s="388">
        <f>SUMIFS('2021'!$I:$I,'2021'!$E:$E,Category!$B$134,'2021'!$N:$N,Category!AJ$1,'2021'!$D:$D,Category!$C147)</f>
        <v>1000000</v>
      </c>
      <c r="AK147" s="388">
        <f>SUMIFS('2021'!$I:$I,'2021'!$E:$E,Category!$B$134,'2021'!$N:$N,Category!AK$1,'2021'!$D:$D,Category!$C147)</f>
        <v>1000000</v>
      </c>
      <c r="AL147" s="389">
        <f t="shared" si="63"/>
        <v>4000000</v>
      </c>
      <c r="AM147" s="506">
        <f>IFERROR(VLOOKUP(C147,'2022'!$D:$G,4,0),0)</f>
        <v>1</v>
      </c>
      <c r="AN147" s="388">
        <f>SUMIFS('2022'!$I:$I,'2022'!$E:$E,Category!$B$134,'2022'!$N:$N,Category!AN$1,'2022'!$D:$D,Category!$C147)</f>
        <v>1000000</v>
      </c>
      <c r="AO147" s="388">
        <f>SUMIFS('2022'!$I:$I,'2022'!$E:$E,Category!$B$134,'2022'!$N:$N,Category!AO$1,'2022'!$D:$D,Category!$C147)</f>
        <v>1000000</v>
      </c>
      <c r="AP147" s="388">
        <f>SUMIFS('2022'!$I:$I,'2022'!$E:$E,Category!$B$134,'2022'!$N:$N,Category!AP$1,'2022'!$D:$D,Category!$C147)</f>
        <v>1000000</v>
      </c>
      <c r="AQ147" s="388">
        <f>SUMIFS('2022'!$I:$I,'2022'!$E:$E,Category!$B$134,'2022'!$N:$N,Category!AQ$1,'2022'!$D:$D,Category!$C147)</f>
        <v>1000000</v>
      </c>
      <c r="AR147" s="388">
        <f>SUMIFS('2022'!$I:$I,'2022'!$E:$E,Category!$B$134,'2022'!$N:$N,Category!AR$1,'2022'!$D:$D,Category!$C147)</f>
        <v>1000000</v>
      </c>
      <c r="AS147" s="388">
        <f>SUMIFS('2022'!$I:$I,'2022'!$E:$E,Category!$B$134,'2022'!$N:$N,Category!AS$1,'2022'!$D:$D,Category!$C147)</f>
        <v>1000000</v>
      </c>
      <c r="AT147" s="388">
        <f>SUMIFS('2022'!$I:$I,'2022'!$E:$E,Category!$B$134,'2022'!$N:$N,Category!AT$1,'2022'!$D:$D,Category!$C147)</f>
        <v>1000000</v>
      </c>
      <c r="AU147" s="388">
        <f>SUMIFS('2022'!$I:$I,'2022'!$E:$E,Category!$B$134,'2022'!$N:$N,Category!AU$1,'2022'!$D:$D,Category!$C147)</f>
        <v>1000000</v>
      </c>
      <c r="AV147" s="388">
        <f>SUMIFS('2022'!$I:$I,'2022'!$E:$E,Category!$B$134,'2022'!$N:$N,Category!AV$1,'2022'!$D:$D,Category!$C147)</f>
        <v>1000000</v>
      </c>
      <c r="AW147" s="388">
        <f>SUMIFS('2022'!$I:$I,'2022'!$E:$E,Category!$B$134,'2022'!$N:$N,Category!AW$1,'2022'!$D:$D,Category!$C147)</f>
        <v>1000000</v>
      </c>
      <c r="AX147" s="388">
        <f>SUMIFS('2022'!$I:$I,'2022'!$E:$E,Category!$B$134,'2022'!$N:$N,Category!AX$1,'2022'!$D:$D,Category!$C147)</f>
        <v>1000000</v>
      </c>
      <c r="AY147" s="388">
        <f>SUMIFS('2022'!$I:$I,'2022'!$E:$E,Category!$B$134,'2022'!$N:$N,Category!AY$1,'2022'!$D:$D,Category!$C147)</f>
        <v>1000000</v>
      </c>
      <c r="AZ147" s="389">
        <f t="shared" si="64"/>
        <v>12000000</v>
      </c>
      <c r="BA147" s="506">
        <f>IFERROR(VLOOKUP(C147,'2023'!$D:$G,4,0),0)</f>
        <v>1</v>
      </c>
      <c r="BB147" s="388">
        <f>SUMIFS('2023'!$I:$I,'2023'!$E:$E,Category!$B$134,'2023'!$N:$N,Category!BB$1,'2023'!$D:$D,Category!$C147)</f>
        <v>1000000</v>
      </c>
      <c r="BC147" s="388">
        <f>SUMIFS('2023'!$I:$I,'2023'!$E:$E,Category!$B$134,'2023'!$N:$N,Category!BC$1,'2023'!$D:$D,Category!$C147)</f>
        <v>1000000</v>
      </c>
      <c r="BD147" s="388">
        <f>SUMIFS('2023'!$I:$I,'2023'!$E:$E,Category!$B$134,'2023'!$N:$N,Category!BD$1,'2023'!$D:$D,Category!$C147)</f>
        <v>0</v>
      </c>
      <c r="BE147" s="388">
        <f>SUMIFS('2023'!$I:$I,'2023'!$E:$E,Category!$B$134,'2023'!$N:$N,Category!BE$1,'2023'!$D:$D,Category!$C147)</f>
        <v>0</v>
      </c>
      <c r="BF147" s="388">
        <f>SUMIFS('2023'!$I:$I,'2023'!$E:$E,Category!$B$134,'2023'!$N:$N,Category!BF$1,'2023'!$D:$D,Category!$C147)</f>
        <v>0</v>
      </c>
      <c r="BG147" s="388">
        <f>SUMIFS('2023'!$I:$I,'2023'!$E:$E,Category!$B$134,'2023'!$N:$N,Category!BG$1,'2023'!$D:$D,Category!$C147)</f>
        <v>0</v>
      </c>
      <c r="BH147" s="388">
        <f>SUMIFS('2023'!$I:$I,'2023'!$E:$E,Category!$B$134,'2023'!$N:$N,Category!BH$1,'2023'!$D:$D,Category!$C147)</f>
        <v>0</v>
      </c>
      <c r="BI147" s="388">
        <f>SUMIFS('2023'!$I:$I,'2023'!$E:$E,Category!$B$134,'2023'!$N:$N,Category!BI$1,'2023'!$D:$D,Category!$C147)</f>
        <v>0</v>
      </c>
      <c r="BJ147" s="388">
        <f>SUMIFS('2023'!$I:$I,'2023'!$E:$E,Category!$B$134,'2023'!$N:$N,Category!BJ$1,'2023'!$D:$D,Category!$C147)</f>
        <v>0</v>
      </c>
      <c r="BK147" s="388">
        <f>SUMIFS('2023'!$I:$I,'2023'!$E:$E,Category!$B$134,'2023'!$N:$N,Category!BK$1,'2023'!$D:$D,Category!$C147)</f>
        <v>0</v>
      </c>
      <c r="BL147" s="388">
        <f>SUMIFS('2023'!$I:$I,'2023'!$E:$E,Category!$B$134,'2023'!$N:$N,Category!BL$1,'2023'!$D:$D,Category!$C147)</f>
        <v>0</v>
      </c>
      <c r="BM147" s="388">
        <f>SUMIFS('2023'!$I:$I,'2023'!$E:$E,Category!$B$134,'2023'!$N:$N,Category!BM$1,'2023'!$D:$D,Category!$C147)</f>
        <v>0</v>
      </c>
      <c r="BN147" s="389">
        <f t="shared" si="65"/>
        <v>2000000</v>
      </c>
    </row>
    <row r="148" spans="1:66" x14ac:dyDescent="0.3">
      <c r="A148" s="386"/>
      <c r="B148" s="387"/>
      <c r="C148" s="387" t="s">
        <v>878</v>
      </c>
      <c r="D148" s="524">
        <f>IFERROR(VLOOKUP($C148,'2019'!$D:$G,4,0),0)</f>
        <v>0</v>
      </c>
      <c r="E148" s="388">
        <f>SUMIFS('2019'!$I:$I,'2019'!$E:$E,Category!$B$134,'2019'!$N:$N,Category!E$1,'2019'!$D:$D,Category!$C148)</f>
        <v>0</v>
      </c>
      <c r="F148" s="388">
        <f>SUMIFS('2019'!$I:$I,'2019'!$E:$E,Category!$B$134,'2019'!$N:$N,Category!F$1,'2019'!$D:$D,Category!$C148)</f>
        <v>0</v>
      </c>
      <c r="G148" s="388">
        <f>SUMIFS('2019'!$I:$I,'2019'!$E:$E,Category!$B$134,'2019'!$N:$N,Category!G$1,'2019'!$D:$D,Category!$C148)</f>
        <v>0</v>
      </c>
      <c r="H148" s="388">
        <f>SUMIFS('2019'!$I:$I,'2019'!$E:$E,Category!$B$134,'2019'!$N:$N,Category!H$1,'2019'!$D:$D,Category!$C148)</f>
        <v>0</v>
      </c>
      <c r="I148" s="388">
        <f>SUMIFS('2019'!$I:$I,'2019'!$E:$E,Category!$B$134,'2019'!$N:$N,Category!I$1,'2019'!$D:$D,Category!$C148)</f>
        <v>0</v>
      </c>
      <c r="J148" s="389">
        <f t="shared" si="61"/>
        <v>0</v>
      </c>
      <c r="K148" s="506">
        <f>IFERROR(VLOOKUP($C148,'2020'!$D:$G,4,0),0)</f>
        <v>0</v>
      </c>
      <c r="L148" s="388">
        <f>SUMIFS('2020'!$I:$I,'2020'!$E:$E,Category!$B$134,'2020'!$N:$N,Category!L$1,'2020'!$D:$D,Category!$C148)</f>
        <v>0</v>
      </c>
      <c r="M148" s="388">
        <f>SUMIFS('2020'!$I:$I,'2020'!$E:$E,Category!$B$134,'2020'!$N:$N,Category!M$1,'2020'!$D:$D,Category!$C148)</f>
        <v>0</v>
      </c>
      <c r="N148" s="388">
        <f>SUMIFS('2020'!$I:$I,'2020'!$E:$E,Category!$B$134,'2020'!$N:$N,Category!N$1,'2020'!$D:$D,Category!$C148)</f>
        <v>0</v>
      </c>
      <c r="O148" s="388">
        <f>SUMIFS('2020'!$I:$I,'2020'!$E:$E,Category!$B$134,'2020'!$N:$N,Category!O$1,'2020'!$D:$D,Category!$C148)</f>
        <v>0</v>
      </c>
      <c r="P148" s="388">
        <f>SUMIFS('2020'!$I:$I,'2020'!$E:$E,Category!$B$134,'2020'!$N:$N,Category!P$1,'2020'!$D:$D,Category!$C148)</f>
        <v>0</v>
      </c>
      <c r="Q148" s="388">
        <f>SUMIFS('2020'!$I:$I,'2020'!$E:$E,Category!$B$134,'2020'!$N:$N,Category!Q$1,'2020'!$D:$D,Category!$C148)</f>
        <v>0</v>
      </c>
      <c r="R148" s="388">
        <f>SUMIFS('2020'!$I:$I,'2020'!$E:$E,Category!$B$134,'2020'!$N:$N,Category!R$1,'2020'!$D:$D,Category!$C148)</f>
        <v>0</v>
      </c>
      <c r="S148" s="388">
        <f>SUMIFS('2020'!$I:$I,'2020'!$E:$E,Category!$B$134,'2020'!$N:$N,Category!S$1,'2020'!$D:$D,Category!$C148)</f>
        <v>0</v>
      </c>
      <c r="T148" s="388">
        <f>SUMIFS('2020'!$I:$I,'2020'!$E:$E,Category!$B$134,'2020'!$N:$N,Category!T$1,'2020'!$D:$D,Category!$C148)</f>
        <v>0</v>
      </c>
      <c r="U148" s="388">
        <f>SUMIFS('2020'!$I:$I,'2020'!$E:$E,Category!$B$134,'2020'!$N:$N,Category!U$1,'2020'!$D:$D,Category!$C148)</f>
        <v>0</v>
      </c>
      <c r="V148" s="388">
        <f>SUMIFS('2020'!$I:$I,'2020'!$E:$E,Category!$B$134,'2020'!$N:$N,Category!V$1,'2020'!$D:$D,Category!$C148)</f>
        <v>0</v>
      </c>
      <c r="W148" s="388">
        <f>SUMIFS('2020'!$I:$I,'2020'!$E:$E,Category!$B$134,'2020'!$N:$N,Category!W$1,'2020'!$D:$D,Category!$C148)</f>
        <v>0</v>
      </c>
      <c r="X148" s="388">
        <v>0</v>
      </c>
      <c r="Y148" s="506">
        <f>IFERROR(VLOOKUP(C148,'2021'!$D:$G,4,0),0)</f>
        <v>1</v>
      </c>
      <c r="Z148" s="388">
        <f>SUMIFS('2021'!$I:$I,'2021'!$E:$E,Category!$B$134,'2021'!$N:$N,Category!Z$1,'2021'!$D:$D,Category!$C148)</f>
        <v>0</v>
      </c>
      <c r="AA148" s="388">
        <f>SUMIFS('2021'!$I:$I,'2021'!$E:$E,Category!$B$134,'2021'!$N:$N,Category!AA$1,'2021'!$D:$D,Category!$C148)</f>
        <v>0</v>
      </c>
      <c r="AB148" s="388">
        <f>SUMIFS('2021'!$I:$I,'2021'!$E:$E,Category!$B$134,'2021'!$N:$N,Category!AB$1,'2021'!$D:$D,Category!$C148)</f>
        <v>0</v>
      </c>
      <c r="AC148" s="388">
        <f>SUMIFS('2021'!$I:$I,'2021'!$E:$E,Category!$B$134,'2021'!$N:$N,Category!AC$1,'2021'!$D:$D,Category!$C148)</f>
        <v>0</v>
      </c>
      <c r="AD148" s="388">
        <f>SUMIFS('2021'!$I:$I,'2021'!$E:$E,Category!$B$134,'2021'!$N:$N,Category!AD$1,'2021'!$D:$D,Category!$C148)</f>
        <v>0</v>
      </c>
      <c r="AE148" s="388">
        <f>SUMIFS('2021'!$I:$I,'2021'!$E:$E,Category!$B$134,'2021'!$N:$N,Category!AE$1,'2021'!$D:$D,Category!$C148)</f>
        <v>0</v>
      </c>
      <c r="AF148" s="388">
        <f>SUMIFS('2021'!$I:$I,'2021'!$E:$E,Category!$B$134,'2021'!$N:$N,Category!AF$1,'2021'!$D:$D,Category!$C148)</f>
        <v>0</v>
      </c>
      <c r="AG148" s="388">
        <f>SUMIFS('2021'!$I:$I,'2021'!$E:$E,Category!$B$134,'2021'!$N:$N,Category!AG$1,'2021'!$D:$D,Category!$C148)</f>
        <v>0</v>
      </c>
      <c r="AH148" s="388">
        <f>SUMIFS('2021'!$I:$I,'2021'!$E:$E,Category!$B$134,'2021'!$N:$N,Category!AH$1,'2021'!$D:$D,Category!$C148)</f>
        <v>1000000</v>
      </c>
      <c r="AI148" s="388">
        <f>SUMIFS('2021'!$I:$I,'2021'!$E:$E,Category!$B$134,'2021'!$N:$N,Category!AI$1,'2021'!$D:$D,Category!$C148)</f>
        <v>1000000</v>
      </c>
      <c r="AJ148" s="388">
        <f>SUMIFS('2021'!$I:$I,'2021'!$E:$E,Category!$B$134,'2021'!$N:$N,Category!AJ$1,'2021'!$D:$D,Category!$C148)</f>
        <v>1000000</v>
      </c>
      <c r="AK148" s="388">
        <f>SUMIFS('2021'!$I:$I,'2021'!$E:$E,Category!$B$134,'2021'!$N:$N,Category!AK$1,'2021'!$D:$D,Category!$C148)</f>
        <v>1000000</v>
      </c>
      <c r="AL148" s="389">
        <f t="shared" si="63"/>
        <v>4000000</v>
      </c>
      <c r="AM148" s="506">
        <f>IFERROR(VLOOKUP(C148,'2022'!$D:$G,4,0),0)</f>
        <v>1</v>
      </c>
      <c r="AN148" s="388">
        <f>SUMIFS('2022'!$I:$I,'2022'!$E:$E,Category!$B$134,'2022'!$N:$N,Category!AN$1,'2022'!$D:$D,Category!$C148)</f>
        <v>1000000</v>
      </c>
      <c r="AO148" s="388">
        <f>SUMIFS('2022'!$I:$I,'2022'!$E:$E,Category!$B$134,'2022'!$N:$N,Category!AO$1,'2022'!$D:$D,Category!$C148)</f>
        <v>1000000</v>
      </c>
      <c r="AP148" s="388">
        <f>SUMIFS('2022'!$I:$I,'2022'!$E:$E,Category!$B$134,'2022'!$N:$N,Category!AP$1,'2022'!$D:$D,Category!$C148)</f>
        <v>1000000</v>
      </c>
      <c r="AQ148" s="388">
        <f>SUMIFS('2022'!$I:$I,'2022'!$E:$E,Category!$B$134,'2022'!$N:$N,Category!AQ$1,'2022'!$D:$D,Category!$C148)</f>
        <v>1000000</v>
      </c>
      <c r="AR148" s="388">
        <f>SUMIFS('2022'!$I:$I,'2022'!$E:$E,Category!$B$134,'2022'!$N:$N,Category!AR$1,'2022'!$D:$D,Category!$C148)</f>
        <v>1000000</v>
      </c>
      <c r="AS148" s="388">
        <f>SUMIFS('2022'!$I:$I,'2022'!$E:$E,Category!$B$134,'2022'!$N:$N,Category!AS$1,'2022'!$D:$D,Category!$C148)</f>
        <v>1000000</v>
      </c>
      <c r="AT148" s="388">
        <f>SUMIFS('2022'!$I:$I,'2022'!$E:$E,Category!$B$134,'2022'!$N:$N,Category!AT$1,'2022'!$D:$D,Category!$C148)</f>
        <v>1000000</v>
      </c>
      <c r="AU148" s="388">
        <f>SUMIFS('2022'!$I:$I,'2022'!$E:$E,Category!$B$134,'2022'!$N:$N,Category!AU$1,'2022'!$D:$D,Category!$C148)</f>
        <v>1000000</v>
      </c>
      <c r="AV148" s="388">
        <f>SUMIFS('2022'!$I:$I,'2022'!$E:$E,Category!$B$134,'2022'!$N:$N,Category!AV$1,'2022'!$D:$D,Category!$C148)</f>
        <v>1000000</v>
      </c>
      <c r="AW148" s="388">
        <f>SUMIFS('2022'!$I:$I,'2022'!$E:$E,Category!$B$134,'2022'!$N:$N,Category!AW$1,'2022'!$D:$D,Category!$C148)</f>
        <v>1000000</v>
      </c>
      <c r="AX148" s="388">
        <f>SUMIFS('2022'!$I:$I,'2022'!$E:$E,Category!$B$134,'2022'!$N:$N,Category!AX$1,'2022'!$D:$D,Category!$C148)</f>
        <v>1000000</v>
      </c>
      <c r="AY148" s="388">
        <f>SUMIFS('2022'!$I:$I,'2022'!$E:$E,Category!$B$134,'2022'!$N:$N,Category!AY$1,'2022'!$D:$D,Category!$C148)</f>
        <v>1000000</v>
      </c>
      <c r="AZ148" s="389">
        <f t="shared" si="64"/>
        <v>12000000</v>
      </c>
      <c r="BA148" s="506">
        <f>IFERROR(VLOOKUP(C148,'2023'!$D:$G,4,0),0)</f>
        <v>1</v>
      </c>
      <c r="BB148" s="388">
        <f>SUMIFS('2023'!$I:$I,'2023'!$E:$E,Category!$B$134,'2023'!$N:$N,Category!BB$1,'2023'!$D:$D,Category!$C148)</f>
        <v>1000000</v>
      </c>
      <c r="BC148" s="388">
        <f>SUMIFS('2023'!$I:$I,'2023'!$E:$E,Category!$B$134,'2023'!$N:$N,Category!BC$1,'2023'!$D:$D,Category!$C148)</f>
        <v>1000000</v>
      </c>
      <c r="BD148" s="388">
        <f>SUMIFS('2023'!$I:$I,'2023'!$E:$E,Category!$B$134,'2023'!$N:$N,Category!BD$1,'2023'!$D:$D,Category!$C148)</f>
        <v>0</v>
      </c>
      <c r="BE148" s="388">
        <f>SUMIFS('2023'!$I:$I,'2023'!$E:$E,Category!$B$134,'2023'!$N:$N,Category!BE$1,'2023'!$D:$D,Category!$C148)</f>
        <v>0</v>
      </c>
      <c r="BF148" s="388">
        <f>SUMIFS('2023'!$I:$I,'2023'!$E:$E,Category!$B$134,'2023'!$N:$N,Category!BF$1,'2023'!$D:$D,Category!$C148)</f>
        <v>0</v>
      </c>
      <c r="BG148" s="388">
        <f>SUMIFS('2023'!$I:$I,'2023'!$E:$E,Category!$B$134,'2023'!$N:$N,Category!BG$1,'2023'!$D:$D,Category!$C148)</f>
        <v>0</v>
      </c>
      <c r="BH148" s="388">
        <f>SUMIFS('2023'!$I:$I,'2023'!$E:$E,Category!$B$134,'2023'!$N:$N,Category!BH$1,'2023'!$D:$D,Category!$C148)</f>
        <v>0</v>
      </c>
      <c r="BI148" s="388">
        <f>SUMIFS('2023'!$I:$I,'2023'!$E:$E,Category!$B$134,'2023'!$N:$N,Category!BI$1,'2023'!$D:$D,Category!$C148)</f>
        <v>0</v>
      </c>
      <c r="BJ148" s="388">
        <f>SUMIFS('2023'!$I:$I,'2023'!$E:$E,Category!$B$134,'2023'!$N:$N,Category!BJ$1,'2023'!$D:$D,Category!$C148)</f>
        <v>0</v>
      </c>
      <c r="BK148" s="388">
        <f>SUMIFS('2023'!$I:$I,'2023'!$E:$E,Category!$B$134,'2023'!$N:$N,Category!BK$1,'2023'!$D:$D,Category!$C148)</f>
        <v>0</v>
      </c>
      <c r="BL148" s="388">
        <f>SUMIFS('2023'!$I:$I,'2023'!$E:$E,Category!$B$134,'2023'!$N:$N,Category!BL$1,'2023'!$D:$D,Category!$C148)</f>
        <v>0</v>
      </c>
      <c r="BM148" s="388">
        <f>SUMIFS('2023'!$I:$I,'2023'!$E:$E,Category!$B$134,'2023'!$N:$N,Category!BM$1,'2023'!$D:$D,Category!$C148)</f>
        <v>0</v>
      </c>
      <c r="BN148" s="389">
        <f t="shared" si="65"/>
        <v>2000000</v>
      </c>
    </row>
    <row r="149" spans="1:66" x14ac:dyDescent="0.3">
      <c r="A149" s="386"/>
      <c r="B149" s="387"/>
      <c r="C149" s="387" t="s">
        <v>879</v>
      </c>
      <c r="D149" s="524">
        <f>IFERROR(VLOOKUP($C149,'2019'!$D:$G,4,0),0)</f>
        <v>0</v>
      </c>
      <c r="E149" s="388">
        <f>SUMIFS('2019'!$I:$I,'2019'!$E:$E,Category!$B$134,'2019'!$N:$N,Category!E$1,'2019'!$D:$D,Category!$C149)</f>
        <v>0</v>
      </c>
      <c r="F149" s="388">
        <f>SUMIFS('2019'!$I:$I,'2019'!$E:$E,Category!$B$134,'2019'!$N:$N,Category!F$1,'2019'!$D:$D,Category!$C149)</f>
        <v>0</v>
      </c>
      <c r="G149" s="388">
        <f>SUMIFS('2019'!$I:$I,'2019'!$E:$E,Category!$B$134,'2019'!$N:$N,Category!G$1,'2019'!$D:$D,Category!$C149)</f>
        <v>0</v>
      </c>
      <c r="H149" s="388">
        <f>SUMIFS('2019'!$I:$I,'2019'!$E:$E,Category!$B$134,'2019'!$N:$N,Category!H$1,'2019'!$D:$D,Category!$C149)</f>
        <v>0</v>
      </c>
      <c r="I149" s="388">
        <f>SUMIFS('2019'!$I:$I,'2019'!$E:$E,Category!$B$134,'2019'!$N:$N,Category!I$1,'2019'!$D:$D,Category!$C149)</f>
        <v>0</v>
      </c>
      <c r="J149" s="389">
        <f t="shared" si="61"/>
        <v>0</v>
      </c>
      <c r="K149" s="506">
        <f>IFERROR(VLOOKUP($C149,'2020'!$D:$G,4,0),0)</f>
        <v>0</v>
      </c>
      <c r="L149" s="388">
        <f>SUMIFS('2020'!$I:$I,'2020'!$E:$E,Category!$B$134,'2020'!$N:$N,Category!L$1,'2020'!$D:$D,Category!$C149)</f>
        <v>0</v>
      </c>
      <c r="M149" s="388">
        <f>SUMIFS('2020'!$I:$I,'2020'!$E:$E,Category!$B$134,'2020'!$N:$N,Category!M$1,'2020'!$D:$D,Category!$C149)</f>
        <v>0</v>
      </c>
      <c r="N149" s="388">
        <f>SUMIFS('2020'!$I:$I,'2020'!$E:$E,Category!$B$134,'2020'!$N:$N,Category!N$1,'2020'!$D:$D,Category!$C149)</f>
        <v>0</v>
      </c>
      <c r="O149" s="388">
        <f>SUMIFS('2020'!$I:$I,'2020'!$E:$E,Category!$B$134,'2020'!$N:$N,Category!O$1,'2020'!$D:$D,Category!$C149)</f>
        <v>0</v>
      </c>
      <c r="P149" s="388">
        <f>SUMIFS('2020'!$I:$I,'2020'!$E:$E,Category!$B$134,'2020'!$N:$N,Category!P$1,'2020'!$D:$D,Category!$C149)</f>
        <v>0</v>
      </c>
      <c r="Q149" s="388">
        <f>SUMIFS('2020'!$I:$I,'2020'!$E:$E,Category!$B$134,'2020'!$N:$N,Category!Q$1,'2020'!$D:$D,Category!$C149)</f>
        <v>0</v>
      </c>
      <c r="R149" s="388">
        <f>SUMIFS('2020'!$I:$I,'2020'!$E:$E,Category!$B$134,'2020'!$N:$N,Category!R$1,'2020'!$D:$D,Category!$C149)</f>
        <v>0</v>
      </c>
      <c r="S149" s="388">
        <f>SUMIFS('2020'!$I:$I,'2020'!$E:$E,Category!$B$134,'2020'!$N:$N,Category!S$1,'2020'!$D:$D,Category!$C149)</f>
        <v>0</v>
      </c>
      <c r="T149" s="388">
        <f>SUMIFS('2020'!$I:$I,'2020'!$E:$E,Category!$B$134,'2020'!$N:$N,Category!T$1,'2020'!$D:$D,Category!$C149)</f>
        <v>0</v>
      </c>
      <c r="U149" s="388">
        <f>SUMIFS('2020'!$I:$I,'2020'!$E:$E,Category!$B$134,'2020'!$N:$N,Category!U$1,'2020'!$D:$D,Category!$C149)</f>
        <v>0</v>
      </c>
      <c r="V149" s="388">
        <f>SUMIFS('2020'!$I:$I,'2020'!$E:$E,Category!$B$134,'2020'!$N:$N,Category!V$1,'2020'!$D:$D,Category!$C149)</f>
        <v>0</v>
      </c>
      <c r="W149" s="388">
        <f>SUMIFS('2020'!$I:$I,'2020'!$E:$E,Category!$B$134,'2020'!$N:$N,Category!W$1,'2020'!$D:$D,Category!$C149)</f>
        <v>0</v>
      </c>
      <c r="X149" s="388">
        <v>0</v>
      </c>
      <c r="Y149" s="506">
        <f>IFERROR(VLOOKUP(C149,'2021'!$D:$G,4,0),0)</f>
        <v>1</v>
      </c>
      <c r="Z149" s="388">
        <f>SUMIFS('2021'!$I:$I,'2021'!$E:$E,Category!$B$134,'2021'!$N:$N,Category!Z$1,'2021'!$D:$D,Category!$C149)</f>
        <v>0</v>
      </c>
      <c r="AA149" s="388">
        <f>SUMIFS('2021'!$I:$I,'2021'!$E:$E,Category!$B$134,'2021'!$N:$N,Category!AA$1,'2021'!$D:$D,Category!$C149)</f>
        <v>0</v>
      </c>
      <c r="AB149" s="388">
        <f>SUMIFS('2021'!$I:$I,'2021'!$E:$E,Category!$B$134,'2021'!$N:$N,Category!AB$1,'2021'!$D:$D,Category!$C149)</f>
        <v>0</v>
      </c>
      <c r="AC149" s="388">
        <f>SUMIFS('2021'!$I:$I,'2021'!$E:$E,Category!$B$134,'2021'!$N:$N,Category!AC$1,'2021'!$D:$D,Category!$C149)</f>
        <v>0</v>
      </c>
      <c r="AD149" s="388">
        <f>SUMIFS('2021'!$I:$I,'2021'!$E:$E,Category!$B$134,'2021'!$N:$N,Category!AD$1,'2021'!$D:$D,Category!$C149)</f>
        <v>0</v>
      </c>
      <c r="AE149" s="388">
        <f>SUMIFS('2021'!$I:$I,'2021'!$E:$E,Category!$B$134,'2021'!$N:$N,Category!AE$1,'2021'!$D:$D,Category!$C149)</f>
        <v>0</v>
      </c>
      <c r="AF149" s="388">
        <f>SUMIFS('2021'!$I:$I,'2021'!$E:$E,Category!$B$134,'2021'!$N:$N,Category!AF$1,'2021'!$D:$D,Category!$C149)</f>
        <v>0</v>
      </c>
      <c r="AG149" s="388">
        <f>SUMIFS('2021'!$I:$I,'2021'!$E:$E,Category!$B$134,'2021'!$N:$N,Category!AG$1,'2021'!$D:$D,Category!$C149)</f>
        <v>0</v>
      </c>
      <c r="AH149" s="388">
        <f>SUMIFS('2021'!$I:$I,'2021'!$E:$E,Category!$B$134,'2021'!$N:$N,Category!AH$1,'2021'!$D:$D,Category!$C149)</f>
        <v>1000000</v>
      </c>
      <c r="AI149" s="388">
        <f>SUMIFS('2021'!$I:$I,'2021'!$E:$E,Category!$B$134,'2021'!$N:$N,Category!AI$1,'2021'!$D:$D,Category!$C149)</f>
        <v>1000000</v>
      </c>
      <c r="AJ149" s="388">
        <f>SUMIFS('2021'!$I:$I,'2021'!$E:$E,Category!$B$134,'2021'!$N:$N,Category!AJ$1,'2021'!$D:$D,Category!$C149)</f>
        <v>1000000</v>
      </c>
      <c r="AK149" s="388">
        <f>SUMIFS('2021'!$I:$I,'2021'!$E:$E,Category!$B$134,'2021'!$N:$N,Category!AK$1,'2021'!$D:$D,Category!$C149)</f>
        <v>1000000</v>
      </c>
      <c r="AL149" s="389">
        <f t="shared" si="63"/>
        <v>4000000</v>
      </c>
      <c r="AM149" s="506">
        <f>IFERROR(VLOOKUP(C149,'2022'!$D:$G,4,0),0)</f>
        <v>1</v>
      </c>
      <c r="AN149" s="388">
        <f>SUMIFS('2022'!$I:$I,'2022'!$E:$E,Category!$B$134,'2022'!$N:$N,Category!AN$1,'2022'!$D:$D,Category!$C149)</f>
        <v>1000000</v>
      </c>
      <c r="AO149" s="388">
        <f>SUMIFS('2022'!$I:$I,'2022'!$E:$E,Category!$B$134,'2022'!$N:$N,Category!AO$1,'2022'!$D:$D,Category!$C149)</f>
        <v>1000000</v>
      </c>
      <c r="AP149" s="388">
        <f>SUMIFS('2022'!$I:$I,'2022'!$E:$E,Category!$B$134,'2022'!$N:$N,Category!AP$1,'2022'!$D:$D,Category!$C149)</f>
        <v>1000000</v>
      </c>
      <c r="AQ149" s="388">
        <f>SUMIFS('2022'!$I:$I,'2022'!$E:$E,Category!$B$134,'2022'!$N:$N,Category!AQ$1,'2022'!$D:$D,Category!$C149)</f>
        <v>1000000</v>
      </c>
      <c r="AR149" s="388">
        <f>SUMIFS('2022'!$I:$I,'2022'!$E:$E,Category!$B$134,'2022'!$N:$N,Category!AR$1,'2022'!$D:$D,Category!$C149)</f>
        <v>1000000</v>
      </c>
      <c r="AS149" s="388">
        <f>SUMIFS('2022'!$I:$I,'2022'!$E:$E,Category!$B$134,'2022'!$N:$N,Category!AS$1,'2022'!$D:$D,Category!$C149)</f>
        <v>1000000</v>
      </c>
      <c r="AT149" s="388">
        <f>SUMIFS('2022'!$I:$I,'2022'!$E:$E,Category!$B$134,'2022'!$N:$N,Category!AT$1,'2022'!$D:$D,Category!$C149)</f>
        <v>1000000</v>
      </c>
      <c r="AU149" s="388">
        <f>SUMIFS('2022'!$I:$I,'2022'!$E:$E,Category!$B$134,'2022'!$N:$N,Category!AU$1,'2022'!$D:$D,Category!$C149)</f>
        <v>1000000</v>
      </c>
      <c r="AV149" s="388">
        <f>SUMIFS('2022'!$I:$I,'2022'!$E:$E,Category!$B$134,'2022'!$N:$N,Category!AV$1,'2022'!$D:$D,Category!$C149)</f>
        <v>1000000</v>
      </c>
      <c r="AW149" s="388">
        <f>SUMIFS('2022'!$I:$I,'2022'!$E:$E,Category!$B$134,'2022'!$N:$N,Category!AW$1,'2022'!$D:$D,Category!$C149)</f>
        <v>1000000</v>
      </c>
      <c r="AX149" s="388">
        <f>SUMIFS('2022'!$I:$I,'2022'!$E:$E,Category!$B$134,'2022'!$N:$N,Category!AX$1,'2022'!$D:$D,Category!$C149)</f>
        <v>1000000</v>
      </c>
      <c r="AY149" s="388">
        <f>SUMIFS('2022'!$I:$I,'2022'!$E:$E,Category!$B$134,'2022'!$N:$N,Category!AY$1,'2022'!$D:$D,Category!$C149)</f>
        <v>1000000</v>
      </c>
      <c r="AZ149" s="389">
        <f t="shared" si="64"/>
        <v>12000000</v>
      </c>
      <c r="BA149" s="506">
        <f>IFERROR(VLOOKUP(C149,'2023'!$D:$G,4,0),0)</f>
        <v>1</v>
      </c>
      <c r="BB149" s="388">
        <f>SUMIFS('2023'!$I:$I,'2023'!$E:$E,Category!$B$134,'2023'!$N:$N,Category!BB$1,'2023'!$D:$D,Category!$C149)</f>
        <v>1000000</v>
      </c>
      <c r="BC149" s="388">
        <f>SUMIFS('2023'!$I:$I,'2023'!$E:$E,Category!$B$134,'2023'!$N:$N,Category!BC$1,'2023'!$D:$D,Category!$C149)</f>
        <v>1000000</v>
      </c>
      <c r="BD149" s="388">
        <f>SUMIFS('2023'!$I:$I,'2023'!$E:$E,Category!$B$134,'2023'!$N:$N,Category!BD$1,'2023'!$D:$D,Category!$C149)</f>
        <v>0</v>
      </c>
      <c r="BE149" s="388">
        <f>SUMIFS('2023'!$I:$I,'2023'!$E:$E,Category!$B$134,'2023'!$N:$N,Category!BE$1,'2023'!$D:$D,Category!$C149)</f>
        <v>0</v>
      </c>
      <c r="BF149" s="388">
        <f>SUMIFS('2023'!$I:$I,'2023'!$E:$E,Category!$B$134,'2023'!$N:$N,Category!BF$1,'2023'!$D:$D,Category!$C149)</f>
        <v>0</v>
      </c>
      <c r="BG149" s="388">
        <f>SUMIFS('2023'!$I:$I,'2023'!$E:$E,Category!$B$134,'2023'!$N:$N,Category!BG$1,'2023'!$D:$D,Category!$C149)</f>
        <v>0</v>
      </c>
      <c r="BH149" s="388">
        <f>SUMIFS('2023'!$I:$I,'2023'!$E:$E,Category!$B$134,'2023'!$N:$N,Category!BH$1,'2023'!$D:$D,Category!$C149)</f>
        <v>0</v>
      </c>
      <c r="BI149" s="388">
        <f>SUMIFS('2023'!$I:$I,'2023'!$E:$E,Category!$B$134,'2023'!$N:$N,Category!BI$1,'2023'!$D:$D,Category!$C149)</f>
        <v>0</v>
      </c>
      <c r="BJ149" s="388">
        <f>SUMIFS('2023'!$I:$I,'2023'!$E:$E,Category!$B$134,'2023'!$N:$N,Category!BJ$1,'2023'!$D:$D,Category!$C149)</f>
        <v>0</v>
      </c>
      <c r="BK149" s="388">
        <f>SUMIFS('2023'!$I:$I,'2023'!$E:$E,Category!$B$134,'2023'!$N:$N,Category!BK$1,'2023'!$D:$D,Category!$C149)</f>
        <v>0</v>
      </c>
      <c r="BL149" s="388">
        <f>SUMIFS('2023'!$I:$I,'2023'!$E:$E,Category!$B$134,'2023'!$N:$N,Category!BL$1,'2023'!$D:$D,Category!$C149)</f>
        <v>0</v>
      </c>
      <c r="BM149" s="388">
        <f>SUMIFS('2023'!$I:$I,'2023'!$E:$E,Category!$B$134,'2023'!$N:$N,Category!BM$1,'2023'!$D:$D,Category!$C149)</f>
        <v>0</v>
      </c>
      <c r="BN149" s="389">
        <f t="shared" si="65"/>
        <v>2000000</v>
      </c>
    </row>
    <row r="150" spans="1:66" x14ac:dyDescent="0.3">
      <c r="A150" s="386"/>
      <c r="B150" s="387"/>
      <c r="C150" s="387" t="s">
        <v>951</v>
      </c>
      <c r="D150" s="524">
        <f>IFERROR(VLOOKUP($C150,'2019'!$D:$G,4,0),0)</f>
        <v>0</v>
      </c>
      <c r="E150" s="388">
        <f>SUMIFS('2019'!$I:$I,'2019'!$E:$E,Category!$B$134,'2019'!$N:$N,Category!E$1,'2019'!$D:$D,Category!$C150)</f>
        <v>0</v>
      </c>
      <c r="F150" s="388">
        <f>SUMIFS('2019'!$I:$I,'2019'!$E:$E,Category!$B$134,'2019'!$N:$N,Category!F$1,'2019'!$D:$D,Category!$C150)</f>
        <v>0</v>
      </c>
      <c r="G150" s="388">
        <f>SUMIFS('2019'!$I:$I,'2019'!$E:$E,Category!$B$134,'2019'!$N:$N,Category!G$1,'2019'!$D:$D,Category!$C150)</f>
        <v>0</v>
      </c>
      <c r="H150" s="388">
        <f>SUMIFS('2019'!$I:$I,'2019'!$E:$E,Category!$B$134,'2019'!$N:$N,Category!H$1,'2019'!$D:$D,Category!$C150)</f>
        <v>0</v>
      </c>
      <c r="I150" s="388">
        <f>SUMIFS('2019'!$I:$I,'2019'!$E:$E,Category!$B$134,'2019'!$N:$N,Category!I$1,'2019'!$D:$D,Category!$C150)</f>
        <v>0</v>
      </c>
      <c r="J150" s="389">
        <f t="shared" si="61"/>
        <v>0</v>
      </c>
      <c r="K150" s="506">
        <f>IFERROR(VLOOKUP($C150,'2020'!$D:$G,4,0),0)</f>
        <v>0</v>
      </c>
      <c r="L150" s="388">
        <f>SUMIFS('2020'!$I:$I,'2020'!$E:$E,Category!$B$134,'2020'!$N:$N,Category!L$1,'2020'!$D:$D,Category!$C150)</f>
        <v>0</v>
      </c>
      <c r="M150" s="388">
        <f>SUMIFS('2020'!$I:$I,'2020'!$E:$E,Category!$B$134,'2020'!$N:$N,Category!M$1,'2020'!$D:$D,Category!$C150)</f>
        <v>0</v>
      </c>
      <c r="N150" s="388">
        <f>SUMIFS('2020'!$I:$I,'2020'!$E:$E,Category!$B$134,'2020'!$N:$N,Category!N$1,'2020'!$D:$D,Category!$C150)</f>
        <v>0</v>
      </c>
      <c r="O150" s="388">
        <f>SUMIFS('2020'!$I:$I,'2020'!$E:$E,Category!$B$134,'2020'!$N:$N,Category!O$1,'2020'!$D:$D,Category!$C150)</f>
        <v>0</v>
      </c>
      <c r="P150" s="388">
        <f>SUMIFS('2020'!$I:$I,'2020'!$E:$E,Category!$B$134,'2020'!$N:$N,Category!P$1,'2020'!$D:$D,Category!$C150)</f>
        <v>0</v>
      </c>
      <c r="Q150" s="388">
        <f>SUMIFS('2020'!$I:$I,'2020'!$E:$E,Category!$B$134,'2020'!$N:$N,Category!Q$1,'2020'!$D:$D,Category!$C150)</f>
        <v>0</v>
      </c>
      <c r="R150" s="388">
        <f>SUMIFS('2020'!$I:$I,'2020'!$E:$E,Category!$B$134,'2020'!$N:$N,Category!R$1,'2020'!$D:$D,Category!$C150)</f>
        <v>0</v>
      </c>
      <c r="S150" s="388">
        <f>SUMIFS('2020'!$I:$I,'2020'!$E:$E,Category!$B$134,'2020'!$N:$N,Category!S$1,'2020'!$D:$D,Category!$C150)</f>
        <v>0</v>
      </c>
      <c r="T150" s="388">
        <f>SUMIFS('2020'!$I:$I,'2020'!$E:$E,Category!$B$134,'2020'!$N:$N,Category!T$1,'2020'!$D:$D,Category!$C150)</f>
        <v>0</v>
      </c>
      <c r="U150" s="388">
        <f>SUMIFS('2020'!$I:$I,'2020'!$E:$E,Category!$B$134,'2020'!$N:$N,Category!U$1,'2020'!$D:$D,Category!$C150)</f>
        <v>0</v>
      </c>
      <c r="V150" s="388">
        <f>SUMIFS('2020'!$I:$I,'2020'!$E:$E,Category!$B$134,'2020'!$N:$N,Category!V$1,'2020'!$D:$D,Category!$C150)</f>
        <v>0</v>
      </c>
      <c r="W150" s="388">
        <f>SUMIFS('2020'!$I:$I,'2020'!$E:$E,Category!$B$134,'2020'!$N:$N,Category!W$1,'2020'!$D:$D,Category!$C150)</f>
        <v>0</v>
      </c>
      <c r="X150" s="388">
        <v>0</v>
      </c>
      <c r="Y150" s="506">
        <f>IFERROR(VLOOKUP(C150,'2021'!$D:$G,4,0),0)</f>
        <v>1</v>
      </c>
      <c r="Z150" s="388">
        <f>SUMIFS('2021'!$I:$I,'2021'!$E:$E,Category!$B$134,'2021'!$N:$N,Category!Z$1,'2021'!$D:$D,Category!$C150)</f>
        <v>0</v>
      </c>
      <c r="AA150" s="388">
        <f>SUMIFS('2021'!$I:$I,'2021'!$E:$E,Category!$B$134,'2021'!$N:$N,Category!AA$1,'2021'!$D:$D,Category!$C150)</f>
        <v>0</v>
      </c>
      <c r="AB150" s="388">
        <f>SUMIFS('2021'!$I:$I,'2021'!$E:$E,Category!$B$134,'2021'!$N:$N,Category!AB$1,'2021'!$D:$D,Category!$C150)</f>
        <v>0</v>
      </c>
      <c r="AC150" s="388">
        <f>SUMIFS('2021'!$I:$I,'2021'!$E:$E,Category!$B$134,'2021'!$N:$N,Category!AC$1,'2021'!$D:$D,Category!$C150)</f>
        <v>0</v>
      </c>
      <c r="AD150" s="388">
        <f>SUMIFS('2021'!$I:$I,'2021'!$E:$E,Category!$B$134,'2021'!$N:$N,Category!AD$1,'2021'!$D:$D,Category!$C150)</f>
        <v>0</v>
      </c>
      <c r="AE150" s="388">
        <f>SUMIFS('2021'!$I:$I,'2021'!$E:$E,Category!$B$134,'2021'!$N:$N,Category!AE$1,'2021'!$D:$D,Category!$C150)</f>
        <v>0</v>
      </c>
      <c r="AF150" s="388">
        <f>SUMIFS('2021'!$I:$I,'2021'!$E:$E,Category!$B$134,'2021'!$N:$N,Category!AF$1,'2021'!$D:$D,Category!$C150)</f>
        <v>0</v>
      </c>
      <c r="AG150" s="388">
        <f>SUMIFS('2021'!$I:$I,'2021'!$E:$E,Category!$B$134,'2021'!$N:$N,Category!AG$1,'2021'!$D:$D,Category!$C150)</f>
        <v>0</v>
      </c>
      <c r="AH150" s="388">
        <f>SUMIFS('2021'!$I:$I,'2021'!$E:$E,Category!$B$134,'2021'!$N:$N,Category!AH$1,'2021'!$D:$D,Category!$C150)</f>
        <v>1000000</v>
      </c>
      <c r="AI150" s="388">
        <f>SUMIFS('2021'!$I:$I,'2021'!$E:$E,Category!$B$134,'2021'!$N:$N,Category!AI$1,'2021'!$D:$D,Category!$C150)</f>
        <v>1000000</v>
      </c>
      <c r="AJ150" s="388">
        <f>SUMIFS('2021'!$I:$I,'2021'!$E:$E,Category!$B$134,'2021'!$N:$N,Category!AJ$1,'2021'!$D:$D,Category!$C150)</f>
        <v>1000000</v>
      </c>
      <c r="AK150" s="388">
        <f>SUMIFS('2021'!$I:$I,'2021'!$E:$E,Category!$B$134,'2021'!$N:$N,Category!AK$1,'2021'!$D:$D,Category!$C150)</f>
        <v>1000000</v>
      </c>
      <c r="AL150" s="389">
        <f t="shared" si="63"/>
        <v>4000000</v>
      </c>
      <c r="AM150" s="506">
        <f>IFERROR(VLOOKUP(C150,'2022'!$D:$G,4,0),0)</f>
        <v>1</v>
      </c>
      <c r="AN150" s="388">
        <f>SUMIFS('2022'!$I:$I,'2022'!$E:$E,Category!$B$134,'2022'!$N:$N,Category!AN$1,'2022'!$D:$D,Category!$C150)</f>
        <v>1000000</v>
      </c>
      <c r="AO150" s="388">
        <f>SUMIFS('2022'!$I:$I,'2022'!$E:$E,Category!$B$134,'2022'!$N:$N,Category!AO$1,'2022'!$D:$D,Category!$C150)</f>
        <v>1000000</v>
      </c>
      <c r="AP150" s="388">
        <f>SUMIFS('2022'!$I:$I,'2022'!$E:$E,Category!$B$134,'2022'!$N:$N,Category!AP$1,'2022'!$D:$D,Category!$C150)</f>
        <v>1000000</v>
      </c>
      <c r="AQ150" s="388">
        <f>SUMIFS('2022'!$I:$I,'2022'!$E:$E,Category!$B$134,'2022'!$N:$N,Category!AQ$1,'2022'!$D:$D,Category!$C150)</f>
        <v>1000000</v>
      </c>
      <c r="AR150" s="388">
        <f>SUMIFS('2022'!$I:$I,'2022'!$E:$E,Category!$B$134,'2022'!$N:$N,Category!AR$1,'2022'!$D:$D,Category!$C150)</f>
        <v>1000000</v>
      </c>
      <c r="AS150" s="388">
        <f>SUMIFS('2022'!$I:$I,'2022'!$E:$E,Category!$B$134,'2022'!$N:$N,Category!AS$1,'2022'!$D:$D,Category!$C150)</f>
        <v>1000000</v>
      </c>
      <c r="AT150" s="388">
        <f>SUMIFS('2022'!$I:$I,'2022'!$E:$E,Category!$B$134,'2022'!$N:$N,Category!AT$1,'2022'!$D:$D,Category!$C150)</f>
        <v>1000000</v>
      </c>
      <c r="AU150" s="388">
        <f>SUMIFS('2022'!$I:$I,'2022'!$E:$E,Category!$B$134,'2022'!$N:$N,Category!AU$1,'2022'!$D:$D,Category!$C150)</f>
        <v>1000000</v>
      </c>
      <c r="AV150" s="388">
        <f>SUMIFS('2022'!$I:$I,'2022'!$E:$E,Category!$B$134,'2022'!$N:$N,Category!AV$1,'2022'!$D:$D,Category!$C150)</f>
        <v>1000000</v>
      </c>
      <c r="AW150" s="388">
        <f>SUMIFS('2022'!$I:$I,'2022'!$E:$E,Category!$B$134,'2022'!$N:$N,Category!AW$1,'2022'!$D:$D,Category!$C150)</f>
        <v>1000000</v>
      </c>
      <c r="AX150" s="388">
        <f>SUMIFS('2022'!$I:$I,'2022'!$E:$E,Category!$B$134,'2022'!$N:$N,Category!AX$1,'2022'!$D:$D,Category!$C150)</f>
        <v>1000000</v>
      </c>
      <c r="AY150" s="388">
        <f>SUMIFS('2022'!$I:$I,'2022'!$E:$E,Category!$B$134,'2022'!$N:$N,Category!AY$1,'2022'!$D:$D,Category!$C150)</f>
        <v>1000000</v>
      </c>
      <c r="AZ150" s="389">
        <f t="shared" si="64"/>
        <v>12000000</v>
      </c>
      <c r="BA150" s="506">
        <f>IFERROR(VLOOKUP(C150,'2023'!$D:$G,4,0),0)</f>
        <v>1</v>
      </c>
      <c r="BB150" s="388">
        <f>SUMIFS('2023'!$I:$I,'2023'!$E:$E,Category!$B$134,'2023'!$N:$N,Category!BB$1,'2023'!$D:$D,Category!$C150)</f>
        <v>1000000</v>
      </c>
      <c r="BC150" s="388">
        <f>SUMIFS('2023'!$I:$I,'2023'!$E:$E,Category!$B$134,'2023'!$N:$N,Category!BC$1,'2023'!$D:$D,Category!$C150)</f>
        <v>1000000</v>
      </c>
      <c r="BD150" s="388">
        <f>SUMIFS('2023'!$I:$I,'2023'!$E:$E,Category!$B$134,'2023'!$N:$N,Category!BD$1,'2023'!$D:$D,Category!$C150)</f>
        <v>0</v>
      </c>
      <c r="BE150" s="388">
        <f>SUMIFS('2023'!$I:$I,'2023'!$E:$E,Category!$B$134,'2023'!$N:$N,Category!BE$1,'2023'!$D:$D,Category!$C150)</f>
        <v>0</v>
      </c>
      <c r="BF150" s="388">
        <f>SUMIFS('2023'!$I:$I,'2023'!$E:$E,Category!$B$134,'2023'!$N:$N,Category!BF$1,'2023'!$D:$D,Category!$C150)</f>
        <v>0</v>
      </c>
      <c r="BG150" s="388">
        <f>SUMIFS('2023'!$I:$I,'2023'!$E:$E,Category!$B$134,'2023'!$N:$N,Category!BG$1,'2023'!$D:$D,Category!$C150)</f>
        <v>0</v>
      </c>
      <c r="BH150" s="388">
        <f>SUMIFS('2023'!$I:$I,'2023'!$E:$E,Category!$B$134,'2023'!$N:$N,Category!BH$1,'2023'!$D:$D,Category!$C150)</f>
        <v>0</v>
      </c>
      <c r="BI150" s="388">
        <f>SUMIFS('2023'!$I:$I,'2023'!$E:$E,Category!$B$134,'2023'!$N:$N,Category!BI$1,'2023'!$D:$D,Category!$C150)</f>
        <v>0</v>
      </c>
      <c r="BJ150" s="388">
        <f>SUMIFS('2023'!$I:$I,'2023'!$E:$E,Category!$B$134,'2023'!$N:$N,Category!BJ$1,'2023'!$D:$D,Category!$C150)</f>
        <v>0</v>
      </c>
      <c r="BK150" s="388">
        <f>SUMIFS('2023'!$I:$I,'2023'!$E:$E,Category!$B$134,'2023'!$N:$N,Category!BK$1,'2023'!$D:$D,Category!$C150)</f>
        <v>0</v>
      </c>
      <c r="BL150" s="388">
        <f>SUMIFS('2023'!$I:$I,'2023'!$E:$E,Category!$B$134,'2023'!$N:$N,Category!BL$1,'2023'!$D:$D,Category!$C150)</f>
        <v>0</v>
      </c>
      <c r="BM150" s="388">
        <f>SUMIFS('2023'!$I:$I,'2023'!$E:$E,Category!$B$134,'2023'!$N:$N,Category!BM$1,'2023'!$D:$D,Category!$C150)</f>
        <v>0</v>
      </c>
      <c r="BN150" s="389">
        <f t="shared" si="65"/>
        <v>2000000</v>
      </c>
    </row>
    <row r="151" spans="1:66" x14ac:dyDescent="0.3">
      <c r="A151" s="386"/>
      <c r="B151" s="387"/>
      <c r="C151" s="387" t="s">
        <v>880</v>
      </c>
      <c r="D151" s="524">
        <f>IFERROR(VLOOKUP($C151,'2019'!$D:$G,4,0),0)</f>
        <v>0</v>
      </c>
      <c r="E151" s="388">
        <f>SUMIFS('2019'!$I:$I,'2019'!$E:$E,Category!$B$134,'2019'!$N:$N,Category!E$1,'2019'!$D:$D,Category!$C151)</f>
        <v>0</v>
      </c>
      <c r="F151" s="388">
        <f>SUMIFS('2019'!$I:$I,'2019'!$E:$E,Category!$B$134,'2019'!$N:$N,Category!F$1,'2019'!$D:$D,Category!$C151)</f>
        <v>0</v>
      </c>
      <c r="G151" s="388">
        <f>SUMIFS('2019'!$I:$I,'2019'!$E:$E,Category!$B$134,'2019'!$N:$N,Category!G$1,'2019'!$D:$D,Category!$C151)</f>
        <v>0</v>
      </c>
      <c r="H151" s="388">
        <f>SUMIFS('2019'!$I:$I,'2019'!$E:$E,Category!$B$134,'2019'!$N:$N,Category!H$1,'2019'!$D:$D,Category!$C151)</f>
        <v>0</v>
      </c>
      <c r="I151" s="388">
        <f>SUMIFS('2019'!$I:$I,'2019'!$E:$E,Category!$B$134,'2019'!$N:$N,Category!I$1,'2019'!$D:$D,Category!$C151)</f>
        <v>0</v>
      </c>
      <c r="J151" s="389">
        <f t="shared" si="61"/>
        <v>0</v>
      </c>
      <c r="K151" s="506">
        <f>IFERROR(VLOOKUP($C151,'2020'!$D:$G,4,0),0)</f>
        <v>0</v>
      </c>
      <c r="L151" s="388">
        <f>SUMIFS('2020'!$I:$I,'2020'!$E:$E,Category!$B$134,'2020'!$N:$N,Category!L$1,'2020'!$D:$D,Category!$C151)</f>
        <v>0</v>
      </c>
      <c r="M151" s="388">
        <f>SUMIFS('2020'!$I:$I,'2020'!$E:$E,Category!$B$134,'2020'!$N:$N,Category!M$1,'2020'!$D:$D,Category!$C151)</f>
        <v>0</v>
      </c>
      <c r="N151" s="388">
        <f>SUMIFS('2020'!$I:$I,'2020'!$E:$E,Category!$B$134,'2020'!$N:$N,Category!N$1,'2020'!$D:$D,Category!$C151)</f>
        <v>0</v>
      </c>
      <c r="O151" s="388">
        <f>SUMIFS('2020'!$I:$I,'2020'!$E:$E,Category!$B$134,'2020'!$N:$N,Category!O$1,'2020'!$D:$D,Category!$C151)</f>
        <v>0</v>
      </c>
      <c r="P151" s="388">
        <f>SUMIFS('2020'!$I:$I,'2020'!$E:$E,Category!$B$134,'2020'!$N:$N,Category!P$1,'2020'!$D:$D,Category!$C151)</f>
        <v>0</v>
      </c>
      <c r="Q151" s="388">
        <f>SUMIFS('2020'!$I:$I,'2020'!$E:$E,Category!$B$134,'2020'!$N:$N,Category!Q$1,'2020'!$D:$D,Category!$C151)</f>
        <v>0</v>
      </c>
      <c r="R151" s="388">
        <f>SUMIFS('2020'!$I:$I,'2020'!$E:$E,Category!$B$134,'2020'!$N:$N,Category!R$1,'2020'!$D:$D,Category!$C151)</f>
        <v>0</v>
      </c>
      <c r="S151" s="388">
        <f>SUMIFS('2020'!$I:$I,'2020'!$E:$E,Category!$B$134,'2020'!$N:$N,Category!S$1,'2020'!$D:$D,Category!$C151)</f>
        <v>0</v>
      </c>
      <c r="T151" s="388">
        <f>SUMIFS('2020'!$I:$I,'2020'!$E:$E,Category!$B$134,'2020'!$N:$N,Category!T$1,'2020'!$D:$D,Category!$C151)</f>
        <v>0</v>
      </c>
      <c r="U151" s="388">
        <f>SUMIFS('2020'!$I:$I,'2020'!$E:$E,Category!$B$134,'2020'!$N:$N,Category!U$1,'2020'!$D:$D,Category!$C151)</f>
        <v>0</v>
      </c>
      <c r="V151" s="388">
        <f>SUMIFS('2020'!$I:$I,'2020'!$E:$E,Category!$B$134,'2020'!$N:$N,Category!V$1,'2020'!$D:$D,Category!$C151)</f>
        <v>0</v>
      </c>
      <c r="W151" s="388">
        <f>SUMIFS('2020'!$I:$I,'2020'!$E:$E,Category!$B$134,'2020'!$N:$N,Category!W$1,'2020'!$D:$D,Category!$C151)</f>
        <v>0</v>
      </c>
      <c r="X151" s="388">
        <v>0</v>
      </c>
      <c r="Y151" s="506">
        <f>IFERROR(VLOOKUP(C151,'2021'!$D:$G,4,0),0)</f>
        <v>1</v>
      </c>
      <c r="Z151" s="388">
        <f>SUMIFS('2021'!$I:$I,'2021'!$E:$E,Category!$B$134,'2021'!$N:$N,Category!Z$1,'2021'!$D:$D,Category!$C151)</f>
        <v>0</v>
      </c>
      <c r="AA151" s="388">
        <f>SUMIFS('2021'!$I:$I,'2021'!$E:$E,Category!$B$134,'2021'!$N:$N,Category!AA$1,'2021'!$D:$D,Category!$C151)</f>
        <v>0</v>
      </c>
      <c r="AB151" s="388">
        <f>SUMIFS('2021'!$I:$I,'2021'!$E:$E,Category!$B$134,'2021'!$N:$N,Category!AB$1,'2021'!$D:$D,Category!$C151)</f>
        <v>0</v>
      </c>
      <c r="AC151" s="388">
        <f>SUMIFS('2021'!$I:$I,'2021'!$E:$E,Category!$B$134,'2021'!$N:$N,Category!AC$1,'2021'!$D:$D,Category!$C151)</f>
        <v>0</v>
      </c>
      <c r="AD151" s="388">
        <f>SUMIFS('2021'!$I:$I,'2021'!$E:$E,Category!$B$134,'2021'!$N:$N,Category!AD$1,'2021'!$D:$D,Category!$C151)</f>
        <v>0</v>
      </c>
      <c r="AE151" s="388">
        <f>SUMIFS('2021'!$I:$I,'2021'!$E:$E,Category!$B$134,'2021'!$N:$N,Category!AE$1,'2021'!$D:$D,Category!$C151)</f>
        <v>0</v>
      </c>
      <c r="AF151" s="388">
        <f>SUMIFS('2021'!$I:$I,'2021'!$E:$E,Category!$B$134,'2021'!$N:$N,Category!AF$1,'2021'!$D:$D,Category!$C151)</f>
        <v>0</v>
      </c>
      <c r="AG151" s="388">
        <f>SUMIFS('2021'!$I:$I,'2021'!$E:$E,Category!$B$134,'2021'!$N:$N,Category!AG$1,'2021'!$D:$D,Category!$C151)</f>
        <v>0</v>
      </c>
      <c r="AH151" s="388">
        <f>SUMIFS('2021'!$I:$I,'2021'!$E:$E,Category!$B$134,'2021'!$N:$N,Category!AH$1,'2021'!$D:$D,Category!$C151)</f>
        <v>1000000</v>
      </c>
      <c r="AI151" s="388">
        <f>SUMIFS('2021'!$I:$I,'2021'!$E:$E,Category!$B$134,'2021'!$N:$N,Category!AI$1,'2021'!$D:$D,Category!$C151)</f>
        <v>1000000</v>
      </c>
      <c r="AJ151" s="388">
        <f>SUMIFS('2021'!$I:$I,'2021'!$E:$E,Category!$B$134,'2021'!$N:$N,Category!AJ$1,'2021'!$D:$D,Category!$C151)</f>
        <v>1000000</v>
      </c>
      <c r="AK151" s="388">
        <f>SUMIFS('2021'!$I:$I,'2021'!$E:$E,Category!$B$134,'2021'!$N:$N,Category!AK$1,'2021'!$D:$D,Category!$C151)</f>
        <v>1000000</v>
      </c>
      <c r="AL151" s="389">
        <f t="shared" si="63"/>
        <v>4000000</v>
      </c>
      <c r="AM151" s="506">
        <f>IFERROR(VLOOKUP(C151,'2022'!$D:$G,4,0),0)</f>
        <v>1</v>
      </c>
      <c r="AN151" s="388">
        <f>SUMIFS('2022'!$I:$I,'2022'!$E:$E,Category!$B$134,'2022'!$N:$N,Category!AN$1,'2022'!$D:$D,Category!$C151)</f>
        <v>1000000</v>
      </c>
      <c r="AO151" s="388">
        <f>SUMIFS('2022'!$I:$I,'2022'!$E:$E,Category!$B$134,'2022'!$N:$N,Category!AO$1,'2022'!$D:$D,Category!$C151)</f>
        <v>1000000</v>
      </c>
      <c r="AP151" s="388">
        <f>SUMIFS('2022'!$I:$I,'2022'!$E:$E,Category!$B$134,'2022'!$N:$N,Category!AP$1,'2022'!$D:$D,Category!$C151)</f>
        <v>1000000</v>
      </c>
      <c r="AQ151" s="388">
        <f>SUMIFS('2022'!$I:$I,'2022'!$E:$E,Category!$B$134,'2022'!$N:$N,Category!AQ$1,'2022'!$D:$D,Category!$C151)</f>
        <v>1000000</v>
      </c>
      <c r="AR151" s="388">
        <f>SUMIFS('2022'!$I:$I,'2022'!$E:$E,Category!$B$134,'2022'!$N:$N,Category!AR$1,'2022'!$D:$D,Category!$C151)</f>
        <v>1000000</v>
      </c>
      <c r="AS151" s="388">
        <f>SUMIFS('2022'!$I:$I,'2022'!$E:$E,Category!$B$134,'2022'!$N:$N,Category!AS$1,'2022'!$D:$D,Category!$C151)</f>
        <v>1000000</v>
      </c>
      <c r="AT151" s="388">
        <f>SUMIFS('2022'!$I:$I,'2022'!$E:$E,Category!$B$134,'2022'!$N:$N,Category!AT$1,'2022'!$D:$D,Category!$C151)</f>
        <v>1000000</v>
      </c>
      <c r="AU151" s="388">
        <f>SUMIFS('2022'!$I:$I,'2022'!$E:$E,Category!$B$134,'2022'!$N:$N,Category!AU$1,'2022'!$D:$D,Category!$C151)</f>
        <v>1000000</v>
      </c>
      <c r="AV151" s="388">
        <f>SUMIFS('2022'!$I:$I,'2022'!$E:$E,Category!$B$134,'2022'!$N:$N,Category!AV$1,'2022'!$D:$D,Category!$C151)</f>
        <v>1000000</v>
      </c>
      <c r="AW151" s="388">
        <f>SUMIFS('2022'!$I:$I,'2022'!$E:$E,Category!$B$134,'2022'!$N:$N,Category!AW$1,'2022'!$D:$D,Category!$C151)</f>
        <v>1000000</v>
      </c>
      <c r="AX151" s="388">
        <f>SUMIFS('2022'!$I:$I,'2022'!$E:$E,Category!$B$134,'2022'!$N:$N,Category!AX$1,'2022'!$D:$D,Category!$C151)</f>
        <v>1000000</v>
      </c>
      <c r="AY151" s="388">
        <f>SUMIFS('2022'!$I:$I,'2022'!$E:$E,Category!$B$134,'2022'!$N:$N,Category!AY$1,'2022'!$D:$D,Category!$C151)</f>
        <v>1000000</v>
      </c>
      <c r="AZ151" s="389">
        <f t="shared" si="64"/>
        <v>12000000</v>
      </c>
      <c r="BA151" s="506">
        <f>IFERROR(VLOOKUP(C151,'2023'!$D:$G,4,0),0)</f>
        <v>1</v>
      </c>
      <c r="BB151" s="388">
        <f>SUMIFS('2023'!$I:$I,'2023'!$E:$E,Category!$B$134,'2023'!$N:$N,Category!BB$1,'2023'!$D:$D,Category!$C151)</f>
        <v>1000000</v>
      </c>
      <c r="BC151" s="388">
        <f>SUMIFS('2023'!$I:$I,'2023'!$E:$E,Category!$B$134,'2023'!$N:$N,Category!BC$1,'2023'!$D:$D,Category!$C151)</f>
        <v>1000000</v>
      </c>
      <c r="BD151" s="388">
        <f>SUMIFS('2023'!$I:$I,'2023'!$E:$E,Category!$B$134,'2023'!$N:$N,Category!BD$1,'2023'!$D:$D,Category!$C151)</f>
        <v>0</v>
      </c>
      <c r="BE151" s="388">
        <f>SUMIFS('2023'!$I:$I,'2023'!$E:$E,Category!$B$134,'2023'!$N:$N,Category!BE$1,'2023'!$D:$D,Category!$C151)</f>
        <v>0</v>
      </c>
      <c r="BF151" s="388">
        <f>SUMIFS('2023'!$I:$I,'2023'!$E:$E,Category!$B$134,'2023'!$N:$N,Category!BF$1,'2023'!$D:$D,Category!$C151)</f>
        <v>0</v>
      </c>
      <c r="BG151" s="388">
        <f>SUMIFS('2023'!$I:$I,'2023'!$E:$E,Category!$B$134,'2023'!$N:$N,Category!BG$1,'2023'!$D:$D,Category!$C151)</f>
        <v>0</v>
      </c>
      <c r="BH151" s="388">
        <f>SUMIFS('2023'!$I:$I,'2023'!$E:$E,Category!$B$134,'2023'!$N:$N,Category!BH$1,'2023'!$D:$D,Category!$C151)</f>
        <v>0</v>
      </c>
      <c r="BI151" s="388">
        <f>SUMIFS('2023'!$I:$I,'2023'!$E:$E,Category!$B$134,'2023'!$N:$N,Category!BI$1,'2023'!$D:$D,Category!$C151)</f>
        <v>0</v>
      </c>
      <c r="BJ151" s="388">
        <f>SUMIFS('2023'!$I:$I,'2023'!$E:$E,Category!$B$134,'2023'!$N:$N,Category!BJ$1,'2023'!$D:$D,Category!$C151)</f>
        <v>0</v>
      </c>
      <c r="BK151" s="388">
        <f>SUMIFS('2023'!$I:$I,'2023'!$E:$E,Category!$B$134,'2023'!$N:$N,Category!BK$1,'2023'!$D:$D,Category!$C151)</f>
        <v>0</v>
      </c>
      <c r="BL151" s="388">
        <f>SUMIFS('2023'!$I:$I,'2023'!$E:$E,Category!$B$134,'2023'!$N:$N,Category!BL$1,'2023'!$D:$D,Category!$C151)</f>
        <v>0</v>
      </c>
      <c r="BM151" s="388">
        <f>SUMIFS('2023'!$I:$I,'2023'!$E:$E,Category!$B$134,'2023'!$N:$N,Category!BM$1,'2023'!$D:$D,Category!$C151)</f>
        <v>0</v>
      </c>
      <c r="BN151" s="389">
        <f t="shared" si="65"/>
        <v>2000000</v>
      </c>
    </row>
    <row r="152" spans="1:66" ht="39.75" x14ac:dyDescent="0.3">
      <c r="A152" s="386"/>
      <c r="B152" s="387"/>
      <c r="C152" s="387" t="s">
        <v>952</v>
      </c>
      <c r="D152" s="524">
        <f>IFERROR(VLOOKUP($C152,'2019'!$D:$G,4,0),0)</f>
        <v>0</v>
      </c>
      <c r="E152" s="388">
        <f>SUMIFS('2019'!$I:$I,'2019'!$E:$E,Category!$B$134,'2019'!$N:$N,Category!E$1,'2019'!$D:$D,Category!$C152)</f>
        <v>0</v>
      </c>
      <c r="F152" s="388">
        <f>SUMIFS('2019'!$I:$I,'2019'!$E:$E,Category!$B$134,'2019'!$N:$N,Category!F$1,'2019'!$D:$D,Category!$C152)</f>
        <v>0</v>
      </c>
      <c r="G152" s="388">
        <f>SUMIFS('2019'!$I:$I,'2019'!$E:$E,Category!$B$134,'2019'!$N:$N,Category!G$1,'2019'!$D:$D,Category!$C152)</f>
        <v>0</v>
      </c>
      <c r="H152" s="388">
        <f>SUMIFS('2019'!$I:$I,'2019'!$E:$E,Category!$B$134,'2019'!$N:$N,Category!H$1,'2019'!$D:$D,Category!$C152)</f>
        <v>0</v>
      </c>
      <c r="I152" s="388">
        <f>SUMIFS('2019'!$I:$I,'2019'!$E:$E,Category!$B$134,'2019'!$N:$N,Category!I$1,'2019'!$D:$D,Category!$C152)</f>
        <v>0</v>
      </c>
      <c r="J152" s="389">
        <f t="shared" si="61"/>
        <v>0</v>
      </c>
      <c r="K152" s="506">
        <f>IFERROR(VLOOKUP($C152,'2020'!$D:$G,4,0),0)</f>
        <v>0</v>
      </c>
      <c r="L152" s="388">
        <f>SUMIFS('2020'!$I:$I,'2020'!$E:$E,Category!$B$134,'2020'!$N:$N,Category!L$1,'2020'!$D:$D,Category!$C152)</f>
        <v>0</v>
      </c>
      <c r="M152" s="388">
        <f>SUMIFS('2020'!$I:$I,'2020'!$E:$E,Category!$B$134,'2020'!$N:$N,Category!M$1,'2020'!$D:$D,Category!$C152)</f>
        <v>0</v>
      </c>
      <c r="N152" s="388">
        <f>SUMIFS('2020'!$I:$I,'2020'!$E:$E,Category!$B$134,'2020'!$N:$N,Category!N$1,'2020'!$D:$D,Category!$C152)</f>
        <v>0</v>
      </c>
      <c r="O152" s="388">
        <f>SUMIFS('2020'!$I:$I,'2020'!$E:$E,Category!$B$134,'2020'!$N:$N,Category!O$1,'2020'!$D:$D,Category!$C152)</f>
        <v>0</v>
      </c>
      <c r="P152" s="388">
        <f>SUMIFS('2020'!$I:$I,'2020'!$E:$E,Category!$B$134,'2020'!$N:$N,Category!P$1,'2020'!$D:$D,Category!$C152)</f>
        <v>0</v>
      </c>
      <c r="Q152" s="388">
        <f>SUMIFS('2020'!$I:$I,'2020'!$E:$E,Category!$B$134,'2020'!$N:$N,Category!Q$1,'2020'!$D:$D,Category!$C152)</f>
        <v>0</v>
      </c>
      <c r="R152" s="388">
        <f>SUMIFS('2020'!$I:$I,'2020'!$E:$E,Category!$B$134,'2020'!$N:$N,Category!R$1,'2020'!$D:$D,Category!$C152)</f>
        <v>0</v>
      </c>
      <c r="S152" s="388">
        <f>SUMIFS('2020'!$I:$I,'2020'!$E:$E,Category!$B$134,'2020'!$N:$N,Category!S$1,'2020'!$D:$D,Category!$C152)</f>
        <v>0</v>
      </c>
      <c r="T152" s="388">
        <f>SUMIFS('2020'!$I:$I,'2020'!$E:$E,Category!$B$134,'2020'!$N:$N,Category!T$1,'2020'!$D:$D,Category!$C152)</f>
        <v>0</v>
      </c>
      <c r="U152" s="388">
        <f>SUMIFS('2020'!$I:$I,'2020'!$E:$E,Category!$B$134,'2020'!$N:$N,Category!U$1,'2020'!$D:$D,Category!$C152)</f>
        <v>0</v>
      </c>
      <c r="V152" s="388">
        <f>SUMIFS('2020'!$I:$I,'2020'!$E:$E,Category!$B$134,'2020'!$N:$N,Category!V$1,'2020'!$D:$D,Category!$C152)</f>
        <v>0</v>
      </c>
      <c r="W152" s="388">
        <f>SUMIFS('2020'!$I:$I,'2020'!$E:$E,Category!$B$134,'2020'!$N:$N,Category!W$1,'2020'!$D:$D,Category!$C152)</f>
        <v>0</v>
      </c>
      <c r="X152" s="388">
        <v>0</v>
      </c>
      <c r="Y152" s="506">
        <f>IFERROR(VLOOKUP(C152,'2021'!$D:$G,4,0),0)</f>
        <v>1</v>
      </c>
      <c r="Z152" s="388">
        <f>SUMIFS('2021'!$I:$I,'2021'!$E:$E,Category!$B$134,'2021'!$N:$N,Category!Z$1,'2021'!$D:$D,Category!$C152)</f>
        <v>0</v>
      </c>
      <c r="AA152" s="388">
        <f>SUMIFS('2021'!$I:$I,'2021'!$E:$E,Category!$B$134,'2021'!$N:$N,Category!AA$1,'2021'!$D:$D,Category!$C152)</f>
        <v>0</v>
      </c>
      <c r="AB152" s="388">
        <f>SUMIFS('2021'!$I:$I,'2021'!$E:$E,Category!$B$134,'2021'!$N:$N,Category!AB$1,'2021'!$D:$D,Category!$C152)</f>
        <v>0</v>
      </c>
      <c r="AC152" s="388">
        <f>SUMIFS('2021'!$I:$I,'2021'!$E:$E,Category!$B$134,'2021'!$N:$N,Category!AC$1,'2021'!$D:$D,Category!$C152)</f>
        <v>0</v>
      </c>
      <c r="AD152" s="388">
        <f>SUMIFS('2021'!$I:$I,'2021'!$E:$E,Category!$B$134,'2021'!$N:$N,Category!AD$1,'2021'!$D:$D,Category!$C152)</f>
        <v>0</v>
      </c>
      <c r="AE152" s="388">
        <f>SUMIFS('2021'!$I:$I,'2021'!$E:$E,Category!$B$134,'2021'!$N:$N,Category!AE$1,'2021'!$D:$D,Category!$C152)</f>
        <v>0</v>
      </c>
      <c r="AF152" s="388">
        <f>SUMIFS('2021'!$I:$I,'2021'!$E:$E,Category!$B$134,'2021'!$N:$N,Category!AF$1,'2021'!$D:$D,Category!$C152)</f>
        <v>0</v>
      </c>
      <c r="AG152" s="388">
        <f>SUMIFS('2021'!$I:$I,'2021'!$E:$E,Category!$B$134,'2021'!$N:$N,Category!AG$1,'2021'!$D:$D,Category!$C152)</f>
        <v>0</v>
      </c>
      <c r="AH152" s="388">
        <f>SUMIFS('2021'!$I:$I,'2021'!$E:$E,Category!$B$134,'2021'!$N:$N,Category!AH$1,'2021'!$D:$D,Category!$C152)</f>
        <v>1000000</v>
      </c>
      <c r="AI152" s="388">
        <f>SUMIFS('2021'!$I:$I,'2021'!$E:$E,Category!$B$134,'2021'!$N:$N,Category!AI$1,'2021'!$D:$D,Category!$C152)</f>
        <v>1000000</v>
      </c>
      <c r="AJ152" s="388">
        <f>SUMIFS('2021'!$I:$I,'2021'!$E:$E,Category!$B$134,'2021'!$N:$N,Category!AJ$1,'2021'!$D:$D,Category!$C152)</f>
        <v>1000000</v>
      </c>
      <c r="AK152" s="388">
        <f>SUMIFS('2021'!$I:$I,'2021'!$E:$E,Category!$B$134,'2021'!$N:$N,Category!AK$1,'2021'!$D:$D,Category!$C152)</f>
        <v>1000000</v>
      </c>
      <c r="AL152" s="389">
        <f t="shared" ref="AL152:AL157" si="66">SUM(Z152:AK152)</f>
        <v>4000000</v>
      </c>
      <c r="AM152" s="506">
        <f>IFERROR(VLOOKUP(C152,'2022'!$D:$G,4,0),0)</f>
        <v>1</v>
      </c>
      <c r="AN152" s="388">
        <f>SUMIFS('2022'!$I:$I,'2022'!$E:$E,Category!$B$134,'2022'!$N:$N,Category!AN$1,'2022'!$D:$D,Category!$C152)</f>
        <v>1000000</v>
      </c>
      <c r="AO152" s="388">
        <f>SUMIFS('2022'!$I:$I,'2022'!$E:$E,Category!$B$134,'2022'!$N:$N,Category!AO$1,'2022'!$D:$D,Category!$C152)</f>
        <v>1000000</v>
      </c>
      <c r="AP152" s="388">
        <f>SUMIFS('2022'!$I:$I,'2022'!$E:$E,Category!$B$134,'2022'!$N:$N,Category!AP$1,'2022'!$D:$D,Category!$C152)</f>
        <v>1000000</v>
      </c>
      <c r="AQ152" s="388">
        <f>SUMIFS('2022'!$I:$I,'2022'!$E:$E,Category!$B$134,'2022'!$N:$N,Category!AQ$1,'2022'!$D:$D,Category!$C152)</f>
        <v>1000000</v>
      </c>
      <c r="AR152" s="388">
        <f>SUMIFS('2022'!$I:$I,'2022'!$E:$E,Category!$B$134,'2022'!$N:$N,Category!AR$1,'2022'!$D:$D,Category!$C152)</f>
        <v>1000000</v>
      </c>
      <c r="AS152" s="388">
        <f>SUMIFS('2022'!$I:$I,'2022'!$E:$E,Category!$B$134,'2022'!$N:$N,Category!AS$1,'2022'!$D:$D,Category!$C152)</f>
        <v>1000000</v>
      </c>
      <c r="AT152" s="388">
        <f>SUMIFS('2022'!$I:$I,'2022'!$E:$E,Category!$B$134,'2022'!$N:$N,Category!AT$1,'2022'!$D:$D,Category!$C152)</f>
        <v>1000000</v>
      </c>
      <c r="AU152" s="388">
        <f>SUMIFS('2022'!$I:$I,'2022'!$E:$E,Category!$B$134,'2022'!$N:$N,Category!AU$1,'2022'!$D:$D,Category!$C152)</f>
        <v>1000000</v>
      </c>
      <c r="AV152" s="388">
        <f>SUMIFS('2022'!$I:$I,'2022'!$E:$E,Category!$B$134,'2022'!$N:$N,Category!AV$1,'2022'!$D:$D,Category!$C152)</f>
        <v>1000000</v>
      </c>
      <c r="AW152" s="388">
        <f>SUMIFS('2022'!$I:$I,'2022'!$E:$E,Category!$B$134,'2022'!$N:$N,Category!AW$1,'2022'!$D:$D,Category!$C152)</f>
        <v>1000000</v>
      </c>
      <c r="AX152" s="388">
        <f>SUMIFS('2022'!$I:$I,'2022'!$E:$E,Category!$B$134,'2022'!$N:$N,Category!AX$1,'2022'!$D:$D,Category!$C152)</f>
        <v>1000000</v>
      </c>
      <c r="AY152" s="388">
        <f>SUMIFS('2022'!$I:$I,'2022'!$E:$E,Category!$B$134,'2022'!$N:$N,Category!AY$1,'2022'!$D:$D,Category!$C152)</f>
        <v>1000000</v>
      </c>
      <c r="AZ152" s="389">
        <f t="shared" si="64"/>
        <v>12000000</v>
      </c>
      <c r="BA152" s="506">
        <f>IFERROR(VLOOKUP(C152,'2023'!$D:$G,4,0),0)</f>
        <v>1</v>
      </c>
      <c r="BB152" s="388">
        <f>SUMIFS('2023'!$I:$I,'2023'!$E:$E,Category!$B$134,'2023'!$N:$N,Category!BB$1,'2023'!$D:$D,Category!$C152)</f>
        <v>1000000</v>
      </c>
      <c r="BC152" s="388">
        <f>SUMIFS('2023'!$I:$I,'2023'!$E:$E,Category!$B$134,'2023'!$N:$N,Category!BC$1,'2023'!$D:$D,Category!$C152)</f>
        <v>1000000</v>
      </c>
      <c r="BD152" s="388">
        <f>SUMIFS('2023'!$I:$I,'2023'!$E:$E,Category!$B$134,'2023'!$N:$N,Category!BD$1,'2023'!$D:$D,Category!$C152)</f>
        <v>0</v>
      </c>
      <c r="BE152" s="388">
        <f>SUMIFS('2023'!$I:$I,'2023'!$E:$E,Category!$B$134,'2023'!$N:$N,Category!BE$1,'2023'!$D:$D,Category!$C152)</f>
        <v>0</v>
      </c>
      <c r="BF152" s="388">
        <f>SUMIFS('2023'!$I:$I,'2023'!$E:$E,Category!$B$134,'2023'!$N:$N,Category!BF$1,'2023'!$D:$D,Category!$C152)</f>
        <v>0</v>
      </c>
      <c r="BG152" s="388">
        <f>SUMIFS('2023'!$I:$I,'2023'!$E:$E,Category!$B$134,'2023'!$N:$N,Category!BG$1,'2023'!$D:$D,Category!$C152)</f>
        <v>0</v>
      </c>
      <c r="BH152" s="388">
        <f>SUMIFS('2023'!$I:$I,'2023'!$E:$E,Category!$B$134,'2023'!$N:$N,Category!BH$1,'2023'!$D:$D,Category!$C152)</f>
        <v>0</v>
      </c>
      <c r="BI152" s="388">
        <f>SUMIFS('2023'!$I:$I,'2023'!$E:$E,Category!$B$134,'2023'!$N:$N,Category!BI$1,'2023'!$D:$D,Category!$C152)</f>
        <v>0</v>
      </c>
      <c r="BJ152" s="388">
        <f>SUMIFS('2023'!$I:$I,'2023'!$E:$E,Category!$B$134,'2023'!$N:$N,Category!BJ$1,'2023'!$D:$D,Category!$C152)</f>
        <v>0</v>
      </c>
      <c r="BK152" s="388">
        <f>SUMIFS('2023'!$I:$I,'2023'!$E:$E,Category!$B$134,'2023'!$N:$N,Category!BK$1,'2023'!$D:$D,Category!$C152)</f>
        <v>0</v>
      </c>
      <c r="BL152" s="388">
        <f>SUMIFS('2023'!$I:$I,'2023'!$E:$E,Category!$B$134,'2023'!$N:$N,Category!BL$1,'2023'!$D:$D,Category!$C152)</f>
        <v>0</v>
      </c>
      <c r="BM152" s="388">
        <f>SUMIFS('2023'!$I:$I,'2023'!$E:$E,Category!$B$134,'2023'!$N:$N,Category!BM$1,'2023'!$D:$D,Category!$C152)</f>
        <v>0</v>
      </c>
      <c r="BN152" s="389">
        <f t="shared" si="65"/>
        <v>2000000</v>
      </c>
    </row>
    <row r="153" spans="1:66" x14ac:dyDescent="0.3">
      <c r="A153" s="386"/>
      <c r="B153" s="387"/>
      <c r="C153" s="387" t="s">
        <v>881</v>
      </c>
      <c r="D153" s="524">
        <f>IFERROR(VLOOKUP($C153,'2019'!$D:$G,4,0),0)</f>
        <v>0</v>
      </c>
      <c r="E153" s="388">
        <f>SUMIFS('2019'!$I:$I,'2019'!$E:$E,Category!$B$134,'2019'!$N:$N,Category!E$1,'2019'!$D:$D,Category!$C153)</f>
        <v>0</v>
      </c>
      <c r="F153" s="388">
        <f>SUMIFS('2019'!$I:$I,'2019'!$E:$E,Category!$B$134,'2019'!$N:$N,Category!F$1,'2019'!$D:$D,Category!$C153)</f>
        <v>0</v>
      </c>
      <c r="G153" s="388">
        <f>SUMIFS('2019'!$I:$I,'2019'!$E:$E,Category!$B$134,'2019'!$N:$N,Category!G$1,'2019'!$D:$D,Category!$C153)</f>
        <v>0</v>
      </c>
      <c r="H153" s="388">
        <f>SUMIFS('2019'!$I:$I,'2019'!$E:$E,Category!$B$134,'2019'!$N:$N,Category!H$1,'2019'!$D:$D,Category!$C153)</f>
        <v>0</v>
      </c>
      <c r="I153" s="388">
        <f>SUMIFS('2019'!$I:$I,'2019'!$E:$E,Category!$B$134,'2019'!$N:$N,Category!I$1,'2019'!$D:$D,Category!$C153)</f>
        <v>0</v>
      </c>
      <c r="J153" s="389">
        <f t="shared" si="61"/>
        <v>0</v>
      </c>
      <c r="K153" s="506">
        <f>IFERROR(VLOOKUP($C153,'2020'!$D:$G,4,0),0)</f>
        <v>0</v>
      </c>
      <c r="L153" s="388">
        <f>SUMIFS('2020'!$I:$I,'2020'!$E:$E,Category!$B$134,'2020'!$N:$N,Category!L$1,'2020'!$D:$D,Category!$C153)</f>
        <v>0</v>
      </c>
      <c r="M153" s="388">
        <f>SUMIFS('2020'!$I:$I,'2020'!$E:$E,Category!$B$134,'2020'!$N:$N,Category!M$1,'2020'!$D:$D,Category!$C153)</f>
        <v>0</v>
      </c>
      <c r="N153" s="388">
        <f>SUMIFS('2020'!$I:$I,'2020'!$E:$E,Category!$B$134,'2020'!$N:$N,Category!N$1,'2020'!$D:$D,Category!$C153)</f>
        <v>0</v>
      </c>
      <c r="O153" s="388">
        <f>SUMIFS('2020'!$I:$I,'2020'!$E:$E,Category!$B$134,'2020'!$N:$N,Category!O$1,'2020'!$D:$D,Category!$C153)</f>
        <v>0</v>
      </c>
      <c r="P153" s="388">
        <f>SUMIFS('2020'!$I:$I,'2020'!$E:$E,Category!$B$134,'2020'!$N:$N,Category!P$1,'2020'!$D:$D,Category!$C153)</f>
        <v>0</v>
      </c>
      <c r="Q153" s="388">
        <f>SUMIFS('2020'!$I:$I,'2020'!$E:$E,Category!$B$134,'2020'!$N:$N,Category!Q$1,'2020'!$D:$D,Category!$C153)</f>
        <v>0</v>
      </c>
      <c r="R153" s="388">
        <f>SUMIFS('2020'!$I:$I,'2020'!$E:$E,Category!$B$134,'2020'!$N:$N,Category!R$1,'2020'!$D:$D,Category!$C153)</f>
        <v>0</v>
      </c>
      <c r="S153" s="388">
        <f>SUMIFS('2020'!$I:$I,'2020'!$E:$E,Category!$B$134,'2020'!$N:$N,Category!S$1,'2020'!$D:$D,Category!$C153)</f>
        <v>0</v>
      </c>
      <c r="T153" s="388">
        <f>SUMIFS('2020'!$I:$I,'2020'!$E:$E,Category!$B$134,'2020'!$N:$N,Category!T$1,'2020'!$D:$D,Category!$C153)</f>
        <v>0</v>
      </c>
      <c r="U153" s="388">
        <f>SUMIFS('2020'!$I:$I,'2020'!$E:$E,Category!$B$134,'2020'!$N:$N,Category!U$1,'2020'!$D:$D,Category!$C153)</f>
        <v>0</v>
      </c>
      <c r="V153" s="388">
        <f>SUMIFS('2020'!$I:$I,'2020'!$E:$E,Category!$B$134,'2020'!$N:$N,Category!V$1,'2020'!$D:$D,Category!$C153)</f>
        <v>0</v>
      </c>
      <c r="W153" s="388">
        <f>SUMIFS('2020'!$I:$I,'2020'!$E:$E,Category!$B$134,'2020'!$N:$N,Category!W$1,'2020'!$D:$D,Category!$C153)</f>
        <v>0</v>
      </c>
      <c r="X153" s="388">
        <v>0</v>
      </c>
      <c r="Y153" s="506">
        <f>IFERROR(VLOOKUP(C153,'2021'!$D:$G,4,0),0)</f>
        <v>1</v>
      </c>
      <c r="Z153" s="388">
        <f>SUMIFS('2021'!$I:$I,'2021'!$E:$E,Category!$B$134,'2021'!$N:$N,Category!Z$1,'2021'!$D:$D,Category!$C153)</f>
        <v>0</v>
      </c>
      <c r="AA153" s="388">
        <f>SUMIFS('2021'!$I:$I,'2021'!$E:$E,Category!$B$134,'2021'!$N:$N,Category!AA$1,'2021'!$D:$D,Category!$C153)</f>
        <v>0</v>
      </c>
      <c r="AB153" s="388">
        <f>SUMIFS('2021'!$I:$I,'2021'!$E:$E,Category!$B$134,'2021'!$N:$N,Category!AB$1,'2021'!$D:$D,Category!$C153)</f>
        <v>0</v>
      </c>
      <c r="AC153" s="388">
        <f>SUMIFS('2021'!$I:$I,'2021'!$E:$E,Category!$B$134,'2021'!$N:$N,Category!AC$1,'2021'!$D:$D,Category!$C153)</f>
        <v>0</v>
      </c>
      <c r="AD153" s="388">
        <f>SUMIFS('2021'!$I:$I,'2021'!$E:$E,Category!$B$134,'2021'!$N:$N,Category!AD$1,'2021'!$D:$D,Category!$C153)</f>
        <v>0</v>
      </c>
      <c r="AE153" s="388">
        <f>SUMIFS('2021'!$I:$I,'2021'!$E:$E,Category!$B$134,'2021'!$N:$N,Category!AE$1,'2021'!$D:$D,Category!$C153)</f>
        <v>0</v>
      </c>
      <c r="AF153" s="388">
        <f>SUMIFS('2021'!$I:$I,'2021'!$E:$E,Category!$B$134,'2021'!$N:$N,Category!AF$1,'2021'!$D:$D,Category!$C153)</f>
        <v>0</v>
      </c>
      <c r="AG153" s="388">
        <f>SUMIFS('2021'!$I:$I,'2021'!$E:$E,Category!$B$134,'2021'!$N:$N,Category!AG$1,'2021'!$D:$D,Category!$C153)</f>
        <v>0</v>
      </c>
      <c r="AH153" s="388">
        <f>SUMIFS('2021'!$I:$I,'2021'!$E:$E,Category!$B$134,'2021'!$N:$N,Category!AH$1,'2021'!$D:$D,Category!$C153)</f>
        <v>1000000</v>
      </c>
      <c r="AI153" s="388">
        <f>SUMIFS('2021'!$I:$I,'2021'!$E:$E,Category!$B$134,'2021'!$N:$N,Category!AI$1,'2021'!$D:$D,Category!$C153)</f>
        <v>1000000</v>
      </c>
      <c r="AJ153" s="388">
        <f>SUMIFS('2021'!$I:$I,'2021'!$E:$E,Category!$B$134,'2021'!$N:$N,Category!AJ$1,'2021'!$D:$D,Category!$C153)</f>
        <v>1000000</v>
      </c>
      <c r="AK153" s="388">
        <f>SUMIFS('2021'!$I:$I,'2021'!$E:$E,Category!$B$134,'2021'!$N:$N,Category!AK$1,'2021'!$D:$D,Category!$C153)</f>
        <v>1000000</v>
      </c>
      <c r="AL153" s="389">
        <f t="shared" si="66"/>
        <v>4000000</v>
      </c>
      <c r="AM153" s="506">
        <f>IFERROR(VLOOKUP(C153,'2022'!$D:$G,4,0),0)</f>
        <v>1</v>
      </c>
      <c r="AN153" s="388">
        <f>SUMIFS('2022'!$I:$I,'2022'!$E:$E,Category!$B$134,'2022'!$N:$N,Category!AN$1,'2022'!$D:$D,Category!$C153)</f>
        <v>1000000</v>
      </c>
      <c r="AO153" s="388">
        <f>SUMIFS('2022'!$I:$I,'2022'!$E:$E,Category!$B$134,'2022'!$N:$N,Category!AO$1,'2022'!$D:$D,Category!$C153)</f>
        <v>1000000</v>
      </c>
      <c r="AP153" s="388">
        <f>SUMIFS('2022'!$I:$I,'2022'!$E:$E,Category!$B$134,'2022'!$N:$N,Category!AP$1,'2022'!$D:$D,Category!$C153)</f>
        <v>1000000</v>
      </c>
      <c r="AQ153" s="388">
        <f>SUMIFS('2022'!$I:$I,'2022'!$E:$E,Category!$B$134,'2022'!$N:$N,Category!AQ$1,'2022'!$D:$D,Category!$C153)</f>
        <v>1000000</v>
      </c>
      <c r="AR153" s="388">
        <f>SUMIFS('2022'!$I:$I,'2022'!$E:$E,Category!$B$134,'2022'!$N:$N,Category!AR$1,'2022'!$D:$D,Category!$C153)</f>
        <v>1000000</v>
      </c>
      <c r="AS153" s="388">
        <f>SUMIFS('2022'!$I:$I,'2022'!$E:$E,Category!$B$134,'2022'!$N:$N,Category!AS$1,'2022'!$D:$D,Category!$C153)</f>
        <v>1000000</v>
      </c>
      <c r="AT153" s="388">
        <f>SUMIFS('2022'!$I:$I,'2022'!$E:$E,Category!$B$134,'2022'!$N:$N,Category!AT$1,'2022'!$D:$D,Category!$C153)</f>
        <v>1000000</v>
      </c>
      <c r="AU153" s="388">
        <f>SUMIFS('2022'!$I:$I,'2022'!$E:$E,Category!$B$134,'2022'!$N:$N,Category!AU$1,'2022'!$D:$D,Category!$C153)</f>
        <v>1000000</v>
      </c>
      <c r="AV153" s="388">
        <f>SUMIFS('2022'!$I:$I,'2022'!$E:$E,Category!$B$134,'2022'!$N:$N,Category!AV$1,'2022'!$D:$D,Category!$C153)</f>
        <v>1000000</v>
      </c>
      <c r="AW153" s="388">
        <f>SUMIFS('2022'!$I:$I,'2022'!$E:$E,Category!$B$134,'2022'!$N:$N,Category!AW$1,'2022'!$D:$D,Category!$C153)</f>
        <v>1000000</v>
      </c>
      <c r="AX153" s="388">
        <f>SUMIFS('2022'!$I:$I,'2022'!$E:$E,Category!$B$134,'2022'!$N:$N,Category!AX$1,'2022'!$D:$D,Category!$C153)</f>
        <v>1000000</v>
      </c>
      <c r="AY153" s="388">
        <f>SUMIFS('2022'!$I:$I,'2022'!$E:$E,Category!$B$134,'2022'!$N:$N,Category!AY$1,'2022'!$D:$D,Category!$C153)</f>
        <v>1000000</v>
      </c>
      <c r="AZ153" s="389">
        <f t="shared" si="64"/>
        <v>12000000</v>
      </c>
      <c r="BA153" s="506">
        <f>IFERROR(VLOOKUP(C153,'2023'!$D:$G,4,0),0)</f>
        <v>1</v>
      </c>
      <c r="BB153" s="388">
        <f>SUMIFS('2023'!$I:$I,'2023'!$E:$E,Category!$B$134,'2023'!$N:$N,Category!BB$1,'2023'!$D:$D,Category!$C153)</f>
        <v>1000000</v>
      </c>
      <c r="BC153" s="388">
        <f>SUMIFS('2023'!$I:$I,'2023'!$E:$E,Category!$B$134,'2023'!$N:$N,Category!BC$1,'2023'!$D:$D,Category!$C153)</f>
        <v>1000000</v>
      </c>
      <c r="BD153" s="388">
        <f>SUMIFS('2023'!$I:$I,'2023'!$E:$E,Category!$B$134,'2023'!$N:$N,Category!BD$1,'2023'!$D:$D,Category!$C153)</f>
        <v>0</v>
      </c>
      <c r="BE153" s="388">
        <f>SUMIFS('2023'!$I:$I,'2023'!$E:$E,Category!$B$134,'2023'!$N:$N,Category!BE$1,'2023'!$D:$D,Category!$C153)</f>
        <v>0</v>
      </c>
      <c r="BF153" s="388">
        <f>SUMIFS('2023'!$I:$I,'2023'!$E:$E,Category!$B$134,'2023'!$N:$N,Category!BF$1,'2023'!$D:$D,Category!$C153)</f>
        <v>0</v>
      </c>
      <c r="BG153" s="388">
        <f>SUMIFS('2023'!$I:$I,'2023'!$E:$E,Category!$B$134,'2023'!$N:$N,Category!BG$1,'2023'!$D:$D,Category!$C153)</f>
        <v>0</v>
      </c>
      <c r="BH153" s="388">
        <f>SUMIFS('2023'!$I:$I,'2023'!$E:$E,Category!$B$134,'2023'!$N:$N,Category!BH$1,'2023'!$D:$D,Category!$C153)</f>
        <v>0</v>
      </c>
      <c r="BI153" s="388">
        <f>SUMIFS('2023'!$I:$I,'2023'!$E:$E,Category!$B$134,'2023'!$N:$N,Category!BI$1,'2023'!$D:$D,Category!$C153)</f>
        <v>0</v>
      </c>
      <c r="BJ153" s="388">
        <f>SUMIFS('2023'!$I:$I,'2023'!$E:$E,Category!$B$134,'2023'!$N:$N,Category!BJ$1,'2023'!$D:$D,Category!$C153)</f>
        <v>0</v>
      </c>
      <c r="BK153" s="388">
        <f>SUMIFS('2023'!$I:$I,'2023'!$E:$E,Category!$B$134,'2023'!$N:$N,Category!BK$1,'2023'!$D:$D,Category!$C153)</f>
        <v>0</v>
      </c>
      <c r="BL153" s="388">
        <f>SUMIFS('2023'!$I:$I,'2023'!$E:$E,Category!$B$134,'2023'!$N:$N,Category!BL$1,'2023'!$D:$D,Category!$C153)</f>
        <v>0</v>
      </c>
      <c r="BM153" s="388">
        <f>SUMIFS('2023'!$I:$I,'2023'!$E:$E,Category!$B$134,'2023'!$N:$N,Category!BM$1,'2023'!$D:$D,Category!$C153)</f>
        <v>0</v>
      </c>
      <c r="BN153" s="389">
        <f t="shared" si="65"/>
        <v>2000000</v>
      </c>
    </row>
    <row r="154" spans="1:66" x14ac:dyDescent="0.3">
      <c r="A154" s="386"/>
      <c r="B154" s="387"/>
      <c r="C154" s="387" t="s">
        <v>882</v>
      </c>
      <c r="D154" s="524">
        <f>IFERROR(VLOOKUP($C154,'2019'!$D:$G,4,0),0)</f>
        <v>0</v>
      </c>
      <c r="E154" s="388">
        <f>SUMIFS('2019'!$I:$I,'2019'!$E:$E,Category!$B$134,'2019'!$N:$N,Category!E$1,'2019'!$D:$D,Category!$C154)</f>
        <v>0</v>
      </c>
      <c r="F154" s="388">
        <f>SUMIFS('2019'!$I:$I,'2019'!$E:$E,Category!$B$134,'2019'!$N:$N,Category!F$1,'2019'!$D:$D,Category!$C154)</f>
        <v>0</v>
      </c>
      <c r="G154" s="388">
        <f>SUMIFS('2019'!$I:$I,'2019'!$E:$E,Category!$B$134,'2019'!$N:$N,Category!G$1,'2019'!$D:$D,Category!$C154)</f>
        <v>0</v>
      </c>
      <c r="H154" s="388">
        <f>SUMIFS('2019'!$I:$I,'2019'!$E:$E,Category!$B$134,'2019'!$N:$N,Category!H$1,'2019'!$D:$D,Category!$C154)</f>
        <v>0</v>
      </c>
      <c r="I154" s="388">
        <f>SUMIFS('2019'!$I:$I,'2019'!$E:$E,Category!$B$134,'2019'!$N:$N,Category!I$1,'2019'!$D:$D,Category!$C154)</f>
        <v>0</v>
      </c>
      <c r="J154" s="389">
        <f t="shared" si="61"/>
        <v>0</v>
      </c>
      <c r="K154" s="506">
        <f>IFERROR(VLOOKUP($C154,'2020'!$D:$G,4,0),0)</f>
        <v>0</v>
      </c>
      <c r="L154" s="388">
        <f>SUMIFS('2020'!$I:$I,'2020'!$E:$E,Category!$B$134,'2020'!$N:$N,Category!L$1,'2020'!$D:$D,Category!$C154)</f>
        <v>0</v>
      </c>
      <c r="M154" s="388">
        <f>SUMIFS('2020'!$I:$I,'2020'!$E:$E,Category!$B$134,'2020'!$N:$N,Category!M$1,'2020'!$D:$D,Category!$C154)</f>
        <v>0</v>
      </c>
      <c r="N154" s="388">
        <f>SUMIFS('2020'!$I:$I,'2020'!$E:$E,Category!$B$134,'2020'!$N:$N,Category!N$1,'2020'!$D:$D,Category!$C154)</f>
        <v>0</v>
      </c>
      <c r="O154" s="388">
        <f>SUMIFS('2020'!$I:$I,'2020'!$E:$E,Category!$B$134,'2020'!$N:$N,Category!O$1,'2020'!$D:$D,Category!$C154)</f>
        <v>0</v>
      </c>
      <c r="P154" s="388">
        <f>SUMIFS('2020'!$I:$I,'2020'!$E:$E,Category!$B$134,'2020'!$N:$N,Category!P$1,'2020'!$D:$D,Category!$C154)</f>
        <v>0</v>
      </c>
      <c r="Q154" s="388">
        <f>SUMIFS('2020'!$I:$I,'2020'!$E:$E,Category!$B$134,'2020'!$N:$N,Category!Q$1,'2020'!$D:$D,Category!$C154)</f>
        <v>0</v>
      </c>
      <c r="R154" s="388">
        <f>SUMIFS('2020'!$I:$I,'2020'!$E:$E,Category!$B$134,'2020'!$N:$N,Category!R$1,'2020'!$D:$D,Category!$C154)</f>
        <v>0</v>
      </c>
      <c r="S154" s="388">
        <f>SUMIFS('2020'!$I:$I,'2020'!$E:$E,Category!$B$134,'2020'!$N:$N,Category!S$1,'2020'!$D:$D,Category!$C154)</f>
        <v>0</v>
      </c>
      <c r="T154" s="388">
        <f>SUMIFS('2020'!$I:$I,'2020'!$E:$E,Category!$B$134,'2020'!$N:$N,Category!T$1,'2020'!$D:$D,Category!$C154)</f>
        <v>0</v>
      </c>
      <c r="U154" s="388">
        <f>SUMIFS('2020'!$I:$I,'2020'!$E:$E,Category!$B$134,'2020'!$N:$N,Category!U$1,'2020'!$D:$D,Category!$C154)</f>
        <v>0</v>
      </c>
      <c r="V154" s="388">
        <f>SUMIFS('2020'!$I:$I,'2020'!$E:$E,Category!$B$134,'2020'!$N:$N,Category!V$1,'2020'!$D:$D,Category!$C154)</f>
        <v>0</v>
      </c>
      <c r="W154" s="388">
        <f>SUMIFS('2020'!$I:$I,'2020'!$E:$E,Category!$B$134,'2020'!$N:$N,Category!W$1,'2020'!$D:$D,Category!$C154)</f>
        <v>0</v>
      </c>
      <c r="X154" s="388">
        <v>0</v>
      </c>
      <c r="Y154" s="506">
        <f>IFERROR(VLOOKUP(C154,'2021'!$D:$G,4,0),0)</f>
        <v>1</v>
      </c>
      <c r="Z154" s="388">
        <f>SUMIFS('2021'!$I:$I,'2021'!$E:$E,Category!$B$134,'2021'!$N:$N,Category!Z$1,'2021'!$D:$D,Category!$C154)</f>
        <v>0</v>
      </c>
      <c r="AA154" s="388">
        <f>SUMIFS('2021'!$I:$I,'2021'!$E:$E,Category!$B$134,'2021'!$N:$N,Category!AA$1,'2021'!$D:$D,Category!$C154)</f>
        <v>0</v>
      </c>
      <c r="AB154" s="388">
        <f>SUMIFS('2021'!$I:$I,'2021'!$E:$E,Category!$B$134,'2021'!$N:$N,Category!AB$1,'2021'!$D:$D,Category!$C154)</f>
        <v>0</v>
      </c>
      <c r="AC154" s="388">
        <f>SUMIFS('2021'!$I:$I,'2021'!$E:$E,Category!$B$134,'2021'!$N:$N,Category!AC$1,'2021'!$D:$D,Category!$C154)</f>
        <v>0</v>
      </c>
      <c r="AD154" s="388">
        <f>SUMIFS('2021'!$I:$I,'2021'!$E:$E,Category!$B$134,'2021'!$N:$N,Category!AD$1,'2021'!$D:$D,Category!$C154)</f>
        <v>0</v>
      </c>
      <c r="AE154" s="388">
        <f>SUMIFS('2021'!$I:$I,'2021'!$E:$E,Category!$B$134,'2021'!$N:$N,Category!AE$1,'2021'!$D:$D,Category!$C154)</f>
        <v>0</v>
      </c>
      <c r="AF154" s="388">
        <f>SUMIFS('2021'!$I:$I,'2021'!$E:$E,Category!$B$134,'2021'!$N:$N,Category!AF$1,'2021'!$D:$D,Category!$C154)</f>
        <v>0</v>
      </c>
      <c r="AG154" s="388">
        <f>SUMIFS('2021'!$I:$I,'2021'!$E:$E,Category!$B$134,'2021'!$N:$N,Category!AG$1,'2021'!$D:$D,Category!$C154)</f>
        <v>0</v>
      </c>
      <c r="AH154" s="388">
        <f>SUMIFS('2021'!$I:$I,'2021'!$E:$E,Category!$B$134,'2021'!$N:$N,Category!AH$1,'2021'!$D:$D,Category!$C154)</f>
        <v>750000</v>
      </c>
      <c r="AI154" s="388">
        <f>SUMIFS('2021'!$I:$I,'2021'!$E:$E,Category!$B$134,'2021'!$N:$N,Category!AI$1,'2021'!$D:$D,Category!$C154)</f>
        <v>750000</v>
      </c>
      <c r="AJ154" s="388">
        <f>SUMIFS('2021'!$I:$I,'2021'!$E:$E,Category!$B$134,'2021'!$N:$N,Category!AJ$1,'2021'!$D:$D,Category!$C154)</f>
        <v>750000</v>
      </c>
      <c r="AK154" s="388">
        <f>SUMIFS('2021'!$I:$I,'2021'!$E:$E,Category!$B$134,'2021'!$N:$N,Category!AK$1,'2021'!$D:$D,Category!$C154)</f>
        <v>750000</v>
      </c>
      <c r="AL154" s="389">
        <f t="shared" si="66"/>
        <v>3000000</v>
      </c>
      <c r="AM154" s="506">
        <f>IFERROR(VLOOKUP(C154,'2022'!$D:$G,4,0),0)</f>
        <v>1</v>
      </c>
      <c r="AN154" s="388">
        <f>SUMIFS('2022'!$I:$I,'2022'!$E:$E,Category!$B$134,'2022'!$N:$N,Category!AN$1,'2022'!$D:$D,Category!$C154)</f>
        <v>750000</v>
      </c>
      <c r="AO154" s="388">
        <f>SUMIFS('2022'!$I:$I,'2022'!$E:$E,Category!$B$134,'2022'!$N:$N,Category!AO$1,'2022'!$D:$D,Category!$C154)</f>
        <v>750000</v>
      </c>
      <c r="AP154" s="388">
        <f>SUMIFS('2022'!$I:$I,'2022'!$E:$E,Category!$B$134,'2022'!$N:$N,Category!AP$1,'2022'!$D:$D,Category!$C154)</f>
        <v>750000</v>
      </c>
      <c r="AQ154" s="388">
        <f>SUMIFS('2022'!$I:$I,'2022'!$E:$E,Category!$B$134,'2022'!$N:$N,Category!AQ$1,'2022'!$D:$D,Category!$C154)</f>
        <v>750000</v>
      </c>
      <c r="AR154" s="388">
        <f>SUMIFS('2022'!$I:$I,'2022'!$E:$E,Category!$B$134,'2022'!$N:$N,Category!AR$1,'2022'!$D:$D,Category!$C154)</f>
        <v>750000</v>
      </c>
      <c r="AS154" s="388">
        <f>SUMIFS('2022'!$I:$I,'2022'!$E:$E,Category!$B$134,'2022'!$N:$N,Category!AS$1,'2022'!$D:$D,Category!$C154)</f>
        <v>750000</v>
      </c>
      <c r="AT154" s="388">
        <f>SUMIFS('2022'!$I:$I,'2022'!$E:$E,Category!$B$134,'2022'!$N:$N,Category!AT$1,'2022'!$D:$D,Category!$C154)</f>
        <v>750000</v>
      </c>
      <c r="AU154" s="388">
        <f>SUMIFS('2022'!$I:$I,'2022'!$E:$E,Category!$B$134,'2022'!$N:$N,Category!AU$1,'2022'!$D:$D,Category!$C154)</f>
        <v>0</v>
      </c>
      <c r="AV154" s="388">
        <f>SUMIFS('2022'!$I:$I,'2022'!$E:$E,Category!$B$134,'2022'!$N:$N,Category!AV$1,'2022'!$D:$D,Category!$C154)</f>
        <v>0</v>
      </c>
      <c r="AW154" s="388">
        <f>SUMIFS('2022'!$I:$I,'2022'!$E:$E,Category!$B$134,'2022'!$N:$N,Category!AW$1,'2022'!$D:$D,Category!$C154)</f>
        <v>0</v>
      </c>
      <c r="AX154" s="388">
        <f>SUMIFS('2022'!$I:$I,'2022'!$E:$E,Category!$B$134,'2022'!$N:$N,Category!AX$1,'2022'!$D:$D,Category!$C154)</f>
        <v>0</v>
      </c>
      <c r="AY154" s="388">
        <f>SUMIFS('2022'!$I:$I,'2022'!$E:$E,Category!$B$134,'2022'!$N:$N,Category!AY$1,'2022'!$D:$D,Category!$C154)</f>
        <v>0</v>
      </c>
      <c r="AZ154" s="389">
        <f t="shared" si="64"/>
        <v>5250000</v>
      </c>
      <c r="BA154" s="506">
        <f>IFERROR(VLOOKUP(C154,'2023'!$D:$G,4,0),0)</f>
        <v>0</v>
      </c>
      <c r="BB154" s="388">
        <f>SUMIFS('2023'!$I:$I,'2023'!$E:$E,Category!$B$134,'2023'!$N:$N,Category!BB$1,'2023'!$D:$D,Category!$C154)</f>
        <v>0</v>
      </c>
      <c r="BC154" s="388">
        <f>SUMIFS('2023'!$I:$I,'2023'!$E:$E,Category!$B$134,'2023'!$N:$N,Category!BC$1,'2023'!$D:$D,Category!$C154)</f>
        <v>0</v>
      </c>
      <c r="BD154" s="388">
        <f>SUMIFS('2023'!$I:$I,'2023'!$E:$E,Category!$B$134,'2023'!$N:$N,Category!BD$1,'2023'!$D:$D,Category!$C154)</f>
        <v>0</v>
      </c>
      <c r="BE154" s="388">
        <f>SUMIFS('2023'!$I:$I,'2023'!$E:$E,Category!$B$134,'2023'!$N:$N,Category!BE$1,'2023'!$D:$D,Category!$C154)</f>
        <v>0</v>
      </c>
      <c r="BF154" s="388">
        <f>SUMIFS('2023'!$I:$I,'2023'!$E:$E,Category!$B$134,'2023'!$N:$N,Category!BF$1,'2023'!$D:$D,Category!$C154)</f>
        <v>0</v>
      </c>
      <c r="BG154" s="388">
        <f>SUMIFS('2023'!$I:$I,'2023'!$E:$E,Category!$B$134,'2023'!$N:$N,Category!BG$1,'2023'!$D:$D,Category!$C154)</f>
        <v>0</v>
      </c>
      <c r="BH154" s="388">
        <f>SUMIFS('2023'!$I:$I,'2023'!$E:$E,Category!$B$134,'2023'!$N:$N,Category!BH$1,'2023'!$D:$D,Category!$C154)</f>
        <v>0</v>
      </c>
      <c r="BI154" s="388">
        <f>SUMIFS('2023'!$I:$I,'2023'!$E:$E,Category!$B$134,'2023'!$N:$N,Category!BI$1,'2023'!$D:$D,Category!$C154)</f>
        <v>0</v>
      </c>
      <c r="BJ154" s="388">
        <f>SUMIFS('2023'!$I:$I,'2023'!$E:$E,Category!$B$134,'2023'!$N:$N,Category!BJ$1,'2023'!$D:$D,Category!$C154)</f>
        <v>0</v>
      </c>
      <c r="BK154" s="388">
        <f>SUMIFS('2023'!$I:$I,'2023'!$E:$E,Category!$B$134,'2023'!$N:$N,Category!BK$1,'2023'!$D:$D,Category!$C154)</f>
        <v>0</v>
      </c>
      <c r="BL154" s="388">
        <f>SUMIFS('2023'!$I:$I,'2023'!$E:$E,Category!$B$134,'2023'!$N:$N,Category!BL$1,'2023'!$D:$D,Category!$C154)</f>
        <v>0</v>
      </c>
      <c r="BM154" s="388">
        <f>SUMIFS('2023'!$I:$I,'2023'!$E:$E,Category!$B$134,'2023'!$N:$N,Category!BM$1,'2023'!$D:$D,Category!$C154)</f>
        <v>0</v>
      </c>
      <c r="BN154" s="389">
        <f t="shared" si="65"/>
        <v>0</v>
      </c>
    </row>
    <row r="155" spans="1:66" x14ac:dyDescent="0.3">
      <c r="A155" s="386"/>
      <c r="B155" s="387"/>
      <c r="C155" s="387" t="s">
        <v>883</v>
      </c>
      <c r="D155" s="524">
        <f>IFERROR(VLOOKUP($C155,'2019'!$D:$G,4,0),0)</f>
        <v>0</v>
      </c>
      <c r="E155" s="388">
        <f>SUMIFS('2019'!$I:$I,'2019'!$E:$E,Category!$B$134,'2019'!$N:$N,Category!E$1,'2019'!$D:$D,Category!$C155)</f>
        <v>0</v>
      </c>
      <c r="F155" s="388">
        <f>SUMIFS('2019'!$I:$I,'2019'!$E:$E,Category!$B$134,'2019'!$N:$N,Category!F$1,'2019'!$D:$D,Category!$C155)</f>
        <v>0</v>
      </c>
      <c r="G155" s="388">
        <f>SUMIFS('2019'!$I:$I,'2019'!$E:$E,Category!$B$134,'2019'!$N:$N,Category!G$1,'2019'!$D:$D,Category!$C155)</f>
        <v>0</v>
      </c>
      <c r="H155" s="388">
        <f>SUMIFS('2019'!$I:$I,'2019'!$E:$E,Category!$B$134,'2019'!$N:$N,Category!H$1,'2019'!$D:$D,Category!$C155)</f>
        <v>0</v>
      </c>
      <c r="I155" s="388">
        <f>SUMIFS('2019'!$I:$I,'2019'!$E:$E,Category!$B$134,'2019'!$N:$N,Category!I$1,'2019'!$D:$D,Category!$C155)</f>
        <v>0</v>
      </c>
      <c r="J155" s="389">
        <f t="shared" si="61"/>
        <v>0</v>
      </c>
      <c r="K155" s="506">
        <f>IFERROR(VLOOKUP($C155,'2020'!$D:$G,4,0),0)</f>
        <v>0</v>
      </c>
      <c r="L155" s="388">
        <f>SUMIFS('2020'!$I:$I,'2020'!$E:$E,Category!$B$134,'2020'!$N:$N,Category!L$1,'2020'!$D:$D,Category!$C155)</f>
        <v>0</v>
      </c>
      <c r="M155" s="388">
        <f>SUMIFS('2020'!$I:$I,'2020'!$E:$E,Category!$B$134,'2020'!$N:$N,Category!M$1,'2020'!$D:$D,Category!$C155)</f>
        <v>0</v>
      </c>
      <c r="N155" s="388">
        <f>SUMIFS('2020'!$I:$I,'2020'!$E:$E,Category!$B$134,'2020'!$N:$N,Category!N$1,'2020'!$D:$D,Category!$C155)</f>
        <v>0</v>
      </c>
      <c r="O155" s="388">
        <f>SUMIFS('2020'!$I:$I,'2020'!$E:$E,Category!$B$134,'2020'!$N:$N,Category!O$1,'2020'!$D:$D,Category!$C155)</f>
        <v>0</v>
      </c>
      <c r="P155" s="388">
        <f>SUMIFS('2020'!$I:$I,'2020'!$E:$E,Category!$B$134,'2020'!$N:$N,Category!P$1,'2020'!$D:$D,Category!$C155)</f>
        <v>0</v>
      </c>
      <c r="Q155" s="388">
        <f>SUMIFS('2020'!$I:$I,'2020'!$E:$E,Category!$B$134,'2020'!$N:$N,Category!Q$1,'2020'!$D:$D,Category!$C155)</f>
        <v>0</v>
      </c>
      <c r="R155" s="388">
        <f>SUMIFS('2020'!$I:$I,'2020'!$E:$E,Category!$B$134,'2020'!$N:$N,Category!R$1,'2020'!$D:$D,Category!$C155)</f>
        <v>0</v>
      </c>
      <c r="S155" s="388">
        <f>SUMIFS('2020'!$I:$I,'2020'!$E:$E,Category!$B$134,'2020'!$N:$N,Category!S$1,'2020'!$D:$D,Category!$C155)</f>
        <v>0</v>
      </c>
      <c r="T155" s="388">
        <f>SUMIFS('2020'!$I:$I,'2020'!$E:$E,Category!$B$134,'2020'!$N:$N,Category!T$1,'2020'!$D:$D,Category!$C155)</f>
        <v>0</v>
      </c>
      <c r="U155" s="388">
        <f>SUMIFS('2020'!$I:$I,'2020'!$E:$E,Category!$B$134,'2020'!$N:$N,Category!U$1,'2020'!$D:$D,Category!$C155)</f>
        <v>0</v>
      </c>
      <c r="V155" s="388">
        <f>SUMIFS('2020'!$I:$I,'2020'!$E:$E,Category!$B$134,'2020'!$N:$N,Category!V$1,'2020'!$D:$D,Category!$C155)</f>
        <v>0</v>
      </c>
      <c r="W155" s="388">
        <f>SUMIFS('2020'!$I:$I,'2020'!$E:$E,Category!$B$134,'2020'!$N:$N,Category!W$1,'2020'!$D:$D,Category!$C155)</f>
        <v>0</v>
      </c>
      <c r="X155" s="388">
        <v>0</v>
      </c>
      <c r="Y155" s="506">
        <f>IFERROR(VLOOKUP(C155,'2021'!$D:$G,4,0),0)</f>
        <v>1</v>
      </c>
      <c r="Z155" s="388">
        <f>SUMIFS('2021'!$I:$I,'2021'!$E:$E,Category!$B$134,'2021'!$N:$N,Category!Z$1,'2021'!$D:$D,Category!$C155)</f>
        <v>0</v>
      </c>
      <c r="AA155" s="388">
        <f>SUMIFS('2021'!$I:$I,'2021'!$E:$E,Category!$B$134,'2021'!$N:$N,Category!AA$1,'2021'!$D:$D,Category!$C155)</f>
        <v>0</v>
      </c>
      <c r="AB155" s="388">
        <f>SUMIFS('2021'!$I:$I,'2021'!$E:$E,Category!$B$134,'2021'!$N:$N,Category!AB$1,'2021'!$D:$D,Category!$C155)</f>
        <v>0</v>
      </c>
      <c r="AC155" s="388">
        <f>SUMIFS('2021'!$I:$I,'2021'!$E:$E,Category!$B$134,'2021'!$N:$N,Category!AC$1,'2021'!$D:$D,Category!$C155)</f>
        <v>0</v>
      </c>
      <c r="AD155" s="388">
        <f>SUMIFS('2021'!$I:$I,'2021'!$E:$E,Category!$B$134,'2021'!$N:$N,Category!AD$1,'2021'!$D:$D,Category!$C155)</f>
        <v>0</v>
      </c>
      <c r="AE155" s="388">
        <f>SUMIFS('2021'!$I:$I,'2021'!$E:$E,Category!$B$134,'2021'!$N:$N,Category!AE$1,'2021'!$D:$D,Category!$C155)</f>
        <v>0</v>
      </c>
      <c r="AF155" s="388">
        <f>SUMIFS('2021'!$I:$I,'2021'!$E:$E,Category!$B$134,'2021'!$N:$N,Category!AF$1,'2021'!$D:$D,Category!$C155)</f>
        <v>0</v>
      </c>
      <c r="AG155" s="388">
        <f>SUMIFS('2021'!$I:$I,'2021'!$E:$E,Category!$B$134,'2021'!$N:$N,Category!AG$1,'2021'!$D:$D,Category!$C155)</f>
        <v>0</v>
      </c>
      <c r="AH155" s="388">
        <f>SUMIFS('2021'!$I:$I,'2021'!$E:$E,Category!$B$134,'2021'!$N:$N,Category!AH$1,'2021'!$D:$D,Category!$C155)</f>
        <v>750000</v>
      </c>
      <c r="AI155" s="388">
        <f>SUMIFS('2021'!$I:$I,'2021'!$E:$E,Category!$B$134,'2021'!$N:$N,Category!AI$1,'2021'!$D:$D,Category!$C155)</f>
        <v>750000</v>
      </c>
      <c r="AJ155" s="388">
        <f>SUMIFS('2021'!$I:$I,'2021'!$E:$E,Category!$B$134,'2021'!$N:$N,Category!AJ$1,'2021'!$D:$D,Category!$C155)</f>
        <v>750000</v>
      </c>
      <c r="AK155" s="388">
        <f>SUMIFS('2021'!$I:$I,'2021'!$E:$E,Category!$B$134,'2021'!$N:$N,Category!AK$1,'2021'!$D:$D,Category!$C155)</f>
        <v>750000</v>
      </c>
      <c r="AL155" s="389">
        <f t="shared" si="66"/>
        <v>3000000</v>
      </c>
      <c r="AM155" s="506">
        <f>IFERROR(VLOOKUP(C155,'2022'!$D:$G,4,0),0)</f>
        <v>1</v>
      </c>
      <c r="AN155" s="388">
        <f>SUMIFS('2022'!$I:$I,'2022'!$E:$E,Category!$B$134,'2022'!$N:$N,Category!AN$1,'2022'!$D:$D,Category!$C155)</f>
        <v>750000</v>
      </c>
      <c r="AO155" s="388">
        <f>SUMIFS('2022'!$I:$I,'2022'!$E:$E,Category!$B$134,'2022'!$N:$N,Category!AO$1,'2022'!$D:$D,Category!$C155)</f>
        <v>750000</v>
      </c>
      <c r="AP155" s="388">
        <f>SUMIFS('2022'!$I:$I,'2022'!$E:$E,Category!$B$134,'2022'!$N:$N,Category!AP$1,'2022'!$D:$D,Category!$C155)</f>
        <v>750000</v>
      </c>
      <c r="AQ155" s="388">
        <f>SUMIFS('2022'!$I:$I,'2022'!$E:$E,Category!$B$134,'2022'!$N:$N,Category!AQ$1,'2022'!$D:$D,Category!$C155)</f>
        <v>750000</v>
      </c>
      <c r="AR155" s="388">
        <f>SUMIFS('2022'!$I:$I,'2022'!$E:$E,Category!$B$134,'2022'!$N:$N,Category!AR$1,'2022'!$D:$D,Category!$C155)</f>
        <v>750000</v>
      </c>
      <c r="AS155" s="388">
        <f>SUMIFS('2022'!$I:$I,'2022'!$E:$E,Category!$B$134,'2022'!$N:$N,Category!AS$1,'2022'!$D:$D,Category!$C155)</f>
        <v>750000</v>
      </c>
      <c r="AT155" s="388">
        <f>SUMIFS('2022'!$I:$I,'2022'!$E:$E,Category!$B$134,'2022'!$N:$N,Category!AT$1,'2022'!$D:$D,Category!$C155)</f>
        <v>750000</v>
      </c>
      <c r="AU155" s="388">
        <f>SUMIFS('2022'!$I:$I,'2022'!$E:$E,Category!$B$134,'2022'!$N:$N,Category!AU$1,'2022'!$D:$D,Category!$C155)</f>
        <v>0</v>
      </c>
      <c r="AV155" s="388">
        <f>SUMIFS('2022'!$I:$I,'2022'!$E:$E,Category!$B$134,'2022'!$N:$N,Category!AV$1,'2022'!$D:$D,Category!$C155)</f>
        <v>0</v>
      </c>
      <c r="AW155" s="388">
        <f>SUMIFS('2022'!$I:$I,'2022'!$E:$E,Category!$B$134,'2022'!$N:$N,Category!AW$1,'2022'!$D:$D,Category!$C155)</f>
        <v>0</v>
      </c>
      <c r="AX155" s="388">
        <f>SUMIFS('2022'!$I:$I,'2022'!$E:$E,Category!$B$134,'2022'!$N:$N,Category!AX$1,'2022'!$D:$D,Category!$C155)</f>
        <v>0</v>
      </c>
      <c r="AY155" s="388">
        <f>SUMIFS('2022'!$I:$I,'2022'!$E:$E,Category!$B$134,'2022'!$N:$N,Category!AY$1,'2022'!$D:$D,Category!$C155)</f>
        <v>0</v>
      </c>
      <c r="AZ155" s="389">
        <f t="shared" si="64"/>
        <v>5250000</v>
      </c>
      <c r="BA155" s="506">
        <f>IFERROR(VLOOKUP(C155,'2023'!$D:$G,4,0),0)</f>
        <v>0</v>
      </c>
      <c r="BB155" s="388">
        <f>SUMIFS('2023'!$I:$I,'2023'!$E:$E,Category!$B$134,'2023'!$N:$N,Category!BB$1,'2023'!$D:$D,Category!$C155)</f>
        <v>0</v>
      </c>
      <c r="BC155" s="388">
        <f>SUMIFS('2023'!$I:$I,'2023'!$E:$E,Category!$B$134,'2023'!$N:$N,Category!BC$1,'2023'!$D:$D,Category!$C155)</f>
        <v>0</v>
      </c>
      <c r="BD155" s="388">
        <f>SUMIFS('2023'!$I:$I,'2023'!$E:$E,Category!$B$134,'2023'!$N:$N,Category!BD$1,'2023'!$D:$D,Category!$C155)</f>
        <v>0</v>
      </c>
      <c r="BE155" s="388">
        <f>SUMIFS('2023'!$I:$I,'2023'!$E:$E,Category!$B$134,'2023'!$N:$N,Category!BE$1,'2023'!$D:$D,Category!$C155)</f>
        <v>0</v>
      </c>
      <c r="BF155" s="388">
        <f>SUMIFS('2023'!$I:$I,'2023'!$E:$E,Category!$B$134,'2023'!$N:$N,Category!BF$1,'2023'!$D:$D,Category!$C155)</f>
        <v>0</v>
      </c>
      <c r="BG155" s="388">
        <f>SUMIFS('2023'!$I:$I,'2023'!$E:$E,Category!$B$134,'2023'!$N:$N,Category!BG$1,'2023'!$D:$D,Category!$C155)</f>
        <v>0</v>
      </c>
      <c r="BH155" s="388">
        <f>SUMIFS('2023'!$I:$I,'2023'!$E:$E,Category!$B$134,'2023'!$N:$N,Category!BH$1,'2023'!$D:$D,Category!$C155)</f>
        <v>0</v>
      </c>
      <c r="BI155" s="388">
        <f>SUMIFS('2023'!$I:$I,'2023'!$E:$E,Category!$B$134,'2023'!$N:$N,Category!BI$1,'2023'!$D:$D,Category!$C155)</f>
        <v>0</v>
      </c>
      <c r="BJ155" s="388">
        <f>SUMIFS('2023'!$I:$I,'2023'!$E:$E,Category!$B$134,'2023'!$N:$N,Category!BJ$1,'2023'!$D:$D,Category!$C155)</f>
        <v>0</v>
      </c>
      <c r="BK155" s="388">
        <f>SUMIFS('2023'!$I:$I,'2023'!$E:$E,Category!$B$134,'2023'!$N:$N,Category!BK$1,'2023'!$D:$D,Category!$C155)</f>
        <v>0</v>
      </c>
      <c r="BL155" s="388">
        <f>SUMIFS('2023'!$I:$I,'2023'!$E:$E,Category!$B$134,'2023'!$N:$N,Category!BL$1,'2023'!$D:$D,Category!$C155)</f>
        <v>0</v>
      </c>
      <c r="BM155" s="388">
        <f>SUMIFS('2023'!$I:$I,'2023'!$E:$E,Category!$B$134,'2023'!$N:$N,Category!BM$1,'2023'!$D:$D,Category!$C155)</f>
        <v>0</v>
      </c>
      <c r="BN155" s="389">
        <f t="shared" si="65"/>
        <v>0</v>
      </c>
    </row>
    <row r="156" spans="1:66" ht="39.75" x14ac:dyDescent="0.3">
      <c r="A156" s="386"/>
      <c r="B156" s="387"/>
      <c r="C156" s="387" t="s">
        <v>956</v>
      </c>
      <c r="D156" s="524">
        <f>IFERROR(VLOOKUP($C156,'2019'!$D:$G,4,0),0)</f>
        <v>0</v>
      </c>
      <c r="E156" s="388">
        <f>SUMIFS('2019'!$I:$I,'2019'!$E:$E,Category!$B$134,'2019'!$N:$N,Category!E$1,'2019'!$D:$D,Category!$C156)</f>
        <v>0</v>
      </c>
      <c r="F156" s="388">
        <f>SUMIFS('2019'!$I:$I,'2019'!$E:$E,Category!$B$134,'2019'!$N:$N,Category!F$1,'2019'!$D:$D,Category!$C156)</f>
        <v>0</v>
      </c>
      <c r="G156" s="388">
        <f>SUMIFS('2019'!$I:$I,'2019'!$E:$E,Category!$B$134,'2019'!$N:$N,Category!G$1,'2019'!$D:$D,Category!$C156)</f>
        <v>0</v>
      </c>
      <c r="H156" s="388">
        <f>SUMIFS('2019'!$I:$I,'2019'!$E:$E,Category!$B$134,'2019'!$N:$N,Category!H$1,'2019'!$D:$D,Category!$C156)</f>
        <v>0</v>
      </c>
      <c r="I156" s="388">
        <f>SUMIFS('2019'!$I:$I,'2019'!$E:$E,Category!$B$134,'2019'!$N:$N,Category!I$1,'2019'!$D:$D,Category!$C156)</f>
        <v>0</v>
      </c>
      <c r="J156" s="389">
        <f t="shared" si="61"/>
        <v>0</v>
      </c>
      <c r="K156" s="506">
        <f>IFERROR(VLOOKUP($C156,'2020'!$D:$G,4,0),0)</f>
        <v>0</v>
      </c>
      <c r="L156" s="388">
        <f>SUMIFS('2020'!$I:$I,'2020'!$E:$E,Category!$B$134,'2020'!$N:$N,Category!L$1,'2020'!$D:$D,Category!$C156)</f>
        <v>0</v>
      </c>
      <c r="M156" s="388">
        <f>SUMIFS('2020'!$I:$I,'2020'!$E:$E,Category!$B$134,'2020'!$N:$N,Category!M$1,'2020'!$D:$D,Category!$C156)</f>
        <v>0</v>
      </c>
      <c r="N156" s="388">
        <f>SUMIFS('2020'!$I:$I,'2020'!$E:$E,Category!$B$134,'2020'!$N:$N,Category!N$1,'2020'!$D:$D,Category!$C156)</f>
        <v>0</v>
      </c>
      <c r="O156" s="388">
        <f>SUMIFS('2020'!$I:$I,'2020'!$E:$E,Category!$B$134,'2020'!$N:$N,Category!O$1,'2020'!$D:$D,Category!$C156)</f>
        <v>0</v>
      </c>
      <c r="P156" s="388">
        <f>SUMIFS('2020'!$I:$I,'2020'!$E:$E,Category!$B$134,'2020'!$N:$N,Category!P$1,'2020'!$D:$D,Category!$C156)</f>
        <v>0</v>
      </c>
      <c r="Q156" s="388">
        <f>SUMIFS('2020'!$I:$I,'2020'!$E:$E,Category!$B$134,'2020'!$N:$N,Category!Q$1,'2020'!$D:$D,Category!$C156)</f>
        <v>0</v>
      </c>
      <c r="R156" s="388">
        <f>SUMIFS('2020'!$I:$I,'2020'!$E:$E,Category!$B$134,'2020'!$N:$N,Category!R$1,'2020'!$D:$D,Category!$C156)</f>
        <v>0</v>
      </c>
      <c r="S156" s="388">
        <f>SUMIFS('2020'!$I:$I,'2020'!$E:$E,Category!$B$134,'2020'!$N:$N,Category!S$1,'2020'!$D:$D,Category!$C156)</f>
        <v>0</v>
      </c>
      <c r="T156" s="388">
        <f>SUMIFS('2020'!$I:$I,'2020'!$E:$E,Category!$B$134,'2020'!$N:$N,Category!T$1,'2020'!$D:$D,Category!$C156)</f>
        <v>0</v>
      </c>
      <c r="U156" s="388">
        <f>SUMIFS('2020'!$I:$I,'2020'!$E:$E,Category!$B$134,'2020'!$N:$N,Category!U$1,'2020'!$D:$D,Category!$C156)</f>
        <v>0</v>
      </c>
      <c r="V156" s="388">
        <f>SUMIFS('2020'!$I:$I,'2020'!$E:$E,Category!$B$134,'2020'!$N:$N,Category!V$1,'2020'!$D:$D,Category!$C156)</f>
        <v>0</v>
      </c>
      <c r="W156" s="388">
        <f>SUMIFS('2020'!$I:$I,'2020'!$E:$E,Category!$B$134,'2020'!$N:$N,Category!W$1,'2020'!$D:$D,Category!$C156)</f>
        <v>0</v>
      </c>
      <c r="X156" s="388">
        <v>0</v>
      </c>
      <c r="Y156" s="506">
        <f>IFERROR(VLOOKUP(C156,'2021'!$D:$G,4,0),0)</f>
        <v>1</v>
      </c>
      <c r="Z156" s="388">
        <f>SUMIFS('2021'!$I:$I,'2021'!$E:$E,Category!$B$134,'2021'!$N:$N,Category!Z$1,'2021'!$D:$D,Category!$C156)</f>
        <v>0</v>
      </c>
      <c r="AA156" s="388">
        <f>SUMIFS('2021'!$I:$I,'2021'!$E:$E,Category!$B$134,'2021'!$N:$N,Category!AA$1,'2021'!$D:$D,Category!$C156)</f>
        <v>0</v>
      </c>
      <c r="AB156" s="388">
        <f>SUMIFS('2021'!$I:$I,'2021'!$E:$E,Category!$B$134,'2021'!$N:$N,Category!AB$1,'2021'!$D:$D,Category!$C156)</f>
        <v>0</v>
      </c>
      <c r="AC156" s="388">
        <f>SUMIFS('2021'!$I:$I,'2021'!$E:$E,Category!$B$134,'2021'!$N:$N,Category!AC$1,'2021'!$D:$D,Category!$C156)</f>
        <v>0</v>
      </c>
      <c r="AD156" s="388">
        <f>SUMIFS('2021'!$I:$I,'2021'!$E:$E,Category!$B$134,'2021'!$N:$N,Category!AD$1,'2021'!$D:$D,Category!$C156)</f>
        <v>0</v>
      </c>
      <c r="AE156" s="388">
        <f>SUMIFS('2021'!$I:$I,'2021'!$E:$E,Category!$B$134,'2021'!$N:$N,Category!AE$1,'2021'!$D:$D,Category!$C156)</f>
        <v>0</v>
      </c>
      <c r="AF156" s="388">
        <f>SUMIFS('2021'!$I:$I,'2021'!$E:$E,Category!$B$134,'2021'!$N:$N,Category!AF$1,'2021'!$D:$D,Category!$C156)</f>
        <v>0</v>
      </c>
      <c r="AG156" s="388">
        <f>SUMIFS('2021'!$I:$I,'2021'!$E:$E,Category!$B$134,'2021'!$N:$N,Category!AG$1,'2021'!$D:$D,Category!$C156)</f>
        <v>0</v>
      </c>
      <c r="AH156" s="388">
        <f>SUMIFS('2021'!$I:$I,'2021'!$E:$E,Category!$B$134,'2021'!$N:$N,Category!AH$1,'2021'!$D:$D,Category!$C156)</f>
        <v>0</v>
      </c>
      <c r="AI156" s="388">
        <f>SUMIFS('2021'!$I:$I,'2021'!$E:$E,Category!$B$134,'2021'!$N:$N,Category!AI$1,'2021'!$D:$D,Category!$C156)</f>
        <v>0</v>
      </c>
      <c r="AJ156" s="388">
        <f>SUMIFS('2021'!$I:$I,'2021'!$E:$E,Category!$B$134,'2021'!$N:$N,Category!AJ$1,'2021'!$D:$D,Category!$C156)</f>
        <v>1000000</v>
      </c>
      <c r="AK156" s="388">
        <f>SUMIFS('2021'!$I:$I,'2021'!$E:$E,Category!$B$134,'2021'!$N:$N,Category!AK$1,'2021'!$D:$D,Category!$C156)</f>
        <v>1000000</v>
      </c>
      <c r="AL156" s="389">
        <f t="shared" si="66"/>
        <v>2000000</v>
      </c>
      <c r="AM156" s="506">
        <f>IFERROR(VLOOKUP(C156,'2022'!$D:$G,4,0),0)</f>
        <v>1</v>
      </c>
      <c r="AN156" s="388">
        <f>SUMIFS('2022'!$I:$I,'2022'!$E:$E,Category!$B$134,'2022'!$N:$N,Category!AN$1,'2022'!$D:$D,Category!$C156)</f>
        <v>1000000</v>
      </c>
      <c r="AO156" s="388">
        <f>SUMIFS('2022'!$I:$I,'2022'!$E:$E,Category!$B$134,'2022'!$N:$N,Category!AO$1,'2022'!$D:$D,Category!$C156)</f>
        <v>1000000</v>
      </c>
      <c r="AP156" s="388">
        <f>SUMIFS('2022'!$I:$I,'2022'!$E:$E,Category!$B$134,'2022'!$N:$N,Category!AP$1,'2022'!$D:$D,Category!$C156)</f>
        <v>1000000</v>
      </c>
      <c r="AQ156" s="388">
        <f>SUMIFS('2022'!$I:$I,'2022'!$E:$E,Category!$B$134,'2022'!$N:$N,Category!AQ$1,'2022'!$D:$D,Category!$C156)</f>
        <v>1000000</v>
      </c>
      <c r="AR156" s="388">
        <f>SUMIFS('2022'!$I:$I,'2022'!$E:$E,Category!$B$134,'2022'!$N:$N,Category!AR$1,'2022'!$D:$D,Category!$C156)</f>
        <v>1000000</v>
      </c>
      <c r="AS156" s="388">
        <f>SUMIFS('2022'!$I:$I,'2022'!$E:$E,Category!$B$134,'2022'!$N:$N,Category!AS$1,'2022'!$D:$D,Category!$C156)</f>
        <v>1000000</v>
      </c>
      <c r="AT156" s="388">
        <f>SUMIFS('2022'!$I:$I,'2022'!$E:$E,Category!$B$134,'2022'!$N:$N,Category!AT$1,'2022'!$D:$D,Category!$C156)</f>
        <v>1000000</v>
      </c>
      <c r="AU156" s="388">
        <f>SUMIFS('2022'!$I:$I,'2022'!$E:$E,Category!$B$134,'2022'!$N:$N,Category!AU$1,'2022'!$D:$D,Category!$C156)</f>
        <v>1000000</v>
      </c>
      <c r="AV156" s="388">
        <f>SUMIFS('2022'!$I:$I,'2022'!$E:$E,Category!$B$134,'2022'!$N:$N,Category!AV$1,'2022'!$D:$D,Category!$C156)</f>
        <v>1000000</v>
      </c>
      <c r="AW156" s="388">
        <f>SUMIFS('2022'!$I:$I,'2022'!$E:$E,Category!$B$134,'2022'!$N:$N,Category!AW$1,'2022'!$D:$D,Category!$C156)</f>
        <v>1000000</v>
      </c>
      <c r="AX156" s="388">
        <f>SUMIFS('2022'!$I:$I,'2022'!$E:$E,Category!$B$134,'2022'!$N:$N,Category!AX$1,'2022'!$D:$D,Category!$C156)</f>
        <v>1000000</v>
      </c>
      <c r="AY156" s="388">
        <f>SUMIFS('2022'!$I:$I,'2022'!$E:$E,Category!$B$134,'2022'!$N:$N,Category!AY$1,'2022'!$D:$D,Category!$C156)</f>
        <v>1000000</v>
      </c>
      <c r="AZ156" s="389">
        <f t="shared" si="64"/>
        <v>12000000</v>
      </c>
      <c r="BA156" s="506">
        <f>IFERROR(VLOOKUP(C156,'2023'!$D:$G,4,0),0)</f>
        <v>1</v>
      </c>
      <c r="BB156" s="388">
        <f>SUMIFS('2023'!$I:$I,'2023'!$E:$E,Category!$B$134,'2023'!$N:$N,Category!BB$1,'2023'!$D:$D,Category!$C156)</f>
        <v>1000000</v>
      </c>
      <c r="BC156" s="388">
        <f>SUMIFS('2023'!$I:$I,'2023'!$E:$E,Category!$B$134,'2023'!$N:$N,Category!BC$1,'2023'!$D:$D,Category!$C156)</f>
        <v>1000000</v>
      </c>
      <c r="BD156" s="388">
        <f>SUMIFS('2023'!$I:$I,'2023'!$E:$E,Category!$B$134,'2023'!$N:$N,Category!BD$1,'2023'!$D:$D,Category!$C156)</f>
        <v>0</v>
      </c>
      <c r="BE156" s="388">
        <f>SUMIFS('2023'!$I:$I,'2023'!$E:$E,Category!$B$134,'2023'!$N:$N,Category!BE$1,'2023'!$D:$D,Category!$C156)</f>
        <v>0</v>
      </c>
      <c r="BF156" s="388">
        <f>SUMIFS('2023'!$I:$I,'2023'!$E:$E,Category!$B$134,'2023'!$N:$N,Category!BF$1,'2023'!$D:$D,Category!$C156)</f>
        <v>0</v>
      </c>
      <c r="BG156" s="388">
        <f>SUMIFS('2023'!$I:$I,'2023'!$E:$E,Category!$B$134,'2023'!$N:$N,Category!BG$1,'2023'!$D:$D,Category!$C156)</f>
        <v>0</v>
      </c>
      <c r="BH156" s="388">
        <f>SUMIFS('2023'!$I:$I,'2023'!$E:$E,Category!$B$134,'2023'!$N:$N,Category!BH$1,'2023'!$D:$D,Category!$C156)</f>
        <v>0</v>
      </c>
      <c r="BI156" s="388">
        <f>SUMIFS('2023'!$I:$I,'2023'!$E:$E,Category!$B$134,'2023'!$N:$N,Category!BI$1,'2023'!$D:$D,Category!$C156)</f>
        <v>0</v>
      </c>
      <c r="BJ156" s="388">
        <f>SUMIFS('2023'!$I:$I,'2023'!$E:$E,Category!$B$134,'2023'!$N:$N,Category!BJ$1,'2023'!$D:$D,Category!$C156)</f>
        <v>0</v>
      </c>
      <c r="BK156" s="388">
        <f>SUMIFS('2023'!$I:$I,'2023'!$E:$E,Category!$B$134,'2023'!$N:$N,Category!BK$1,'2023'!$D:$D,Category!$C156)</f>
        <v>0</v>
      </c>
      <c r="BL156" s="388">
        <f>SUMIFS('2023'!$I:$I,'2023'!$E:$E,Category!$B$134,'2023'!$N:$N,Category!BL$1,'2023'!$D:$D,Category!$C156)</f>
        <v>0</v>
      </c>
      <c r="BM156" s="388">
        <f>SUMIFS('2023'!$I:$I,'2023'!$E:$E,Category!$B$134,'2023'!$N:$N,Category!BM$1,'2023'!$D:$D,Category!$C156)</f>
        <v>0</v>
      </c>
      <c r="BN156" s="389">
        <f t="shared" si="65"/>
        <v>2000000</v>
      </c>
    </row>
    <row r="157" spans="1:66" x14ac:dyDescent="0.3">
      <c r="A157" s="386"/>
      <c r="B157" s="387"/>
      <c r="C157" s="387" t="s">
        <v>884</v>
      </c>
      <c r="D157" s="524">
        <f>IFERROR(VLOOKUP($C157,'2019'!$D:$G,4,0),0)</f>
        <v>0</v>
      </c>
      <c r="E157" s="388">
        <f>SUMIFS('2019'!$I:$I,'2019'!$E:$E,Category!$B$134,'2019'!$N:$N,Category!E$1,'2019'!$D:$D,Category!$C157)</f>
        <v>0</v>
      </c>
      <c r="F157" s="388">
        <f>SUMIFS('2019'!$I:$I,'2019'!$E:$E,Category!$B$134,'2019'!$N:$N,Category!F$1,'2019'!$D:$D,Category!$C157)</f>
        <v>0</v>
      </c>
      <c r="G157" s="388">
        <f>SUMIFS('2019'!$I:$I,'2019'!$E:$E,Category!$B$134,'2019'!$N:$N,Category!G$1,'2019'!$D:$D,Category!$C157)</f>
        <v>0</v>
      </c>
      <c r="H157" s="388">
        <f>SUMIFS('2019'!$I:$I,'2019'!$E:$E,Category!$B$134,'2019'!$N:$N,Category!H$1,'2019'!$D:$D,Category!$C157)</f>
        <v>0</v>
      </c>
      <c r="I157" s="388">
        <f>SUMIFS('2019'!$I:$I,'2019'!$E:$E,Category!$B$134,'2019'!$N:$N,Category!I$1,'2019'!$D:$D,Category!$C157)</f>
        <v>0</v>
      </c>
      <c r="J157" s="389">
        <f t="shared" si="61"/>
        <v>0</v>
      </c>
      <c r="K157" s="506">
        <f>IFERROR(VLOOKUP($C157,'2020'!$D:$G,4,0),0)</f>
        <v>0</v>
      </c>
      <c r="L157" s="388">
        <f>SUMIFS('2020'!$I:$I,'2020'!$E:$E,Category!$B$134,'2020'!$N:$N,Category!L$1,'2020'!$D:$D,Category!$C157)</f>
        <v>0</v>
      </c>
      <c r="M157" s="388">
        <f>SUMIFS('2020'!$I:$I,'2020'!$E:$E,Category!$B$134,'2020'!$N:$N,Category!M$1,'2020'!$D:$D,Category!$C157)</f>
        <v>0</v>
      </c>
      <c r="N157" s="388">
        <f>SUMIFS('2020'!$I:$I,'2020'!$E:$E,Category!$B$134,'2020'!$N:$N,Category!N$1,'2020'!$D:$D,Category!$C157)</f>
        <v>0</v>
      </c>
      <c r="O157" s="388">
        <f>SUMIFS('2020'!$I:$I,'2020'!$E:$E,Category!$B$134,'2020'!$N:$N,Category!O$1,'2020'!$D:$D,Category!$C157)</f>
        <v>0</v>
      </c>
      <c r="P157" s="388">
        <f>SUMIFS('2020'!$I:$I,'2020'!$E:$E,Category!$B$134,'2020'!$N:$N,Category!P$1,'2020'!$D:$D,Category!$C157)</f>
        <v>0</v>
      </c>
      <c r="Q157" s="388">
        <f>SUMIFS('2020'!$I:$I,'2020'!$E:$E,Category!$B$134,'2020'!$N:$N,Category!Q$1,'2020'!$D:$D,Category!$C157)</f>
        <v>0</v>
      </c>
      <c r="R157" s="388">
        <f>SUMIFS('2020'!$I:$I,'2020'!$E:$E,Category!$B$134,'2020'!$N:$N,Category!R$1,'2020'!$D:$D,Category!$C157)</f>
        <v>0</v>
      </c>
      <c r="S157" s="388">
        <f>SUMIFS('2020'!$I:$I,'2020'!$E:$E,Category!$B$134,'2020'!$N:$N,Category!S$1,'2020'!$D:$D,Category!$C157)</f>
        <v>0</v>
      </c>
      <c r="T157" s="388">
        <f>SUMIFS('2020'!$I:$I,'2020'!$E:$E,Category!$B$134,'2020'!$N:$N,Category!T$1,'2020'!$D:$D,Category!$C157)</f>
        <v>0</v>
      </c>
      <c r="U157" s="388">
        <f>SUMIFS('2020'!$I:$I,'2020'!$E:$E,Category!$B$134,'2020'!$N:$N,Category!U$1,'2020'!$D:$D,Category!$C157)</f>
        <v>0</v>
      </c>
      <c r="V157" s="388">
        <f>SUMIFS('2020'!$I:$I,'2020'!$E:$E,Category!$B$134,'2020'!$N:$N,Category!V$1,'2020'!$D:$D,Category!$C157)</f>
        <v>0</v>
      </c>
      <c r="W157" s="388">
        <f>SUMIFS('2020'!$I:$I,'2020'!$E:$E,Category!$B$134,'2020'!$N:$N,Category!W$1,'2020'!$D:$D,Category!$C157)</f>
        <v>0</v>
      </c>
      <c r="X157" s="389">
        <f>SUM(L157:W157)</f>
        <v>0</v>
      </c>
      <c r="Y157" s="506">
        <f>IFERROR(VLOOKUP(C157,'2021'!$D:$G,4,0),0)</f>
        <v>1</v>
      </c>
      <c r="Z157" s="388">
        <f>SUMIFS('2021'!$I:$I,'2021'!$E:$E,Category!$B$134,'2021'!$N:$N,Category!Z$1,'2021'!$D:$D,Category!$C157)</f>
        <v>0</v>
      </c>
      <c r="AA157" s="388">
        <f>SUMIFS('2021'!$I:$I,'2021'!$E:$E,Category!$B$134,'2021'!$N:$N,Category!AA$1,'2021'!$D:$D,Category!$C157)</f>
        <v>0</v>
      </c>
      <c r="AB157" s="388">
        <f>SUMIFS('2021'!$I:$I,'2021'!$E:$E,Category!$B$134,'2021'!$N:$N,Category!AB$1,'2021'!$D:$D,Category!$C157)</f>
        <v>0</v>
      </c>
      <c r="AC157" s="388">
        <f>SUMIFS('2021'!$I:$I,'2021'!$E:$E,Category!$B$134,'2021'!$N:$N,Category!AC$1,'2021'!$D:$D,Category!$C157)</f>
        <v>0</v>
      </c>
      <c r="AD157" s="388">
        <f>SUMIFS('2021'!$I:$I,'2021'!$E:$E,Category!$B$134,'2021'!$N:$N,Category!AD$1,'2021'!$D:$D,Category!$C157)</f>
        <v>0</v>
      </c>
      <c r="AE157" s="388">
        <f>SUMIFS('2021'!$I:$I,'2021'!$E:$E,Category!$B$134,'2021'!$N:$N,Category!AE$1,'2021'!$D:$D,Category!$C157)</f>
        <v>0</v>
      </c>
      <c r="AF157" s="388">
        <f>SUMIFS('2021'!$I:$I,'2021'!$E:$E,Category!$B$134,'2021'!$N:$N,Category!AF$1,'2021'!$D:$D,Category!$C157)</f>
        <v>0</v>
      </c>
      <c r="AG157" s="388">
        <f>SUMIFS('2021'!$I:$I,'2021'!$E:$E,Category!$B$134,'2021'!$N:$N,Category!AG$1,'2021'!$D:$D,Category!$C157)</f>
        <v>0</v>
      </c>
      <c r="AH157" s="388">
        <f>SUMIFS('2021'!$I:$I,'2021'!$E:$E,Category!$B$134,'2021'!$N:$N,Category!AH$1,'2021'!$D:$D,Category!$C157)</f>
        <v>0</v>
      </c>
      <c r="AI157" s="388">
        <f>SUMIFS('2021'!$I:$I,'2021'!$E:$E,Category!$B$134,'2021'!$N:$N,Category!AI$1,'2021'!$D:$D,Category!$C157)</f>
        <v>0</v>
      </c>
      <c r="AJ157" s="388">
        <f>SUMIFS('2021'!$I:$I,'2021'!$E:$E,Category!$B$134,'2021'!$N:$N,Category!AJ$1,'2021'!$D:$D,Category!$C157)</f>
        <v>1000000</v>
      </c>
      <c r="AK157" s="388">
        <f>SUMIFS('2021'!$I:$I,'2021'!$E:$E,Category!$B$134,'2021'!$N:$N,Category!AK$1,'2021'!$D:$D,Category!$C157)</f>
        <v>1000000</v>
      </c>
      <c r="AL157" s="389">
        <f t="shared" si="66"/>
        <v>2000000</v>
      </c>
      <c r="AM157" s="506">
        <f>IFERROR(VLOOKUP(C157,'2022'!$D:$G,4,0),0)</f>
        <v>1</v>
      </c>
      <c r="AN157" s="388">
        <f>SUMIFS('2022'!$I:$I,'2022'!$E:$E,Category!$B$134,'2022'!$N:$N,Category!AN$1,'2022'!$D:$D,Category!$C157)</f>
        <v>1000000</v>
      </c>
      <c r="AO157" s="388">
        <f>SUMIFS('2022'!$I:$I,'2022'!$E:$E,Category!$B$134,'2022'!$N:$N,Category!AO$1,'2022'!$D:$D,Category!$C157)</f>
        <v>1000000</v>
      </c>
      <c r="AP157" s="388">
        <f>SUMIFS('2022'!$I:$I,'2022'!$E:$E,Category!$B$134,'2022'!$N:$N,Category!AP$1,'2022'!$D:$D,Category!$C157)</f>
        <v>1000000</v>
      </c>
      <c r="AQ157" s="388">
        <f>SUMIFS('2022'!$I:$I,'2022'!$E:$E,Category!$B$134,'2022'!$N:$N,Category!AQ$1,'2022'!$D:$D,Category!$C157)</f>
        <v>1000000</v>
      </c>
      <c r="AR157" s="388">
        <f>SUMIFS('2022'!$I:$I,'2022'!$E:$E,Category!$B$134,'2022'!$N:$N,Category!AR$1,'2022'!$D:$D,Category!$C157)</f>
        <v>1000000</v>
      </c>
      <c r="AS157" s="388">
        <f>SUMIFS('2022'!$I:$I,'2022'!$E:$E,Category!$B$134,'2022'!$N:$N,Category!AS$1,'2022'!$D:$D,Category!$C157)</f>
        <v>1000000</v>
      </c>
      <c r="AT157" s="388">
        <f>SUMIFS('2022'!$I:$I,'2022'!$E:$E,Category!$B$134,'2022'!$N:$N,Category!AT$1,'2022'!$D:$D,Category!$C157)</f>
        <v>1000000</v>
      </c>
      <c r="AU157" s="388">
        <f>SUMIFS('2022'!$I:$I,'2022'!$E:$E,Category!$B$134,'2022'!$N:$N,Category!AU$1,'2022'!$D:$D,Category!$C157)</f>
        <v>1000000</v>
      </c>
      <c r="AV157" s="388">
        <f>SUMIFS('2022'!$I:$I,'2022'!$E:$E,Category!$B$134,'2022'!$N:$N,Category!AV$1,'2022'!$D:$D,Category!$C157)</f>
        <v>1000000</v>
      </c>
      <c r="AW157" s="388">
        <f>SUMIFS('2022'!$I:$I,'2022'!$E:$E,Category!$B$134,'2022'!$N:$N,Category!AW$1,'2022'!$D:$D,Category!$C157)</f>
        <v>1000000</v>
      </c>
      <c r="AX157" s="388">
        <f>SUMIFS('2022'!$I:$I,'2022'!$E:$E,Category!$B$134,'2022'!$N:$N,Category!AX$1,'2022'!$D:$D,Category!$C157)</f>
        <v>1000000</v>
      </c>
      <c r="AY157" s="388">
        <f>SUMIFS('2022'!$I:$I,'2022'!$E:$E,Category!$B$134,'2022'!$N:$N,Category!AY$1,'2022'!$D:$D,Category!$C157)</f>
        <v>1000000</v>
      </c>
      <c r="AZ157" s="389">
        <f t="shared" si="64"/>
        <v>12000000</v>
      </c>
      <c r="BA157" s="506">
        <f>IFERROR(VLOOKUP(C157,'2023'!$D:$G,4,0),0)</f>
        <v>1</v>
      </c>
      <c r="BB157" s="388">
        <f>SUMIFS('2023'!$I:$I,'2023'!$E:$E,Category!$B$134,'2023'!$N:$N,Category!BB$1,'2023'!$D:$D,Category!$C157)</f>
        <v>1000000</v>
      </c>
      <c r="BC157" s="388">
        <f>SUMIFS('2023'!$I:$I,'2023'!$E:$E,Category!$B$134,'2023'!$N:$N,Category!BC$1,'2023'!$D:$D,Category!$C157)</f>
        <v>1000000</v>
      </c>
      <c r="BD157" s="388">
        <f>SUMIFS('2023'!$I:$I,'2023'!$E:$E,Category!$B$134,'2023'!$N:$N,Category!BD$1,'2023'!$D:$D,Category!$C157)</f>
        <v>0</v>
      </c>
      <c r="BE157" s="388">
        <f>SUMIFS('2023'!$I:$I,'2023'!$E:$E,Category!$B$134,'2023'!$N:$N,Category!BE$1,'2023'!$D:$D,Category!$C157)</f>
        <v>0</v>
      </c>
      <c r="BF157" s="388">
        <f>SUMIFS('2023'!$I:$I,'2023'!$E:$E,Category!$B$134,'2023'!$N:$N,Category!BF$1,'2023'!$D:$D,Category!$C157)</f>
        <v>0</v>
      </c>
      <c r="BG157" s="388">
        <f>SUMIFS('2023'!$I:$I,'2023'!$E:$E,Category!$B$134,'2023'!$N:$N,Category!BG$1,'2023'!$D:$D,Category!$C157)</f>
        <v>0</v>
      </c>
      <c r="BH157" s="388">
        <f>SUMIFS('2023'!$I:$I,'2023'!$E:$E,Category!$B$134,'2023'!$N:$N,Category!BH$1,'2023'!$D:$D,Category!$C157)</f>
        <v>0</v>
      </c>
      <c r="BI157" s="388">
        <f>SUMIFS('2023'!$I:$I,'2023'!$E:$E,Category!$B$134,'2023'!$N:$N,Category!BI$1,'2023'!$D:$D,Category!$C157)</f>
        <v>0</v>
      </c>
      <c r="BJ157" s="388">
        <f>SUMIFS('2023'!$I:$I,'2023'!$E:$E,Category!$B$134,'2023'!$N:$N,Category!BJ$1,'2023'!$D:$D,Category!$C157)</f>
        <v>0</v>
      </c>
      <c r="BK157" s="388">
        <f>SUMIFS('2023'!$I:$I,'2023'!$E:$E,Category!$B$134,'2023'!$N:$N,Category!BK$1,'2023'!$D:$D,Category!$C157)</f>
        <v>0</v>
      </c>
      <c r="BL157" s="388">
        <f>SUMIFS('2023'!$I:$I,'2023'!$E:$E,Category!$B$134,'2023'!$N:$N,Category!BL$1,'2023'!$D:$D,Category!$C157)</f>
        <v>0</v>
      </c>
      <c r="BM157" s="388">
        <f>SUMIFS('2023'!$I:$I,'2023'!$E:$E,Category!$B$134,'2023'!$N:$N,Category!BM$1,'2023'!$D:$D,Category!$C157)</f>
        <v>0</v>
      </c>
      <c r="BN157" s="389">
        <f t="shared" si="65"/>
        <v>2000000</v>
      </c>
    </row>
    <row r="158" spans="1:66" s="354" customFormat="1" x14ac:dyDescent="0.3">
      <c r="A158" s="386"/>
      <c r="B158" s="387"/>
      <c r="C158" s="387" t="s">
        <v>908</v>
      </c>
      <c r="D158" s="524">
        <f>IFERROR(VLOOKUP($C158,'2019'!$D:$G,4,0),0)</f>
        <v>0</v>
      </c>
      <c r="E158" s="388">
        <f>SUMIFS('2019'!$I:$I,'2019'!$E:$E,Category!$B$134,'2019'!$N:$N,Category!E$1,'2019'!$D:$D,Category!$C158)</f>
        <v>0</v>
      </c>
      <c r="F158" s="388">
        <f>SUMIFS('2019'!$I:$I,'2019'!$E:$E,Category!$B$134,'2019'!$N:$N,Category!F$1,'2019'!$D:$D,Category!$C158)</f>
        <v>0</v>
      </c>
      <c r="G158" s="388">
        <f>SUMIFS('2019'!$I:$I,'2019'!$E:$E,Category!$B$134,'2019'!$N:$N,Category!G$1,'2019'!$D:$D,Category!$C158)</f>
        <v>0</v>
      </c>
      <c r="H158" s="388">
        <f>SUMIFS('2019'!$I:$I,'2019'!$E:$E,Category!$B$134,'2019'!$N:$N,Category!H$1,'2019'!$D:$D,Category!$C158)</f>
        <v>0</v>
      </c>
      <c r="I158" s="388">
        <f>SUMIFS('2019'!$I:$I,'2019'!$E:$E,Category!$B$134,'2019'!$N:$N,Category!I$1,'2019'!$D:$D,Category!$C158)</f>
        <v>0</v>
      </c>
      <c r="J158" s="389">
        <f t="shared" si="61"/>
        <v>0</v>
      </c>
      <c r="K158" s="506">
        <f>IFERROR(VLOOKUP($C158,'2020'!$D:$G,4,0),0)</f>
        <v>0</v>
      </c>
      <c r="L158" s="388">
        <f>SUMIFS('2020'!$I:$I,'2020'!$E:$E,Category!$B$134,'2020'!$N:$N,Category!L$1,'2020'!$D:$D,Category!$C158)</f>
        <v>0</v>
      </c>
      <c r="M158" s="388">
        <f>SUMIFS('2020'!$I:$I,'2020'!$E:$E,Category!$B$134,'2020'!$N:$N,Category!M$1,'2020'!$D:$D,Category!$C158)</f>
        <v>0</v>
      </c>
      <c r="N158" s="388">
        <f>SUMIFS('2020'!$I:$I,'2020'!$E:$E,Category!$B$134,'2020'!$N:$N,Category!N$1,'2020'!$D:$D,Category!$C158)</f>
        <v>0</v>
      </c>
      <c r="O158" s="388">
        <f>SUMIFS('2020'!$I:$I,'2020'!$E:$E,Category!$B$134,'2020'!$N:$N,Category!O$1,'2020'!$D:$D,Category!$C158)</f>
        <v>0</v>
      </c>
      <c r="P158" s="388">
        <f>SUMIFS('2020'!$I:$I,'2020'!$E:$E,Category!$B$134,'2020'!$N:$N,Category!P$1,'2020'!$D:$D,Category!$C158)</f>
        <v>0</v>
      </c>
      <c r="Q158" s="388">
        <f>SUMIFS('2020'!$I:$I,'2020'!$E:$E,Category!$B$134,'2020'!$N:$N,Category!Q$1,'2020'!$D:$D,Category!$C158)</f>
        <v>0</v>
      </c>
      <c r="R158" s="388">
        <f>SUMIFS('2020'!$I:$I,'2020'!$E:$E,Category!$B$134,'2020'!$N:$N,Category!R$1,'2020'!$D:$D,Category!$C158)</f>
        <v>0</v>
      </c>
      <c r="S158" s="388">
        <f>SUMIFS('2020'!$I:$I,'2020'!$E:$E,Category!$B$134,'2020'!$N:$N,Category!S$1,'2020'!$D:$D,Category!$C158)</f>
        <v>0</v>
      </c>
      <c r="T158" s="388">
        <f>SUMIFS('2020'!$I:$I,'2020'!$E:$E,Category!$B$134,'2020'!$N:$N,Category!T$1,'2020'!$D:$D,Category!$C158)</f>
        <v>0</v>
      </c>
      <c r="U158" s="388">
        <f>SUMIFS('2020'!$I:$I,'2020'!$E:$E,Category!$B$134,'2020'!$N:$N,Category!U$1,'2020'!$D:$D,Category!$C158)</f>
        <v>0</v>
      </c>
      <c r="V158" s="388">
        <f>SUMIFS('2020'!$I:$I,'2020'!$E:$E,Category!$B$134,'2020'!$N:$N,Category!V$1,'2020'!$D:$D,Category!$C158)</f>
        <v>0</v>
      </c>
      <c r="W158" s="388">
        <f>SUMIFS('2020'!$I:$I,'2020'!$E:$E,Category!$B$134,'2020'!$N:$N,Category!W$1,'2020'!$D:$D,Category!$C158)</f>
        <v>0</v>
      </c>
      <c r="X158" s="389">
        <v>0</v>
      </c>
      <c r="Y158" s="506">
        <f>IFERROR(VLOOKUP(C158,'2021'!$D:$G,4,0),0)</f>
        <v>0</v>
      </c>
      <c r="Z158" s="388">
        <f>SUMIFS('2021'!$I:$I,'2021'!$E:$E,Category!$B$134,'2021'!$N:$N,Category!Z$1,'2021'!$D:$D,Category!$C158)</f>
        <v>0</v>
      </c>
      <c r="AA158" s="388">
        <f>SUMIFS('2021'!$I:$I,'2021'!$E:$E,Category!$B$134,'2021'!$N:$N,Category!AA$1,'2021'!$D:$D,Category!$C158)</f>
        <v>0</v>
      </c>
      <c r="AB158" s="388">
        <f>SUMIFS('2021'!$I:$I,'2021'!$E:$E,Category!$B$134,'2021'!$N:$N,Category!AB$1,'2021'!$D:$D,Category!$C158)</f>
        <v>0</v>
      </c>
      <c r="AC158" s="388">
        <f>SUMIFS('2021'!$I:$I,'2021'!$E:$E,Category!$B$134,'2021'!$N:$N,Category!AC$1,'2021'!$D:$D,Category!$C158)</f>
        <v>0</v>
      </c>
      <c r="AD158" s="388">
        <f>SUMIFS('2021'!$I:$I,'2021'!$E:$E,Category!$B$134,'2021'!$N:$N,Category!AD$1,'2021'!$D:$D,Category!$C158)</f>
        <v>0</v>
      </c>
      <c r="AE158" s="388">
        <f>SUMIFS('2021'!$I:$I,'2021'!$E:$E,Category!$B$134,'2021'!$N:$N,Category!AE$1,'2021'!$D:$D,Category!$C158)</f>
        <v>0</v>
      </c>
      <c r="AF158" s="388">
        <f>SUMIFS('2021'!$I:$I,'2021'!$E:$E,Category!$B$134,'2021'!$N:$N,Category!AF$1,'2021'!$D:$D,Category!$C158)</f>
        <v>0</v>
      </c>
      <c r="AG158" s="388">
        <f>SUMIFS('2021'!$I:$I,'2021'!$E:$E,Category!$B$134,'2021'!$N:$N,Category!AG$1,'2021'!$D:$D,Category!$C158)</f>
        <v>0</v>
      </c>
      <c r="AH158" s="388">
        <f>SUMIFS('2021'!$I:$I,'2021'!$E:$E,Category!$B$134,'2021'!$N:$N,Category!AH$1,'2021'!$D:$D,Category!$C158)</f>
        <v>0</v>
      </c>
      <c r="AI158" s="388">
        <f>SUMIFS('2021'!$I:$I,'2021'!$E:$E,Category!$B$134,'2021'!$N:$N,Category!AI$1,'2021'!$D:$D,Category!$C158)</f>
        <v>0</v>
      </c>
      <c r="AJ158" s="388">
        <f>SUMIFS('2021'!$I:$I,'2021'!$E:$E,Category!$B$134,'2021'!$N:$N,Category!AJ$1,'2021'!$D:$D,Category!$C158)</f>
        <v>0</v>
      </c>
      <c r="AK158" s="388">
        <f>SUMIFS('2021'!$I:$I,'2021'!$E:$E,Category!$B$134,'2021'!$N:$N,Category!AK$1,'2021'!$D:$D,Category!$C158)</f>
        <v>0</v>
      </c>
      <c r="AL158" s="389">
        <v>0</v>
      </c>
      <c r="AM158" s="506">
        <f>IFERROR(VLOOKUP(C158,'2022'!$D:$G,4,0),0)</f>
        <v>1</v>
      </c>
      <c r="AN158" s="388">
        <f>SUMIFS('2022'!$I:$I,'2022'!$E:$E,Category!$B$134,'2022'!$N:$N,Category!AN$1,'2022'!$D:$D,Category!$C158)</f>
        <v>0</v>
      </c>
      <c r="AO158" s="388">
        <f>SUMIFS('2022'!$I:$I,'2022'!$E:$E,Category!$B$134,'2022'!$N:$N,Category!AO$1,'2022'!$D:$D,Category!$C158)</f>
        <v>0</v>
      </c>
      <c r="AP158" s="388">
        <f>SUMIFS('2022'!$I:$I,'2022'!$E:$E,Category!$B$134,'2022'!$N:$N,Category!AP$1,'2022'!$D:$D,Category!$C158)</f>
        <v>1000000</v>
      </c>
      <c r="AQ158" s="388">
        <f>SUMIFS('2022'!$I:$I,'2022'!$E:$E,Category!$B$134,'2022'!$N:$N,Category!AQ$1,'2022'!$D:$D,Category!$C158)</f>
        <v>1000000</v>
      </c>
      <c r="AR158" s="388">
        <f>SUMIFS('2022'!$I:$I,'2022'!$E:$E,Category!$B$134,'2022'!$N:$N,Category!AR$1,'2022'!$D:$D,Category!$C158)</f>
        <v>1000000</v>
      </c>
      <c r="AS158" s="388">
        <f>SUMIFS('2022'!$I:$I,'2022'!$E:$E,Category!$B$134,'2022'!$N:$N,Category!AS$1,'2022'!$D:$D,Category!$C158)</f>
        <v>1000000</v>
      </c>
      <c r="AT158" s="388">
        <f>SUMIFS('2022'!$I:$I,'2022'!$E:$E,Category!$B$134,'2022'!$N:$N,Category!AT$1,'2022'!$D:$D,Category!$C158)</f>
        <v>1000000</v>
      </c>
      <c r="AU158" s="388">
        <f>SUMIFS('2022'!$I:$I,'2022'!$E:$E,Category!$B$134,'2022'!$N:$N,Category!AU$1,'2022'!$D:$D,Category!$C158)</f>
        <v>1000000</v>
      </c>
      <c r="AV158" s="388">
        <f>SUMIFS('2022'!$I:$I,'2022'!$E:$E,Category!$B$134,'2022'!$N:$N,Category!AV$1,'2022'!$D:$D,Category!$C158)</f>
        <v>1000000</v>
      </c>
      <c r="AW158" s="388">
        <f>SUMIFS('2022'!$I:$I,'2022'!$E:$E,Category!$B$134,'2022'!$N:$N,Category!AW$1,'2022'!$D:$D,Category!$C158)</f>
        <v>1000000</v>
      </c>
      <c r="AX158" s="388">
        <f>SUMIFS('2022'!$I:$I,'2022'!$E:$E,Category!$B$134,'2022'!$N:$N,Category!AX$1,'2022'!$D:$D,Category!$C158)</f>
        <v>1000000</v>
      </c>
      <c r="AY158" s="388">
        <f>SUMIFS('2022'!$I:$I,'2022'!$E:$E,Category!$B$134,'2022'!$N:$N,Category!AY$1,'2022'!$D:$D,Category!$C158)</f>
        <v>1000000</v>
      </c>
      <c r="AZ158" s="389">
        <f t="shared" si="64"/>
        <v>10000000</v>
      </c>
      <c r="BA158" s="506">
        <f>IFERROR(VLOOKUP(C158,'2023'!$D:$G,4,0),0)</f>
        <v>1</v>
      </c>
      <c r="BB158" s="388">
        <f>SUMIFS('2023'!$I:$I,'2023'!$E:$E,Category!$B$134,'2023'!$N:$N,Category!BB$1,'2023'!$D:$D,Category!$C158)</f>
        <v>1000000</v>
      </c>
      <c r="BC158" s="388">
        <f>SUMIFS('2023'!$I:$I,'2023'!$E:$E,Category!$B$134,'2023'!$N:$N,Category!BC$1,'2023'!$D:$D,Category!$C158)</f>
        <v>1000000</v>
      </c>
      <c r="BD158" s="388">
        <f>SUMIFS('2023'!$I:$I,'2023'!$E:$E,Category!$B$134,'2023'!$N:$N,Category!BD$1,'2023'!$D:$D,Category!$C158)</f>
        <v>0</v>
      </c>
      <c r="BE158" s="388">
        <f>SUMIFS('2023'!$I:$I,'2023'!$E:$E,Category!$B$134,'2023'!$N:$N,Category!BE$1,'2023'!$D:$D,Category!$C158)</f>
        <v>0</v>
      </c>
      <c r="BF158" s="388">
        <f>SUMIFS('2023'!$I:$I,'2023'!$E:$E,Category!$B$134,'2023'!$N:$N,Category!BF$1,'2023'!$D:$D,Category!$C158)</f>
        <v>0</v>
      </c>
      <c r="BG158" s="388">
        <f>SUMIFS('2023'!$I:$I,'2023'!$E:$E,Category!$B$134,'2023'!$N:$N,Category!BG$1,'2023'!$D:$D,Category!$C158)</f>
        <v>0</v>
      </c>
      <c r="BH158" s="388">
        <f>SUMIFS('2023'!$I:$I,'2023'!$E:$E,Category!$B$134,'2023'!$N:$N,Category!BH$1,'2023'!$D:$D,Category!$C158)</f>
        <v>0</v>
      </c>
      <c r="BI158" s="388">
        <f>SUMIFS('2023'!$I:$I,'2023'!$E:$E,Category!$B$134,'2023'!$N:$N,Category!BI$1,'2023'!$D:$D,Category!$C158)</f>
        <v>0</v>
      </c>
      <c r="BJ158" s="388">
        <f>SUMIFS('2023'!$I:$I,'2023'!$E:$E,Category!$B$134,'2023'!$N:$N,Category!BJ$1,'2023'!$D:$D,Category!$C158)</f>
        <v>0</v>
      </c>
      <c r="BK158" s="388">
        <f>SUMIFS('2023'!$I:$I,'2023'!$E:$E,Category!$B$134,'2023'!$N:$N,Category!BK$1,'2023'!$D:$D,Category!$C158)</f>
        <v>0</v>
      </c>
      <c r="BL158" s="388">
        <f>SUMIFS('2023'!$I:$I,'2023'!$E:$E,Category!$B$134,'2023'!$N:$N,Category!BL$1,'2023'!$D:$D,Category!$C158)</f>
        <v>0</v>
      </c>
      <c r="BM158" s="388">
        <f>SUMIFS('2023'!$I:$I,'2023'!$E:$E,Category!$B$134,'2023'!$N:$N,Category!BM$1,'2023'!$D:$D,Category!$C158)</f>
        <v>0</v>
      </c>
      <c r="BN158" s="389">
        <f t="shared" si="65"/>
        <v>2000000</v>
      </c>
    </row>
    <row r="159" spans="1:66" x14ac:dyDescent="0.3">
      <c r="A159" s="386"/>
      <c r="B159" s="387"/>
      <c r="C159" s="387" t="s">
        <v>909</v>
      </c>
      <c r="D159" s="524">
        <f>IFERROR(VLOOKUP($C159,'2019'!$D:$G,4,0),0)</f>
        <v>0</v>
      </c>
      <c r="E159" s="388">
        <f>SUMIFS('2019'!$I:$I,'2019'!$E:$E,Category!$B$134,'2019'!$N:$N,Category!E$1,'2019'!$D:$D,Category!$C159)</f>
        <v>0</v>
      </c>
      <c r="F159" s="388">
        <f>SUMIFS('2019'!$I:$I,'2019'!$E:$E,Category!$B$134,'2019'!$N:$N,Category!F$1,'2019'!$D:$D,Category!$C159)</f>
        <v>0</v>
      </c>
      <c r="G159" s="388">
        <f>SUMIFS('2019'!$I:$I,'2019'!$E:$E,Category!$B$134,'2019'!$N:$N,Category!G$1,'2019'!$D:$D,Category!$C159)</f>
        <v>0</v>
      </c>
      <c r="H159" s="388">
        <f>SUMIFS('2019'!$I:$I,'2019'!$E:$E,Category!$B$134,'2019'!$N:$N,Category!H$1,'2019'!$D:$D,Category!$C159)</f>
        <v>0</v>
      </c>
      <c r="I159" s="388">
        <f>SUMIFS('2019'!$I:$I,'2019'!$E:$E,Category!$B$134,'2019'!$N:$N,Category!I$1,'2019'!$D:$D,Category!$C159)</f>
        <v>0</v>
      </c>
      <c r="J159" s="389">
        <f t="shared" si="61"/>
        <v>0</v>
      </c>
      <c r="K159" s="506">
        <f>IFERROR(VLOOKUP($C159,'2020'!$D:$G,4,0),0)</f>
        <v>0</v>
      </c>
      <c r="L159" s="388">
        <f>SUMIFS('2020'!$I:$I,'2020'!$E:$E,Category!$B$134,'2020'!$N:$N,Category!L$1,'2020'!$D:$D,Category!$C159)</f>
        <v>0</v>
      </c>
      <c r="M159" s="388">
        <f>SUMIFS('2020'!$I:$I,'2020'!$E:$E,Category!$B$134,'2020'!$N:$N,Category!M$1,'2020'!$D:$D,Category!$C159)</f>
        <v>0</v>
      </c>
      <c r="N159" s="388">
        <f>SUMIFS('2020'!$I:$I,'2020'!$E:$E,Category!$B$134,'2020'!$N:$N,Category!N$1,'2020'!$D:$D,Category!$C159)</f>
        <v>0</v>
      </c>
      <c r="O159" s="388">
        <f>SUMIFS('2020'!$I:$I,'2020'!$E:$E,Category!$B$134,'2020'!$N:$N,Category!O$1,'2020'!$D:$D,Category!$C159)</f>
        <v>0</v>
      </c>
      <c r="P159" s="388">
        <f>SUMIFS('2020'!$I:$I,'2020'!$E:$E,Category!$B$134,'2020'!$N:$N,Category!P$1,'2020'!$D:$D,Category!$C159)</f>
        <v>0</v>
      </c>
      <c r="Q159" s="388">
        <f>SUMIFS('2020'!$I:$I,'2020'!$E:$E,Category!$B$134,'2020'!$N:$N,Category!Q$1,'2020'!$D:$D,Category!$C159)</f>
        <v>0</v>
      </c>
      <c r="R159" s="388">
        <f>SUMIFS('2020'!$I:$I,'2020'!$E:$E,Category!$B$134,'2020'!$N:$N,Category!R$1,'2020'!$D:$D,Category!$C159)</f>
        <v>0</v>
      </c>
      <c r="S159" s="388">
        <f>SUMIFS('2020'!$I:$I,'2020'!$E:$E,Category!$B$134,'2020'!$N:$N,Category!S$1,'2020'!$D:$D,Category!$C159)</f>
        <v>0</v>
      </c>
      <c r="T159" s="388">
        <f>SUMIFS('2020'!$I:$I,'2020'!$E:$E,Category!$B$134,'2020'!$N:$N,Category!T$1,'2020'!$D:$D,Category!$C159)</f>
        <v>0</v>
      </c>
      <c r="U159" s="388">
        <f>SUMIFS('2020'!$I:$I,'2020'!$E:$E,Category!$B$134,'2020'!$N:$N,Category!U$1,'2020'!$D:$D,Category!$C159)</f>
        <v>0</v>
      </c>
      <c r="V159" s="388">
        <f>SUMIFS('2020'!$I:$I,'2020'!$E:$E,Category!$B$134,'2020'!$N:$N,Category!V$1,'2020'!$D:$D,Category!$C159)</f>
        <v>0</v>
      </c>
      <c r="W159" s="388">
        <f>SUMIFS('2020'!$I:$I,'2020'!$E:$E,Category!$B$134,'2020'!$N:$N,Category!W$1,'2020'!$D:$D,Category!$C159)</f>
        <v>0</v>
      </c>
      <c r="X159" s="389">
        <v>0</v>
      </c>
      <c r="Y159" s="506">
        <f>IFERROR(VLOOKUP(C159,'2021'!$D:$G,4,0),0)</f>
        <v>1</v>
      </c>
      <c r="Z159" s="388">
        <f>SUMIFS('2021'!$I:$I,'2021'!$E:$E,Category!$B$134,'2021'!$N:$N,Category!Z$1,'2021'!$D:$D,Category!$C159)</f>
        <v>0</v>
      </c>
      <c r="AA159" s="388">
        <f>SUMIFS('2021'!$I:$I,'2021'!$E:$E,Category!$B$134,'2021'!$N:$N,Category!AA$1,'2021'!$D:$D,Category!$C159)</f>
        <v>0</v>
      </c>
      <c r="AB159" s="388">
        <f>SUMIFS('2021'!$I:$I,'2021'!$E:$E,Category!$B$134,'2021'!$N:$N,Category!AB$1,'2021'!$D:$D,Category!$C159)</f>
        <v>0</v>
      </c>
      <c r="AC159" s="388">
        <f>SUMIFS('2021'!$I:$I,'2021'!$E:$E,Category!$B$134,'2021'!$N:$N,Category!AC$1,'2021'!$D:$D,Category!$C159)</f>
        <v>0</v>
      </c>
      <c r="AD159" s="388">
        <f>SUMIFS('2021'!$I:$I,'2021'!$E:$E,Category!$B$134,'2021'!$N:$N,Category!AD$1,'2021'!$D:$D,Category!$C159)</f>
        <v>0</v>
      </c>
      <c r="AE159" s="388">
        <f>SUMIFS('2021'!$I:$I,'2021'!$E:$E,Category!$B$134,'2021'!$N:$N,Category!AE$1,'2021'!$D:$D,Category!$C159)</f>
        <v>0</v>
      </c>
      <c r="AF159" s="388">
        <f>SUMIFS('2021'!$I:$I,'2021'!$E:$E,Category!$B$134,'2021'!$N:$N,Category!AF$1,'2021'!$D:$D,Category!$C159)</f>
        <v>0</v>
      </c>
      <c r="AG159" s="388">
        <f>SUMIFS('2021'!$I:$I,'2021'!$E:$E,Category!$B$134,'2021'!$N:$N,Category!AG$1,'2021'!$D:$D,Category!$C159)</f>
        <v>0</v>
      </c>
      <c r="AH159" s="388">
        <f>SUMIFS('2021'!$I:$I,'2021'!$E:$E,Category!$B$134,'2021'!$N:$N,Category!AH$1,'2021'!$D:$D,Category!$C159)</f>
        <v>1000000</v>
      </c>
      <c r="AI159" s="388">
        <f>SUMIFS('2021'!$I:$I,'2021'!$E:$E,Category!$B$134,'2021'!$N:$N,Category!AI$1,'2021'!$D:$D,Category!$C159)</f>
        <v>1000000</v>
      </c>
      <c r="AJ159" s="388">
        <f>SUMIFS('2021'!$I:$I,'2021'!$E:$E,Category!$B$134,'2021'!$N:$N,Category!AJ$1,'2021'!$D:$D,Category!$C159)</f>
        <v>0</v>
      </c>
      <c r="AK159" s="388">
        <f>SUMIFS('2021'!$I:$I,'2021'!$E:$E,Category!$B$134,'2021'!$N:$N,Category!AK$1,'2021'!$D:$D,Category!$C159)</f>
        <v>0</v>
      </c>
      <c r="AL159" s="389">
        <f t="shared" ref="AL159:AL182" si="67">SUM(Z159:AK159)</f>
        <v>2000000</v>
      </c>
      <c r="AM159" s="506">
        <f>IFERROR(VLOOKUP(C159,'2022'!$D:$G,4,0),0)</f>
        <v>0</v>
      </c>
      <c r="AN159" s="388">
        <f>SUMIFS('2022'!$I:$I,'2022'!$E:$E,Category!$B$134,'2022'!$N:$N,Category!AN$1,'2022'!$D:$D,Category!$C159)</f>
        <v>0</v>
      </c>
      <c r="AO159" s="388">
        <f>SUMIFS('2022'!$I:$I,'2022'!$E:$E,Category!$B$134,'2022'!$N:$N,Category!AO$1,'2022'!$D:$D,Category!$C159)</f>
        <v>0</v>
      </c>
      <c r="AP159" s="388">
        <f>SUMIFS('2022'!$I:$I,'2022'!$E:$E,Category!$B$134,'2022'!$N:$N,Category!AP$1,'2022'!$D:$D,Category!$C159)</f>
        <v>0</v>
      </c>
      <c r="AQ159" s="388">
        <f>SUMIFS('2022'!$I:$I,'2022'!$E:$E,Category!$B$134,'2022'!$N:$N,Category!AQ$1,'2022'!$D:$D,Category!$C159)</f>
        <v>0</v>
      </c>
      <c r="AR159" s="388">
        <f>SUMIFS('2022'!$I:$I,'2022'!$E:$E,Category!$B$134,'2022'!$N:$N,Category!AR$1,'2022'!$D:$D,Category!$C159)</f>
        <v>0</v>
      </c>
      <c r="AS159" s="388">
        <f>SUMIFS('2022'!$I:$I,'2022'!$E:$E,Category!$B$134,'2022'!$N:$N,Category!AS$1,'2022'!$D:$D,Category!$C159)</f>
        <v>0</v>
      </c>
      <c r="AT159" s="388">
        <f>SUMIFS('2022'!$I:$I,'2022'!$E:$E,Category!$B$134,'2022'!$N:$N,Category!AT$1,'2022'!$D:$D,Category!$C159)</f>
        <v>0</v>
      </c>
      <c r="AU159" s="388">
        <f>SUMIFS('2022'!$I:$I,'2022'!$E:$E,Category!$B$134,'2022'!$N:$N,Category!AU$1,'2022'!$D:$D,Category!$C159)</f>
        <v>0</v>
      </c>
      <c r="AV159" s="388">
        <f>SUMIFS('2022'!$I:$I,'2022'!$E:$E,Category!$B$134,'2022'!$N:$N,Category!AV$1,'2022'!$D:$D,Category!$C159)</f>
        <v>0</v>
      </c>
      <c r="AW159" s="388">
        <f>SUMIFS('2022'!$I:$I,'2022'!$E:$E,Category!$B$134,'2022'!$N:$N,Category!AW$1,'2022'!$D:$D,Category!$C159)</f>
        <v>0</v>
      </c>
      <c r="AX159" s="388">
        <f>SUMIFS('2022'!$I:$I,'2022'!$E:$E,Category!$B$134,'2022'!$N:$N,Category!AX$1,'2022'!$D:$D,Category!$C159)</f>
        <v>0</v>
      </c>
      <c r="AY159" s="388">
        <f>SUMIFS('2022'!$I:$I,'2022'!$E:$E,Category!$B$134,'2022'!$N:$N,Category!AY$1,'2022'!$D:$D,Category!$C159)</f>
        <v>0</v>
      </c>
      <c r="AZ159" s="389">
        <f t="shared" si="64"/>
        <v>0</v>
      </c>
      <c r="BA159" s="506">
        <f>IFERROR(VLOOKUP(C159,'2023'!$D:$G,4,0),0)</f>
        <v>0</v>
      </c>
      <c r="BB159" s="388">
        <f>SUMIFS('2023'!$I:$I,'2023'!$E:$E,Category!$B$134,'2023'!$N:$N,Category!BB$1,'2023'!$D:$D,Category!$C159)</f>
        <v>0</v>
      </c>
      <c r="BC159" s="388">
        <f>SUMIFS('2023'!$I:$I,'2023'!$E:$E,Category!$B$134,'2023'!$N:$N,Category!BC$1,'2023'!$D:$D,Category!$C159)</f>
        <v>0</v>
      </c>
      <c r="BD159" s="388">
        <f>SUMIFS('2023'!$I:$I,'2023'!$E:$E,Category!$B$134,'2023'!$N:$N,Category!BD$1,'2023'!$D:$D,Category!$C159)</f>
        <v>0</v>
      </c>
      <c r="BE159" s="388">
        <f>SUMIFS('2023'!$I:$I,'2023'!$E:$E,Category!$B$134,'2023'!$N:$N,Category!BE$1,'2023'!$D:$D,Category!$C159)</f>
        <v>0</v>
      </c>
      <c r="BF159" s="388">
        <f>SUMIFS('2023'!$I:$I,'2023'!$E:$E,Category!$B$134,'2023'!$N:$N,Category!BF$1,'2023'!$D:$D,Category!$C159)</f>
        <v>0</v>
      </c>
      <c r="BG159" s="388">
        <f>SUMIFS('2023'!$I:$I,'2023'!$E:$E,Category!$B$134,'2023'!$N:$N,Category!BG$1,'2023'!$D:$D,Category!$C159)</f>
        <v>0</v>
      </c>
      <c r="BH159" s="388">
        <f>SUMIFS('2023'!$I:$I,'2023'!$E:$E,Category!$B$134,'2023'!$N:$N,Category!BH$1,'2023'!$D:$D,Category!$C159)</f>
        <v>0</v>
      </c>
      <c r="BI159" s="388">
        <f>SUMIFS('2023'!$I:$I,'2023'!$E:$E,Category!$B$134,'2023'!$N:$N,Category!BI$1,'2023'!$D:$D,Category!$C159)</f>
        <v>0</v>
      </c>
      <c r="BJ159" s="388">
        <f>SUMIFS('2023'!$I:$I,'2023'!$E:$E,Category!$B$134,'2023'!$N:$N,Category!BJ$1,'2023'!$D:$D,Category!$C159)</f>
        <v>0</v>
      </c>
      <c r="BK159" s="388">
        <f>SUMIFS('2023'!$I:$I,'2023'!$E:$E,Category!$B$134,'2023'!$N:$N,Category!BK$1,'2023'!$D:$D,Category!$C159)</f>
        <v>0</v>
      </c>
      <c r="BL159" s="388">
        <f>SUMIFS('2023'!$I:$I,'2023'!$E:$E,Category!$B$134,'2023'!$N:$N,Category!BL$1,'2023'!$D:$D,Category!$C159)</f>
        <v>0</v>
      </c>
      <c r="BM159" s="388">
        <f>SUMIFS('2023'!$I:$I,'2023'!$E:$E,Category!$B$134,'2023'!$N:$N,Category!BM$1,'2023'!$D:$D,Category!$C159)</f>
        <v>0</v>
      </c>
      <c r="BN159" s="389">
        <f t="shared" si="65"/>
        <v>0</v>
      </c>
    </row>
    <row r="160" spans="1:66" x14ac:dyDescent="0.3">
      <c r="A160" s="386"/>
      <c r="B160" s="387"/>
      <c r="C160" s="387" t="s">
        <v>1214</v>
      </c>
      <c r="D160" s="524">
        <f>IFERROR(VLOOKUP($C160,'2019'!$D:$G,4,0),0)</f>
        <v>0</v>
      </c>
      <c r="E160" s="388">
        <f>SUMIFS('2019'!$I:$I,'2019'!$E:$E,Category!$B$134,'2019'!$N:$N,Category!E$1,'2019'!$D:$D,Category!$C160)</f>
        <v>0</v>
      </c>
      <c r="F160" s="388">
        <f>SUMIFS('2019'!$I:$I,'2019'!$E:$E,Category!$B$134,'2019'!$N:$N,Category!F$1,'2019'!$D:$D,Category!$C160)</f>
        <v>0</v>
      </c>
      <c r="G160" s="388">
        <f>SUMIFS('2019'!$I:$I,'2019'!$E:$E,Category!$B$134,'2019'!$N:$N,Category!G$1,'2019'!$D:$D,Category!$C160)</f>
        <v>0</v>
      </c>
      <c r="H160" s="388">
        <f>SUMIFS('2019'!$I:$I,'2019'!$E:$E,Category!$B$134,'2019'!$N:$N,Category!H$1,'2019'!$D:$D,Category!$C160)</f>
        <v>0</v>
      </c>
      <c r="I160" s="388">
        <f>SUMIFS('2019'!$I:$I,'2019'!$E:$E,Category!$B$134,'2019'!$N:$N,Category!I$1,'2019'!$D:$D,Category!$C160)</f>
        <v>0</v>
      </c>
      <c r="J160" s="389">
        <f t="shared" si="61"/>
        <v>0</v>
      </c>
      <c r="K160" s="506">
        <f>IFERROR(VLOOKUP($C160,'2020'!$D:$G,4,0),0)</f>
        <v>0</v>
      </c>
      <c r="L160" s="388">
        <f>SUMIFS('2020'!$I:$I,'2020'!$E:$E,Category!$B$134,'2020'!$N:$N,Category!L$1,'2020'!$D:$D,Category!$C160)</f>
        <v>0</v>
      </c>
      <c r="M160" s="388">
        <f>SUMIFS('2020'!$I:$I,'2020'!$E:$E,Category!$B$134,'2020'!$N:$N,Category!M$1,'2020'!$D:$D,Category!$C160)</f>
        <v>0</v>
      </c>
      <c r="N160" s="388">
        <f>SUMIFS('2020'!$I:$I,'2020'!$E:$E,Category!$B$134,'2020'!$N:$N,Category!N$1,'2020'!$D:$D,Category!$C160)</f>
        <v>0</v>
      </c>
      <c r="O160" s="388">
        <f>SUMIFS('2020'!$I:$I,'2020'!$E:$E,Category!$B$134,'2020'!$N:$N,Category!O$1,'2020'!$D:$D,Category!$C160)</f>
        <v>0</v>
      </c>
      <c r="P160" s="388">
        <f>SUMIFS('2020'!$I:$I,'2020'!$E:$E,Category!$B$134,'2020'!$N:$N,Category!P$1,'2020'!$D:$D,Category!$C160)</f>
        <v>0</v>
      </c>
      <c r="Q160" s="388">
        <f>SUMIFS('2020'!$I:$I,'2020'!$E:$E,Category!$B$134,'2020'!$N:$N,Category!Q$1,'2020'!$D:$D,Category!$C160)</f>
        <v>0</v>
      </c>
      <c r="R160" s="388">
        <f>SUMIFS('2020'!$I:$I,'2020'!$E:$E,Category!$B$134,'2020'!$N:$N,Category!R$1,'2020'!$D:$D,Category!$C160)</f>
        <v>0</v>
      </c>
      <c r="S160" s="388">
        <f>SUMIFS('2020'!$I:$I,'2020'!$E:$E,Category!$B$134,'2020'!$N:$N,Category!S$1,'2020'!$D:$D,Category!$C160)</f>
        <v>0</v>
      </c>
      <c r="T160" s="388">
        <f>SUMIFS('2020'!$I:$I,'2020'!$E:$E,Category!$B$134,'2020'!$N:$N,Category!T$1,'2020'!$D:$D,Category!$C160)</f>
        <v>0</v>
      </c>
      <c r="U160" s="388">
        <f>SUMIFS('2020'!$I:$I,'2020'!$E:$E,Category!$B$134,'2020'!$N:$N,Category!U$1,'2020'!$D:$D,Category!$C160)</f>
        <v>0</v>
      </c>
      <c r="V160" s="388">
        <f>SUMIFS('2020'!$I:$I,'2020'!$E:$E,Category!$B$134,'2020'!$N:$N,Category!V$1,'2020'!$D:$D,Category!$C160)</f>
        <v>0</v>
      </c>
      <c r="W160" s="388">
        <f>SUMIFS('2020'!$I:$I,'2020'!$E:$E,Category!$B$134,'2020'!$N:$N,Category!W$1,'2020'!$D:$D,Category!$C160)</f>
        <v>0</v>
      </c>
      <c r="X160" s="389">
        <v>0</v>
      </c>
      <c r="Y160" s="506">
        <f>IFERROR(VLOOKUP(C160,'2021'!$D:$G,4,0),0)</f>
        <v>0</v>
      </c>
      <c r="Z160" s="388">
        <f>SUMIFS('2021'!$I:$I,'2021'!$E:$E,Category!$B$134,'2021'!$N:$N,Category!Z$1,'2021'!$D:$D,Category!$C160)</f>
        <v>0</v>
      </c>
      <c r="AA160" s="388">
        <f>SUMIFS('2021'!$I:$I,'2021'!$E:$E,Category!$B$134,'2021'!$N:$N,Category!AA$1,'2021'!$D:$D,Category!$C160)</f>
        <v>0</v>
      </c>
      <c r="AB160" s="388">
        <f>SUMIFS('2021'!$I:$I,'2021'!$E:$E,Category!$B$134,'2021'!$N:$N,Category!AB$1,'2021'!$D:$D,Category!$C160)</f>
        <v>0</v>
      </c>
      <c r="AC160" s="388">
        <f>SUMIFS('2021'!$I:$I,'2021'!$E:$E,Category!$B$134,'2021'!$N:$N,Category!AC$1,'2021'!$D:$D,Category!$C160)</f>
        <v>0</v>
      </c>
      <c r="AD160" s="388">
        <f>SUMIFS('2021'!$I:$I,'2021'!$E:$E,Category!$B$134,'2021'!$N:$N,Category!AD$1,'2021'!$D:$D,Category!$C160)</f>
        <v>0</v>
      </c>
      <c r="AE160" s="388">
        <f>SUMIFS('2021'!$I:$I,'2021'!$E:$E,Category!$B$134,'2021'!$N:$N,Category!AE$1,'2021'!$D:$D,Category!$C160)</f>
        <v>0</v>
      </c>
      <c r="AF160" s="388">
        <f>SUMIFS('2021'!$I:$I,'2021'!$E:$E,Category!$B$134,'2021'!$N:$N,Category!AF$1,'2021'!$D:$D,Category!$C160)</f>
        <v>0</v>
      </c>
      <c r="AG160" s="388">
        <f>SUMIFS('2021'!$I:$I,'2021'!$E:$E,Category!$B$134,'2021'!$N:$N,Category!AG$1,'2021'!$D:$D,Category!$C160)</f>
        <v>0</v>
      </c>
      <c r="AH160" s="388">
        <f>SUMIFS('2021'!$I:$I,'2021'!$E:$E,Category!$B$134,'2021'!$N:$N,Category!AH$1,'2021'!$D:$D,Category!$C160)</f>
        <v>0</v>
      </c>
      <c r="AI160" s="388">
        <f>SUMIFS('2021'!$I:$I,'2021'!$E:$E,Category!$B$134,'2021'!$N:$N,Category!AI$1,'2021'!$D:$D,Category!$C160)</f>
        <v>0</v>
      </c>
      <c r="AJ160" s="388">
        <f>SUMIFS('2021'!$I:$I,'2021'!$E:$E,Category!$B$134,'2021'!$N:$N,Category!AJ$1,'2021'!$D:$D,Category!$C160)</f>
        <v>0</v>
      </c>
      <c r="AK160" s="388">
        <f>SUMIFS('2021'!$I:$I,'2021'!$E:$E,Category!$B$134,'2021'!$N:$N,Category!AK$1,'2021'!$D:$D,Category!$C160)</f>
        <v>0</v>
      </c>
      <c r="AL160" s="389">
        <f>SUM(Z160:AK160)</f>
        <v>0</v>
      </c>
      <c r="AM160" s="506">
        <f>IFERROR(VLOOKUP(C160,'2022'!$D:$G,4,0),0)</f>
        <v>1</v>
      </c>
      <c r="AN160" s="388">
        <f>SUMIFS('2022'!$I:$I,'2022'!$E:$E,Category!$B$134,'2022'!$N:$N,Category!AN$1,'2022'!$D:$D,Category!$C160)</f>
        <v>0</v>
      </c>
      <c r="AO160" s="388">
        <f>SUMIFS('2022'!$I:$I,'2022'!$E:$E,Category!$B$134,'2022'!$N:$N,Category!AO$1,'2022'!$D:$D,Category!$C160)</f>
        <v>0</v>
      </c>
      <c r="AP160" s="388">
        <f>SUMIFS('2022'!$I:$I,'2022'!$E:$E,Category!$B$134,'2022'!$N:$N,Category!AP$1,'2022'!$D:$D,Category!$C160)</f>
        <v>0</v>
      </c>
      <c r="AQ160" s="388">
        <f>SUMIFS('2022'!$I:$I,'2022'!$E:$E,Category!$B$134,'2022'!$N:$N,Category!AQ$1,'2022'!$D:$D,Category!$C160)</f>
        <v>0</v>
      </c>
      <c r="AR160" s="388">
        <f>SUMIFS('2022'!$I:$I,'2022'!$E:$E,Category!$B$134,'2022'!$N:$N,Category!AR$1,'2022'!$D:$D,Category!$C160)</f>
        <v>0</v>
      </c>
      <c r="AS160" s="388">
        <f>SUMIFS('2022'!$I:$I,'2022'!$E:$E,Category!$B$134,'2022'!$N:$N,Category!AS$1,'2022'!$D:$D,Category!$C160)</f>
        <v>0</v>
      </c>
      <c r="AT160" s="388">
        <f>SUMIFS('2022'!$I:$I,'2022'!$E:$E,Category!$B$134,'2022'!$N:$N,Category!AT$1,'2022'!$D:$D,Category!$C160)</f>
        <v>0</v>
      </c>
      <c r="AU160" s="388">
        <f>SUMIFS('2022'!$I:$I,'2022'!$E:$E,Category!$B$134,'2022'!$N:$N,Category!AU$1,'2022'!$D:$D,Category!$C160)</f>
        <v>750000</v>
      </c>
      <c r="AV160" s="388">
        <f>SUMIFS('2022'!$I:$I,'2022'!$E:$E,Category!$B$134,'2022'!$N:$N,Category!AV$1,'2022'!$D:$D,Category!$C160)</f>
        <v>750000</v>
      </c>
      <c r="AW160" s="388">
        <f>SUMIFS('2022'!$I:$I,'2022'!$E:$E,Category!$B$134,'2022'!$N:$N,Category!AW$1,'2022'!$D:$D,Category!$C160)</f>
        <v>750000</v>
      </c>
      <c r="AX160" s="388">
        <f>SUMIFS('2022'!$I:$I,'2022'!$E:$E,Category!$B$134,'2022'!$N:$N,Category!AX$1,'2022'!$D:$D,Category!$C160)</f>
        <v>750000</v>
      </c>
      <c r="AY160" s="388">
        <f>SUMIFS('2022'!$I:$I,'2022'!$E:$E,Category!$B$134,'2022'!$N:$N,Category!AY$1,'2022'!$D:$D,Category!$C160)</f>
        <v>750000</v>
      </c>
      <c r="AZ160" s="389">
        <f>SUM(AN160:AY160)</f>
        <v>3750000</v>
      </c>
      <c r="BA160" s="506">
        <f>IFERROR(VLOOKUP(C160,'2023'!$D:$G,4,0),0)</f>
        <v>1</v>
      </c>
      <c r="BB160" s="388">
        <f>SUMIFS('2023'!$I:$I,'2023'!$E:$E,Category!$B$134,'2023'!$N:$N,Category!BB$1,'2023'!$D:$D,Category!$C160)</f>
        <v>750000</v>
      </c>
      <c r="BC160" s="388">
        <f>SUMIFS('2023'!$I:$I,'2023'!$E:$E,Category!$B$134,'2023'!$N:$N,Category!BC$1,'2023'!$D:$D,Category!$C160)</f>
        <v>750000</v>
      </c>
      <c r="BD160" s="388">
        <f>SUMIFS('2023'!$I:$I,'2023'!$E:$E,Category!$B$134,'2023'!$N:$N,Category!BD$1,'2023'!$D:$D,Category!$C160)</f>
        <v>0</v>
      </c>
      <c r="BE160" s="388">
        <f>SUMIFS('2023'!$I:$I,'2023'!$E:$E,Category!$B$134,'2023'!$N:$N,Category!BE$1,'2023'!$D:$D,Category!$C160)</f>
        <v>0</v>
      </c>
      <c r="BF160" s="388">
        <f>SUMIFS('2023'!$I:$I,'2023'!$E:$E,Category!$B$134,'2023'!$N:$N,Category!BF$1,'2023'!$D:$D,Category!$C160)</f>
        <v>0</v>
      </c>
      <c r="BG160" s="388">
        <f>SUMIFS('2023'!$I:$I,'2023'!$E:$E,Category!$B$134,'2023'!$N:$N,Category!BG$1,'2023'!$D:$D,Category!$C160)</f>
        <v>0</v>
      </c>
      <c r="BH160" s="388">
        <f>SUMIFS('2023'!$I:$I,'2023'!$E:$E,Category!$B$134,'2023'!$N:$N,Category!BH$1,'2023'!$D:$D,Category!$C160)</f>
        <v>0</v>
      </c>
      <c r="BI160" s="388">
        <f>SUMIFS('2023'!$I:$I,'2023'!$E:$E,Category!$B$134,'2023'!$N:$N,Category!BI$1,'2023'!$D:$D,Category!$C160)</f>
        <v>0</v>
      </c>
      <c r="BJ160" s="388">
        <f>SUMIFS('2023'!$I:$I,'2023'!$E:$E,Category!$B$134,'2023'!$N:$N,Category!BJ$1,'2023'!$D:$D,Category!$C160)</f>
        <v>0</v>
      </c>
      <c r="BK160" s="388">
        <f>SUMIFS('2023'!$I:$I,'2023'!$E:$E,Category!$B$134,'2023'!$N:$N,Category!BK$1,'2023'!$D:$D,Category!$C160)</f>
        <v>0</v>
      </c>
      <c r="BL160" s="388">
        <f>SUMIFS('2023'!$I:$I,'2023'!$E:$E,Category!$B$134,'2023'!$N:$N,Category!BL$1,'2023'!$D:$D,Category!$C160)</f>
        <v>0</v>
      </c>
      <c r="BM160" s="388">
        <f>SUMIFS('2023'!$I:$I,'2023'!$E:$E,Category!$B$134,'2023'!$N:$N,Category!BM$1,'2023'!$D:$D,Category!$C160)</f>
        <v>0</v>
      </c>
      <c r="BN160" s="389">
        <f t="shared" si="65"/>
        <v>1500000</v>
      </c>
    </row>
    <row r="161" spans="1:66" ht="39.75" x14ac:dyDescent="0.3">
      <c r="A161" s="386"/>
      <c r="B161" s="387"/>
      <c r="C161" s="387" t="s">
        <v>1215</v>
      </c>
      <c r="D161" s="524">
        <f>IFERROR(VLOOKUP($C161,'2019'!$D:$G,4,0),0)</f>
        <v>0</v>
      </c>
      <c r="E161" s="388">
        <f>SUMIFS('2019'!$I:$I,'2019'!$E:$E,Category!$B$134,'2019'!$N:$N,Category!E$1,'2019'!$D:$D,Category!$C161)</f>
        <v>0</v>
      </c>
      <c r="F161" s="388">
        <f>SUMIFS('2019'!$I:$I,'2019'!$E:$E,Category!$B$134,'2019'!$N:$N,Category!F$1,'2019'!$D:$D,Category!$C161)</f>
        <v>0</v>
      </c>
      <c r="G161" s="388">
        <f>SUMIFS('2019'!$I:$I,'2019'!$E:$E,Category!$B$134,'2019'!$N:$N,Category!G$1,'2019'!$D:$D,Category!$C161)</f>
        <v>0</v>
      </c>
      <c r="H161" s="388">
        <f>SUMIFS('2019'!$I:$I,'2019'!$E:$E,Category!$B$134,'2019'!$N:$N,Category!H$1,'2019'!$D:$D,Category!$C161)</f>
        <v>0</v>
      </c>
      <c r="I161" s="388">
        <f>SUMIFS('2019'!$I:$I,'2019'!$E:$E,Category!$B$134,'2019'!$N:$N,Category!I$1,'2019'!$D:$D,Category!$C161)</f>
        <v>0</v>
      </c>
      <c r="J161" s="389">
        <f t="shared" si="61"/>
        <v>0</v>
      </c>
      <c r="K161" s="506">
        <f>IFERROR(VLOOKUP($C161,'2020'!$D:$G,4,0),0)</f>
        <v>0</v>
      </c>
      <c r="L161" s="388">
        <f>SUMIFS('2020'!$I:$I,'2020'!$E:$E,Category!$B$134,'2020'!$N:$N,Category!L$1,'2020'!$D:$D,Category!$C161)</f>
        <v>0</v>
      </c>
      <c r="M161" s="388">
        <f>SUMIFS('2020'!$I:$I,'2020'!$E:$E,Category!$B$134,'2020'!$N:$N,Category!M$1,'2020'!$D:$D,Category!$C161)</f>
        <v>0</v>
      </c>
      <c r="N161" s="388">
        <f>SUMIFS('2020'!$I:$I,'2020'!$E:$E,Category!$B$134,'2020'!$N:$N,Category!N$1,'2020'!$D:$D,Category!$C161)</f>
        <v>0</v>
      </c>
      <c r="O161" s="388">
        <f>SUMIFS('2020'!$I:$I,'2020'!$E:$E,Category!$B$134,'2020'!$N:$N,Category!O$1,'2020'!$D:$D,Category!$C161)</f>
        <v>0</v>
      </c>
      <c r="P161" s="388">
        <f>SUMIFS('2020'!$I:$I,'2020'!$E:$E,Category!$B$134,'2020'!$N:$N,Category!P$1,'2020'!$D:$D,Category!$C161)</f>
        <v>0</v>
      </c>
      <c r="Q161" s="388">
        <f>SUMIFS('2020'!$I:$I,'2020'!$E:$E,Category!$B$134,'2020'!$N:$N,Category!Q$1,'2020'!$D:$D,Category!$C161)</f>
        <v>0</v>
      </c>
      <c r="R161" s="388">
        <f>SUMIFS('2020'!$I:$I,'2020'!$E:$E,Category!$B$134,'2020'!$N:$N,Category!R$1,'2020'!$D:$D,Category!$C161)</f>
        <v>0</v>
      </c>
      <c r="S161" s="388">
        <f>SUMIFS('2020'!$I:$I,'2020'!$E:$E,Category!$B$134,'2020'!$N:$N,Category!S$1,'2020'!$D:$D,Category!$C161)</f>
        <v>0</v>
      </c>
      <c r="T161" s="388">
        <f>SUMIFS('2020'!$I:$I,'2020'!$E:$E,Category!$B$134,'2020'!$N:$N,Category!T$1,'2020'!$D:$D,Category!$C161)</f>
        <v>0</v>
      </c>
      <c r="U161" s="388">
        <f>SUMIFS('2020'!$I:$I,'2020'!$E:$E,Category!$B$134,'2020'!$N:$N,Category!U$1,'2020'!$D:$D,Category!$C161)</f>
        <v>0</v>
      </c>
      <c r="V161" s="388">
        <f>SUMIFS('2020'!$I:$I,'2020'!$E:$E,Category!$B$134,'2020'!$N:$N,Category!V$1,'2020'!$D:$D,Category!$C161)</f>
        <v>0</v>
      </c>
      <c r="W161" s="388">
        <f>SUMIFS('2020'!$I:$I,'2020'!$E:$E,Category!$B$134,'2020'!$N:$N,Category!W$1,'2020'!$D:$D,Category!$C161)</f>
        <v>0</v>
      </c>
      <c r="X161" s="389">
        <v>0</v>
      </c>
      <c r="Y161" s="506">
        <f>IFERROR(VLOOKUP(C161,'2021'!$D:$G,4,0),0)</f>
        <v>0</v>
      </c>
      <c r="Z161" s="388">
        <f>SUMIFS('2021'!$I:$I,'2021'!$E:$E,Category!$B$134,'2021'!$N:$N,Category!Z$1,'2021'!$D:$D,Category!$C161)</f>
        <v>0</v>
      </c>
      <c r="AA161" s="388">
        <f>SUMIFS('2021'!$I:$I,'2021'!$E:$E,Category!$B$134,'2021'!$N:$N,Category!AA$1,'2021'!$D:$D,Category!$C161)</f>
        <v>0</v>
      </c>
      <c r="AB161" s="388">
        <f>SUMIFS('2021'!$I:$I,'2021'!$E:$E,Category!$B$134,'2021'!$N:$N,Category!AB$1,'2021'!$D:$D,Category!$C161)</f>
        <v>0</v>
      </c>
      <c r="AC161" s="388">
        <f>SUMIFS('2021'!$I:$I,'2021'!$E:$E,Category!$B$134,'2021'!$N:$N,Category!AC$1,'2021'!$D:$D,Category!$C161)</f>
        <v>0</v>
      </c>
      <c r="AD161" s="388">
        <f>SUMIFS('2021'!$I:$I,'2021'!$E:$E,Category!$B$134,'2021'!$N:$N,Category!AD$1,'2021'!$D:$D,Category!$C161)</f>
        <v>0</v>
      </c>
      <c r="AE161" s="388">
        <f>SUMIFS('2021'!$I:$I,'2021'!$E:$E,Category!$B$134,'2021'!$N:$N,Category!AE$1,'2021'!$D:$D,Category!$C161)</f>
        <v>0</v>
      </c>
      <c r="AF161" s="388">
        <f>SUMIFS('2021'!$I:$I,'2021'!$E:$E,Category!$B$134,'2021'!$N:$N,Category!AF$1,'2021'!$D:$D,Category!$C161)</f>
        <v>0</v>
      </c>
      <c r="AG161" s="388">
        <f>SUMIFS('2021'!$I:$I,'2021'!$E:$E,Category!$B$134,'2021'!$N:$N,Category!AG$1,'2021'!$D:$D,Category!$C161)</f>
        <v>0</v>
      </c>
      <c r="AH161" s="388">
        <f>SUMIFS('2021'!$I:$I,'2021'!$E:$E,Category!$B$134,'2021'!$N:$N,Category!AH$1,'2021'!$D:$D,Category!$C161)</f>
        <v>0</v>
      </c>
      <c r="AI161" s="388">
        <f>SUMIFS('2021'!$I:$I,'2021'!$E:$E,Category!$B$134,'2021'!$N:$N,Category!AI$1,'2021'!$D:$D,Category!$C161)</f>
        <v>0</v>
      </c>
      <c r="AJ161" s="388">
        <f>SUMIFS('2021'!$I:$I,'2021'!$E:$E,Category!$B$134,'2021'!$N:$N,Category!AJ$1,'2021'!$D:$D,Category!$C161)</f>
        <v>0</v>
      </c>
      <c r="AK161" s="388">
        <f>SUMIFS('2021'!$I:$I,'2021'!$E:$E,Category!$B$134,'2021'!$N:$N,Category!AK$1,'2021'!$D:$D,Category!$C161)</f>
        <v>0</v>
      </c>
      <c r="AL161" s="389">
        <f>SUM(Z161:AK161)</f>
        <v>0</v>
      </c>
      <c r="AM161" s="506">
        <f>IFERROR(VLOOKUP(C161,'2022'!$D:$G,4,0),0)</f>
        <v>1</v>
      </c>
      <c r="AN161" s="388">
        <f>SUMIFS('2022'!$I:$I,'2022'!$E:$E,Category!$B$134,'2022'!$N:$N,Category!AN$1,'2022'!$D:$D,Category!$C161)</f>
        <v>0</v>
      </c>
      <c r="AO161" s="388">
        <f>SUMIFS('2022'!$I:$I,'2022'!$E:$E,Category!$B$134,'2022'!$N:$N,Category!AO$1,'2022'!$D:$D,Category!$C161)</f>
        <v>0</v>
      </c>
      <c r="AP161" s="388">
        <f>SUMIFS('2022'!$I:$I,'2022'!$E:$E,Category!$B$134,'2022'!$N:$N,Category!AP$1,'2022'!$D:$D,Category!$C161)</f>
        <v>0</v>
      </c>
      <c r="AQ161" s="388">
        <f>SUMIFS('2022'!$I:$I,'2022'!$E:$E,Category!$B$134,'2022'!$N:$N,Category!AQ$1,'2022'!$D:$D,Category!$C161)</f>
        <v>0</v>
      </c>
      <c r="AR161" s="388">
        <f>SUMIFS('2022'!$I:$I,'2022'!$E:$E,Category!$B$134,'2022'!$N:$N,Category!AR$1,'2022'!$D:$D,Category!$C161)</f>
        <v>0</v>
      </c>
      <c r="AS161" s="388">
        <f>SUMIFS('2022'!$I:$I,'2022'!$E:$E,Category!$B$134,'2022'!$N:$N,Category!AS$1,'2022'!$D:$D,Category!$C161)</f>
        <v>0</v>
      </c>
      <c r="AT161" s="388">
        <f>SUMIFS('2022'!$I:$I,'2022'!$E:$E,Category!$B$134,'2022'!$N:$N,Category!AT$1,'2022'!$D:$D,Category!$C161)</f>
        <v>0</v>
      </c>
      <c r="AU161" s="388">
        <f>SUMIFS('2022'!$I:$I,'2022'!$E:$E,Category!$B$134,'2022'!$N:$N,Category!AU$1,'2022'!$D:$D,Category!$C161)</f>
        <v>750000</v>
      </c>
      <c r="AV161" s="388">
        <f>SUMIFS('2022'!$I:$I,'2022'!$E:$E,Category!$B$134,'2022'!$N:$N,Category!AV$1,'2022'!$D:$D,Category!$C161)</f>
        <v>750000</v>
      </c>
      <c r="AW161" s="388">
        <f>SUMIFS('2022'!$I:$I,'2022'!$E:$E,Category!$B$134,'2022'!$N:$N,Category!AW$1,'2022'!$D:$D,Category!$C161)</f>
        <v>750000</v>
      </c>
      <c r="AX161" s="388">
        <f>SUMIFS('2022'!$I:$I,'2022'!$E:$E,Category!$B$134,'2022'!$N:$N,Category!AX$1,'2022'!$D:$D,Category!$C161)</f>
        <v>750000</v>
      </c>
      <c r="AY161" s="388">
        <f>SUMIFS('2022'!$I:$I,'2022'!$E:$E,Category!$B$134,'2022'!$N:$N,Category!AY$1,'2022'!$D:$D,Category!$C161)</f>
        <v>750000</v>
      </c>
      <c r="AZ161" s="389">
        <f>SUM(AN161:AY161)</f>
        <v>3750000</v>
      </c>
      <c r="BA161" s="506">
        <f>IFERROR(VLOOKUP(C161,'2023'!$D:$G,4,0),0)</f>
        <v>1</v>
      </c>
      <c r="BB161" s="388">
        <f>SUMIFS('2023'!$I:$I,'2023'!$E:$E,Category!$B$134,'2023'!$N:$N,Category!BB$1,'2023'!$D:$D,Category!$C161)</f>
        <v>750000</v>
      </c>
      <c r="BC161" s="388">
        <f>SUMIFS('2023'!$I:$I,'2023'!$E:$E,Category!$B$134,'2023'!$N:$N,Category!BC$1,'2023'!$D:$D,Category!$C161)</f>
        <v>750000</v>
      </c>
      <c r="BD161" s="388">
        <f>SUMIFS('2023'!$I:$I,'2023'!$E:$E,Category!$B$134,'2023'!$N:$N,Category!BD$1,'2023'!$D:$D,Category!$C161)</f>
        <v>0</v>
      </c>
      <c r="BE161" s="388">
        <f>SUMIFS('2023'!$I:$I,'2023'!$E:$E,Category!$B$134,'2023'!$N:$N,Category!BE$1,'2023'!$D:$D,Category!$C161)</f>
        <v>0</v>
      </c>
      <c r="BF161" s="388">
        <f>SUMIFS('2023'!$I:$I,'2023'!$E:$E,Category!$B$134,'2023'!$N:$N,Category!BF$1,'2023'!$D:$D,Category!$C161)</f>
        <v>0</v>
      </c>
      <c r="BG161" s="388">
        <f>SUMIFS('2023'!$I:$I,'2023'!$E:$E,Category!$B$134,'2023'!$N:$N,Category!BG$1,'2023'!$D:$D,Category!$C161)</f>
        <v>0</v>
      </c>
      <c r="BH161" s="388">
        <f>SUMIFS('2023'!$I:$I,'2023'!$E:$E,Category!$B$134,'2023'!$N:$N,Category!BH$1,'2023'!$D:$D,Category!$C161)</f>
        <v>0</v>
      </c>
      <c r="BI161" s="388">
        <f>SUMIFS('2023'!$I:$I,'2023'!$E:$E,Category!$B$134,'2023'!$N:$N,Category!BI$1,'2023'!$D:$D,Category!$C161)</f>
        <v>0</v>
      </c>
      <c r="BJ161" s="388">
        <f>SUMIFS('2023'!$I:$I,'2023'!$E:$E,Category!$B$134,'2023'!$N:$N,Category!BJ$1,'2023'!$D:$D,Category!$C161)</f>
        <v>0</v>
      </c>
      <c r="BK161" s="388">
        <f>SUMIFS('2023'!$I:$I,'2023'!$E:$E,Category!$B$134,'2023'!$N:$N,Category!BK$1,'2023'!$D:$D,Category!$C161)</f>
        <v>0</v>
      </c>
      <c r="BL161" s="388">
        <f>SUMIFS('2023'!$I:$I,'2023'!$E:$E,Category!$B$134,'2023'!$N:$N,Category!BL$1,'2023'!$D:$D,Category!$C161)</f>
        <v>0</v>
      </c>
      <c r="BM161" s="388">
        <f>SUMIFS('2023'!$I:$I,'2023'!$E:$E,Category!$B$134,'2023'!$N:$N,Category!BM$1,'2023'!$D:$D,Category!$C161)</f>
        <v>0</v>
      </c>
      <c r="BN161" s="389">
        <f t="shared" si="65"/>
        <v>1500000</v>
      </c>
    </row>
    <row r="162" spans="1:66" ht="39.75" x14ac:dyDescent="0.3">
      <c r="A162" s="386"/>
      <c r="B162" s="387"/>
      <c r="C162" s="387" t="s">
        <v>1216</v>
      </c>
      <c r="D162" s="524">
        <f>IFERROR(VLOOKUP($C162,'2019'!$D:$G,4,0),0)</f>
        <v>0</v>
      </c>
      <c r="E162" s="388">
        <f>SUMIFS('2019'!$I:$I,'2019'!$E:$E,Category!$B$134,'2019'!$N:$N,Category!E$1,'2019'!$D:$D,Category!$C162)</f>
        <v>0</v>
      </c>
      <c r="F162" s="388">
        <f>SUMIFS('2019'!$I:$I,'2019'!$E:$E,Category!$B$134,'2019'!$N:$N,Category!F$1,'2019'!$D:$D,Category!$C162)</f>
        <v>0</v>
      </c>
      <c r="G162" s="388">
        <f>SUMIFS('2019'!$I:$I,'2019'!$E:$E,Category!$B$134,'2019'!$N:$N,Category!G$1,'2019'!$D:$D,Category!$C162)</f>
        <v>0</v>
      </c>
      <c r="H162" s="388">
        <f>SUMIFS('2019'!$I:$I,'2019'!$E:$E,Category!$B$134,'2019'!$N:$N,Category!H$1,'2019'!$D:$D,Category!$C162)</f>
        <v>0</v>
      </c>
      <c r="I162" s="388">
        <f>SUMIFS('2019'!$I:$I,'2019'!$E:$E,Category!$B$134,'2019'!$N:$N,Category!I$1,'2019'!$D:$D,Category!$C162)</f>
        <v>0</v>
      </c>
      <c r="J162" s="389">
        <f t="shared" si="61"/>
        <v>0</v>
      </c>
      <c r="K162" s="506">
        <f>IFERROR(VLOOKUP($C162,'2020'!$D:$G,4,0),0)</f>
        <v>0</v>
      </c>
      <c r="L162" s="388">
        <f>SUMIFS('2020'!$I:$I,'2020'!$E:$E,Category!$B$134,'2020'!$N:$N,Category!L$1,'2020'!$D:$D,Category!$C162)</f>
        <v>0</v>
      </c>
      <c r="M162" s="388">
        <f>SUMIFS('2020'!$I:$I,'2020'!$E:$E,Category!$B$134,'2020'!$N:$N,Category!M$1,'2020'!$D:$D,Category!$C162)</f>
        <v>0</v>
      </c>
      <c r="N162" s="388">
        <f>SUMIFS('2020'!$I:$I,'2020'!$E:$E,Category!$B$134,'2020'!$N:$N,Category!N$1,'2020'!$D:$D,Category!$C162)</f>
        <v>0</v>
      </c>
      <c r="O162" s="388">
        <f>SUMIFS('2020'!$I:$I,'2020'!$E:$E,Category!$B$134,'2020'!$N:$N,Category!O$1,'2020'!$D:$D,Category!$C162)</f>
        <v>0</v>
      </c>
      <c r="P162" s="388">
        <f>SUMIFS('2020'!$I:$I,'2020'!$E:$E,Category!$B$134,'2020'!$N:$N,Category!P$1,'2020'!$D:$D,Category!$C162)</f>
        <v>0</v>
      </c>
      <c r="Q162" s="388">
        <f>SUMIFS('2020'!$I:$I,'2020'!$E:$E,Category!$B$134,'2020'!$N:$N,Category!Q$1,'2020'!$D:$D,Category!$C162)</f>
        <v>0</v>
      </c>
      <c r="R162" s="388">
        <f>SUMIFS('2020'!$I:$I,'2020'!$E:$E,Category!$B$134,'2020'!$N:$N,Category!R$1,'2020'!$D:$D,Category!$C162)</f>
        <v>0</v>
      </c>
      <c r="S162" s="388">
        <f>SUMIFS('2020'!$I:$I,'2020'!$E:$E,Category!$B$134,'2020'!$N:$N,Category!S$1,'2020'!$D:$D,Category!$C162)</f>
        <v>0</v>
      </c>
      <c r="T162" s="388">
        <f>SUMIFS('2020'!$I:$I,'2020'!$E:$E,Category!$B$134,'2020'!$N:$N,Category!T$1,'2020'!$D:$D,Category!$C162)</f>
        <v>0</v>
      </c>
      <c r="U162" s="388">
        <f>SUMIFS('2020'!$I:$I,'2020'!$E:$E,Category!$B$134,'2020'!$N:$N,Category!U$1,'2020'!$D:$D,Category!$C162)</f>
        <v>0</v>
      </c>
      <c r="V162" s="388">
        <f>SUMIFS('2020'!$I:$I,'2020'!$E:$E,Category!$B$134,'2020'!$N:$N,Category!V$1,'2020'!$D:$D,Category!$C162)</f>
        <v>0</v>
      </c>
      <c r="W162" s="388">
        <f>SUMIFS('2020'!$I:$I,'2020'!$E:$E,Category!$B$134,'2020'!$N:$N,Category!W$1,'2020'!$D:$D,Category!$C162)</f>
        <v>0</v>
      </c>
      <c r="X162" s="389">
        <v>0</v>
      </c>
      <c r="Y162" s="506">
        <f>IFERROR(VLOOKUP(C162,'2021'!$D:$G,4,0),0)</f>
        <v>0</v>
      </c>
      <c r="Z162" s="388">
        <f>SUMIFS('2021'!$I:$I,'2021'!$E:$E,Category!$B$134,'2021'!$N:$N,Category!Z$1,'2021'!$D:$D,Category!$C162)</f>
        <v>0</v>
      </c>
      <c r="AA162" s="388">
        <f>SUMIFS('2021'!$I:$I,'2021'!$E:$E,Category!$B$134,'2021'!$N:$N,Category!AA$1,'2021'!$D:$D,Category!$C162)</f>
        <v>0</v>
      </c>
      <c r="AB162" s="388">
        <f>SUMIFS('2021'!$I:$I,'2021'!$E:$E,Category!$B$134,'2021'!$N:$N,Category!AB$1,'2021'!$D:$D,Category!$C162)</f>
        <v>0</v>
      </c>
      <c r="AC162" s="388">
        <f>SUMIFS('2021'!$I:$I,'2021'!$E:$E,Category!$B$134,'2021'!$N:$N,Category!AC$1,'2021'!$D:$D,Category!$C162)</f>
        <v>0</v>
      </c>
      <c r="AD162" s="388">
        <f>SUMIFS('2021'!$I:$I,'2021'!$E:$E,Category!$B$134,'2021'!$N:$N,Category!AD$1,'2021'!$D:$D,Category!$C162)</f>
        <v>0</v>
      </c>
      <c r="AE162" s="388">
        <f>SUMIFS('2021'!$I:$I,'2021'!$E:$E,Category!$B$134,'2021'!$N:$N,Category!AE$1,'2021'!$D:$D,Category!$C162)</f>
        <v>0</v>
      </c>
      <c r="AF162" s="388">
        <f>SUMIFS('2021'!$I:$I,'2021'!$E:$E,Category!$B$134,'2021'!$N:$N,Category!AF$1,'2021'!$D:$D,Category!$C162)</f>
        <v>0</v>
      </c>
      <c r="AG162" s="388">
        <f>SUMIFS('2021'!$I:$I,'2021'!$E:$E,Category!$B$134,'2021'!$N:$N,Category!AG$1,'2021'!$D:$D,Category!$C162)</f>
        <v>0</v>
      </c>
      <c r="AH162" s="388">
        <f>SUMIFS('2021'!$I:$I,'2021'!$E:$E,Category!$B$134,'2021'!$N:$N,Category!AH$1,'2021'!$D:$D,Category!$C162)</f>
        <v>0</v>
      </c>
      <c r="AI162" s="388">
        <f>SUMIFS('2021'!$I:$I,'2021'!$E:$E,Category!$B$134,'2021'!$N:$N,Category!AI$1,'2021'!$D:$D,Category!$C162)</f>
        <v>0</v>
      </c>
      <c r="AJ162" s="388">
        <f>SUMIFS('2021'!$I:$I,'2021'!$E:$E,Category!$B$134,'2021'!$N:$N,Category!AJ$1,'2021'!$D:$D,Category!$C162)</f>
        <v>0</v>
      </c>
      <c r="AK162" s="388">
        <f>SUMIFS('2021'!$I:$I,'2021'!$E:$E,Category!$B$134,'2021'!$N:$N,Category!AK$1,'2021'!$D:$D,Category!$C162)</f>
        <v>0</v>
      </c>
      <c r="AL162" s="389">
        <f>SUM(Z162:AK162)</f>
        <v>0</v>
      </c>
      <c r="AM162" s="506">
        <f>IFERROR(VLOOKUP(C162,'2022'!$D:$G,4,0),0)</f>
        <v>1</v>
      </c>
      <c r="AN162" s="388">
        <f>SUMIFS('2022'!$I:$I,'2022'!$E:$E,Category!$B$134,'2022'!$N:$N,Category!AN$1,'2022'!$D:$D,Category!$C162)</f>
        <v>0</v>
      </c>
      <c r="AO162" s="388">
        <f>SUMIFS('2022'!$I:$I,'2022'!$E:$E,Category!$B$134,'2022'!$N:$N,Category!AO$1,'2022'!$D:$D,Category!$C162)</f>
        <v>0</v>
      </c>
      <c r="AP162" s="388">
        <f>SUMIFS('2022'!$I:$I,'2022'!$E:$E,Category!$B$134,'2022'!$N:$N,Category!AP$1,'2022'!$D:$D,Category!$C162)</f>
        <v>0</v>
      </c>
      <c r="AQ162" s="388">
        <f>SUMIFS('2022'!$I:$I,'2022'!$E:$E,Category!$B$134,'2022'!$N:$N,Category!AQ$1,'2022'!$D:$D,Category!$C162)</f>
        <v>0</v>
      </c>
      <c r="AR162" s="388">
        <f>SUMIFS('2022'!$I:$I,'2022'!$E:$E,Category!$B$134,'2022'!$N:$N,Category!AR$1,'2022'!$D:$D,Category!$C162)</f>
        <v>0</v>
      </c>
      <c r="AS162" s="388">
        <f>SUMIFS('2022'!$I:$I,'2022'!$E:$E,Category!$B$134,'2022'!$N:$N,Category!AS$1,'2022'!$D:$D,Category!$C162)</f>
        <v>0</v>
      </c>
      <c r="AT162" s="388">
        <f>SUMIFS('2022'!$I:$I,'2022'!$E:$E,Category!$B$134,'2022'!$N:$N,Category!AT$1,'2022'!$D:$D,Category!$C162)</f>
        <v>0</v>
      </c>
      <c r="AU162" s="388">
        <f>SUMIFS('2022'!$I:$I,'2022'!$E:$E,Category!$B$134,'2022'!$N:$N,Category!AU$1,'2022'!$D:$D,Category!$C162)</f>
        <v>750000</v>
      </c>
      <c r="AV162" s="388">
        <f>SUMIFS('2022'!$I:$I,'2022'!$E:$E,Category!$B$134,'2022'!$N:$N,Category!AV$1,'2022'!$D:$D,Category!$C162)</f>
        <v>750000</v>
      </c>
      <c r="AW162" s="388">
        <f>SUMIFS('2022'!$I:$I,'2022'!$E:$E,Category!$B$134,'2022'!$N:$N,Category!AW$1,'2022'!$D:$D,Category!$C162)</f>
        <v>750000</v>
      </c>
      <c r="AX162" s="388">
        <f>SUMIFS('2022'!$I:$I,'2022'!$E:$E,Category!$B$134,'2022'!$N:$N,Category!AX$1,'2022'!$D:$D,Category!$C162)</f>
        <v>750000</v>
      </c>
      <c r="AY162" s="388">
        <f>SUMIFS('2022'!$I:$I,'2022'!$E:$E,Category!$B$134,'2022'!$N:$N,Category!AY$1,'2022'!$D:$D,Category!$C162)</f>
        <v>750000</v>
      </c>
      <c r="AZ162" s="389">
        <f>SUM(AN162:AY162)</f>
        <v>3750000</v>
      </c>
      <c r="BA162" s="506">
        <f>IFERROR(VLOOKUP(C162,'2023'!$D:$G,4,0),0)</f>
        <v>1</v>
      </c>
      <c r="BB162" s="388">
        <f>SUMIFS('2023'!$I:$I,'2023'!$E:$E,Category!$B$134,'2023'!$N:$N,Category!BB$1,'2023'!$D:$D,Category!$C162)</f>
        <v>750000</v>
      </c>
      <c r="BC162" s="388">
        <f>SUMIFS('2023'!$I:$I,'2023'!$E:$E,Category!$B$134,'2023'!$N:$N,Category!BC$1,'2023'!$D:$D,Category!$C162)</f>
        <v>750000</v>
      </c>
      <c r="BD162" s="388">
        <f>SUMIFS('2023'!$I:$I,'2023'!$E:$E,Category!$B$134,'2023'!$N:$N,Category!BD$1,'2023'!$D:$D,Category!$C162)</f>
        <v>0</v>
      </c>
      <c r="BE162" s="388">
        <f>SUMIFS('2023'!$I:$I,'2023'!$E:$E,Category!$B$134,'2023'!$N:$N,Category!BE$1,'2023'!$D:$D,Category!$C162)</f>
        <v>0</v>
      </c>
      <c r="BF162" s="388">
        <f>SUMIFS('2023'!$I:$I,'2023'!$E:$E,Category!$B$134,'2023'!$N:$N,Category!BF$1,'2023'!$D:$D,Category!$C162)</f>
        <v>0</v>
      </c>
      <c r="BG162" s="388">
        <f>SUMIFS('2023'!$I:$I,'2023'!$E:$E,Category!$B$134,'2023'!$N:$N,Category!BG$1,'2023'!$D:$D,Category!$C162)</f>
        <v>0</v>
      </c>
      <c r="BH162" s="388">
        <f>SUMIFS('2023'!$I:$I,'2023'!$E:$E,Category!$B$134,'2023'!$N:$N,Category!BH$1,'2023'!$D:$D,Category!$C162)</f>
        <v>0</v>
      </c>
      <c r="BI162" s="388">
        <f>SUMIFS('2023'!$I:$I,'2023'!$E:$E,Category!$B$134,'2023'!$N:$N,Category!BI$1,'2023'!$D:$D,Category!$C162)</f>
        <v>0</v>
      </c>
      <c r="BJ162" s="388">
        <f>SUMIFS('2023'!$I:$I,'2023'!$E:$E,Category!$B$134,'2023'!$N:$N,Category!BJ$1,'2023'!$D:$D,Category!$C162)</f>
        <v>0</v>
      </c>
      <c r="BK162" s="388">
        <f>SUMIFS('2023'!$I:$I,'2023'!$E:$E,Category!$B$134,'2023'!$N:$N,Category!BK$1,'2023'!$D:$D,Category!$C162)</f>
        <v>0</v>
      </c>
      <c r="BL162" s="388">
        <f>SUMIFS('2023'!$I:$I,'2023'!$E:$E,Category!$B$134,'2023'!$N:$N,Category!BL$1,'2023'!$D:$D,Category!$C162)</f>
        <v>0</v>
      </c>
      <c r="BM162" s="388">
        <f>SUMIFS('2023'!$I:$I,'2023'!$E:$E,Category!$B$134,'2023'!$N:$N,Category!BM$1,'2023'!$D:$D,Category!$C162)</f>
        <v>0</v>
      </c>
      <c r="BN162" s="389">
        <f>SUM(BB162:BM162)</f>
        <v>1500000</v>
      </c>
    </row>
    <row r="163" spans="1:66" x14ac:dyDescent="0.3">
      <c r="A163" s="386"/>
      <c r="B163" s="387"/>
      <c r="C163" s="387" t="s">
        <v>496</v>
      </c>
      <c r="D163" s="524">
        <f>IFERROR(VLOOKUP($C163,'2019'!$D:$G,4,0),0)</f>
        <v>0</v>
      </c>
      <c r="E163" s="388">
        <f>SUMIFS('2019'!$I:$I,'2019'!$E:$E,Category!$B$134,'2019'!$N:$N,Category!E$1,'2019'!$D:$D,Category!$C163)</f>
        <v>0</v>
      </c>
      <c r="F163" s="388">
        <f>SUMIFS('2019'!$I:$I,'2019'!$E:$E,Category!$B$134,'2019'!$N:$N,Category!F$1,'2019'!$D:$D,Category!$C163)</f>
        <v>0</v>
      </c>
      <c r="G163" s="388">
        <f>SUMIFS('2019'!$I:$I,'2019'!$E:$E,Category!$B$134,'2019'!$N:$N,Category!G$1,'2019'!$D:$D,Category!$C163)</f>
        <v>0</v>
      </c>
      <c r="H163" s="388">
        <f>SUMIFS('2019'!$I:$I,'2019'!$E:$E,Category!$B$134,'2019'!$N:$N,Category!H$1,'2019'!$D:$D,Category!$C163)</f>
        <v>0</v>
      </c>
      <c r="I163" s="388">
        <f>SUMIFS('2019'!$I:$I,'2019'!$E:$E,Category!$B$134,'2019'!$N:$N,Category!I$1,'2019'!$D:$D,Category!$C163)</f>
        <v>0</v>
      </c>
      <c r="J163" s="389">
        <f t="shared" si="61"/>
        <v>0</v>
      </c>
      <c r="K163" s="506">
        <f>IFERROR(VLOOKUP($C163,'2020'!$D:$G,4,0),0)</f>
        <v>0</v>
      </c>
      <c r="L163" s="388">
        <f>SUMIFS('2020'!$I:$I,'2020'!$E:$E,Category!$B$134,'2020'!$N:$N,Category!L$1,'2020'!$D:$D,Category!$C163)</f>
        <v>0</v>
      </c>
      <c r="M163" s="388">
        <f>SUMIFS('2020'!$I:$I,'2020'!$E:$E,Category!$B$134,'2020'!$N:$N,Category!M$1,'2020'!$D:$D,Category!$C163)</f>
        <v>0</v>
      </c>
      <c r="N163" s="388">
        <f>SUMIFS('2020'!$I:$I,'2020'!$E:$E,Category!$B$134,'2020'!$N:$N,Category!N$1,'2020'!$D:$D,Category!$C163)</f>
        <v>0</v>
      </c>
      <c r="O163" s="388">
        <f>SUMIFS('2020'!$I:$I,'2020'!$E:$E,Category!$B$134,'2020'!$N:$N,Category!O$1,'2020'!$D:$D,Category!$C163)</f>
        <v>0</v>
      </c>
      <c r="P163" s="388">
        <f>SUMIFS('2020'!$I:$I,'2020'!$E:$E,Category!$B$134,'2020'!$N:$N,Category!P$1,'2020'!$D:$D,Category!$C163)</f>
        <v>0</v>
      </c>
      <c r="Q163" s="388">
        <f>SUMIFS('2020'!$I:$I,'2020'!$E:$E,Category!$B$134,'2020'!$N:$N,Category!Q$1,'2020'!$D:$D,Category!$C163)</f>
        <v>0</v>
      </c>
      <c r="R163" s="388">
        <f>SUMIFS('2020'!$I:$I,'2020'!$E:$E,Category!$B$134,'2020'!$N:$N,Category!R$1,'2020'!$D:$D,Category!$C163)</f>
        <v>0</v>
      </c>
      <c r="S163" s="388">
        <f>SUMIFS('2020'!$I:$I,'2020'!$E:$E,Category!$B$134,'2020'!$N:$N,Category!S$1,'2020'!$D:$D,Category!$C163)</f>
        <v>0</v>
      </c>
      <c r="T163" s="388">
        <f>SUMIFS('2020'!$I:$I,'2020'!$E:$E,Category!$B$134,'2020'!$N:$N,Category!T$1,'2020'!$D:$D,Category!$C163)</f>
        <v>0</v>
      </c>
      <c r="U163" s="388">
        <f>SUMIFS('2020'!$I:$I,'2020'!$E:$E,Category!$B$134,'2020'!$N:$N,Category!U$1,'2020'!$D:$D,Category!$C163)</f>
        <v>0</v>
      </c>
      <c r="V163" s="388">
        <f>SUMIFS('2020'!$I:$I,'2020'!$E:$E,Category!$B$134,'2020'!$N:$N,Category!V$1,'2020'!$D:$D,Category!$C163)</f>
        <v>0</v>
      </c>
      <c r="W163" s="388">
        <f>SUMIFS('2020'!$I:$I,'2020'!$E:$E,Category!$B$134,'2020'!$N:$N,Category!W$1,'2020'!$D:$D,Category!$C163)</f>
        <v>0</v>
      </c>
      <c r="X163" s="389">
        <f t="shared" ref="X163:X203" si="68">SUM(L163:W163)</f>
        <v>0</v>
      </c>
      <c r="Y163" s="506">
        <f>IFERROR(VLOOKUP(C163,'2021'!$D:$G,4,0),0)</f>
        <v>0</v>
      </c>
      <c r="Z163" s="388">
        <f>SUMIFS('2021'!$I:$I,'2021'!$E:$E,Category!$B$134,'2021'!$N:$N,Category!Z$1,'2021'!$D:$D,Category!$C163)</f>
        <v>0</v>
      </c>
      <c r="AA163" s="388">
        <f>SUMIFS('2021'!$I:$I,'2021'!$E:$E,Category!$B$134,'2021'!$N:$N,Category!AA$1,'2021'!$D:$D,Category!$C163)</f>
        <v>0</v>
      </c>
      <c r="AB163" s="388">
        <f>SUMIFS('2021'!$I:$I,'2021'!$E:$E,Category!$B$134,'2021'!$N:$N,Category!AB$1,'2021'!$D:$D,Category!$C163)</f>
        <v>0</v>
      </c>
      <c r="AC163" s="388">
        <f>SUMIFS('2021'!$I:$I,'2021'!$E:$E,Category!$B$134,'2021'!$N:$N,Category!AC$1,'2021'!$D:$D,Category!$C163)</f>
        <v>0</v>
      </c>
      <c r="AD163" s="388">
        <f>SUMIFS('2021'!$I:$I,'2021'!$E:$E,Category!$B$134,'2021'!$N:$N,Category!AD$1,'2021'!$D:$D,Category!$C163)</f>
        <v>0</v>
      </c>
      <c r="AE163" s="388">
        <f>SUMIFS('2021'!$I:$I,'2021'!$E:$E,Category!$B$134,'2021'!$N:$N,Category!AE$1,'2021'!$D:$D,Category!$C163)</f>
        <v>0</v>
      </c>
      <c r="AF163" s="388">
        <f>SUMIFS('2021'!$I:$I,'2021'!$E:$E,Category!$B$134,'2021'!$N:$N,Category!AF$1,'2021'!$D:$D,Category!$C163)</f>
        <v>0</v>
      </c>
      <c r="AG163" s="388">
        <f>SUMIFS('2021'!$I:$I,'2021'!$E:$E,Category!$B$134,'2021'!$N:$N,Category!AG$1,'2021'!$D:$D,Category!$C163)</f>
        <v>0</v>
      </c>
      <c r="AH163" s="388">
        <f>SUMIFS('2021'!$I:$I,'2021'!$E:$E,Category!$B$134,'2021'!$N:$N,Category!AH$1,'2021'!$D:$D,Category!$C163)</f>
        <v>25000000</v>
      </c>
      <c r="AI163" s="388">
        <f>SUMIFS('2021'!$I:$I,'2021'!$E:$E,Category!$B$134,'2021'!$N:$N,Category!AI$1,'2021'!$D:$D,Category!$C163)</f>
        <v>0</v>
      </c>
      <c r="AJ163" s="388">
        <f>SUMIFS('2021'!$I:$I,'2021'!$E:$E,Category!$B$134,'2021'!$N:$N,Category!AJ$1,'2021'!$D:$D,Category!$C163)</f>
        <v>0</v>
      </c>
      <c r="AK163" s="388">
        <f>SUMIFS('2021'!$I:$I,'2021'!$E:$E,Category!$B$134,'2021'!$N:$N,Category!AK$1,'2021'!$D:$D,Category!$C163)</f>
        <v>100000000</v>
      </c>
      <c r="AL163" s="389">
        <f t="shared" si="67"/>
        <v>125000000</v>
      </c>
      <c r="AM163" s="506">
        <f>IFERROR(VLOOKUP(C163,'2022'!$D:$G,4,0),0)</f>
        <v>0</v>
      </c>
      <c r="AN163" s="388">
        <f>SUMIFS('2022'!$I:$I,'2022'!$E:$E,Category!$B$134,'2022'!$N:$N,Category!AN$1,'2022'!$D:$D,Category!$C163)</f>
        <v>0</v>
      </c>
      <c r="AO163" s="388">
        <f>SUMIFS('2022'!$I:$I,'2022'!$E:$E,Category!$B$134,'2022'!$N:$N,Category!AO$1,'2022'!$D:$D,Category!$C163)</f>
        <v>0</v>
      </c>
      <c r="AP163" s="388">
        <f>SUMIFS('2022'!$I:$I,'2022'!$E:$E,Category!$B$134,'2022'!$N:$N,Category!AP$1,'2022'!$D:$D,Category!$C163)</f>
        <v>0</v>
      </c>
      <c r="AQ163" s="388">
        <f>SUMIFS('2022'!$I:$I,'2022'!$E:$E,Category!$B$134,'2022'!$N:$N,Category!AQ$1,'2022'!$D:$D,Category!$C163)</f>
        <v>0</v>
      </c>
      <c r="AR163" s="388">
        <f>SUMIFS('2022'!$I:$I,'2022'!$E:$E,Category!$B$134,'2022'!$N:$N,Category!AR$1,'2022'!$D:$D,Category!$C163)</f>
        <v>0</v>
      </c>
      <c r="AS163" s="388">
        <f>SUMIFS('2022'!$I:$I,'2022'!$E:$E,Category!$B$134,'2022'!$N:$N,Category!AS$1,'2022'!$D:$D,Category!$C163)</f>
        <v>0</v>
      </c>
      <c r="AT163" s="388">
        <f>SUMIFS('2022'!$I:$I,'2022'!$E:$E,Category!$B$134,'2022'!$N:$N,Category!AT$1,'2022'!$D:$D,Category!$C163)</f>
        <v>0</v>
      </c>
      <c r="AU163" s="388">
        <f>SUMIFS('2022'!$I:$I,'2022'!$E:$E,Category!$B$134,'2022'!$N:$N,Category!AU$1,'2022'!$D:$D,Category!$C163)</f>
        <v>0</v>
      </c>
      <c r="AV163" s="388">
        <f>SUMIFS('2022'!$I:$I,'2022'!$E:$E,Category!$B$134,'2022'!$N:$N,Category!AV$1,'2022'!$D:$D,Category!$C163)</f>
        <v>0</v>
      </c>
      <c r="AW163" s="388">
        <f>SUMIFS('2022'!$I:$I,'2022'!$E:$E,Category!$B$134,'2022'!$N:$N,Category!AW$1,'2022'!$D:$D,Category!$C163)</f>
        <v>0</v>
      </c>
      <c r="AX163" s="388">
        <f>SUMIFS('2022'!$I:$I,'2022'!$E:$E,Category!$B$134,'2022'!$N:$N,Category!AX$1,'2022'!$D:$D,Category!$C163)</f>
        <v>50000000</v>
      </c>
      <c r="AY163" s="388">
        <f>SUMIFS('2022'!$I:$I,'2022'!$E:$E,Category!$B$134,'2022'!$N:$N,Category!AY$1,'2022'!$D:$D,Category!$C163)</f>
        <v>0</v>
      </c>
      <c r="AZ163" s="389">
        <f t="shared" si="64"/>
        <v>50000000</v>
      </c>
      <c r="BA163" s="506">
        <f>IFERROR(VLOOKUP(C163,'2023'!$D:$G,4,0),0)</f>
        <v>0</v>
      </c>
      <c r="BB163" s="388">
        <f>SUMIFS('2023'!$I:$I,'2023'!$E:$E,Category!$B$134,'2023'!$N:$N,Category!BB$1,'2023'!$D:$D,Category!$C163)</f>
        <v>0</v>
      </c>
      <c r="BC163" s="388">
        <f>SUMIFS('2023'!$I:$I,'2023'!$E:$E,Category!$B$134,'2023'!$N:$N,Category!BC$1,'2023'!$D:$D,Category!$C163)</f>
        <v>0</v>
      </c>
      <c r="BD163" s="388">
        <f>SUMIFS('2023'!$I:$I,'2023'!$E:$E,Category!$B$134,'2023'!$N:$N,Category!BD$1,'2023'!$D:$D,Category!$C163)</f>
        <v>0</v>
      </c>
      <c r="BE163" s="388">
        <f>SUMIFS('2023'!$I:$I,'2023'!$E:$E,Category!$B$134,'2023'!$N:$N,Category!BE$1,'2023'!$D:$D,Category!$C163)</f>
        <v>0</v>
      </c>
      <c r="BF163" s="388">
        <f>SUMIFS('2023'!$I:$I,'2023'!$E:$E,Category!$B$134,'2023'!$N:$N,Category!BF$1,'2023'!$D:$D,Category!$C163)</f>
        <v>0</v>
      </c>
      <c r="BG163" s="388">
        <f>SUMIFS('2023'!$I:$I,'2023'!$E:$E,Category!$B$134,'2023'!$N:$N,Category!BG$1,'2023'!$D:$D,Category!$C163)</f>
        <v>0</v>
      </c>
      <c r="BH163" s="388">
        <f>SUMIFS('2023'!$I:$I,'2023'!$E:$E,Category!$B$134,'2023'!$N:$N,Category!BH$1,'2023'!$D:$D,Category!$C163)</f>
        <v>0</v>
      </c>
      <c r="BI163" s="388">
        <f>SUMIFS('2023'!$I:$I,'2023'!$E:$E,Category!$B$134,'2023'!$N:$N,Category!BI$1,'2023'!$D:$D,Category!$C163)</f>
        <v>0</v>
      </c>
      <c r="BJ163" s="388">
        <f>SUMIFS('2023'!$I:$I,'2023'!$E:$E,Category!$B$134,'2023'!$N:$N,Category!BJ$1,'2023'!$D:$D,Category!$C163)</f>
        <v>0</v>
      </c>
      <c r="BK163" s="388">
        <f>SUMIFS('2023'!$I:$I,'2023'!$E:$E,Category!$B$134,'2023'!$N:$N,Category!BK$1,'2023'!$D:$D,Category!$C163)</f>
        <v>0</v>
      </c>
      <c r="BL163" s="388">
        <f>SUMIFS('2023'!$I:$I,'2023'!$E:$E,Category!$B$134,'2023'!$N:$N,Category!BL$1,'2023'!$D:$D,Category!$C163)</f>
        <v>0</v>
      </c>
      <c r="BM163" s="388">
        <f>SUMIFS('2023'!$I:$I,'2023'!$E:$E,Category!$B$134,'2023'!$N:$N,Category!BM$1,'2023'!$D:$D,Category!$C163)</f>
        <v>0</v>
      </c>
      <c r="BN163" s="389">
        <f t="shared" ref="BN163:BN235" si="69">SUM(BB163:BM163)</f>
        <v>0</v>
      </c>
    </row>
    <row r="164" spans="1:66" x14ac:dyDescent="0.3">
      <c r="A164" s="386"/>
      <c r="B164" s="387"/>
      <c r="C164" s="387" t="s">
        <v>560</v>
      </c>
      <c r="D164" s="524">
        <f>IFERROR(VLOOKUP($C164,'2019'!$D:$G,4,0),0)</f>
        <v>0</v>
      </c>
      <c r="E164" s="388">
        <f>SUMIFS('2019'!$I:$I,'2019'!$E:$E,Category!$B$134,'2019'!$N:$N,Category!E$1,'2019'!$D:$D,Category!$C164)</f>
        <v>0</v>
      </c>
      <c r="F164" s="388">
        <f>SUMIFS('2019'!$I:$I,'2019'!$E:$E,Category!$B$134,'2019'!$N:$N,Category!F$1,'2019'!$D:$D,Category!$C164)</f>
        <v>0</v>
      </c>
      <c r="G164" s="388">
        <f>SUMIFS('2019'!$I:$I,'2019'!$E:$E,Category!$B$134,'2019'!$N:$N,Category!G$1,'2019'!$D:$D,Category!$C164)</f>
        <v>0</v>
      </c>
      <c r="H164" s="388">
        <f>SUMIFS('2019'!$I:$I,'2019'!$E:$E,Category!$B$134,'2019'!$N:$N,Category!H$1,'2019'!$D:$D,Category!$C164)</f>
        <v>0</v>
      </c>
      <c r="I164" s="388">
        <f>SUMIFS('2019'!$I:$I,'2019'!$E:$E,Category!$B$134,'2019'!$N:$N,Category!I$1,'2019'!$D:$D,Category!$C164)</f>
        <v>0</v>
      </c>
      <c r="J164" s="389">
        <f t="shared" si="61"/>
        <v>0</v>
      </c>
      <c r="K164" s="506">
        <f>IFERROR(VLOOKUP($C164,'2020'!$D:$G,4,0),0)</f>
        <v>0</v>
      </c>
      <c r="L164" s="388">
        <f>SUMIFS('2020'!$I:$I,'2020'!$E:$E,Category!$B$134,'2020'!$N:$N,Category!L$1,'2020'!$D:$D,Category!$C164)</f>
        <v>0</v>
      </c>
      <c r="M164" s="388">
        <f>SUMIFS('2020'!$I:$I,'2020'!$E:$E,Category!$B$134,'2020'!$N:$N,Category!M$1,'2020'!$D:$D,Category!$C164)</f>
        <v>0</v>
      </c>
      <c r="N164" s="388">
        <f>SUMIFS('2020'!$I:$I,'2020'!$E:$E,Category!$B$134,'2020'!$N:$N,Category!N$1,'2020'!$D:$D,Category!$C164)</f>
        <v>0</v>
      </c>
      <c r="O164" s="388">
        <f>SUMIFS('2020'!$I:$I,'2020'!$E:$E,Category!$B$134,'2020'!$N:$N,Category!O$1,'2020'!$D:$D,Category!$C164)</f>
        <v>0</v>
      </c>
      <c r="P164" s="388">
        <f>SUMIFS('2020'!$I:$I,'2020'!$E:$E,Category!$B$134,'2020'!$N:$N,Category!P$1,'2020'!$D:$D,Category!$C164)</f>
        <v>0</v>
      </c>
      <c r="Q164" s="388">
        <f>SUMIFS('2020'!$I:$I,'2020'!$E:$E,Category!$B$134,'2020'!$N:$N,Category!Q$1,'2020'!$D:$D,Category!$C164)</f>
        <v>0</v>
      </c>
      <c r="R164" s="388">
        <f>SUMIFS('2020'!$I:$I,'2020'!$E:$E,Category!$B$134,'2020'!$N:$N,Category!R$1,'2020'!$D:$D,Category!$C164)</f>
        <v>0</v>
      </c>
      <c r="S164" s="388">
        <f>SUMIFS('2020'!$I:$I,'2020'!$E:$E,Category!$B$134,'2020'!$N:$N,Category!S$1,'2020'!$D:$D,Category!$C164)</f>
        <v>0</v>
      </c>
      <c r="T164" s="388">
        <f>SUMIFS('2020'!$I:$I,'2020'!$E:$E,Category!$B$134,'2020'!$N:$N,Category!T$1,'2020'!$D:$D,Category!$C164)</f>
        <v>0</v>
      </c>
      <c r="U164" s="388">
        <f>SUMIFS('2020'!$I:$I,'2020'!$E:$E,Category!$B$134,'2020'!$N:$N,Category!U$1,'2020'!$D:$D,Category!$C164)</f>
        <v>0</v>
      </c>
      <c r="V164" s="388">
        <f>SUMIFS('2020'!$I:$I,'2020'!$E:$E,Category!$B$134,'2020'!$N:$N,Category!V$1,'2020'!$D:$D,Category!$C164)</f>
        <v>0</v>
      </c>
      <c r="W164" s="388">
        <f>SUMIFS('2020'!$I:$I,'2020'!$E:$E,Category!$B$134,'2020'!$N:$N,Category!W$1,'2020'!$D:$D,Category!$C164)</f>
        <v>0</v>
      </c>
      <c r="X164" s="389">
        <f t="shared" si="68"/>
        <v>0</v>
      </c>
      <c r="Y164" s="506">
        <f>IFERROR(VLOOKUP(C164,'2021'!$D:$G,4,0),0)</f>
        <v>0</v>
      </c>
      <c r="Z164" s="388">
        <f>SUMIFS('2021'!$I:$I,'2021'!$E:$E,Category!$B$134,'2021'!$N:$N,Category!Z$1,'2021'!$D:$D,Category!$C164)</f>
        <v>0</v>
      </c>
      <c r="AA164" s="388">
        <f>SUMIFS('2021'!$I:$I,'2021'!$E:$E,Category!$B$134,'2021'!$N:$N,Category!AA$1,'2021'!$D:$D,Category!$C164)</f>
        <v>0</v>
      </c>
      <c r="AB164" s="388">
        <f>SUMIFS('2021'!$I:$I,'2021'!$E:$E,Category!$B$134,'2021'!$N:$N,Category!AB$1,'2021'!$D:$D,Category!$C164)</f>
        <v>0</v>
      </c>
      <c r="AC164" s="388">
        <f>SUMIFS('2021'!$I:$I,'2021'!$E:$E,Category!$B$134,'2021'!$N:$N,Category!AC$1,'2021'!$D:$D,Category!$C164)</f>
        <v>0</v>
      </c>
      <c r="AD164" s="388">
        <f>SUMIFS('2021'!$I:$I,'2021'!$E:$E,Category!$B$134,'2021'!$N:$N,Category!AD$1,'2021'!$D:$D,Category!$C164)</f>
        <v>0</v>
      </c>
      <c r="AE164" s="388">
        <f>SUMIFS('2021'!$I:$I,'2021'!$E:$E,Category!$B$134,'2021'!$N:$N,Category!AE$1,'2021'!$D:$D,Category!$C164)</f>
        <v>0</v>
      </c>
      <c r="AF164" s="388">
        <f>SUMIFS('2021'!$I:$I,'2021'!$E:$E,Category!$B$134,'2021'!$N:$N,Category!AF$1,'2021'!$D:$D,Category!$C164)</f>
        <v>0</v>
      </c>
      <c r="AG164" s="388">
        <f>SUMIFS('2021'!$I:$I,'2021'!$E:$E,Category!$B$134,'2021'!$N:$N,Category!AG$1,'2021'!$D:$D,Category!$C164)</f>
        <v>0</v>
      </c>
      <c r="AH164" s="388">
        <f>SUMIFS('2021'!$I:$I,'2021'!$E:$E,Category!$B$134,'2021'!$N:$N,Category!AH$1,'2021'!$D:$D,Category!$C164)</f>
        <v>0</v>
      </c>
      <c r="AI164" s="388">
        <f>SUMIFS('2021'!$I:$I,'2021'!$E:$E,Category!$B$134,'2021'!$N:$N,Category!AI$1,'2021'!$D:$D,Category!$C164)</f>
        <v>25000000</v>
      </c>
      <c r="AJ164" s="388">
        <f>SUMIFS('2021'!$I:$I,'2021'!$E:$E,Category!$B$134,'2021'!$N:$N,Category!AJ$1,'2021'!$D:$D,Category!$C164)</f>
        <v>0</v>
      </c>
      <c r="AK164" s="388">
        <f>SUMIFS('2021'!$I:$I,'2021'!$E:$E,Category!$B$134,'2021'!$N:$N,Category!AK$1,'2021'!$D:$D,Category!$C164)</f>
        <v>0</v>
      </c>
      <c r="AL164" s="389">
        <f t="shared" si="67"/>
        <v>25000000</v>
      </c>
      <c r="AM164" s="506">
        <f>IFERROR(VLOOKUP(C164,'2022'!$D:$G,4,0),0)</f>
        <v>0</v>
      </c>
      <c r="AN164" s="388">
        <f>SUMIFS('2022'!$I:$I,'2022'!$E:$E,Category!$B$134,'2022'!$N:$N,Category!AN$1,'2022'!$D:$D,Category!$C164)</f>
        <v>0</v>
      </c>
      <c r="AO164" s="388">
        <f>SUMIFS('2022'!$I:$I,'2022'!$E:$E,Category!$B$134,'2022'!$N:$N,Category!AO$1,'2022'!$D:$D,Category!$C164)</f>
        <v>0</v>
      </c>
      <c r="AP164" s="388">
        <f>SUMIFS('2022'!$I:$I,'2022'!$E:$E,Category!$B$134,'2022'!$N:$N,Category!AP$1,'2022'!$D:$D,Category!$C164)</f>
        <v>0</v>
      </c>
      <c r="AQ164" s="388">
        <f>SUMIFS('2022'!$I:$I,'2022'!$E:$E,Category!$B$134,'2022'!$N:$N,Category!AQ$1,'2022'!$D:$D,Category!$C164)</f>
        <v>0</v>
      </c>
      <c r="AR164" s="388">
        <f>SUMIFS('2022'!$I:$I,'2022'!$E:$E,Category!$B$134,'2022'!$N:$N,Category!AR$1,'2022'!$D:$D,Category!$C164)</f>
        <v>0</v>
      </c>
      <c r="AS164" s="388">
        <f>SUMIFS('2022'!$I:$I,'2022'!$E:$E,Category!$B$134,'2022'!$N:$N,Category!AS$1,'2022'!$D:$D,Category!$C164)</f>
        <v>0</v>
      </c>
      <c r="AT164" s="388">
        <f>SUMIFS('2022'!$I:$I,'2022'!$E:$E,Category!$B$134,'2022'!$N:$N,Category!AT$1,'2022'!$D:$D,Category!$C164)</f>
        <v>0</v>
      </c>
      <c r="AU164" s="388">
        <f>SUMIFS('2022'!$I:$I,'2022'!$E:$E,Category!$B$134,'2022'!$N:$N,Category!AU$1,'2022'!$D:$D,Category!$C164)</f>
        <v>0</v>
      </c>
      <c r="AV164" s="388">
        <f>SUMIFS('2022'!$I:$I,'2022'!$E:$E,Category!$B$134,'2022'!$N:$N,Category!AV$1,'2022'!$D:$D,Category!$C164)</f>
        <v>0</v>
      </c>
      <c r="AW164" s="388">
        <f>SUMIFS('2022'!$I:$I,'2022'!$E:$E,Category!$B$134,'2022'!$N:$N,Category!AW$1,'2022'!$D:$D,Category!$C164)</f>
        <v>0</v>
      </c>
      <c r="AX164" s="388">
        <f>SUMIFS('2022'!$I:$I,'2022'!$E:$E,Category!$B$134,'2022'!$N:$N,Category!AX$1,'2022'!$D:$D,Category!$C164)</f>
        <v>0</v>
      </c>
      <c r="AY164" s="388">
        <f>SUMIFS('2022'!$I:$I,'2022'!$E:$E,Category!$B$134,'2022'!$N:$N,Category!AY$1,'2022'!$D:$D,Category!$C164)</f>
        <v>0</v>
      </c>
      <c r="AZ164" s="389">
        <f t="shared" si="64"/>
        <v>0</v>
      </c>
      <c r="BA164" s="506">
        <f>IFERROR(VLOOKUP(C164,'2023'!$D:$G,4,0),0)</f>
        <v>0</v>
      </c>
      <c r="BB164" s="388">
        <f>SUMIFS('2023'!$I:$I,'2023'!$E:$E,Category!$B$134,'2023'!$N:$N,Category!BB$1,'2023'!$D:$D,Category!$C164)</f>
        <v>0</v>
      </c>
      <c r="BC164" s="388">
        <f>SUMIFS('2023'!$I:$I,'2023'!$E:$E,Category!$B$134,'2023'!$N:$N,Category!BC$1,'2023'!$D:$D,Category!$C164)</f>
        <v>0</v>
      </c>
      <c r="BD164" s="388">
        <f>SUMIFS('2023'!$I:$I,'2023'!$E:$E,Category!$B$134,'2023'!$N:$N,Category!BD$1,'2023'!$D:$D,Category!$C164)</f>
        <v>0</v>
      </c>
      <c r="BE164" s="388">
        <f>SUMIFS('2023'!$I:$I,'2023'!$E:$E,Category!$B$134,'2023'!$N:$N,Category!BE$1,'2023'!$D:$D,Category!$C164)</f>
        <v>0</v>
      </c>
      <c r="BF164" s="388">
        <f>SUMIFS('2023'!$I:$I,'2023'!$E:$E,Category!$B$134,'2023'!$N:$N,Category!BF$1,'2023'!$D:$D,Category!$C164)</f>
        <v>0</v>
      </c>
      <c r="BG164" s="388">
        <f>SUMIFS('2023'!$I:$I,'2023'!$E:$E,Category!$B$134,'2023'!$N:$N,Category!BG$1,'2023'!$D:$D,Category!$C164)</f>
        <v>0</v>
      </c>
      <c r="BH164" s="388">
        <f>SUMIFS('2023'!$I:$I,'2023'!$E:$E,Category!$B$134,'2023'!$N:$N,Category!BH$1,'2023'!$D:$D,Category!$C164)</f>
        <v>0</v>
      </c>
      <c r="BI164" s="388">
        <f>SUMIFS('2023'!$I:$I,'2023'!$E:$E,Category!$B$134,'2023'!$N:$N,Category!BI$1,'2023'!$D:$D,Category!$C164)</f>
        <v>0</v>
      </c>
      <c r="BJ164" s="388">
        <f>SUMIFS('2023'!$I:$I,'2023'!$E:$E,Category!$B$134,'2023'!$N:$N,Category!BJ$1,'2023'!$D:$D,Category!$C164)</f>
        <v>0</v>
      </c>
      <c r="BK164" s="388">
        <f>SUMIFS('2023'!$I:$I,'2023'!$E:$E,Category!$B$134,'2023'!$N:$N,Category!BK$1,'2023'!$D:$D,Category!$C164)</f>
        <v>0</v>
      </c>
      <c r="BL164" s="388">
        <f>SUMIFS('2023'!$I:$I,'2023'!$E:$E,Category!$B$134,'2023'!$N:$N,Category!BL$1,'2023'!$D:$D,Category!$C164)</f>
        <v>0</v>
      </c>
      <c r="BM164" s="388">
        <f>SUMIFS('2023'!$I:$I,'2023'!$E:$E,Category!$B$134,'2023'!$N:$N,Category!BM$1,'2023'!$D:$D,Category!$C164)</f>
        <v>0</v>
      </c>
      <c r="BN164" s="389">
        <f t="shared" si="69"/>
        <v>0</v>
      </c>
    </row>
    <row r="165" spans="1:66" ht="24" customHeight="1" x14ac:dyDescent="0.25">
      <c r="A165" s="386"/>
      <c r="B165" s="387"/>
      <c r="C165" s="391" t="s">
        <v>568</v>
      </c>
      <c r="D165" s="525">
        <f>IFERROR(VLOOKUP($C165,'2019'!$D:$G,4,0),0)</f>
        <v>0</v>
      </c>
      <c r="E165" s="388">
        <f>SUMIFS('2019'!$I:$I,'2019'!$E:$E,Category!$B$134,'2019'!$N:$N,Category!E$1,'2019'!$D:$D,Category!$C165)</f>
        <v>0</v>
      </c>
      <c r="F165" s="388">
        <f>SUMIFS('2019'!$I:$I,'2019'!$E:$E,Category!$B$134,'2019'!$N:$N,Category!F$1,'2019'!$D:$D,Category!$C165)</f>
        <v>0</v>
      </c>
      <c r="G165" s="388">
        <f>SUMIFS('2019'!$I:$I,'2019'!$E:$E,Category!$B$134,'2019'!$N:$N,Category!G$1,'2019'!$D:$D,Category!$C165)</f>
        <v>0</v>
      </c>
      <c r="H165" s="388">
        <f>SUMIFS('2019'!$I:$I,'2019'!$E:$E,Category!$B$134,'2019'!$N:$N,Category!H$1,'2019'!$D:$D,Category!$C165)</f>
        <v>0</v>
      </c>
      <c r="I165" s="388">
        <f>SUMIFS('2019'!$I:$I,'2019'!$E:$E,Category!$B$134,'2019'!$N:$N,Category!I$1,'2019'!$D:$D,Category!$C165)</f>
        <v>0</v>
      </c>
      <c r="J165" s="389">
        <f t="shared" si="61"/>
        <v>0</v>
      </c>
      <c r="K165" s="506">
        <f>IFERROR(VLOOKUP($C165,'2020'!$D:$G,4,0),0)</f>
        <v>0</v>
      </c>
      <c r="L165" s="388">
        <f>SUMIFS('2020'!$I:$I,'2020'!$E:$E,Category!$B$134,'2020'!$N:$N,Category!L$1,'2020'!$D:$D,Category!$C165)</f>
        <v>0</v>
      </c>
      <c r="M165" s="388">
        <f>SUMIFS('2020'!$I:$I,'2020'!$E:$E,Category!$B$134,'2020'!$N:$N,Category!M$1,'2020'!$D:$D,Category!$C165)</f>
        <v>0</v>
      </c>
      <c r="N165" s="388">
        <f>SUMIFS('2020'!$I:$I,'2020'!$E:$E,Category!$B$134,'2020'!$N:$N,Category!N$1,'2020'!$D:$D,Category!$C165)</f>
        <v>0</v>
      </c>
      <c r="O165" s="388">
        <f>SUMIFS('2020'!$I:$I,'2020'!$E:$E,Category!$B$134,'2020'!$N:$N,Category!O$1,'2020'!$D:$D,Category!$C165)</f>
        <v>0</v>
      </c>
      <c r="P165" s="388">
        <f>SUMIFS('2020'!$I:$I,'2020'!$E:$E,Category!$B$134,'2020'!$N:$N,Category!P$1,'2020'!$D:$D,Category!$C165)</f>
        <v>0</v>
      </c>
      <c r="Q165" s="388">
        <f>SUMIFS('2020'!$I:$I,'2020'!$E:$E,Category!$B$134,'2020'!$N:$N,Category!Q$1,'2020'!$D:$D,Category!$C165)</f>
        <v>0</v>
      </c>
      <c r="R165" s="388">
        <f>SUMIFS('2020'!$I:$I,'2020'!$E:$E,Category!$B$134,'2020'!$N:$N,Category!R$1,'2020'!$D:$D,Category!$C165)</f>
        <v>0</v>
      </c>
      <c r="S165" s="388">
        <f>SUMIFS('2020'!$I:$I,'2020'!$E:$E,Category!$B$134,'2020'!$N:$N,Category!S$1,'2020'!$D:$D,Category!$C165)</f>
        <v>0</v>
      </c>
      <c r="T165" s="388">
        <f>SUMIFS('2020'!$I:$I,'2020'!$E:$E,Category!$B$134,'2020'!$N:$N,Category!T$1,'2020'!$D:$D,Category!$C165)</f>
        <v>0</v>
      </c>
      <c r="U165" s="388">
        <f>SUMIFS('2020'!$I:$I,'2020'!$E:$E,Category!$B$134,'2020'!$N:$N,Category!U$1,'2020'!$D:$D,Category!$C165)</f>
        <v>0</v>
      </c>
      <c r="V165" s="388">
        <f>SUMIFS('2020'!$I:$I,'2020'!$E:$E,Category!$B$134,'2020'!$N:$N,Category!V$1,'2020'!$D:$D,Category!$C165)</f>
        <v>0</v>
      </c>
      <c r="W165" s="388">
        <f>SUMIFS('2020'!$I:$I,'2020'!$E:$E,Category!$B$134,'2020'!$N:$N,Category!W$1,'2020'!$D:$D,Category!$C165)</f>
        <v>0</v>
      </c>
      <c r="X165" s="389">
        <f t="shared" si="68"/>
        <v>0</v>
      </c>
      <c r="Y165" s="506">
        <f>IFERROR(VLOOKUP(C165,'2021'!$D:$G,4,0),0)</f>
        <v>0</v>
      </c>
      <c r="Z165" s="388">
        <f>SUMIFS('2021'!$I:$I,'2021'!$E:$E,Category!$B$134,'2021'!$N:$N,Category!Z$1,'2021'!$D:$D,Category!$C165)</f>
        <v>0</v>
      </c>
      <c r="AA165" s="388">
        <f>SUMIFS('2021'!$I:$I,'2021'!$E:$E,Category!$B$134,'2021'!$N:$N,Category!AA$1,'2021'!$D:$D,Category!$C165)</f>
        <v>0</v>
      </c>
      <c r="AB165" s="388">
        <f>SUMIFS('2021'!$I:$I,'2021'!$E:$E,Category!$B$134,'2021'!$N:$N,Category!AB$1,'2021'!$D:$D,Category!$C165)</f>
        <v>0</v>
      </c>
      <c r="AC165" s="388">
        <f>SUMIFS('2021'!$I:$I,'2021'!$E:$E,Category!$B$134,'2021'!$N:$N,Category!AC$1,'2021'!$D:$D,Category!$C165)</f>
        <v>0</v>
      </c>
      <c r="AD165" s="388">
        <f>SUMIFS('2021'!$I:$I,'2021'!$E:$E,Category!$B$134,'2021'!$N:$N,Category!AD$1,'2021'!$D:$D,Category!$C165)</f>
        <v>0</v>
      </c>
      <c r="AE165" s="388">
        <f>SUMIFS('2021'!$I:$I,'2021'!$E:$E,Category!$B$134,'2021'!$N:$N,Category!AE$1,'2021'!$D:$D,Category!$C165)</f>
        <v>0</v>
      </c>
      <c r="AF165" s="388">
        <f>SUMIFS('2021'!$I:$I,'2021'!$E:$E,Category!$B$134,'2021'!$N:$N,Category!AF$1,'2021'!$D:$D,Category!$C165)</f>
        <v>0</v>
      </c>
      <c r="AG165" s="388">
        <f>SUMIFS('2021'!$I:$I,'2021'!$E:$E,Category!$B$134,'2021'!$N:$N,Category!AG$1,'2021'!$D:$D,Category!$C165)</f>
        <v>0</v>
      </c>
      <c r="AH165" s="388">
        <f>SUMIFS('2021'!$I:$I,'2021'!$E:$E,Category!$B$134,'2021'!$N:$N,Category!AH$1,'2021'!$D:$D,Category!$C165)</f>
        <v>0</v>
      </c>
      <c r="AI165" s="388">
        <f>SUMIFS('2021'!$I:$I,'2021'!$E:$E,Category!$B$134,'2021'!$N:$N,Category!AI$1,'2021'!$D:$D,Category!$C165)</f>
        <v>0</v>
      </c>
      <c r="AJ165" s="388">
        <f>SUMIFS('2021'!$I:$I,'2021'!$E:$E,Category!$B$134,'2021'!$N:$N,Category!AJ$1,'2021'!$D:$D,Category!$C165)</f>
        <v>3599000</v>
      </c>
      <c r="AK165" s="388">
        <f>SUMIFS('2021'!$I:$I,'2021'!$E:$E,Category!$B$134,'2021'!$N:$N,Category!AK$1,'2021'!$D:$D,Category!$C165)</f>
        <v>0</v>
      </c>
      <c r="AL165" s="389">
        <f t="shared" si="67"/>
        <v>3599000</v>
      </c>
      <c r="AM165" s="506">
        <f>IFERROR(VLOOKUP(C165,'2022'!$D:$G,4,0),0)</f>
        <v>0</v>
      </c>
      <c r="AN165" s="388">
        <f>SUMIFS('2022'!$I:$I,'2022'!$E:$E,Category!$B$134,'2022'!$N:$N,Category!AN$1,'2022'!$D:$D,Category!$C165)</f>
        <v>0</v>
      </c>
      <c r="AO165" s="388">
        <f>SUMIFS('2022'!$I:$I,'2022'!$E:$E,Category!$B$134,'2022'!$N:$N,Category!AO$1,'2022'!$D:$D,Category!$C165)</f>
        <v>0</v>
      </c>
      <c r="AP165" s="388">
        <f>SUMIFS('2022'!$I:$I,'2022'!$E:$E,Category!$B$134,'2022'!$N:$N,Category!AP$1,'2022'!$D:$D,Category!$C165)</f>
        <v>0</v>
      </c>
      <c r="AQ165" s="388">
        <f>SUMIFS('2022'!$I:$I,'2022'!$E:$E,Category!$B$134,'2022'!$N:$N,Category!AQ$1,'2022'!$D:$D,Category!$C165)</f>
        <v>0</v>
      </c>
      <c r="AR165" s="388">
        <f>SUMIFS('2022'!$I:$I,'2022'!$E:$E,Category!$B$134,'2022'!$N:$N,Category!AR$1,'2022'!$D:$D,Category!$C165)</f>
        <v>0</v>
      </c>
      <c r="AS165" s="388">
        <f>SUMIFS('2022'!$I:$I,'2022'!$E:$E,Category!$B$134,'2022'!$N:$N,Category!AS$1,'2022'!$D:$D,Category!$C165)</f>
        <v>0</v>
      </c>
      <c r="AT165" s="388">
        <f>SUMIFS('2022'!$I:$I,'2022'!$E:$E,Category!$B$134,'2022'!$N:$N,Category!AT$1,'2022'!$D:$D,Category!$C165)</f>
        <v>0</v>
      </c>
      <c r="AU165" s="388">
        <f>SUMIFS('2022'!$I:$I,'2022'!$E:$E,Category!$B$134,'2022'!$N:$N,Category!AU$1,'2022'!$D:$D,Category!$C165)</f>
        <v>0</v>
      </c>
      <c r="AV165" s="388">
        <f>SUMIFS('2022'!$I:$I,'2022'!$E:$E,Category!$B$134,'2022'!$N:$N,Category!AV$1,'2022'!$D:$D,Category!$C165)</f>
        <v>0</v>
      </c>
      <c r="AW165" s="388">
        <f>SUMIFS('2022'!$I:$I,'2022'!$E:$E,Category!$B$134,'2022'!$N:$N,Category!AW$1,'2022'!$D:$D,Category!$C165)</f>
        <v>0</v>
      </c>
      <c r="AX165" s="388">
        <f>SUMIFS('2022'!$I:$I,'2022'!$E:$E,Category!$B$134,'2022'!$N:$N,Category!AX$1,'2022'!$D:$D,Category!$C165)</f>
        <v>0</v>
      </c>
      <c r="AY165" s="388">
        <f>SUMIFS('2022'!$I:$I,'2022'!$E:$E,Category!$B$134,'2022'!$N:$N,Category!AY$1,'2022'!$D:$D,Category!$C165)</f>
        <v>0</v>
      </c>
      <c r="AZ165" s="389">
        <f t="shared" si="64"/>
        <v>0</v>
      </c>
      <c r="BA165" s="506">
        <f>IFERROR(VLOOKUP(C165,'2023'!$D:$G,4,0),0)</f>
        <v>0</v>
      </c>
      <c r="BB165" s="388">
        <f>SUMIFS('2023'!$I:$I,'2023'!$E:$E,Category!$B$134,'2023'!$N:$N,Category!BB$1,'2023'!$D:$D,Category!$C165)</f>
        <v>0</v>
      </c>
      <c r="BC165" s="388">
        <f>SUMIFS('2023'!$I:$I,'2023'!$E:$E,Category!$B$134,'2023'!$N:$N,Category!BC$1,'2023'!$D:$D,Category!$C165)</f>
        <v>0</v>
      </c>
      <c r="BD165" s="388">
        <f>SUMIFS('2023'!$I:$I,'2023'!$E:$E,Category!$B$134,'2023'!$N:$N,Category!BD$1,'2023'!$D:$D,Category!$C165)</f>
        <v>0</v>
      </c>
      <c r="BE165" s="388">
        <f>SUMIFS('2023'!$I:$I,'2023'!$E:$E,Category!$B$134,'2023'!$N:$N,Category!BE$1,'2023'!$D:$D,Category!$C165)</f>
        <v>0</v>
      </c>
      <c r="BF165" s="388">
        <f>SUMIFS('2023'!$I:$I,'2023'!$E:$E,Category!$B$134,'2023'!$N:$N,Category!BF$1,'2023'!$D:$D,Category!$C165)</f>
        <v>0</v>
      </c>
      <c r="BG165" s="388">
        <f>SUMIFS('2023'!$I:$I,'2023'!$E:$E,Category!$B$134,'2023'!$N:$N,Category!BG$1,'2023'!$D:$D,Category!$C165)</f>
        <v>0</v>
      </c>
      <c r="BH165" s="388">
        <f>SUMIFS('2023'!$I:$I,'2023'!$E:$E,Category!$B$134,'2023'!$N:$N,Category!BH$1,'2023'!$D:$D,Category!$C165)</f>
        <v>0</v>
      </c>
      <c r="BI165" s="388">
        <f>SUMIFS('2023'!$I:$I,'2023'!$E:$E,Category!$B$134,'2023'!$N:$N,Category!BI$1,'2023'!$D:$D,Category!$C165)</f>
        <v>0</v>
      </c>
      <c r="BJ165" s="388">
        <f>SUMIFS('2023'!$I:$I,'2023'!$E:$E,Category!$B$134,'2023'!$N:$N,Category!BJ$1,'2023'!$D:$D,Category!$C165)</f>
        <v>0</v>
      </c>
      <c r="BK165" s="388">
        <f>SUMIFS('2023'!$I:$I,'2023'!$E:$E,Category!$B$134,'2023'!$N:$N,Category!BK$1,'2023'!$D:$D,Category!$C165)</f>
        <v>0</v>
      </c>
      <c r="BL165" s="388">
        <f>SUMIFS('2023'!$I:$I,'2023'!$E:$E,Category!$B$134,'2023'!$N:$N,Category!BL$1,'2023'!$D:$D,Category!$C165)</f>
        <v>0</v>
      </c>
      <c r="BM165" s="388">
        <f>SUMIFS('2023'!$I:$I,'2023'!$E:$E,Category!$B$134,'2023'!$N:$N,Category!BM$1,'2023'!$D:$D,Category!$C165)</f>
        <v>0</v>
      </c>
      <c r="BN165" s="389">
        <f t="shared" si="69"/>
        <v>0</v>
      </c>
    </row>
    <row r="166" spans="1:66" x14ac:dyDescent="0.3">
      <c r="A166" s="386"/>
      <c r="B166" s="387"/>
      <c r="C166" s="387" t="s">
        <v>573</v>
      </c>
      <c r="D166" s="524">
        <f>IFERROR(VLOOKUP($C166,'2019'!$D:$G,4,0),0)</f>
        <v>0</v>
      </c>
      <c r="E166" s="388">
        <f>SUMIFS('2019'!$I:$I,'2019'!$E:$E,Category!$B$134,'2019'!$N:$N,Category!E$1,'2019'!$D:$D,Category!$C166)</f>
        <v>0</v>
      </c>
      <c r="F166" s="388">
        <f>SUMIFS('2019'!$I:$I,'2019'!$E:$E,Category!$B$134,'2019'!$N:$N,Category!F$1,'2019'!$D:$D,Category!$C166)</f>
        <v>0</v>
      </c>
      <c r="G166" s="388">
        <f>SUMIFS('2019'!$I:$I,'2019'!$E:$E,Category!$B$134,'2019'!$N:$N,Category!G$1,'2019'!$D:$D,Category!$C166)</f>
        <v>0</v>
      </c>
      <c r="H166" s="388">
        <f>SUMIFS('2019'!$I:$I,'2019'!$E:$E,Category!$B$134,'2019'!$N:$N,Category!H$1,'2019'!$D:$D,Category!$C166)</f>
        <v>0</v>
      </c>
      <c r="I166" s="388">
        <f>SUMIFS('2019'!$I:$I,'2019'!$E:$E,Category!$B$134,'2019'!$N:$N,Category!I$1,'2019'!$D:$D,Category!$C166)</f>
        <v>0</v>
      </c>
      <c r="J166" s="389">
        <f t="shared" si="61"/>
        <v>0</v>
      </c>
      <c r="K166" s="506">
        <f>IFERROR(VLOOKUP($C166,'2020'!$D:$G,4,0),0)</f>
        <v>0</v>
      </c>
      <c r="L166" s="388">
        <f>SUMIFS('2020'!$I:$I,'2020'!$E:$E,Category!$B$134,'2020'!$N:$N,Category!L$1,'2020'!$D:$D,Category!$C166)</f>
        <v>0</v>
      </c>
      <c r="M166" s="388">
        <f>SUMIFS('2020'!$I:$I,'2020'!$E:$E,Category!$B$134,'2020'!$N:$N,Category!M$1,'2020'!$D:$D,Category!$C166)</f>
        <v>0</v>
      </c>
      <c r="N166" s="388">
        <f>SUMIFS('2020'!$I:$I,'2020'!$E:$E,Category!$B$134,'2020'!$N:$N,Category!N$1,'2020'!$D:$D,Category!$C166)</f>
        <v>0</v>
      </c>
      <c r="O166" s="388">
        <f>SUMIFS('2020'!$I:$I,'2020'!$E:$E,Category!$B$134,'2020'!$N:$N,Category!O$1,'2020'!$D:$D,Category!$C166)</f>
        <v>0</v>
      </c>
      <c r="P166" s="388">
        <f>SUMIFS('2020'!$I:$I,'2020'!$E:$E,Category!$B$134,'2020'!$N:$N,Category!P$1,'2020'!$D:$D,Category!$C166)</f>
        <v>0</v>
      </c>
      <c r="Q166" s="388">
        <f>SUMIFS('2020'!$I:$I,'2020'!$E:$E,Category!$B$134,'2020'!$N:$N,Category!Q$1,'2020'!$D:$D,Category!$C166)</f>
        <v>0</v>
      </c>
      <c r="R166" s="388">
        <f>SUMIFS('2020'!$I:$I,'2020'!$E:$E,Category!$B$134,'2020'!$N:$N,Category!R$1,'2020'!$D:$D,Category!$C166)</f>
        <v>0</v>
      </c>
      <c r="S166" s="388">
        <f>SUMIFS('2020'!$I:$I,'2020'!$E:$E,Category!$B$134,'2020'!$N:$N,Category!S$1,'2020'!$D:$D,Category!$C166)</f>
        <v>0</v>
      </c>
      <c r="T166" s="388">
        <f>SUMIFS('2020'!$I:$I,'2020'!$E:$E,Category!$B$134,'2020'!$N:$N,Category!T$1,'2020'!$D:$D,Category!$C166)</f>
        <v>0</v>
      </c>
      <c r="U166" s="388">
        <f>SUMIFS('2020'!$I:$I,'2020'!$E:$E,Category!$B$134,'2020'!$N:$N,Category!U$1,'2020'!$D:$D,Category!$C166)</f>
        <v>0</v>
      </c>
      <c r="V166" s="388">
        <f>SUMIFS('2020'!$I:$I,'2020'!$E:$E,Category!$B$134,'2020'!$N:$N,Category!V$1,'2020'!$D:$D,Category!$C166)</f>
        <v>0</v>
      </c>
      <c r="W166" s="388">
        <f>SUMIFS('2020'!$I:$I,'2020'!$E:$E,Category!$B$134,'2020'!$N:$N,Category!W$1,'2020'!$D:$D,Category!$C166)</f>
        <v>0</v>
      </c>
      <c r="X166" s="389">
        <f t="shared" si="68"/>
        <v>0</v>
      </c>
      <c r="Y166" s="506">
        <f>IFERROR(VLOOKUP(C166,'2021'!$D:$G,4,0),0)</f>
        <v>0</v>
      </c>
      <c r="Z166" s="388">
        <f>SUMIFS('2021'!$I:$I,'2021'!$E:$E,Category!$B$134,'2021'!$N:$N,Category!Z$1,'2021'!$D:$D,Category!$C166)</f>
        <v>0</v>
      </c>
      <c r="AA166" s="388">
        <f>SUMIFS('2021'!$I:$I,'2021'!$E:$E,Category!$B$134,'2021'!$N:$N,Category!AA$1,'2021'!$D:$D,Category!$C166)</f>
        <v>0</v>
      </c>
      <c r="AB166" s="388">
        <f>SUMIFS('2021'!$I:$I,'2021'!$E:$E,Category!$B$134,'2021'!$N:$N,Category!AB$1,'2021'!$D:$D,Category!$C166)</f>
        <v>0</v>
      </c>
      <c r="AC166" s="388">
        <f>SUMIFS('2021'!$I:$I,'2021'!$E:$E,Category!$B$134,'2021'!$N:$N,Category!AC$1,'2021'!$D:$D,Category!$C166)</f>
        <v>0</v>
      </c>
      <c r="AD166" s="388">
        <f>SUMIFS('2021'!$I:$I,'2021'!$E:$E,Category!$B$134,'2021'!$N:$N,Category!AD$1,'2021'!$D:$D,Category!$C166)</f>
        <v>0</v>
      </c>
      <c r="AE166" s="388">
        <f>SUMIFS('2021'!$I:$I,'2021'!$E:$E,Category!$B$134,'2021'!$N:$N,Category!AE$1,'2021'!$D:$D,Category!$C166)</f>
        <v>0</v>
      </c>
      <c r="AF166" s="388">
        <f>SUMIFS('2021'!$I:$I,'2021'!$E:$E,Category!$B$134,'2021'!$N:$N,Category!AF$1,'2021'!$D:$D,Category!$C166)</f>
        <v>0</v>
      </c>
      <c r="AG166" s="388">
        <f>SUMIFS('2021'!$I:$I,'2021'!$E:$E,Category!$B$134,'2021'!$N:$N,Category!AG$1,'2021'!$D:$D,Category!$C166)</f>
        <v>0</v>
      </c>
      <c r="AH166" s="388">
        <f>SUMIFS('2021'!$I:$I,'2021'!$E:$E,Category!$B$134,'2021'!$N:$N,Category!AH$1,'2021'!$D:$D,Category!$C166)</f>
        <v>0</v>
      </c>
      <c r="AI166" s="388">
        <f>SUMIFS('2021'!$I:$I,'2021'!$E:$E,Category!$B$134,'2021'!$N:$N,Category!AI$1,'2021'!$D:$D,Category!$C166)</f>
        <v>0</v>
      </c>
      <c r="AJ166" s="388">
        <f>SUMIFS('2021'!$I:$I,'2021'!$E:$E,Category!$B$134,'2021'!$N:$N,Category!AJ$1,'2021'!$D:$D,Category!$C166)</f>
        <v>20307500</v>
      </c>
      <c r="AK166" s="388">
        <f>SUMIFS('2021'!$I:$I,'2021'!$E:$E,Category!$B$134,'2021'!$N:$N,Category!AK$1,'2021'!$D:$D,Category!$C166)</f>
        <v>0</v>
      </c>
      <c r="AL166" s="389">
        <f t="shared" si="67"/>
        <v>20307500</v>
      </c>
      <c r="AM166" s="506">
        <f>IFERROR(VLOOKUP(C166,'2022'!$D:$G,4,0),0)</f>
        <v>0</v>
      </c>
      <c r="AN166" s="388">
        <f>SUMIFS('2022'!$I:$I,'2022'!$E:$E,Category!$B$134,'2022'!$N:$N,Category!AN$1,'2022'!$D:$D,Category!$C166)</f>
        <v>0</v>
      </c>
      <c r="AO166" s="388">
        <f>SUMIFS('2022'!$I:$I,'2022'!$E:$E,Category!$B$134,'2022'!$N:$N,Category!AO$1,'2022'!$D:$D,Category!$C166)</f>
        <v>0</v>
      </c>
      <c r="AP166" s="388">
        <f>SUMIFS('2022'!$I:$I,'2022'!$E:$E,Category!$B$134,'2022'!$N:$N,Category!AP$1,'2022'!$D:$D,Category!$C166)</f>
        <v>0</v>
      </c>
      <c r="AQ166" s="388">
        <f>SUMIFS('2022'!$I:$I,'2022'!$E:$E,Category!$B$134,'2022'!$N:$N,Category!AQ$1,'2022'!$D:$D,Category!$C166)</f>
        <v>0</v>
      </c>
      <c r="AR166" s="388">
        <f>SUMIFS('2022'!$I:$I,'2022'!$E:$E,Category!$B$134,'2022'!$N:$N,Category!AR$1,'2022'!$D:$D,Category!$C166)</f>
        <v>0</v>
      </c>
      <c r="AS166" s="388">
        <f>SUMIFS('2022'!$I:$I,'2022'!$E:$E,Category!$B$134,'2022'!$N:$N,Category!AS$1,'2022'!$D:$D,Category!$C166)</f>
        <v>0</v>
      </c>
      <c r="AT166" s="388">
        <f>SUMIFS('2022'!$I:$I,'2022'!$E:$E,Category!$B$134,'2022'!$N:$N,Category!AT$1,'2022'!$D:$D,Category!$C166)</f>
        <v>0</v>
      </c>
      <c r="AU166" s="388">
        <f>SUMIFS('2022'!$I:$I,'2022'!$E:$E,Category!$B$134,'2022'!$N:$N,Category!AU$1,'2022'!$D:$D,Category!$C166)</f>
        <v>0</v>
      </c>
      <c r="AV166" s="388">
        <f>SUMIFS('2022'!$I:$I,'2022'!$E:$E,Category!$B$134,'2022'!$N:$N,Category!AV$1,'2022'!$D:$D,Category!$C166)</f>
        <v>0</v>
      </c>
      <c r="AW166" s="388">
        <f>SUMIFS('2022'!$I:$I,'2022'!$E:$E,Category!$B$134,'2022'!$N:$N,Category!AW$1,'2022'!$D:$D,Category!$C166)</f>
        <v>0</v>
      </c>
      <c r="AX166" s="388">
        <f>SUMIFS('2022'!$I:$I,'2022'!$E:$E,Category!$B$134,'2022'!$N:$N,Category!AX$1,'2022'!$D:$D,Category!$C166)</f>
        <v>0</v>
      </c>
      <c r="AY166" s="388">
        <f>SUMIFS('2022'!$I:$I,'2022'!$E:$E,Category!$B$134,'2022'!$N:$N,Category!AY$1,'2022'!$D:$D,Category!$C166)</f>
        <v>0</v>
      </c>
      <c r="AZ166" s="389">
        <f t="shared" si="64"/>
        <v>0</v>
      </c>
      <c r="BA166" s="506">
        <f>IFERROR(VLOOKUP(C166,'2023'!$D:$G,4,0),0)</f>
        <v>0</v>
      </c>
      <c r="BB166" s="388">
        <f>SUMIFS('2023'!$I:$I,'2023'!$E:$E,Category!$B$134,'2023'!$N:$N,Category!BB$1,'2023'!$D:$D,Category!$C166)</f>
        <v>0</v>
      </c>
      <c r="BC166" s="388">
        <f>SUMIFS('2023'!$I:$I,'2023'!$E:$E,Category!$B$134,'2023'!$N:$N,Category!BC$1,'2023'!$D:$D,Category!$C166)</f>
        <v>0</v>
      </c>
      <c r="BD166" s="388">
        <f>SUMIFS('2023'!$I:$I,'2023'!$E:$E,Category!$B$134,'2023'!$N:$N,Category!BD$1,'2023'!$D:$D,Category!$C166)</f>
        <v>0</v>
      </c>
      <c r="BE166" s="388">
        <f>SUMIFS('2023'!$I:$I,'2023'!$E:$E,Category!$B$134,'2023'!$N:$N,Category!BE$1,'2023'!$D:$D,Category!$C166)</f>
        <v>0</v>
      </c>
      <c r="BF166" s="388">
        <f>SUMIFS('2023'!$I:$I,'2023'!$E:$E,Category!$B$134,'2023'!$N:$N,Category!BF$1,'2023'!$D:$D,Category!$C166)</f>
        <v>0</v>
      </c>
      <c r="BG166" s="388">
        <f>SUMIFS('2023'!$I:$I,'2023'!$E:$E,Category!$B$134,'2023'!$N:$N,Category!BG$1,'2023'!$D:$D,Category!$C166)</f>
        <v>0</v>
      </c>
      <c r="BH166" s="388">
        <f>SUMIFS('2023'!$I:$I,'2023'!$E:$E,Category!$B$134,'2023'!$N:$N,Category!BH$1,'2023'!$D:$D,Category!$C166)</f>
        <v>0</v>
      </c>
      <c r="BI166" s="388">
        <f>SUMIFS('2023'!$I:$I,'2023'!$E:$E,Category!$B$134,'2023'!$N:$N,Category!BI$1,'2023'!$D:$D,Category!$C166)</f>
        <v>0</v>
      </c>
      <c r="BJ166" s="388">
        <f>SUMIFS('2023'!$I:$I,'2023'!$E:$E,Category!$B$134,'2023'!$N:$N,Category!BJ$1,'2023'!$D:$D,Category!$C166)</f>
        <v>0</v>
      </c>
      <c r="BK166" s="388">
        <f>SUMIFS('2023'!$I:$I,'2023'!$E:$E,Category!$B$134,'2023'!$N:$N,Category!BK$1,'2023'!$D:$D,Category!$C166)</f>
        <v>0</v>
      </c>
      <c r="BL166" s="388">
        <f>SUMIFS('2023'!$I:$I,'2023'!$E:$E,Category!$B$134,'2023'!$N:$N,Category!BL$1,'2023'!$D:$D,Category!$C166)</f>
        <v>0</v>
      </c>
      <c r="BM166" s="388">
        <f>SUMIFS('2023'!$I:$I,'2023'!$E:$E,Category!$B$134,'2023'!$N:$N,Category!BM$1,'2023'!$D:$D,Category!$C166)</f>
        <v>0</v>
      </c>
      <c r="BN166" s="389">
        <f t="shared" si="69"/>
        <v>0</v>
      </c>
    </row>
    <row r="167" spans="1:66" x14ac:dyDescent="0.3">
      <c r="A167" s="386"/>
      <c r="B167" s="387"/>
      <c r="C167" s="387" t="s">
        <v>602</v>
      </c>
      <c r="D167" s="524">
        <f>IFERROR(VLOOKUP($C167,'2019'!$D:$G,4,0),0)</f>
        <v>0</v>
      </c>
      <c r="E167" s="388">
        <f>SUMIFS('2019'!$I:$I,'2019'!$E:$E,Category!$B$134,'2019'!$N:$N,Category!E$1,'2019'!$D:$D,Category!$C167)</f>
        <v>0</v>
      </c>
      <c r="F167" s="388">
        <f>SUMIFS('2019'!$I:$I,'2019'!$E:$E,Category!$B$134,'2019'!$N:$N,Category!F$1,'2019'!$D:$D,Category!$C167)</f>
        <v>0</v>
      </c>
      <c r="G167" s="388">
        <f>SUMIFS('2019'!$I:$I,'2019'!$E:$E,Category!$B$134,'2019'!$N:$N,Category!G$1,'2019'!$D:$D,Category!$C167)</f>
        <v>0</v>
      </c>
      <c r="H167" s="388">
        <f>SUMIFS('2019'!$I:$I,'2019'!$E:$E,Category!$B$134,'2019'!$N:$N,Category!H$1,'2019'!$D:$D,Category!$C167)</f>
        <v>0</v>
      </c>
      <c r="I167" s="388">
        <f>SUMIFS('2019'!$I:$I,'2019'!$E:$E,Category!$B$134,'2019'!$N:$N,Category!I$1,'2019'!$D:$D,Category!$C167)</f>
        <v>0</v>
      </c>
      <c r="J167" s="389">
        <f t="shared" si="61"/>
        <v>0</v>
      </c>
      <c r="K167" s="506">
        <f>IFERROR(VLOOKUP($C167,'2020'!$D:$G,4,0),0)</f>
        <v>0</v>
      </c>
      <c r="L167" s="388">
        <f>SUMIFS('2020'!$I:$I,'2020'!$E:$E,Category!$B$134,'2020'!$N:$N,Category!L$1,'2020'!$D:$D,Category!$C167)</f>
        <v>0</v>
      </c>
      <c r="M167" s="388">
        <f>SUMIFS('2020'!$I:$I,'2020'!$E:$E,Category!$B$134,'2020'!$N:$N,Category!M$1,'2020'!$D:$D,Category!$C167)</f>
        <v>0</v>
      </c>
      <c r="N167" s="388">
        <f>SUMIFS('2020'!$I:$I,'2020'!$E:$E,Category!$B$134,'2020'!$N:$N,Category!N$1,'2020'!$D:$D,Category!$C167)</f>
        <v>0</v>
      </c>
      <c r="O167" s="388">
        <f>SUMIFS('2020'!$I:$I,'2020'!$E:$E,Category!$B$134,'2020'!$N:$N,Category!O$1,'2020'!$D:$D,Category!$C167)</f>
        <v>0</v>
      </c>
      <c r="P167" s="388">
        <f>SUMIFS('2020'!$I:$I,'2020'!$E:$E,Category!$B$134,'2020'!$N:$N,Category!P$1,'2020'!$D:$D,Category!$C167)</f>
        <v>0</v>
      </c>
      <c r="Q167" s="388">
        <f>SUMIFS('2020'!$I:$I,'2020'!$E:$E,Category!$B$134,'2020'!$N:$N,Category!Q$1,'2020'!$D:$D,Category!$C167)</f>
        <v>0</v>
      </c>
      <c r="R167" s="388">
        <f>SUMIFS('2020'!$I:$I,'2020'!$E:$E,Category!$B$134,'2020'!$N:$N,Category!R$1,'2020'!$D:$D,Category!$C167)</f>
        <v>0</v>
      </c>
      <c r="S167" s="388">
        <f>SUMIFS('2020'!$I:$I,'2020'!$E:$E,Category!$B$134,'2020'!$N:$N,Category!S$1,'2020'!$D:$D,Category!$C167)</f>
        <v>0</v>
      </c>
      <c r="T167" s="388">
        <f>SUMIFS('2020'!$I:$I,'2020'!$E:$E,Category!$B$134,'2020'!$N:$N,Category!T$1,'2020'!$D:$D,Category!$C167)</f>
        <v>0</v>
      </c>
      <c r="U167" s="388">
        <f>SUMIFS('2020'!$I:$I,'2020'!$E:$E,Category!$B$134,'2020'!$N:$N,Category!U$1,'2020'!$D:$D,Category!$C167)</f>
        <v>0</v>
      </c>
      <c r="V167" s="388">
        <f>SUMIFS('2020'!$I:$I,'2020'!$E:$E,Category!$B$134,'2020'!$N:$N,Category!V$1,'2020'!$D:$D,Category!$C167)</f>
        <v>0</v>
      </c>
      <c r="W167" s="388">
        <f>SUMIFS('2020'!$I:$I,'2020'!$E:$E,Category!$B$134,'2020'!$N:$N,Category!W$1,'2020'!$D:$D,Category!$C167)</f>
        <v>0</v>
      </c>
      <c r="X167" s="389">
        <f t="shared" si="68"/>
        <v>0</v>
      </c>
      <c r="Y167" s="506">
        <f>IFERROR(VLOOKUP(C167,'2021'!$D:$G,4,0),0)</f>
        <v>0</v>
      </c>
      <c r="Z167" s="388">
        <f>SUMIFS('2021'!$I:$I,'2021'!$E:$E,Category!$B$134,'2021'!$N:$N,Category!Z$1,'2021'!$D:$D,Category!$C167)</f>
        <v>0</v>
      </c>
      <c r="AA167" s="388">
        <f>SUMIFS('2021'!$I:$I,'2021'!$E:$E,Category!$B$134,'2021'!$N:$N,Category!AA$1,'2021'!$D:$D,Category!$C167)</f>
        <v>0</v>
      </c>
      <c r="AB167" s="388">
        <f>SUMIFS('2021'!$I:$I,'2021'!$E:$E,Category!$B$134,'2021'!$N:$N,Category!AB$1,'2021'!$D:$D,Category!$C167)</f>
        <v>0</v>
      </c>
      <c r="AC167" s="388">
        <f>SUMIFS('2021'!$I:$I,'2021'!$E:$E,Category!$B$134,'2021'!$N:$N,Category!AC$1,'2021'!$D:$D,Category!$C167)</f>
        <v>0</v>
      </c>
      <c r="AD167" s="388">
        <f>SUMIFS('2021'!$I:$I,'2021'!$E:$E,Category!$B$134,'2021'!$N:$N,Category!AD$1,'2021'!$D:$D,Category!$C167)</f>
        <v>0</v>
      </c>
      <c r="AE167" s="388">
        <f>SUMIFS('2021'!$I:$I,'2021'!$E:$E,Category!$B$134,'2021'!$N:$N,Category!AE$1,'2021'!$D:$D,Category!$C167)</f>
        <v>0</v>
      </c>
      <c r="AF167" s="388">
        <f>SUMIFS('2021'!$I:$I,'2021'!$E:$E,Category!$B$134,'2021'!$N:$N,Category!AF$1,'2021'!$D:$D,Category!$C167)</f>
        <v>0</v>
      </c>
      <c r="AG167" s="388">
        <f>SUMIFS('2021'!$I:$I,'2021'!$E:$E,Category!$B$134,'2021'!$N:$N,Category!AG$1,'2021'!$D:$D,Category!$C167)</f>
        <v>0</v>
      </c>
      <c r="AH167" s="388">
        <f>SUMIFS('2021'!$I:$I,'2021'!$E:$E,Category!$B$134,'2021'!$N:$N,Category!AH$1,'2021'!$D:$D,Category!$C167)</f>
        <v>0</v>
      </c>
      <c r="AI167" s="388">
        <f>SUMIFS('2021'!$I:$I,'2021'!$E:$E,Category!$B$134,'2021'!$N:$N,Category!AI$1,'2021'!$D:$D,Category!$C167)</f>
        <v>0</v>
      </c>
      <c r="AJ167" s="388">
        <f>SUMIFS('2021'!$I:$I,'2021'!$E:$E,Category!$B$134,'2021'!$N:$N,Category!AJ$1,'2021'!$D:$D,Category!$C167)</f>
        <v>0</v>
      </c>
      <c r="AK167" s="388">
        <f>SUMIFS('2021'!$I:$I,'2021'!$E:$E,Category!$B$134,'2021'!$N:$N,Category!AK$1,'2021'!$D:$D,Category!$C167)</f>
        <v>30000000</v>
      </c>
      <c r="AL167" s="389">
        <f t="shared" si="67"/>
        <v>30000000</v>
      </c>
      <c r="AM167" s="506">
        <f>IFERROR(VLOOKUP(C167,'2022'!$D:$G,4,0),0)</f>
        <v>0</v>
      </c>
      <c r="AN167" s="388">
        <f>SUMIFS('2022'!$I:$I,'2022'!$E:$E,Category!$B$134,'2022'!$N:$N,Category!AN$1,'2022'!$D:$D,Category!$C167)</f>
        <v>0</v>
      </c>
      <c r="AO167" s="388">
        <f>SUMIFS('2022'!$I:$I,'2022'!$E:$E,Category!$B$134,'2022'!$N:$N,Category!AO$1,'2022'!$D:$D,Category!$C167)</f>
        <v>0</v>
      </c>
      <c r="AP167" s="388">
        <f>SUMIFS('2022'!$I:$I,'2022'!$E:$E,Category!$B$134,'2022'!$N:$N,Category!AP$1,'2022'!$D:$D,Category!$C167)</f>
        <v>0</v>
      </c>
      <c r="AQ167" s="388">
        <f>SUMIFS('2022'!$I:$I,'2022'!$E:$E,Category!$B$134,'2022'!$N:$N,Category!AQ$1,'2022'!$D:$D,Category!$C167)</f>
        <v>0</v>
      </c>
      <c r="AR167" s="388">
        <f>SUMIFS('2022'!$I:$I,'2022'!$E:$E,Category!$B$134,'2022'!$N:$N,Category!AR$1,'2022'!$D:$D,Category!$C167)</f>
        <v>0</v>
      </c>
      <c r="AS167" s="388">
        <f>SUMIFS('2022'!$I:$I,'2022'!$E:$E,Category!$B$134,'2022'!$N:$N,Category!AS$1,'2022'!$D:$D,Category!$C167)</f>
        <v>0</v>
      </c>
      <c r="AT167" s="388">
        <f>SUMIFS('2022'!$I:$I,'2022'!$E:$E,Category!$B$134,'2022'!$N:$N,Category!AT$1,'2022'!$D:$D,Category!$C167)</f>
        <v>0</v>
      </c>
      <c r="AU167" s="388">
        <f>SUMIFS('2022'!$I:$I,'2022'!$E:$E,Category!$B$134,'2022'!$N:$N,Category!AU$1,'2022'!$D:$D,Category!$C167)</f>
        <v>0</v>
      </c>
      <c r="AV167" s="388">
        <f>SUMIFS('2022'!$I:$I,'2022'!$E:$E,Category!$B$134,'2022'!$N:$N,Category!AV$1,'2022'!$D:$D,Category!$C167)</f>
        <v>0</v>
      </c>
      <c r="AW167" s="388">
        <f>SUMIFS('2022'!$I:$I,'2022'!$E:$E,Category!$B$134,'2022'!$N:$N,Category!AW$1,'2022'!$D:$D,Category!$C167)</f>
        <v>0</v>
      </c>
      <c r="AX167" s="388">
        <f>SUMIFS('2022'!$I:$I,'2022'!$E:$E,Category!$B$134,'2022'!$N:$N,Category!AX$1,'2022'!$D:$D,Category!$C167)</f>
        <v>0</v>
      </c>
      <c r="AY167" s="388">
        <f>SUMIFS('2022'!$I:$I,'2022'!$E:$E,Category!$B$134,'2022'!$N:$N,Category!AY$1,'2022'!$D:$D,Category!$C167)</f>
        <v>0</v>
      </c>
      <c r="AZ167" s="389">
        <f t="shared" ref="AZ167:AZ200" si="70">SUM(AN167:AY167)</f>
        <v>0</v>
      </c>
      <c r="BA167" s="506">
        <f>IFERROR(VLOOKUP(C167,'2023'!$D:$G,4,0),0)</f>
        <v>0</v>
      </c>
      <c r="BB167" s="388">
        <f>SUMIFS('2023'!$I:$I,'2023'!$E:$E,Category!$B$134,'2023'!$N:$N,Category!BB$1,'2023'!$D:$D,Category!$C167)</f>
        <v>0</v>
      </c>
      <c r="BC167" s="388">
        <f>SUMIFS('2023'!$I:$I,'2023'!$E:$E,Category!$B$134,'2023'!$N:$N,Category!BC$1,'2023'!$D:$D,Category!$C167)</f>
        <v>0</v>
      </c>
      <c r="BD167" s="388">
        <f>SUMIFS('2023'!$I:$I,'2023'!$E:$E,Category!$B$134,'2023'!$N:$N,Category!BD$1,'2023'!$D:$D,Category!$C167)</f>
        <v>0</v>
      </c>
      <c r="BE167" s="388">
        <f>SUMIFS('2023'!$I:$I,'2023'!$E:$E,Category!$B$134,'2023'!$N:$N,Category!BE$1,'2023'!$D:$D,Category!$C167)</f>
        <v>0</v>
      </c>
      <c r="BF167" s="388">
        <f>SUMIFS('2023'!$I:$I,'2023'!$E:$E,Category!$B$134,'2023'!$N:$N,Category!BF$1,'2023'!$D:$D,Category!$C167)</f>
        <v>0</v>
      </c>
      <c r="BG167" s="388">
        <f>SUMIFS('2023'!$I:$I,'2023'!$E:$E,Category!$B$134,'2023'!$N:$N,Category!BG$1,'2023'!$D:$D,Category!$C167)</f>
        <v>0</v>
      </c>
      <c r="BH167" s="388">
        <f>SUMIFS('2023'!$I:$I,'2023'!$E:$E,Category!$B$134,'2023'!$N:$N,Category!BH$1,'2023'!$D:$D,Category!$C167)</f>
        <v>0</v>
      </c>
      <c r="BI167" s="388">
        <f>SUMIFS('2023'!$I:$I,'2023'!$E:$E,Category!$B$134,'2023'!$N:$N,Category!BI$1,'2023'!$D:$D,Category!$C167)</f>
        <v>0</v>
      </c>
      <c r="BJ167" s="388">
        <f>SUMIFS('2023'!$I:$I,'2023'!$E:$E,Category!$B$134,'2023'!$N:$N,Category!BJ$1,'2023'!$D:$D,Category!$C167)</f>
        <v>0</v>
      </c>
      <c r="BK167" s="388">
        <f>SUMIFS('2023'!$I:$I,'2023'!$E:$E,Category!$B$134,'2023'!$N:$N,Category!BK$1,'2023'!$D:$D,Category!$C167)</f>
        <v>0</v>
      </c>
      <c r="BL167" s="388">
        <f>SUMIFS('2023'!$I:$I,'2023'!$E:$E,Category!$B$134,'2023'!$N:$N,Category!BL$1,'2023'!$D:$D,Category!$C167)</f>
        <v>0</v>
      </c>
      <c r="BM167" s="388">
        <f>SUMIFS('2023'!$I:$I,'2023'!$E:$E,Category!$B$134,'2023'!$N:$N,Category!BM$1,'2023'!$D:$D,Category!$C167)</f>
        <v>0</v>
      </c>
      <c r="BN167" s="389">
        <f t="shared" si="69"/>
        <v>0</v>
      </c>
    </row>
    <row r="168" spans="1:66" x14ac:dyDescent="0.3">
      <c r="A168" s="386"/>
      <c r="B168" s="387"/>
      <c r="C168" s="387" t="s">
        <v>625</v>
      </c>
      <c r="D168" s="524">
        <f>IFERROR(VLOOKUP($C168,'2019'!$D:$G,4,0),0)</f>
        <v>0</v>
      </c>
      <c r="E168" s="388">
        <f>SUMIFS('2019'!$I:$I,'2019'!$E:$E,Category!$B$134,'2019'!$N:$N,Category!E$1,'2019'!$D:$D,Category!$C168)</f>
        <v>0</v>
      </c>
      <c r="F168" s="388">
        <f>SUMIFS('2019'!$I:$I,'2019'!$E:$E,Category!$B$134,'2019'!$N:$N,Category!F$1,'2019'!$D:$D,Category!$C168)</f>
        <v>0</v>
      </c>
      <c r="G168" s="388">
        <f>SUMIFS('2019'!$I:$I,'2019'!$E:$E,Category!$B$134,'2019'!$N:$N,Category!G$1,'2019'!$D:$D,Category!$C168)</f>
        <v>0</v>
      </c>
      <c r="H168" s="388">
        <f>SUMIFS('2019'!$I:$I,'2019'!$E:$E,Category!$B$134,'2019'!$N:$N,Category!H$1,'2019'!$D:$D,Category!$C168)</f>
        <v>0</v>
      </c>
      <c r="I168" s="388">
        <f>SUMIFS('2019'!$I:$I,'2019'!$E:$E,Category!$B$134,'2019'!$N:$N,Category!I$1,'2019'!$D:$D,Category!$C168)</f>
        <v>0</v>
      </c>
      <c r="J168" s="389">
        <f t="shared" si="61"/>
        <v>0</v>
      </c>
      <c r="K168" s="506">
        <f>IFERROR(VLOOKUP($C168,'2020'!$D:$G,4,0),0)</f>
        <v>0</v>
      </c>
      <c r="L168" s="388">
        <f>SUMIFS('2020'!$I:$I,'2020'!$E:$E,Category!$B$134,'2020'!$N:$N,Category!L$1,'2020'!$D:$D,Category!$C168)</f>
        <v>0</v>
      </c>
      <c r="M168" s="388">
        <f>SUMIFS('2020'!$I:$I,'2020'!$E:$E,Category!$B$134,'2020'!$N:$N,Category!M$1,'2020'!$D:$D,Category!$C168)</f>
        <v>0</v>
      </c>
      <c r="N168" s="388">
        <f>SUMIFS('2020'!$I:$I,'2020'!$E:$E,Category!$B$134,'2020'!$N:$N,Category!N$1,'2020'!$D:$D,Category!$C168)</f>
        <v>0</v>
      </c>
      <c r="O168" s="388">
        <f>SUMIFS('2020'!$I:$I,'2020'!$E:$E,Category!$B$134,'2020'!$N:$N,Category!O$1,'2020'!$D:$D,Category!$C168)</f>
        <v>0</v>
      </c>
      <c r="P168" s="388">
        <f>SUMIFS('2020'!$I:$I,'2020'!$E:$E,Category!$B$134,'2020'!$N:$N,Category!P$1,'2020'!$D:$D,Category!$C168)</f>
        <v>0</v>
      </c>
      <c r="Q168" s="388">
        <f>SUMIFS('2020'!$I:$I,'2020'!$E:$E,Category!$B$134,'2020'!$N:$N,Category!Q$1,'2020'!$D:$D,Category!$C168)</f>
        <v>0</v>
      </c>
      <c r="R168" s="388">
        <f>SUMIFS('2020'!$I:$I,'2020'!$E:$E,Category!$B$134,'2020'!$N:$N,Category!R$1,'2020'!$D:$D,Category!$C168)</f>
        <v>0</v>
      </c>
      <c r="S168" s="388">
        <f>SUMIFS('2020'!$I:$I,'2020'!$E:$E,Category!$B$134,'2020'!$N:$N,Category!S$1,'2020'!$D:$D,Category!$C168)</f>
        <v>0</v>
      </c>
      <c r="T168" s="388">
        <f>SUMIFS('2020'!$I:$I,'2020'!$E:$E,Category!$B$134,'2020'!$N:$N,Category!T$1,'2020'!$D:$D,Category!$C168)</f>
        <v>0</v>
      </c>
      <c r="U168" s="388">
        <f>SUMIFS('2020'!$I:$I,'2020'!$E:$E,Category!$B$134,'2020'!$N:$N,Category!U$1,'2020'!$D:$D,Category!$C168)</f>
        <v>0</v>
      </c>
      <c r="V168" s="388">
        <f>SUMIFS('2020'!$I:$I,'2020'!$E:$E,Category!$B$134,'2020'!$N:$N,Category!V$1,'2020'!$D:$D,Category!$C168)</f>
        <v>0</v>
      </c>
      <c r="W168" s="388">
        <f>SUMIFS('2020'!$I:$I,'2020'!$E:$E,Category!$B$134,'2020'!$N:$N,Category!W$1,'2020'!$D:$D,Category!$C168)</f>
        <v>0</v>
      </c>
      <c r="X168" s="389">
        <f t="shared" si="68"/>
        <v>0</v>
      </c>
      <c r="Y168" s="506">
        <f>IFERROR(VLOOKUP(C168,'2021'!$D:$G,4,0),0)</f>
        <v>0</v>
      </c>
      <c r="Z168" s="388">
        <f>SUMIFS('2021'!$I:$I,'2021'!$E:$E,Category!$B$134,'2021'!$N:$N,Category!Z$1,'2021'!$D:$D,Category!$C168)</f>
        <v>0</v>
      </c>
      <c r="AA168" s="388">
        <f>SUMIFS('2021'!$I:$I,'2021'!$E:$E,Category!$B$134,'2021'!$N:$N,Category!AA$1,'2021'!$D:$D,Category!$C168)</f>
        <v>0</v>
      </c>
      <c r="AB168" s="388">
        <f>SUMIFS('2021'!$I:$I,'2021'!$E:$E,Category!$B$134,'2021'!$N:$N,Category!AB$1,'2021'!$D:$D,Category!$C168)</f>
        <v>0</v>
      </c>
      <c r="AC168" s="388">
        <f>SUMIFS('2021'!$I:$I,'2021'!$E:$E,Category!$B$134,'2021'!$N:$N,Category!AC$1,'2021'!$D:$D,Category!$C168)</f>
        <v>0</v>
      </c>
      <c r="AD168" s="388">
        <f>SUMIFS('2021'!$I:$I,'2021'!$E:$E,Category!$B$134,'2021'!$N:$N,Category!AD$1,'2021'!$D:$D,Category!$C168)</f>
        <v>0</v>
      </c>
      <c r="AE168" s="388">
        <f>SUMIFS('2021'!$I:$I,'2021'!$E:$E,Category!$B$134,'2021'!$N:$N,Category!AE$1,'2021'!$D:$D,Category!$C168)</f>
        <v>0</v>
      </c>
      <c r="AF168" s="388">
        <f>SUMIFS('2021'!$I:$I,'2021'!$E:$E,Category!$B$134,'2021'!$N:$N,Category!AF$1,'2021'!$D:$D,Category!$C168)</f>
        <v>0</v>
      </c>
      <c r="AG168" s="388">
        <f>SUMIFS('2021'!$I:$I,'2021'!$E:$E,Category!$B$134,'2021'!$N:$N,Category!AG$1,'2021'!$D:$D,Category!$C168)</f>
        <v>0</v>
      </c>
      <c r="AH168" s="388">
        <f>SUMIFS('2021'!$I:$I,'2021'!$E:$E,Category!$B$134,'2021'!$N:$N,Category!AH$1,'2021'!$D:$D,Category!$C168)</f>
        <v>0</v>
      </c>
      <c r="AI168" s="388">
        <f>SUMIFS('2021'!$I:$I,'2021'!$E:$E,Category!$B$134,'2021'!$N:$N,Category!AI$1,'2021'!$D:$D,Category!$C168)</f>
        <v>0</v>
      </c>
      <c r="AJ168" s="388">
        <f>SUMIFS('2021'!$I:$I,'2021'!$E:$E,Category!$B$134,'2021'!$N:$N,Category!AJ$1,'2021'!$D:$D,Category!$C168)</f>
        <v>0</v>
      </c>
      <c r="AK168" s="388">
        <f>SUMIFS('2021'!$I:$I,'2021'!$E:$E,Category!$B$134,'2021'!$N:$N,Category!AK$1,'2021'!$D:$D,Category!$C168)</f>
        <v>2251800</v>
      </c>
      <c r="AL168" s="389">
        <f t="shared" si="67"/>
        <v>2251800</v>
      </c>
      <c r="AM168" s="506">
        <f>IFERROR(VLOOKUP(C168,'2022'!$D:$G,4,0),0)</f>
        <v>0</v>
      </c>
      <c r="AN168" s="388">
        <f>SUMIFS('2022'!$I:$I,'2022'!$E:$E,Category!$B$134,'2022'!$N:$N,Category!AN$1,'2022'!$D:$D,Category!$C168)</f>
        <v>0</v>
      </c>
      <c r="AO168" s="388">
        <f>SUMIFS('2022'!$I:$I,'2022'!$E:$E,Category!$B$134,'2022'!$N:$N,Category!AO$1,'2022'!$D:$D,Category!$C168)</f>
        <v>0</v>
      </c>
      <c r="AP168" s="388">
        <f>SUMIFS('2022'!$I:$I,'2022'!$E:$E,Category!$B$134,'2022'!$N:$N,Category!AP$1,'2022'!$D:$D,Category!$C168)</f>
        <v>0</v>
      </c>
      <c r="AQ168" s="388">
        <f>SUMIFS('2022'!$I:$I,'2022'!$E:$E,Category!$B$134,'2022'!$N:$N,Category!AQ$1,'2022'!$D:$D,Category!$C168)</f>
        <v>0</v>
      </c>
      <c r="AR168" s="388">
        <f>SUMIFS('2022'!$I:$I,'2022'!$E:$E,Category!$B$134,'2022'!$N:$N,Category!AR$1,'2022'!$D:$D,Category!$C168)</f>
        <v>0</v>
      </c>
      <c r="AS168" s="388">
        <f>SUMIFS('2022'!$I:$I,'2022'!$E:$E,Category!$B$134,'2022'!$N:$N,Category!AS$1,'2022'!$D:$D,Category!$C168)</f>
        <v>0</v>
      </c>
      <c r="AT168" s="388">
        <f>SUMIFS('2022'!$I:$I,'2022'!$E:$E,Category!$B$134,'2022'!$N:$N,Category!AT$1,'2022'!$D:$D,Category!$C168)</f>
        <v>0</v>
      </c>
      <c r="AU168" s="388">
        <f>SUMIFS('2022'!$I:$I,'2022'!$E:$E,Category!$B$134,'2022'!$N:$N,Category!AU$1,'2022'!$D:$D,Category!$C168)</f>
        <v>0</v>
      </c>
      <c r="AV168" s="388">
        <f>SUMIFS('2022'!$I:$I,'2022'!$E:$E,Category!$B$134,'2022'!$N:$N,Category!AV$1,'2022'!$D:$D,Category!$C168)</f>
        <v>0</v>
      </c>
      <c r="AW168" s="388">
        <f>SUMIFS('2022'!$I:$I,'2022'!$E:$E,Category!$B$134,'2022'!$N:$N,Category!AW$1,'2022'!$D:$D,Category!$C168)</f>
        <v>0</v>
      </c>
      <c r="AX168" s="388">
        <f>SUMIFS('2022'!$I:$I,'2022'!$E:$E,Category!$B$134,'2022'!$N:$N,Category!AX$1,'2022'!$D:$D,Category!$C168)</f>
        <v>0</v>
      </c>
      <c r="AY168" s="388">
        <f>SUMIFS('2022'!$I:$I,'2022'!$E:$E,Category!$B$134,'2022'!$N:$N,Category!AY$1,'2022'!$D:$D,Category!$C168)</f>
        <v>0</v>
      </c>
      <c r="AZ168" s="389">
        <f t="shared" si="70"/>
        <v>0</v>
      </c>
      <c r="BA168" s="506">
        <f>IFERROR(VLOOKUP(C168,'2023'!$D:$G,4,0),0)</f>
        <v>0</v>
      </c>
      <c r="BB168" s="388">
        <f>SUMIFS('2023'!$I:$I,'2023'!$E:$E,Category!$B$134,'2023'!$N:$N,Category!BB$1,'2023'!$D:$D,Category!$C168)</f>
        <v>0</v>
      </c>
      <c r="BC168" s="388">
        <f>SUMIFS('2023'!$I:$I,'2023'!$E:$E,Category!$B$134,'2023'!$N:$N,Category!BC$1,'2023'!$D:$D,Category!$C168)</f>
        <v>0</v>
      </c>
      <c r="BD168" s="388">
        <f>SUMIFS('2023'!$I:$I,'2023'!$E:$E,Category!$B$134,'2023'!$N:$N,Category!BD$1,'2023'!$D:$D,Category!$C168)</f>
        <v>0</v>
      </c>
      <c r="BE168" s="388">
        <f>SUMIFS('2023'!$I:$I,'2023'!$E:$E,Category!$B$134,'2023'!$N:$N,Category!BE$1,'2023'!$D:$D,Category!$C168)</f>
        <v>0</v>
      </c>
      <c r="BF168" s="388">
        <f>SUMIFS('2023'!$I:$I,'2023'!$E:$E,Category!$B$134,'2023'!$N:$N,Category!BF$1,'2023'!$D:$D,Category!$C168)</f>
        <v>0</v>
      </c>
      <c r="BG168" s="388">
        <f>SUMIFS('2023'!$I:$I,'2023'!$E:$E,Category!$B$134,'2023'!$N:$N,Category!BG$1,'2023'!$D:$D,Category!$C168)</f>
        <v>0</v>
      </c>
      <c r="BH168" s="388">
        <f>SUMIFS('2023'!$I:$I,'2023'!$E:$E,Category!$B$134,'2023'!$N:$N,Category!BH$1,'2023'!$D:$D,Category!$C168)</f>
        <v>0</v>
      </c>
      <c r="BI168" s="388">
        <f>SUMIFS('2023'!$I:$I,'2023'!$E:$E,Category!$B$134,'2023'!$N:$N,Category!BI$1,'2023'!$D:$D,Category!$C168)</f>
        <v>0</v>
      </c>
      <c r="BJ168" s="388">
        <f>SUMIFS('2023'!$I:$I,'2023'!$E:$E,Category!$B$134,'2023'!$N:$N,Category!BJ$1,'2023'!$D:$D,Category!$C168)</f>
        <v>0</v>
      </c>
      <c r="BK168" s="388">
        <f>SUMIFS('2023'!$I:$I,'2023'!$E:$E,Category!$B$134,'2023'!$N:$N,Category!BK$1,'2023'!$D:$D,Category!$C168)</f>
        <v>0</v>
      </c>
      <c r="BL168" s="388">
        <f>SUMIFS('2023'!$I:$I,'2023'!$E:$E,Category!$B$134,'2023'!$N:$N,Category!BL$1,'2023'!$D:$D,Category!$C168)</f>
        <v>0</v>
      </c>
      <c r="BM168" s="388">
        <f>SUMIFS('2023'!$I:$I,'2023'!$E:$E,Category!$B$134,'2023'!$N:$N,Category!BM$1,'2023'!$D:$D,Category!$C168)</f>
        <v>0</v>
      </c>
      <c r="BN168" s="389">
        <f t="shared" si="69"/>
        <v>0</v>
      </c>
    </row>
    <row r="169" spans="1:66" x14ac:dyDescent="0.3">
      <c r="A169" s="386"/>
      <c r="B169" s="387"/>
      <c r="C169" s="387" t="s">
        <v>627</v>
      </c>
      <c r="D169" s="524">
        <f>IFERROR(VLOOKUP($C169,'2019'!$D:$G,4,0),0)</f>
        <v>0</v>
      </c>
      <c r="E169" s="388">
        <f>SUMIFS('2019'!$I:$I,'2019'!$E:$E,Category!$B$134,'2019'!$N:$N,Category!E$1,'2019'!$D:$D,Category!$C169)</f>
        <v>0</v>
      </c>
      <c r="F169" s="388">
        <f>SUMIFS('2019'!$I:$I,'2019'!$E:$E,Category!$B$134,'2019'!$N:$N,Category!F$1,'2019'!$D:$D,Category!$C169)</f>
        <v>0</v>
      </c>
      <c r="G169" s="388">
        <f>SUMIFS('2019'!$I:$I,'2019'!$E:$E,Category!$B$134,'2019'!$N:$N,Category!G$1,'2019'!$D:$D,Category!$C169)</f>
        <v>0</v>
      </c>
      <c r="H169" s="388">
        <f>SUMIFS('2019'!$I:$I,'2019'!$E:$E,Category!$B$134,'2019'!$N:$N,Category!H$1,'2019'!$D:$D,Category!$C169)</f>
        <v>0</v>
      </c>
      <c r="I169" s="388">
        <f>SUMIFS('2019'!$I:$I,'2019'!$E:$E,Category!$B$134,'2019'!$N:$N,Category!I$1,'2019'!$D:$D,Category!$C169)</f>
        <v>0</v>
      </c>
      <c r="J169" s="389">
        <f t="shared" si="61"/>
        <v>0</v>
      </c>
      <c r="K169" s="506">
        <f>IFERROR(VLOOKUP($C169,'2020'!$D:$G,4,0),0)</f>
        <v>0</v>
      </c>
      <c r="L169" s="388">
        <f>SUMIFS('2020'!$I:$I,'2020'!$E:$E,Category!$B$134,'2020'!$N:$N,Category!L$1,'2020'!$D:$D,Category!$C169)</f>
        <v>0</v>
      </c>
      <c r="M169" s="388">
        <f>SUMIFS('2020'!$I:$I,'2020'!$E:$E,Category!$B$134,'2020'!$N:$N,Category!M$1,'2020'!$D:$D,Category!$C169)</f>
        <v>0</v>
      </c>
      <c r="N169" s="388">
        <f>SUMIFS('2020'!$I:$I,'2020'!$E:$E,Category!$B$134,'2020'!$N:$N,Category!N$1,'2020'!$D:$D,Category!$C169)</f>
        <v>0</v>
      </c>
      <c r="O169" s="388">
        <f>SUMIFS('2020'!$I:$I,'2020'!$E:$E,Category!$B$134,'2020'!$N:$N,Category!O$1,'2020'!$D:$D,Category!$C169)</f>
        <v>0</v>
      </c>
      <c r="P169" s="388">
        <f>SUMIFS('2020'!$I:$I,'2020'!$E:$E,Category!$B$134,'2020'!$N:$N,Category!P$1,'2020'!$D:$D,Category!$C169)</f>
        <v>0</v>
      </c>
      <c r="Q169" s="388">
        <f>SUMIFS('2020'!$I:$I,'2020'!$E:$E,Category!$B$134,'2020'!$N:$N,Category!Q$1,'2020'!$D:$D,Category!$C169)</f>
        <v>0</v>
      </c>
      <c r="R169" s="388">
        <f>SUMIFS('2020'!$I:$I,'2020'!$E:$E,Category!$B$134,'2020'!$N:$N,Category!R$1,'2020'!$D:$D,Category!$C169)</f>
        <v>0</v>
      </c>
      <c r="S169" s="388">
        <f>SUMIFS('2020'!$I:$I,'2020'!$E:$E,Category!$B$134,'2020'!$N:$N,Category!S$1,'2020'!$D:$D,Category!$C169)</f>
        <v>0</v>
      </c>
      <c r="T169" s="388">
        <f>SUMIFS('2020'!$I:$I,'2020'!$E:$E,Category!$B$134,'2020'!$N:$N,Category!T$1,'2020'!$D:$D,Category!$C169)</f>
        <v>0</v>
      </c>
      <c r="U169" s="388">
        <f>SUMIFS('2020'!$I:$I,'2020'!$E:$E,Category!$B$134,'2020'!$N:$N,Category!U$1,'2020'!$D:$D,Category!$C169)</f>
        <v>0</v>
      </c>
      <c r="V169" s="388">
        <f>SUMIFS('2020'!$I:$I,'2020'!$E:$E,Category!$B$134,'2020'!$N:$N,Category!V$1,'2020'!$D:$D,Category!$C169)</f>
        <v>0</v>
      </c>
      <c r="W169" s="388">
        <f>SUMIFS('2020'!$I:$I,'2020'!$E:$E,Category!$B$134,'2020'!$N:$N,Category!W$1,'2020'!$D:$D,Category!$C169)</f>
        <v>0</v>
      </c>
      <c r="X169" s="389">
        <f t="shared" si="68"/>
        <v>0</v>
      </c>
      <c r="Y169" s="506">
        <f>IFERROR(VLOOKUP(C169,'2021'!$D:$G,4,0),0)</f>
        <v>0</v>
      </c>
      <c r="Z169" s="388">
        <f>SUMIFS('2021'!$I:$I,'2021'!$E:$E,Category!$B$134,'2021'!$N:$N,Category!Z$1,'2021'!$D:$D,Category!$C169)</f>
        <v>0</v>
      </c>
      <c r="AA169" s="388">
        <f>SUMIFS('2021'!$I:$I,'2021'!$E:$E,Category!$B$134,'2021'!$N:$N,Category!AA$1,'2021'!$D:$D,Category!$C169)</f>
        <v>0</v>
      </c>
      <c r="AB169" s="388">
        <f>SUMIFS('2021'!$I:$I,'2021'!$E:$E,Category!$B$134,'2021'!$N:$N,Category!AB$1,'2021'!$D:$D,Category!$C169)</f>
        <v>0</v>
      </c>
      <c r="AC169" s="388">
        <f>SUMIFS('2021'!$I:$I,'2021'!$E:$E,Category!$B$134,'2021'!$N:$N,Category!AC$1,'2021'!$D:$D,Category!$C169)</f>
        <v>0</v>
      </c>
      <c r="AD169" s="388">
        <f>SUMIFS('2021'!$I:$I,'2021'!$E:$E,Category!$B$134,'2021'!$N:$N,Category!AD$1,'2021'!$D:$D,Category!$C169)</f>
        <v>0</v>
      </c>
      <c r="AE169" s="388">
        <f>SUMIFS('2021'!$I:$I,'2021'!$E:$E,Category!$B$134,'2021'!$N:$N,Category!AE$1,'2021'!$D:$D,Category!$C169)</f>
        <v>0</v>
      </c>
      <c r="AF169" s="388">
        <f>SUMIFS('2021'!$I:$I,'2021'!$E:$E,Category!$B$134,'2021'!$N:$N,Category!AF$1,'2021'!$D:$D,Category!$C169)</f>
        <v>0</v>
      </c>
      <c r="AG169" s="388">
        <f>SUMIFS('2021'!$I:$I,'2021'!$E:$E,Category!$B$134,'2021'!$N:$N,Category!AG$1,'2021'!$D:$D,Category!$C169)</f>
        <v>0</v>
      </c>
      <c r="AH169" s="388">
        <f>SUMIFS('2021'!$I:$I,'2021'!$E:$E,Category!$B$134,'2021'!$N:$N,Category!AH$1,'2021'!$D:$D,Category!$C169)</f>
        <v>0</v>
      </c>
      <c r="AI169" s="388">
        <f>SUMIFS('2021'!$I:$I,'2021'!$E:$E,Category!$B$134,'2021'!$N:$N,Category!AI$1,'2021'!$D:$D,Category!$C169)</f>
        <v>0</v>
      </c>
      <c r="AJ169" s="388">
        <f>SUMIFS('2021'!$I:$I,'2021'!$E:$E,Category!$B$134,'2021'!$N:$N,Category!AJ$1,'2021'!$D:$D,Category!$C169)</f>
        <v>0</v>
      </c>
      <c r="AK169" s="388">
        <f>SUMIFS('2021'!$I:$I,'2021'!$E:$E,Category!$B$134,'2021'!$N:$N,Category!AK$1,'2021'!$D:$D,Category!$C169)</f>
        <v>33750000</v>
      </c>
      <c r="AL169" s="389">
        <f t="shared" si="67"/>
        <v>33750000</v>
      </c>
      <c r="AM169" s="506">
        <f>IFERROR(VLOOKUP(C169,'2022'!$D:$G,4,0),0)</f>
        <v>0</v>
      </c>
      <c r="AN169" s="388">
        <f>SUMIFS('2022'!$I:$I,'2022'!$E:$E,Category!$B$134,'2022'!$N:$N,Category!AN$1,'2022'!$D:$D,Category!$C169)</f>
        <v>0</v>
      </c>
      <c r="AO169" s="388">
        <f>SUMIFS('2022'!$I:$I,'2022'!$E:$E,Category!$B$134,'2022'!$N:$N,Category!AO$1,'2022'!$D:$D,Category!$C169)</f>
        <v>0</v>
      </c>
      <c r="AP169" s="388">
        <f>SUMIFS('2022'!$I:$I,'2022'!$E:$E,Category!$B$134,'2022'!$N:$N,Category!AP$1,'2022'!$D:$D,Category!$C169)</f>
        <v>0</v>
      </c>
      <c r="AQ169" s="388">
        <f>SUMIFS('2022'!$I:$I,'2022'!$E:$E,Category!$B$134,'2022'!$N:$N,Category!AQ$1,'2022'!$D:$D,Category!$C169)</f>
        <v>0</v>
      </c>
      <c r="AR169" s="388">
        <f>SUMIFS('2022'!$I:$I,'2022'!$E:$E,Category!$B$134,'2022'!$N:$N,Category!AR$1,'2022'!$D:$D,Category!$C169)</f>
        <v>0</v>
      </c>
      <c r="AS169" s="388">
        <f>SUMIFS('2022'!$I:$I,'2022'!$E:$E,Category!$B$134,'2022'!$N:$N,Category!AS$1,'2022'!$D:$D,Category!$C169)</f>
        <v>0</v>
      </c>
      <c r="AT169" s="388">
        <f>SUMIFS('2022'!$I:$I,'2022'!$E:$E,Category!$B$134,'2022'!$N:$N,Category!AT$1,'2022'!$D:$D,Category!$C169)</f>
        <v>0</v>
      </c>
      <c r="AU169" s="388">
        <f>SUMIFS('2022'!$I:$I,'2022'!$E:$E,Category!$B$134,'2022'!$N:$N,Category!AU$1,'2022'!$D:$D,Category!$C169)</f>
        <v>0</v>
      </c>
      <c r="AV169" s="388">
        <f>SUMIFS('2022'!$I:$I,'2022'!$E:$E,Category!$B$134,'2022'!$N:$N,Category!AV$1,'2022'!$D:$D,Category!$C169)</f>
        <v>0</v>
      </c>
      <c r="AW169" s="388">
        <f>SUMIFS('2022'!$I:$I,'2022'!$E:$E,Category!$B$134,'2022'!$N:$N,Category!AW$1,'2022'!$D:$D,Category!$C169)</f>
        <v>0</v>
      </c>
      <c r="AX169" s="388">
        <f>SUMIFS('2022'!$I:$I,'2022'!$E:$E,Category!$B$134,'2022'!$N:$N,Category!AX$1,'2022'!$D:$D,Category!$C169)</f>
        <v>0</v>
      </c>
      <c r="AY169" s="388">
        <f>SUMIFS('2022'!$I:$I,'2022'!$E:$E,Category!$B$134,'2022'!$N:$N,Category!AY$1,'2022'!$D:$D,Category!$C169)</f>
        <v>0</v>
      </c>
      <c r="AZ169" s="389">
        <f t="shared" si="70"/>
        <v>0</v>
      </c>
      <c r="BA169" s="506">
        <f>IFERROR(VLOOKUP(C169,'2023'!$D:$G,4,0),0)</f>
        <v>0</v>
      </c>
      <c r="BB169" s="388">
        <f>SUMIFS('2023'!$I:$I,'2023'!$E:$E,Category!$B$134,'2023'!$N:$N,Category!BB$1,'2023'!$D:$D,Category!$C169)</f>
        <v>0</v>
      </c>
      <c r="BC169" s="388">
        <f>SUMIFS('2023'!$I:$I,'2023'!$E:$E,Category!$B$134,'2023'!$N:$N,Category!BC$1,'2023'!$D:$D,Category!$C169)</f>
        <v>0</v>
      </c>
      <c r="BD169" s="388">
        <f>SUMIFS('2023'!$I:$I,'2023'!$E:$E,Category!$B$134,'2023'!$N:$N,Category!BD$1,'2023'!$D:$D,Category!$C169)</f>
        <v>0</v>
      </c>
      <c r="BE169" s="388">
        <f>SUMIFS('2023'!$I:$I,'2023'!$E:$E,Category!$B$134,'2023'!$N:$N,Category!BE$1,'2023'!$D:$D,Category!$C169)</f>
        <v>0</v>
      </c>
      <c r="BF169" s="388">
        <f>SUMIFS('2023'!$I:$I,'2023'!$E:$E,Category!$B$134,'2023'!$N:$N,Category!BF$1,'2023'!$D:$D,Category!$C169)</f>
        <v>0</v>
      </c>
      <c r="BG169" s="388">
        <f>SUMIFS('2023'!$I:$I,'2023'!$E:$E,Category!$B$134,'2023'!$N:$N,Category!BG$1,'2023'!$D:$D,Category!$C169)</f>
        <v>0</v>
      </c>
      <c r="BH169" s="388">
        <f>SUMIFS('2023'!$I:$I,'2023'!$E:$E,Category!$B$134,'2023'!$N:$N,Category!BH$1,'2023'!$D:$D,Category!$C169)</f>
        <v>0</v>
      </c>
      <c r="BI169" s="388">
        <f>SUMIFS('2023'!$I:$I,'2023'!$E:$E,Category!$B$134,'2023'!$N:$N,Category!BI$1,'2023'!$D:$D,Category!$C169)</f>
        <v>0</v>
      </c>
      <c r="BJ169" s="388">
        <f>SUMIFS('2023'!$I:$I,'2023'!$E:$E,Category!$B$134,'2023'!$N:$N,Category!BJ$1,'2023'!$D:$D,Category!$C169)</f>
        <v>0</v>
      </c>
      <c r="BK169" s="388">
        <f>SUMIFS('2023'!$I:$I,'2023'!$E:$E,Category!$B$134,'2023'!$N:$N,Category!BK$1,'2023'!$D:$D,Category!$C169)</f>
        <v>0</v>
      </c>
      <c r="BL169" s="388">
        <f>SUMIFS('2023'!$I:$I,'2023'!$E:$E,Category!$B$134,'2023'!$N:$N,Category!BL$1,'2023'!$D:$D,Category!$C169)</f>
        <v>0</v>
      </c>
      <c r="BM169" s="388">
        <f>SUMIFS('2023'!$I:$I,'2023'!$E:$E,Category!$B$134,'2023'!$N:$N,Category!BM$1,'2023'!$D:$D,Category!$C169)</f>
        <v>0</v>
      </c>
      <c r="BN169" s="389">
        <f t="shared" si="69"/>
        <v>0</v>
      </c>
    </row>
    <row r="170" spans="1:66" x14ac:dyDescent="0.3">
      <c r="A170" s="386"/>
      <c r="B170" s="387"/>
      <c r="C170" s="387" t="s">
        <v>704</v>
      </c>
      <c r="D170" s="524">
        <f>IFERROR(VLOOKUP($C170,'2019'!$D:$G,4,0),0)</f>
        <v>0</v>
      </c>
      <c r="E170" s="388">
        <f>SUMIFS('2019'!$I:$I,'2019'!$E:$E,Category!$B$134,'2019'!$N:$N,Category!E$1,'2019'!$D:$D,Category!$C170)</f>
        <v>0</v>
      </c>
      <c r="F170" s="388">
        <f>SUMIFS('2019'!$I:$I,'2019'!$E:$E,Category!$B$134,'2019'!$N:$N,Category!F$1,'2019'!$D:$D,Category!$C170)</f>
        <v>0</v>
      </c>
      <c r="G170" s="388">
        <f>SUMIFS('2019'!$I:$I,'2019'!$E:$E,Category!$B$134,'2019'!$N:$N,Category!G$1,'2019'!$D:$D,Category!$C170)</f>
        <v>0</v>
      </c>
      <c r="H170" s="388">
        <f>SUMIFS('2019'!$I:$I,'2019'!$E:$E,Category!$B$134,'2019'!$N:$N,Category!H$1,'2019'!$D:$D,Category!$C170)</f>
        <v>0</v>
      </c>
      <c r="I170" s="388">
        <f>SUMIFS('2019'!$I:$I,'2019'!$E:$E,Category!$B$134,'2019'!$N:$N,Category!I$1,'2019'!$D:$D,Category!$C170)</f>
        <v>0</v>
      </c>
      <c r="J170" s="389">
        <f t="shared" si="61"/>
        <v>0</v>
      </c>
      <c r="K170" s="506">
        <f>IFERROR(VLOOKUP($C170,'2020'!$D:$G,4,0),0)</f>
        <v>0</v>
      </c>
      <c r="L170" s="388">
        <f>SUMIFS('2020'!$I:$I,'2020'!$E:$E,Category!$B$134,'2020'!$N:$N,Category!L$1,'2020'!$D:$D,Category!$C170)</f>
        <v>0</v>
      </c>
      <c r="M170" s="388">
        <f>SUMIFS('2020'!$I:$I,'2020'!$E:$E,Category!$B$134,'2020'!$N:$N,Category!M$1,'2020'!$D:$D,Category!$C170)</f>
        <v>0</v>
      </c>
      <c r="N170" s="388">
        <f>SUMIFS('2020'!$I:$I,'2020'!$E:$E,Category!$B$134,'2020'!$N:$N,Category!N$1,'2020'!$D:$D,Category!$C170)</f>
        <v>0</v>
      </c>
      <c r="O170" s="388">
        <f>SUMIFS('2020'!$I:$I,'2020'!$E:$E,Category!$B$134,'2020'!$N:$N,Category!O$1,'2020'!$D:$D,Category!$C170)</f>
        <v>0</v>
      </c>
      <c r="P170" s="388">
        <f>SUMIFS('2020'!$I:$I,'2020'!$E:$E,Category!$B$134,'2020'!$N:$N,Category!P$1,'2020'!$D:$D,Category!$C170)</f>
        <v>0</v>
      </c>
      <c r="Q170" s="388">
        <f>SUMIFS('2020'!$I:$I,'2020'!$E:$E,Category!$B$134,'2020'!$N:$N,Category!Q$1,'2020'!$D:$D,Category!$C170)</f>
        <v>0</v>
      </c>
      <c r="R170" s="388">
        <f>SUMIFS('2020'!$I:$I,'2020'!$E:$E,Category!$B$134,'2020'!$N:$N,Category!R$1,'2020'!$D:$D,Category!$C170)</f>
        <v>0</v>
      </c>
      <c r="S170" s="388">
        <f>SUMIFS('2020'!$I:$I,'2020'!$E:$E,Category!$B$134,'2020'!$N:$N,Category!S$1,'2020'!$D:$D,Category!$C170)</f>
        <v>0</v>
      </c>
      <c r="T170" s="388">
        <f>SUMIFS('2020'!$I:$I,'2020'!$E:$E,Category!$B$134,'2020'!$N:$N,Category!T$1,'2020'!$D:$D,Category!$C170)</f>
        <v>0</v>
      </c>
      <c r="U170" s="388">
        <f>SUMIFS('2020'!$I:$I,'2020'!$E:$E,Category!$B$134,'2020'!$N:$N,Category!U$1,'2020'!$D:$D,Category!$C170)</f>
        <v>0</v>
      </c>
      <c r="V170" s="388">
        <f>SUMIFS('2020'!$I:$I,'2020'!$E:$E,Category!$B$134,'2020'!$N:$N,Category!V$1,'2020'!$D:$D,Category!$C170)</f>
        <v>0</v>
      </c>
      <c r="W170" s="388">
        <f>SUMIFS('2020'!$I:$I,'2020'!$E:$E,Category!$B$134,'2020'!$N:$N,Category!W$1,'2020'!$D:$D,Category!$C170)</f>
        <v>0</v>
      </c>
      <c r="X170" s="389">
        <f t="shared" si="68"/>
        <v>0</v>
      </c>
      <c r="Y170" s="506">
        <f>IFERROR(VLOOKUP(C170,'2021'!$D:$G,4,0),0)</f>
        <v>0</v>
      </c>
      <c r="Z170" s="388">
        <f>SUMIFS('2021'!$I:$I,'2021'!$E:$E,Category!$B$134,'2021'!$N:$N,Category!Z$1,'2021'!$D:$D,Category!$C170)</f>
        <v>0</v>
      </c>
      <c r="AA170" s="388">
        <f>SUMIFS('2021'!$I:$I,'2021'!$E:$E,Category!$B$134,'2021'!$N:$N,Category!AA$1,'2021'!$D:$D,Category!$C170)</f>
        <v>0</v>
      </c>
      <c r="AB170" s="388">
        <f>SUMIFS('2021'!$I:$I,'2021'!$E:$E,Category!$B$134,'2021'!$N:$N,Category!AB$1,'2021'!$D:$D,Category!$C170)</f>
        <v>0</v>
      </c>
      <c r="AC170" s="388">
        <f>SUMIFS('2021'!$I:$I,'2021'!$E:$E,Category!$B$134,'2021'!$N:$N,Category!AC$1,'2021'!$D:$D,Category!$C170)</f>
        <v>0</v>
      </c>
      <c r="AD170" s="388">
        <f>SUMIFS('2021'!$I:$I,'2021'!$E:$E,Category!$B$134,'2021'!$N:$N,Category!AD$1,'2021'!$D:$D,Category!$C170)</f>
        <v>0</v>
      </c>
      <c r="AE170" s="388">
        <f>SUMIFS('2021'!$I:$I,'2021'!$E:$E,Category!$B$134,'2021'!$N:$N,Category!AE$1,'2021'!$D:$D,Category!$C170)</f>
        <v>0</v>
      </c>
      <c r="AF170" s="388">
        <f>SUMIFS('2021'!$I:$I,'2021'!$E:$E,Category!$B$134,'2021'!$N:$N,Category!AF$1,'2021'!$D:$D,Category!$C170)</f>
        <v>0</v>
      </c>
      <c r="AG170" s="388">
        <f>SUMIFS('2021'!$I:$I,'2021'!$E:$E,Category!$B$134,'2021'!$N:$N,Category!AG$1,'2021'!$D:$D,Category!$C170)</f>
        <v>0</v>
      </c>
      <c r="AH170" s="388">
        <f>SUMIFS('2021'!$I:$I,'2021'!$E:$E,Category!$B$134,'2021'!$N:$N,Category!AH$1,'2021'!$D:$D,Category!$C170)</f>
        <v>0</v>
      </c>
      <c r="AI170" s="388">
        <f>SUMIFS('2021'!$I:$I,'2021'!$E:$E,Category!$B$134,'2021'!$N:$N,Category!AI$1,'2021'!$D:$D,Category!$C170)</f>
        <v>0</v>
      </c>
      <c r="AJ170" s="388">
        <f>SUMIFS('2021'!$I:$I,'2021'!$E:$E,Category!$B$134,'2021'!$N:$N,Category!AJ$1,'2021'!$D:$D,Category!$C170)</f>
        <v>0</v>
      </c>
      <c r="AK170" s="388">
        <f>SUMIFS('2021'!$I:$I,'2021'!$E:$E,Category!$B$134,'2021'!$N:$N,Category!AK$1,'2021'!$D:$D,Category!$C170)</f>
        <v>0</v>
      </c>
      <c r="AL170" s="389">
        <f t="shared" si="67"/>
        <v>0</v>
      </c>
      <c r="AM170" s="506">
        <f>IFERROR(VLOOKUP(C170,'2022'!$D:$G,4,0),0)</f>
        <v>0</v>
      </c>
      <c r="AN170" s="388">
        <f>SUMIFS('2022'!$I:$I,'2022'!$E:$E,Category!$B$134,'2022'!$N:$N,Category!AN$1,'2022'!$D:$D,Category!$C170)</f>
        <v>20000000</v>
      </c>
      <c r="AO170" s="388">
        <f>SUMIFS('2022'!$I:$I,'2022'!$E:$E,Category!$B$134,'2022'!$N:$N,Category!AO$1,'2022'!$D:$D,Category!$C170)</f>
        <v>0</v>
      </c>
      <c r="AP170" s="388">
        <f>SUMIFS('2022'!$I:$I,'2022'!$E:$E,Category!$B$134,'2022'!$N:$N,Category!AP$1,'2022'!$D:$D,Category!$C170)</f>
        <v>0</v>
      </c>
      <c r="AQ170" s="388">
        <f>SUMIFS('2022'!$I:$I,'2022'!$E:$E,Category!$B$134,'2022'!$N:$N,Category!AQ$1,'2022'!$D:$D,Category!$C170)</f>
        <v>0</v>
      </c>
      <c r="AR170" s="388">
        <f>SUMIFS('2022'!$I:$I,'2022'!$E:$E,Category!$B$134,'2022'!$N:$N,Category!AR$1,'2022'!$D:$D,Category!$C170)</f>
        <v>0</v>
      </c>
      <c r="AS170" s="388">
        <f>SUMIFS('2022'!$I:$I,'2022'!$E:$E,Category!$B$134,'2022'!$N:$N,Category!AS$1,'2022'!$D:$D,Category!$C170)</f>
        <v>0</v>
      </c>
      <c r="AT170" s="388">
        <f>SUMIFS('2022'!$I:$I,'2022'!$E:$E,Category!$B$134,'2022'!$N:$N,Category!AT$1,'2022'!$D:$D,Category!$C170)</f>
        <v>0</v>
      </c>
      <c r="AU170" s="388">
        <f>SUMIFS('2022'!$I:$I,'2022'!$E:$E,Category!$B$134,'2022'!$N:$N,Category!AU$1,'2022'!$D:$D,Category!$C170)</f>
        <v>0</v>
      </c>
      <c r="AV170" s="388">
        <f>SUMIFS('2022'!$I:$I,'2022'!$E:$E,Category!$B$134,'2022'!$N:$N,Category!AV$1,'2022'!$D:$D,Category!$C170)</f>
        <v>0</v>
      </c>
      <c r="AW170" s="388">
        <f>SUMIFS('2022'!$I:$I,'2022'!$E:$E,Category!$B$134,'2022'!$N:$N,Category!AW$1,'2022'!$D:$D,Category!$C170)</f>
        <v>0</v>
      </c>
      <c r="AX170" s="388">
        <f>SUMIFS('2022'!$I:$I,'2022'!$E:$E,Category!$B$134,'2022'!$N:$N,Category!AX$1,'2022'!$D:$D,Category!$C170)</f>
        <v>0</v>
      </c>
      <c r="AY170" s="388">
        <f>SUMIFS('2022'!$I:$I,'2022'!$E:$E,Category!$B$134,'2022'!$N:$N,Category!AY$1,'2022'!$D:$D,Category!$C170)</f>
        <v>0</v>
      </c>
      <c r="AZ170" s="389">
        <f t="shared" si="70"/>
        <v>20000000</v>
      </c>
      <c r="BA170" s="506">
        <f>IFERROR(VLOOKUP(C170,'2023'!$D:$G,4,0),0)</f>
        <v>0</v>
      </c>
      <c r="BB170" s="388">
        <f>SUMIFS('2023'!$I:$I,'2023'!$E:$E,Category!$B$134,'2023'!$N:$N,Category!BB$1,'2023'!$D:$D,Category!$C170)</f>
        <v>0</v>
      </c>
      <c r="BC170" s="388">
        <f>SUMIFS('2023'!$I:$I,'2023'!$E:$E,Category!$B$134,'2023'!$N:$N,Category!BC$1,'2023'!$D:$D,Category!$C170)</f>
        <v>0</v>
      </c>
      <c r="BD170" s="388">
        <f>SUMIFS('2023'!$I:$I,'2023'!$E:$E,Category!$B$134,'2023'!$N:$N,Category!BD$1,'2023'!$D:$D,Category!$C170)</f>
        <v>0</v>
      </c>
      <c r="BE170" s="388">
        <f>SUMIFS('2023'!$I:$I,'2023'!$E:$E,Category!$B$134,'2023'!$N:$N,Category!BE$1,'2023'!$D:$D,Category!$C170)</f>
        <v>0</v>
      </c>
      <c r="BF170" s="388">
        <f>SUMIFS('2023'!$I:$I,'2023'!$E:$E,Category!$B$134,'2023'!$N:$N,Category!BF$1,'2023'!$D:$D,Category!$C170)</f>
        <v>0</v>
      </c>
      <c r="BG170" s="388">
        <f>SUMIFS('2023'!$I:$I,'2023'!$E:$E,Category!$B$134,'2023'!$N:$N,Category!BG$1,'2023'!$D:$D,Category!$C170)</f>
        <v>0</v>
      </c>
      <c r="BH170" s="388">
        <f>SUMIFS('2023'!$I:$I,'2023'!$E:$E,Category!$B$134,'2023'!$N:$N,Category!BH$1,'2023'!$D:$D,Category!$C170)</f>
        <v>0</v>
      </c>
      <c r="BI170" s="388">
        <f>SUMIFS('2023'!$I:$I,'2023'!$E:$E,Category!$B$134,'2023'!$N:$N,Category!BI$1,'2023'!$D:$D,Category!$C170)</f>
        <v>0</v>
      </c>
      <c r="BJ170" s="388">
        <f>SUMIFS('2023'!$I:$I,'2023'!$E:$E,Category!$B$134,'2023'!$N:$N,Category!BJ$1,'2023'!$D:$D,Category!$C170)</f>
        <v>0</v>
      </c>
      <c r="BK170" s="388">
        <f>SUMIFS('2023'!$I:$I,'2023'!$E:$E,Category!$B$134,'2023'!$N:$N,Category!BK$1,'2023'!$D:$D,Category!$C170)</f>
        <v>0</v>
      </c>
      <c r="BL170" s="388">
        <f>SUMIFS('2023'!$I:$I,'2023'!$E:$E,Category!$B$134,'2023'!$N:$N,Category!BL$1,'2023'!$D:$D,Category!$C170)</f>
        <v>0</v>
      </c>
      <c r="BM170" s="388">
        <f>SUMIFS('2023'!$I:$I,'2023'!$E:$E,Category!$B$134,'2023'!$N:$N,Category!BM$1,'2023'!$D:$D,Category!$C170)</f>
        <v>0</v>
      </c>
      <c r="BN170" s="389">
        <f t="shared" si="69"/>
        <v>0</v>
      </c>
    </row>
    <row r="171" spans="1:66" ht="21" hidden="1" customHeight="1" x14ac:dyDescent="0.3">
      <c r="A171" s="386"/>
      <c r="B171" s="387"/>
      <c r="C171" s="387"/>
      <c r="D171" s="524">
        <f>IFERROR(VLOOKUP($C171,'2019'!$D:$G,4,0),0)</f>
        <v>0</v>
      </c>
      <c r="E171" s="388">
        <f>SUMIFS('2019'!$I:$I,'2019'!$E:$E,Category!$B$134,'2019'!$N:$N,Category!E$1,'2019'!$D:$D,Category!$C171)</f>
        <v>0</v>
      </c>
      <c r="F171" s="388">
        <f>SUMIFS('2019'!$I:$I,'2019'!$E:$E,Category!$B$134,'2019'!$N:$N,Category!F$1,'2019'!$D:$D,Category!$C171)</f>
        <v>0</v>
      </c>
      <c r="G171" s="388">
        <f>SUMIFS('2019'!$I:$I,'2019'!$E:$E,Category!$B$134,'2019'!$N:$N,Category!G$1,'2019'!$D:$D,Category!$C171)</f>
        <v>0</v>
      </c>
      <c r="H171" s="388">
        <f>SUMIFS('2019'!$I:$I,'2019'!$E:$E,Category!$B$134,'2019'!$N:$N,Category!H$1,'2019'!$D:$D,Category!$C171)</f>
        <v>0</v>
      </c>
      <c r="I171" s="388">
        <f>SUMIFS('2019'!$I:$I,'2019'!$E:$E,Category!$B$134,'2019'!$N:$N,Category!I$1,'2019'!$D:$D,Category!$C171)</f>
        <v>0</v>
      </c>
      <c r="J171" s="389">
        <f>SUM(E171:I171)</f>
        <v>0</v>
      </c>
      <c r="K171" s="506">
        <f>IFERROR(VLOOKUP($C171,'2020'!$D:$G,4,0),0)</f>
        <v>0</v>
      </c>
      <c r="L171" s="388">
        <f>SUMIFS('2020'!$I:$I,'2020'!$E:$E,Category!$B$134,'2020'!$N:$N,Category!L$1,'2020'!$D:$D,Category!$C171)</f>
        <v>0</v>
      </c>
      <c r="M171" s="388">
        <f>SUMIFS('2020'!$I:$I,'2020'!$E:$E,Category!$B$134,'2020'!$N:$N,Category!M$1,'2020'!$D:$D,Category!$C171)</f>
        <v>0</v>
      </c>
      <c r="N171" s="388">
        <f>SUMIFS('2020'!$I:$I,'2020'!$E:$E,Category!$B$134,'2020'!$N:$N,Category!N$1,'2020'!$D:$D,Category!$C171)</f>
        <v>0</v>
      </c>
      <c r="O171" s="388">
        <f>SUMIFS('2020'!$I:$I,'2020'!$E:$E,Category!$B$134,'2020'!$N:$N,Category!O$1,'2020'!$D:$D,Category!$C171)</f>
        <v>0</v>
      </c>
      <c r="P171" s="388">
        <f>SUMIFS('2020'!$I:$I,'2020'!$E:$E,Category!$B$134,'2020'!$N:$N,Category!P$1,'2020'!$D:$D,Category!$C171)</f>
        <v>0</v>
      </c>
      <c r="Q171" s="388">
        <f>SUMIFS('2020'!$I:$I,'2020'!$E:$E,Category!$B$134,'2020'!$N:$N,Category!Q$1,'2020'!$D:$D,Category!$C171)</f>
        <v>0</v>
      </c>
      <c r="R171" s="388">
        <f>SUMIFS('2020'!$I:$I,'2020'!$E:$E,Category!$B$134,'2020'!$N:$N,Category!R$1,'2020'!$D:$D,Category!$C171)</f>
        <v>0</v>
      </c>
      <c r="S171" s="388">
        <f>SUMIFS('2020'!$I:$I,'2020'!$E:$E,Category!$B$134,'2020'!$N:$N,Category!S$1,'2020'!$D:$D,Category!$C171)</f>
        <v>0</v>
      </c>
      <c r="T171" s="388">
        <f>SUMIFS('2020'!$I:$I,'2020'!$E:$E,Category!$B$134,'2020'!$N:$N,Category!T$1,'2020'!$D:$D,Category!$C171)</f>
        <v>0</v>
      </c>
      <c r="U171" s="388">
        <f>SUMIFS('2020'!$I:$I,'2020'!$E:$E,Category!$B$134,'2020'!$N:$N,Category!U$1,'2020'!$D:$D,Category!$C171)</f>
        <v>0</v>
      </c>
      <c r="V171" s="388">
        <f>SUMIFS('2020'!$I:$I,'2020'!$E:$E,Category!$B$134,'2020'!$N:$N,Category!V$1,'2020'!$D:$D,Category!$C171)</f>
        <v>0</v>
      </c>
      <c r="W171" s="388">
        <f>SUMIFS('2020'!$I:$I,'2020'!$E:$E,Category!$B$134,'2020'!$N:$N,Category!W$1,'2020'!$D:$D,Category!$C171)</f>
        <v>0</v>
      </c>
      <c r="X171" s="389">
        <f t="shared" si="68"/>
        <v>0</v>
      </c>
      <c r="Y171" s="506">
        <f>IFERROR(VLOOKUP(C171,'2021'!$D:$G,4,0),0)</f>
        <v>0</v>
      </c>
      <c r="Z171" s="388">
        <f>SUMIFS('2021'!$I:$I,'2021'!$E:$E,Category!$B$134,'2021'!$N:$N,Category!Z$1,'2021'!$D:$D,Category!$C171)</f>
        <v>0</v>
      </c>
      <c r="AA171" s="388">
        <f>SUMIFS('2021'!$I:$I,'2021'!$E:$E,Category!$B$134,'2021'!$N:$N,Category!AA$1,'2021'!$D:$D,Category!$C171)</f>
        <v>0</v>
      </c>
      <c r="AB171" s="388">
        <f>SUMIFS('2021'!$I:$I,'2021'!$E:$E,Category!$B$134,'2021'!$N:$N,Category!AB$1,'2021'!$D:$D,Category!$C171)</f>
        <v>0</v>
      </c>
      <c r="AC171" s="388">
        <f>SUMIFS('2021'!$I:$I,'2021'!$E:$E,Category!$B$134,'2021'!$N:$N,Category!AC$1,'2021'!$D:$D,Category!$C171)</f>
        <v>0</v>
      </c>
      <c r="AD171" s="388">
        <f>SUMIFS('2021'!$I:$I,'2021'!$E:$E,Category!$B$134,'2021'!$N:$N,Category!AD$1,'2021'!$D:$D,Category!$C171)</f>
        <v>0</v>
      </c>
      <c r="AE171" s="388">
        <f>SUMIFS('2021'!$I:$I,'2021'!$E:$E,Category!$B$134,'2021'!$N:$N,Category!AE$1,'2021'!$D:$D,Category!$C171)</f>
        <v>0</v>
      </c>
      <c r="AF171" s="388">
        <f>SUMIFS('2021'!$I:$I,'2021'!$E:$E,Category!$B$134,'2021'!$N:$N,Category!AF$1,'2021'!$D:$D,Category!$C171)</f>
        <v>0</v>
      </c>
      <c r="AG171" s="388">
        <f>SUMIFS('2021'!$I:$I,'2021'!$E:$E,Category!$B$134,'2021'!$N:$N,Category!AG$1,'2021'!$D:$D,Category!$C171)</f>
        <v>0</v>
      </c>
      <c r="AH171" s="388">
        <f>SUMIFS('2021'!$I:$I,'2021'!$E:$E,Category!$B$134,'2021'!$N:$N,Category!AH$1,'2021'!$D:$D,Category!$C171)</f>
        <v>0</v>
      </c>
      <c r="AI171" s="388">
        <f>SUMIFS('2021'!$I:$I,'2021'!$E:$E,Category!$B$134,'2021'!$N:$N,Category!AI$1,'2021'!$D:$D,Category!$C171)</f>
        <v>0</v>
      </c>
      <c r="AJ171" s="388">
        <f>SUMIFS('2021'!$I:$I,'2021'!$E:$E,Category!$B$134,'2021'!$N:$N,Category!AJ$1,'2021'!$D:$D,Category!$C171)</f>
        <v>0</v>
      </c>
      <c r="AK171" s="388">
        <f>SUMIFS('2021'!$I:$I,'2021'!$E:$E,Category!$B$134,'2021'!$N:$N,Category!AK$1,'2021'!$D:$D,Category!$C171)</f>
        <v>0</v>
      </c>
      <c r="AL171" s="389">
        <f t="shared" si="67"/>
        <v>0</v>
      </c>
      <c r="AM171" s="506">
        <f>IFERROR(VLOOKUP(C171,'2022'!$D:$G,4,0),0)</f>
        <v>0</v>
      </c>
      <c r="AN171" s="388">
        <f>SUMIFS('2022'!$I:$I,'2022'!$E:$E,Category!$B$134,'2022'!$N:$N,Category!AN$1,'2022'!$D:$D,Category!$C171)</f>
        <v>0</v>
      </c>
      <c r="AO171" s="388">
        <f>SUMIFS('2022'!$I:$I,'2022'!$E:$E,Category!$B$134,'2022'!$N:$N,Category!AO$1,'2022'!$D:$D,Category!$C171)</f>
        <v>0</v>
      </c>
      <c r="AP171" s="388">
        <f>SUMIFS('2022'!$I:$I,'2022'!$E:$E,Category!$B$134,'2022'!$N:$N,Category!AP$1,'2022'!$D:$D,Category!$C171)</f>
        <v>0</v>
      </c>
      <c r="AQ171" s="388">
        <f>SUMIFS('2022'!$I:$I,'2022'!$E:$E,Category!$B$134,'2022'!$N:$N,Category!AQ$1,'2022'!$D:$D,Category!$C171)</f>
        <v>0</v>
      </c>
      <c r="AR171" s="388">
        <f>SUMIFS('2022'!$I:$I,'2022'!$E:$E,Category!$B$134,'2022'!$N:$N,Category!AR$1,'2022'!$D:$D,Category!$C171)</f>
        <v>0</v>
      </c>
      <c r="AS171" s="388">
        <f>SUMIFS('2022'!$I:$I,'2022'!$E:$E,Category!$B$134,'2022'!$N:$N,Category!AS$1,'2022'!$D:$D,Category!$C171)</f>
        <v>0</v>
      </c>
      <c r="AT171" s="388">
        <f>SUMIFS('2022'!$I:$I,'2022'!$E:$E,Category!$B$134,'2022'!$N:$N,Category!AT$1,'2022'!$D:$D,Category!$C171)</f>
        <v>0</v>
      </c>
      <c r="AU171" s="388">
        <f>SUMIFS('2022'!$I:$I,'2022'!$E:$E,Category!$B$134,'2022'!$N:$N,Category!AU$1,'2022'!$D:$D,Category!$C171)</f>
        <v>0</v>
      </c>
      <c r="AV171" s="388">
        <f>SUMIFS('2022'!$I:$I,'2022'!$E:$E,Category!$B$134,'2022'!$N:$N,Category!AV$1,'2022'!$D:$D,Category!$C171)</f>
        <v>0</v>
      </c>
      <c r="AW171" s="388">
        <f>SUMIFS('2022'!$I:$I,'2022'!$E:$E,Category!$B$134,'2022'!$N:$N,Category!AW$1,'2022'!$D:$D,Category!$C171)</f>
        <v>0</v>
      </c>
      <c r="AX171" s="388">
        <f>SUMIFS('2022'!$I:$I,'2022'!$E:$E,Category!$B$134,'2022'!$N:$N,Category!AX$1,'2022'!$D:$D,Category!$C171)</f>
        <v>0</v>
      </c>
      <c r="AY171" s="388">
        <f>SUMIFS('2022'!$I:$I,'2022'!$E:$E,Category!$B$134,'2022'!$N:$N,Category!AY$1,'2022'!$D:$D,Category!$C171)</f>
        <v>0</v>
      </c>
      <c r="AZ171" s="389">
        <f t="shared" si="70"/>
        <v>0</v>
      </c>
      <c r="BA171" s="506">
        <f>IFERROR(VLOOKUP(C171,'2023'!$D:$G,4,0),0)</f>
        <v>0</v>
      </c>
      <c r="BB171" s="388">
        <f>SUMIFS('2023'!$I:$I,'2023'!$E:$E,Category!$B$134,'2023'!$N:$N,Category!BB$1,'2023'!$D:$D,Category!$C171)</f>
        <v>0</v>
      </c>
      <c r="BC171" s="388">
        <f>SUMIFS('2023'!$I:$I,'2023'!$E:$E,Category!$B$134,'2023'!$N:$N,Category!BC$1,'2023'!$D:$D,Category!$C171)</f>
        <v>0</v>
      </c>
      <c r="BD171" s="388">
        <f>SUMIFS('2023'!$I:$I,'2023'!$E:$E,Category!$B$134,'2023'!$N:$N,Category!BD$1,'2023'!$D:$D,Category!$C171)</f>
        <v>0</v>
      </c>
      <c r="BE171" s="388">
        <f>SUMIFS('2023'!$I:$I,'2023'!$E:$E,Category!$B$134,'2023'!$N:$N,Category!BE$1,'2023'!$D:$D,Category!$C171)</f>
        <v>0</v>
      </c>
      <c r="BF171" s="388">
        <f>SUMIFS('2023'!$I:$I,'2023'!$E:$E,Category!$B$134,'2023'!$N:$N,Category!BF$1,'2023'!$D:$D,Category!$C171)</f>
        <v>0</v>
      </c>
      <c r="BG171" s="388">
        <f>SUMIFS('2023'!$I:$I,'2023'!$E:$E,Category!$B$134,'2023'!$N:$N,Category!BG$1,'2023'!$D:$D,Category!$C171)</f>
        <v>0</v>
      </c>
      <c r="BH171" s="388">
        <f>SUMIFS('2023'!$I:$I,'2023'!$E:$E,Category!$B$134,'2023'!$N:$N,Category!BH$1,'2023'!$D:$D,Category!$C171)</f>
        <v>0</v>
      </c>
      <c r="BI171" s="388">
        <f>SUMIFS('2023'!$I:$I,'2023'!$E:$E,Category!$B$134,'2023'!$N:$N,Category!BI$1,'2023'!$D:$D,Category!$C171)</f>
        <v>0</v>
      </c>
      <c r="BJ171" s="388">
        <f>SUMIFS('2023'!$I:$I,'2023'!$E:$E,Category!$B$134,'2023'!$N:$N,Category!BJ$1,'2023'!$D:$D,Category!$C171)</f>
        <v>0</v>
      </c>
      <c r="BK171" s="388">
        <f>SUMIFS('2023'!$I:$I,'2023'!$E:$E,Category!$B$134,'2023'!$N:$N,Category!BK$1,'2023'!$D:$D,Category!$C171)</f>
        <v>0</v>
      </c>
      <c r="BL171" s="388">
        <f>SUMIFS('2023'!$I:$I,'2023'!$E:$E,Category!$B$134,'2023'!$N:$N,Category!BL$1,'2023'!$D:$D,Category!$C171)</f>
        <v>0</v>
      </c>
      <c r="BM171" s="388">
        <f>SUMIFS('2023'!$I:$I,'2023'!$E:$E,Category!$B$134,'2023'!$N:$N,Category!BM$1,'2023'!$D:$D,Category!$C171)</f>
        <v>0</v>
      </c>
      <c r="BN171" s="389">
        <f t="shared" si="69"/>
        <v>0</v>
      </c>
    </row>
    <row r="172" spans="1:66" x14ac:dyDescent="0.3">
      <c r="A172" s="386"/>
      <c r="B172" s="387"/>
      <c r="C172" s="387" t="s">
        <v>703</v>
      </c>
      <c r="D172" s="524">
        <f>IFERROR(VLOOKUP($C172,'2019'!$D:$G,4,0),0)</f>
        <v>0</v>
      </c>
      <c r="E172" s="388">
        <f>SUMIFS('2019'!$I:$I,'2019'!$E:$E,Category!$B$134,'2019'!$N:$N,Category!E$1,'2019'!$D:$D,Category!$C172)</f>
        <v>0</v>
      </c>
      <c r="F172" s="388">
        <f>SUMIFS('2019'!$I:$I,'2019'!$E:$E,Category!$B$134,'2019'!$N:$N,Category!F$1,'2019'!$D:$D,Category!$C172)</f>
        <v>0</v>
      </c>
      <c r="G172" s="388">
        <f>SUMIFS('2019'!$I:$I,'2019'!$E:$E,Category!$B$134,'2019'!$N:$N,Category!G$1,'2019'!$D:$D,Category!$C172)</f>
        <v>0</v>
      </c>
      <c r="H172" s="388">
        <f>SUMIFS('2019'!$I:$I,'2019'!$E:$E,Category!$B$134,'2019'!$N:$N,Category!H$1,'2019'!$D:$D,Category!$C172)</f>
        <v>0</v>
      </c>
      <c r="I172" s="388">
        <f>SUMIFS('2019'!$I:$I,'2019'!$E:$E,Category!$B$134,'2019'!$N:$N,Category!I$1,'2019'!$D:$D,Category!$C172)</f>
        <v>0</v>
      </c>
      <c r="J172" s="389">
        <f t="shared" ref="J172:J216" si="71">SUM(E172:I172)</f>
        <v>0</v>
      </c>
      <c r="K172" s="506">
        <f>IFERROR(VLOOKUP($C172,'2020'!$D:$G,4,0),0)</f>
        <v>0</v>
      </c>
      <c r="L172" s="388">
        <f>SUMIFS('2020'!$I:$I,'2020'!$E:$E,Category!$B$134,'2020'!$N:$N,Category!L$1,'2020'!$D:$D,Category!$C172)</f>
        <v>0</v>
      </c>
      <c r="M172" s="388">
        <f>SUMIFS('2020'!$I:$I,'2020'!$E:$E,Category!$B$134,'2020'!$N:$N,Category!M$1,'2020'!$D:$D,Category!$C172)</f>
        <v>0</v>
      </c>
      <c r="N172" s="388">
        <f>SUMIFS('2020'!$I:$I,'2020'!$E:$E,Category!$B$134,'2020'!$N:$N,Category!N$1,'2020'!$D:$D,Category!$C172)</f>
        <v>0</v>
      </c>
      <c r="O172" s="388">
        <f>SUMIFS('2020'!$I:$I,'2020'!$E:$E,Category!$B$134,'2020'!$N:$N,Category!O$1,'2020'!$D:$D,Category!$C172)</f>
        <v>0</v>
      </c>
      <c r="P172" s="388">
        <f>SUMIFS('2020'!$I:$I,'2020'!$E:$E,Category!$B$134,'2020'!$N:$N,Category!P$1,'2020'!$D:$D,Category!$C172)</f>
        <v>0</v>
      </c>
      <c r="Q172" s="388">
        <f>SUMIFS('2020'!$I:$I,'2020'!$E:$E,Category!$B$134,'2020'!$N:$N,Category!Q$1,'2020'!$D:$D,Category!$C172)</f>
        <v>0</v>
      </c>
      <c r="R172" s="388">
        <f>SUMIFS('2020'!$I:$I,'2020'!$E:$E,Category!$B$134,'2020'!$N:$N,Category!R$1,'2020'!$D:$D,Category!$C172)</f>
        <v>0</v>
      </c>
      <c r="S172" s="388">
        <f>SUMIFS('2020'!$I:$I,'2020'!$E:$E,Category!$B$134,'2020'!$N:$N,Category!S$1,'2020'!$D:$D,Category!$C172)</f>
        <v>0</v>
      </c>
      <c r="T172" s="388">
        <f>SUMIFS('2020'!$I:$I,'2020'!$E:$E,Category!$B$134,'2020'!$N:$N,Category!T$1,'2020'!$D:$D,Category!$C172)</f>
        <v>0</v>
      </c>
      <c r="U172" s="388">
        <f>SUMIFS('2020'!$I:$I,'2020'!$E:$E,Category!$B$134,'2020'!$N:$N,Category!U$1,'2020'!$D:$D,Category!$C172)</f>
        <v>0</v>
      </c>
      <c r="V172" s="388">
        <f>SUMIFS('2020'!$I:$I,'2020'!$E:$E,Category!$B$134,'2020'!$N:$N,Category!V$1,'2020'!$D:$D,Category!$C172)</f>
        <v>0</v>
      </c>
      <c r="W172" s="388">
        <f>SUMIFS('2020'!$I:$I,'2020'!$E:$E,Category!$B$134,'2020'!$N:$N,Category!W$1,'2020'!$D:$D,Category!$C172)</f>
        <v>0</v>
      </c>
      <c r="X172" s="389">
        <f t="shared" si="68"/>
        <v>0</v>
      </c>
      <c r="Y172" s="506">
        <f>IFERROR(VLOOKUP(C172,'2021'!$D:$G,4,0),0)</f>
        <v>0</v>
      </c>
      <c r="Z172" s="388">
        <f>SUMIFS('2021'!$I:$I,'2021'!$E:$E,Category!$B$134,'2021'!$N:$N,Category!Z$1,'2021'!$D:$D,Category!$C172)</f>
        <v>0</v>
      </c>
      <c r="AA172" s="388">
        <f>SUMIFS('2021'!$I:$I,'2021'!$E:$E,Category!$B$134,'2021'!$N:$N,Category!AA$1,'2021'!$D:$D,Category!$C172)</f>
        <v>0</v>
      </c>
      <c r="AB172" s="388">
        <f>SUMIFS('2021'!$I:$I,'2021'!$E:$E,Category!$B$134,'2021'!$N:$N,Category!AB$1,'2021'!$D:$D,Category!$C172)</f>
        <v>0</v>
      </c>
      <c r="AC172" s="388">
        <f>SUMIFS('2021'!$I:$I,'2021'!$E:$E,Category!$B$134,'2021'!$N:$N,Category!AC$1,'2021'!$D:$D,Category!$C172)</f>
        <v>0</v>
      </c>
      <c r="AD172" s="388">
        <f>SUMIFS('2021'!$I:$I,'2021'!$E:$E,Category!$B$134,'2021'!$N:$N,Category!AD$1,'2021'!$D:$D,Category!$C172)</f>
        <v>0</v>
      </c>
      <c r="AE172" s="388">
        <f>SUMIFS('2021'!$I:$I,'2021'!$E:$E,Category!$B$134,'2021'!$N:$N,Category!AE$1,'2021'!$D:$D,Category!$C172)</f>
        <v>0</v>
      </c>
      <c r="AF172" s="388">
        <f>SUMIFS('2021'!$I:$I,'2021'!$E:$E,Category!$B$134,'2021'!$N:$N,Category!AF$1,'2021'!$D:$D,Category!$C172)</f>
        <v>0</v>
      </c>
      <c r="AG172" s="388">
        <f>SUMIFS('2021'!$I:$I,'2021'!$E:$E,Category!$B$134,'2021'!$N:$N,Category!AG$1,'2021'!$D:$D,Category!$C172)</f>
        <v>0</v>
      </c>
      <c r="AH172" s="388">
        <f>SUMIFS('2021'!$I:$I,'2021'!$E:$E,Category!$B$134,'2021'!$N:$N,Category!AH$1,'2021'!$D:$D,Category!$C172)</f>
        <v>0</v>
      </c>
      <c r="AI172" s="388">
        <f>SUMIFS('2021'!$I:$I,'2021'!$E:$E,Category!$B$134,'2021'!$N:$N,Category!AI$1,'2021'!$D:$D,Category!$C172)</f>
        <v>0</v>
      </c>
      <c r="AJ172" s="388">
        <f>SUMIFS('2021'!$I:$I,'2021'!$E:$E,Category!$B$134,'2021'!$N:$N,Category!AJ$1,'2021'!$D:$D,Category!$C172)</f>
        <v>0</v>
      </c>
      <c r="AK172" s="388">
        <f>SUMIFS('2021'!$I:$I,'2021'!$E:$E,Category!$B$134,'2021'!$N:$N,Category!AK$1,'2021'!$D:$D,Category!$C172)</f>
        <v>0</v>
      </c>
      <c r="AL172" s="389">
        <f t="shared" si="67"/>
        <v>0</v>
      </c>
      <c r="AM172" s="506">
        <f>IFERROR(VLOOKUP(C172,'2022'!$D:$G,4,0),0)</f>
        <v>0</v>
      </c>
      <c r="AN172" s="388">
        <f>SUMIFS('2022'!$I:$I,'2022'!$E:$E,Category!$B$134,'2022'!$N:$N,Category!AN$1,'2022'!$D:$D,Category!$C172)</f>
        <v>33150000</v>
      </c>
      <c r="AO172" s="388">
        <f>SUMIFS('2022'!$I:$I,'2022'!$E:$E,Category!$B$134,'2022'!$N:$N,Category!AO$1,'2022'!$D:$D,Category!$C172)</f>
        <v>0</v>
      </c>
      <c r="AP172" s="388">
        <f>SUMIFS('2022'!$I:$I,'2022'!$E:$E,Category!$B$134,'2022'!$N:$N,Category!AP$1,'2022'!$D:$D,Category!$C172)</f>
        <v>0</v>
      </c>
      <c r="AQ172" s="388">
        <f>SUMIFS('2022'!$I:$I,'2022'!$E:$E,Category!$B$134,'2022'!$N:$N,Category!AQ$1,'2022'!$D:$D,Category!$C172)</f>
        <v>0</v>
      </c>
      <c r="AR172" s="388">
        <f>SUMIFS('2022'!$I:$I,'2022'!$E:$E,Category!$B$134,'2022'!$N:$N,Category!AR$1,'2022'!$D:$D,Category!$C172)</f>
        <v>0</v>
      </c>
      <c r="AS172" s="388">
        <f>SUMIFS('2022'!$I:$I,'2022'!$E:$E,Category!$B$134,'2022'!$N:$N,Category!AS$1,'2022'!$D:$D,Category!$C172)</f>
        <v>0</v>
      </c>
      <c r="AT172" s="388">
        <f>SUMIFS('2022'!$I:$I,'2022'!$E:$E,Category!$B$134,'2022'!$N:$N,Category!AT$1,'2022'!$D:$D,Category!$C172)</f>
        <v>0</v>
      </c>
      <c r="AU172" s="388">
        <f>SUMIFS('2022'!$I:$I,'2022'!$E:$E,Category!$B$134,'2022'!$N:$N,Category!AU$1,'2022'!$D:$D,Category!$C172)</f>
        <v>0</v>
      </c>
      <c r="AV172" s="388">
        <f>SUMIFS('2022'!$I:$I,'2022'!$E:$E,Category!$B$134,'2022'!$N:$N,Category!AV$1,'2022'!$D:$D,Category!$C172)</f>
        <v>0</v>
      </c>
      <c r="AW172" s="388">
        <f>SUMIFS('2022'!$I:$I,'2022'!$E:$E,Category!$B$134,'2022'!$N:$N,Category!AW$1,'2022'!$D:$D,Category!$C172)</f>
        <v>0</v>
      </c>
      <c r="AX172" s="388">
        <f>SUMIFS('2022'!$I:$I,'2022'!$E:$E,Category!$B$134,'2022'!$N:$N,Category!AX$1,'2022'!$D:$D,Category!$C172)</f>
        <v>0</v>
      </c>
      <c r="AY172" s="388">
        <f>SUMIFS('2022'!$I:$I,'2022'!$E:$E,Category!$B$134,'2022'!$N:$N,Category!AY$1,'2022'!$D:$D,Category!$C172)</f>
        <v>0</v>
      </c>
      <c r="AZ172" s="389">
        <f t="shared" si="70"/>
        <v>33150000</v>
      </c>
      <c r="BA172" s="506">
        <f>IFERROR(VLOOKUP(C172,'2023'!$D:$G,4,0),0)</f>
        <v>0</v>
      </c>
      <c r="BB172" s="388">
        <f>SUMIFS('2023'!$I:$I,'2023'!$E:$E,Category!$B$134,'2023'!$N:$N,Category!BB$1,'2023'!$D:$D,Category!$C172)</f>
        <v>0</v>
      </c>
      <c r="BC172" s="388">
        <f>SUMIFS('2023'!$I:$I,'2023'!$E:$E,Category!$B$134,'2023'!$N:$N,Category!BC$1,'2023'!$D:$D,Category!$C172)</f>
        <v>0</v>
      </c>
      <c r="BD172" s="388">
        <f>SUMIFS('2023'!$I:$I,'2023'!$E:$E,Category!$B$134,'2023'!$N:$N,Category!BD$1,'2023'!$D:$D,Category!$C172)</f>
        <v>0</v>
      </c>
      <c r="BE172" s="388">
        <f>SUMIFS('2023'!$I:$I,'2023'!$E:$E,Category!$B$134,'2023'!$N:$N,Category!BE$1,'2023'!$D:$D,Category!$C172)</f>
        <v>0</v>
      </c>
      <c r="BF172" s="388">
        <f>SUMIFS('2023'!$I:$I,'2023'!$E:$E,Category!$B$134,'2023'!$N:$N,Category!BF$1,'2023'!$D:$D,Category!$C172)</f>
        <v>0</v>
      </c>
      <c r="BG172" s="388">
        <f>SUMIFS('2023'!$I:$I,'2023'!$E:$E,Category!$B$134,'2023'!$N:$N,Category!BG$1,'2023'!$D:$D,Category!$C172)</f>
        <v>0</v>
      </c>
      <c r="BH172" s="388">
        <f>SUMIFS('2023'!$I:$I,'2023'!$E:$E,Category!$B$134,'2023'!$N:$N,Category!BH$1,'2023'!$D:$D,Category!$C172)</f>
        <v>0</v>
      </c>
      <c r="BI172" s="388">
        <f>SUMIFS('2023'!$I:$I,'2023'!$E:$E,Category!$B$134,'2023'!$N:$N,Category!BI$1,'2023'!$D:$D,Category!$C172)</f>
        <v>0</v>
      </c>
      <c r="BJ172" s="388">
        <f>SUMIFS('2023'!$I:$I,'2023'!$E:$E,Category!$B$134,'2023'!$N:$N,Category!BJ$1,'2023'!$D:$D,Category!$C172)</f>
        <v>0</v>
      </c>
      <c r="BK172" s="388">
        <f>SUMIFS('2023'!$I:$I,'2023'!$E:$E,Category!$B$134,'2023'!$N:$N,Category!BK$1,'2023'!$D:$D,Category!$C172)</f>
        <v>0</v>
      </c>
      <c r="BL172" s="388">
        <f>SUMIFS('2023'!$I:$I,'2023'!$E:$E,Category!$B$134,'2023'!$N:$N,Category!BL$1,'2023'!$D:$D,Category!$C172)</f>
        <v>0</v>
      </c>
      <c r="BM172" s="388">
        <f>SUMIFS('2023'!$I:$I,'2023'!$E:$E,Category!$B$134,'2023'!$N:$N,Category!BM$1,'2023'!$D:$D,Category!$C172)</f>
        <v>0</v>
      </c>
      <c r="BN172" s="389">
        <f t="shared" si="69"/>
        <v>0</v>
      </c>
    </row>
    <row r="173" spans="1:66" ht="39.75" x14ac:dyDescent="0.3">
      <c r="A173" s="386"/>
      <c r="B173" s="387"/>
      <c r="C173" s="387" t="s">
        <v>963</v>
      </c>
      <c r="D173" s="524">
        <f>IFERROR(VLOOKUP($C173,'2019'!$D:$G,4,0),0)</f>
        <v>0</v>
      </c>
      <c r="E173" s="388">
        <f>SUMIFS('2019'!$I:$I,'2019'!$E:$E,Category!$B$134,'2019'!$N:$N,Category!E$1,'2019'!$D:$D,Category!$C173)</f>
        <v>0</v>
      </c>
      <c r="F173" s="388">
        <f>SUMIFS('2019'!$I:$I,'2019'!$E:$E,Category!$B$134,'2019'!$N:$N,Category!F$1,'2019'!$D:$D,Category!$C173)</f>
        <v>0</v>
      </c>
      <c r="G173" s="388">
        <f>SUMIFS('2019'!$I:$I,'2019'!$E:$E,Category!$B$134,'2019'!$N:$N,Category!G$1,'2019'!$D:$D,Category!$C173)</f>
        <v>0</v>
      </c>
      <c r="H173" s="388">
        <f>SUMIFS('2019'!$I:$I,'2019'!$E:$E,Category!$B$134,'2019'!$N:$N,Category!H$1,'2019'!$D:$D,Category!$C173)</f>
        <v>0</v>
      </c>
      <c r="I173" s="388">
        <f>SUMIFS('2019'!$I:$I,'2019'!$E:$E,Category!$B$134,'2019'!$N:$N,Category!I$1,'2019'!$D:$D,Category!$C173)</f>
        <v>0</v>
      </c>
      <c r="J173" s="389">
        <f t="shared" si="71"/>
        <v>0</v>
      </c>
      <c r="K173" s="506">
        <f>IFERROR(VLOOKUP($C173,'2020'!$D:$G,4,0),0)</f>
        <v>0</v>
      </c>
      <c r="L173" s="388">
        <f>SUMIFS('2020'!$I:$I,'2020'!$E:$E,Category!$B$134,'2020'!$N:$N,Category!L$1,'2020'!$D:$D,Category!$C173)</f>
        <v>0</v>
      </c>
      <c r="M173" s="388">
        <f>SUMIFS('2020'!$I:$I,'2020'!$E:$E,Category!$B$134,'2020'!$N:$N,Category!M$1,'2020'!$D:$D,Category!$C173)</f>
        <v>0</v>
      </c>
      <c r="N173" s="388">
        <f>SUMIFS('2020'!$I:$I,'2020'!$E:$E,Category!$B$134,'2020'!$N:$N,Category!N$1,'2020'!$D:$D,Category!$C173)</f>
        <v>0</v>
      </c>
      <c r="O173" s="388">
        <f>SUMIFS('2020'!$I:$I,'2020'!$E:$E,Category!$B$134,'2020'!$N:$N,Category!O$1,'2020'!$D:$D,Category!$C173)</f>
        <v>0</v>
      </c>
      <c r="P173" s="388">
        <f>SUMIFS('2020'!$I:$I,'2020'!$E:$E,Category!$B$134,'2020'!$N:$N,Category!P$1,'2020'!$D:$D,Category!$C173)</f>
        <v>0</v>
      </c>
      <c r="Q173" s="388">
        <f>SUMIFS('2020'!$I:$I,'2020'!$E:$E,Category!$B$134,'2020'!$N:$N,Category!Q$1,'2020'!$D:$D,Category!$C173)</f>
        <v>0</v>
      </c>
      <c r="R173" s="388">
        <f>SUMIFS('2020'!$I:$I,'2020'!$E:$E,Category!$B$134,'2020'!$N:$N,Category!R$1,'2020'!$D:$D,Category!$C173)</f>
        <v>0</v>
      </c>
      <c r="S173" s="388">
        <f>SUMIFS('2020'!$I:$I,'2020'!$E:$E,Category!$B$134,'2020'!$N:$N,Category!S$1,'2020'!$D:$D,Category!$C173)</f>
        <v>0</v>
      </c>
      <c r="T173" s="388">
        <f>SUMIFS('2020'!$I:$I,'2020'!$E:$E,Category!$B$134,'2020'!$N:$N,Category!T$1,'2020'!$D:$D,Category!$C173)</f>
        <v>0</v>
      </c>
      <c r="U173" s="388">
        <f>SUMIFS('2020'!$I:$I,'2020'!$E:$E,Category!$B$134,'2020'!$N:$N,Category!U$1,'2020'!$D:$D,Category!$C173)</f>
        <v>0</v>
      </c>
      <c r="V173" s="388">
        <f>SUMIFS('2020'!$I:$I,'2020'!$E:$E,Category!$B$134,'2020'!$N:$N,Category!V$1,'2020'!$D:$D,Category!$C173)</f>
        <v>0</v>
      </c>
      <c r="W173" s="388">
        <f>SUMIFS('2020'!$I:$I,'2020'!$E:$E,Category!$B$134,'2020'!$N:$N,Category!W$1,'2020'!$D:$D,Category!$C173)</f>
        <v>0</v>
      </c>
      <c r="X173" s="389">
        <f t="shared" si="68"/>
        <v>0</v>
      </c>
      <c r="Y173" s="506">
        <f>IFERROR(VLOOKUP(C173,'2021'!$D:$G,4,0),0)</f>
        <v>0</v>
      </c>
      <c r="Z173" s="388">
        <f>SUMIFS('2021'!$I:$I,'2021'!$E:$E,Category!$B$134,'2021'!$N:$N,Category!Z$1,'2021'!$D:$D,Category!$C173)</f>
        <v>0</v>
      </c>
      <c r="AA173" s="388">
        <f>SUMIFS('2021'!$I:$I,'2021'!$E:$E,Category!$B$134,'2021'!$N:$N,Category!AA$1,'2021'!$D:$D,Category!$C173)</f>
        <v>0</v>
      </c>
      <c r="AB173" s="388">
        <f>SUMIFS('2021'!$I:$I,'2021'!$E:$E,Category!$B$134,'2021'!$N:$N,Category!AB$1,'2021'!$D:$D,Category!$C173)</f>
        <v>0</v>
      </c>
      <c r="AC173" s="388">
        <f>SUMIFS('2021'!$I:$I,'2021'!$E:$E,Category!$B$134,'2021'!$N:$N,Category!AC$1,'2021'!$D:$D,Category!$C173)</f>
        <v>0</v>
      </c>
      <c r="AD173" s="388">
        <f>SUMIFS('2021'!$I:$I,'2021'!$E:$E,Category!$B$134,'2021'!$N:$N,Category!AD$1,'2021'!$D:$D,Category!$C173)</f>
        <v>0</v>
      </c>
      <c r="AE173" s="388">
        <f>SUMIFS('2021'!$I:$I,'2021'!$E:$E,Category!$B$134,'2021'!$N:$N,Category!AE$1,'2021'!$D:$D,Category!$C173)</f>
        <v>0</v>
      </c>
      <c r="AF173" s="388">
        <f>SUMIFS('2021'!$I:$I,'2021'!$E:$E,Category!$B$134,'2021'!$N:$N,Category!AF$1,'2021'!$D:$D,Category!$C173)</f>
        <v>0</v>
      </c>
      <c r="AG173" s="388">
        <f>SUMIFS('2021'!$I:$I,'2021'!$E:$E,Category!$B$134,'2021'!$N:$N,Category!AG$1,'2021'!$D:$D,Category!$C173)</f>
        <v>0</v>
      </c>
      <c r="AH173" s="388">
        <f>SUMIFS('2021'!$I:$I,'2021'!$E:$E,Category!$B$134,'2021'!$N:$N,Category!AH$1,'2021'!$D:$D,Category!$C173)</f>
        <v>0</v>
      </c>
      <c r="AI173" s="388">
        <f>SUMIFS('2021'!$I:$I,'2021'!$E:$E,Category!$B$134,'2021'!$N:$N,Category!AI$1,'2021'!$D:$D,Category!$C173)</f>
        <v>0</v>
      </c>
      <c r="AJ173" s="388">
        <f>SUMIFS('2021'!$I:$I,'2021'!$E:$E,Category!$B$134,'2021'!$N:$N,Category!AJ$1,'2021'!$D:$D,Category!$C173)</f>
        <v>0</v>
      </c>
      <c r="AK173" s="388">
        <f>SUMIFS('2021'!$I:$I,'2021'!$E:$E,Category!$B$134,'2021'!$N:$N,Category!AK$1,'2021'!$D:$D,Category!$C173)</f>
        <v>0</v>
      </c>
      <c r="AL173" s="389">
        <f t="shared" si="67"/>
        <v>0</v>
      </c>
      <c r="AM173" s="506">
        <f>IFERROR(VLOOKUP(C173,'2022'!$D:$G,4,0),0)</f>
        <v>0</v>
      </c>
      <c r="AN173" s="388">
        <f>SUMIFS('2022'!$I:$I,'2022'!$E:$E,Category!$B$134,'2022'!$N:$N,Category!AN$1,'2022'!$D:$D,Category!$C173)</f>
        <v>5000000</v>
      </c>
      <c r="AO173" s="388">
        <f>SUMIFS('2022'!$I:$I,'2022'!$E:$E,Category!$B$134,'2022'!$N:$N,Category!AO$1,'2022'!$D:$D,Category!$C173)</f>
        <v>0</v>
      </c>
      <c r="AP173" s="388">
        <f>SUMIFS('2022'!$I:$I,'2022'!$E:$E,Category!$B$134,'2022'!$N:$N,Category!AP$1,'2022'!$D:$D,Category!$C173)</f>
        <v>0</v>
      </c>
      <c r="AQ173" s="388">
        <f>SUMIFS('2022'!$I:$I,'2022'!$E:$E,Category!$B$134,'2022'!$N:$N,Category!AQ$1,'2022'!$D:$D,Category!$C173)</f>
        <v>0</v>
      </c>
      <c r="AR173" s="388">
        <f>SUMIFS('2022'!$I:$I,'2022'!$E:$E,Category!$B$134,'2022'!$N:$N,Category!AR$1,'2022'!$D:$D,Category!$C173)</f>
        <v>0</v>
      </c>
      <c r="AS173" s="388">
        <f>SUMIFS('2022'!$I:$I,'2022'!$E:$E,Category!$B$134,'2022'!$N:$N,Category!AS$1,'2022'!$D:$D,Category!$C173)</f>
        <v>0</v>
      </c>
      <c r="AT173" s="388">
        <f>SUMIFS('2022'!$I:$I,'2022'!$E:$E,Category!$B$134,'2022'!$N:$N,Category!AT$1,'2022'!$D:$D,Category!$C173)</f>
        <v>0</v>
      </c>
      <c r="AU173" s="388">
        <f>SUMIFS('2022'!$I:$I,'2022'!$E:$E,Category!$B$134,'2022'!$N:$N,Category!AU$1,'2022'!$D:$D,Category!$C173)</f>
        <v>0</v>
      </c>
      <c r="AV173" s="388">
        <f>SUMIFS('2022'!$I:$I,'2022'!$E:$E,Category!$B$134,'2022'!$N:$N,Category!AV$1,'2022'!$D:$D,Category!$C173)</f>
        <v>0</v>
      </c>
      <c r="AW173" s="388">
        <f>SUMIFS('2022'!$I:$I,'2022'!$E:$E,Category!$B$134,'2022'!$N:$N,Category!AW$1,'2022'!$D:$D,Category!$C173)</f>
        <v>0</v>
      </c>
      <c r="AX173" s="388">
        <f>SUMIFS('2022'!$I:$I,'2022'!$E:$E,Category!$B$134,'2022'!$N:$N,Category!AX$1,'2022'!$D:$D,Category!$C173)</f>
        <v>0</v>
      </c>
      <c r="AY173" s="388">
        <f>SUMIFS('2022'!$I:$I,'2022'!$E:$E,Category!$B$134,'2022'!$N:$N,Category!AY$1,'2022'!$D:$D,Category!$C173)</f>
        <v>0</v>
      </c>
      <c r="AZ173" s="389">
        <f t="shared" si="70"/>
        <v>5000000</v>
      </c>
      <c r="BA173" s="506">
        <f>IFERROR(VLOOKUP(C173,'2023'!$D:$G,4,0),0)</f>
        <v>0</v>
      </c>
      <c r="BB173" s="388">
        <f>SUMIFS('2023'!$I:$I,'2023'!$E:$E,Category!$B$134,'2023'!$N:$N,Category!BB$1,'2023'!$D:$D,Category!$C173)</f>
        <v>0</v>
      </c>
      <c r="BC173" s="388">
        <f>SUMIFS('2023'!$I:$I,'2023'!$E:$E,Category!$B$134,'2023'!$N:$N,Category!BC$1,'2023'!$D:$D,Category!$C173)</f>
        <v>0</v>
      </c>
      <c r="BD173" s="388">
        <f>SUMIFS('2023'!$I:$I,'2023'!$E:$E,Category!$B$134,'2023'!$N:$N,Category!BD$1,'2023'!$D:$D,Category!$C173)</f>
        <v>0</v>
      </c>
      <c r="BE173" s="388">
        <f>SUMIFS('2023'!$I:$I,'2023'!$E:$E,Category!$B$134,'2023'!$N:$N,Category!BE$1,'2023'!$D:$D,Category!$C173)</f>
        <v>0</v>
      </c>
      <c r="BF173" s="388">
        <f>SUMIFS('2023'!$I:$I,'2023'!$E:$E,Category!$B$134,'2023'!$N:$N,Category!BF$1,'2023'!$D:$D,Category!$C173)</f>
        <v>0</v>
      </c>
      <c r="BG173" s="388">
        <f>SUMIFS('2023'!$I:$I,'2023'!$E:$E,Category!$B$134,'2023'!$N:$N,Category!BG$1,'2023'!$D:$D,Category!$C173)</f>
        <v>0</v>
      </c>
      <c r="BH173" s="388">
        <f>SUMIFS('2023'!$I:$I,'2023'!$E:$E,Category!$B$134,'2023'!$N:$N,Category!BH$1,'2023'!$D:$D,Category!$C173)</f>
        <v>0</v>
      </c>
      <c r="BI173" s="388">
        <f>SUMIFS('2023'!$I:$I,'2023'!$E:$E,Category!$B$134,'2023'!$N:$N,Category!BI$1,'2023'!$D:$D,Category!$C173)</f>
        <v>0</v>
      </c>
      <c r="BJ173" s="388">
        <f>SUMIFS('2023'!$I:$I,'2023'!$E:$E,Category!$B$134,'2023'!$N:$N,Category!BJ$1,'2023'!$D:$D,Category!$C173)</f>
        <v>0</v>
      </c>
      <c r="BK173" s="388">
        <f>SUMIFS('2023'!$I:$I,'2023'!$E:$E,Category!$B$134,'2023'!$N:$N,Category!BK$1,'2023'!$D:$D,Category!$C173)</f>
        <v>0</v>
      </c>
      <c r="BL173" s="388">
        <f>SUMIFS('2023'!$I:$I,'2023'!$E:$E,Category!$B$134,'2023'!$N:$N,Category!BL$1,'2023'!$D:$D,Category!$C173)</f>
        <v>0</v>
      </c>
      <c r="BM173" s="388">
        <f>SUMIFS('2023'!$I:$I,'2023'!$E:$E,Category!$B$134,'2023'!$N:$N,Category!BM$1,'2023'!$D:$D,Category!$C173)</f>
        <v>0</v>
      </c>
      <c r="BN173" s="389">
        <f t="shared" si="69"/>
        <v>0</v>
      </c>
    </row>
    <row r="174" spans="1:66" ht="39.75" x14ac:dyDescent="0.3">
      <c r="A174" s="386"/>
      <c r="B174" s="387"/>
      <c r="C174" s="387" t="s">
        <v>1069</v>
      </c>
      <c r="D174" s="524">
        <f>IFERROR(VLOOKUP($C174,'2019'!$D:$G,4,0),0)</f>
        <v>0</v>
      </c>
      <c r="E174" s="388">
        <f>SUMIFS('2019'!$I:$I,'2019'!$E:$E,Category!$B$134,'2019'!$N:$N,Category!E$1,'2019'!$D:$D,Category!$C174)</f>
        <v>0</v>
      </c>
      <c r="F174" s="388">
        <f>SUMIFS('2019'!$I:$I,'2019'!$E:$E,Category!$B$134,'2019'!$N:$N,Category!F$1,'2019'!$D:$D,Category!$C174)</f>
        <v>0</v>
      </c>
      <c r="G174" s="388">
        <f>SUMIFS('2019'!$I:$I,'2019'!$E:$E,Category!$B$134,'2019'!$N:$N,Category!G$1,'2019'!$D:$D,Category!$C174)</f>
        <v>0</v>
      </c>
      <c r="H174" s="388">
        <f>SUMIFS('2019'!$I:$I,'2019'!$E:$E,Category!$B$134,'2019'!$N:$N,Category!H$1,'2019'!$D:$D,Category!$C174)</f>
        <v>0</v>
      </c>
      <c r="I174" s="388">
        <f>SUMIFS('2019'!$I:$I,'2019'!$E:$E,Category!$B$134,'2019'!$N:$N,Category!I$1,'2019'!$D:$D,Category!$C174)</f>
        <v>0</v>
      </c>
      <c r="J174" s="389">
        <f t="shared" si="71"/>
        <v>0</v>
      </c>
      <c r="K174" s="506">
        <f>IFERROR(VLOOKUP($C174,'2020'!$D:$G,4,0),0)</f>
        <v>0</v>
      </c>
      <c r="L174" s="388">
        <f>SUMIFS('2020'!$I:$I,'2020'!$E:$E,Category!$B$134,'2020'!$N:$N,Category!L$1,'2020'!$D:$D,Category!$C174)</f>
        <v>0</v>
      </c>
      <c r="M174" s="388">
        <f>SUMIFS('2020'!$I:$I,'2020'!$E:$E,Category!$B$134,'2020'!$N:$N,Category!M$1,'2020'!$D:$D,Category!$C174)</f>
        <v>0</v>
      </c>
      <c r="N174" s="388">
        <f>SUMIFS('2020'!$I:$I,'2020'!$E:$E,Category!$B$134,'2020'!$N:$N,Category!N$1,'2020'!$D:$D,Category!$C174)</f>
        <v>0</v>
      </c>
      <c r="O174" s="388">
        <f>SUMIFS('2020'!$I:$I,'2020'!$E:$E,Category!$B$134,'2020'!$N:$N,Category!O$1,'2020'!$D:$D,Category!$C174)</f>
        <v>0</v>
      </c>
      <c r="P174" s="388">
        <f>SUMIFS('2020'!$I:$I,'2020'!$E:$E,Category!$B$134,'2020'!$N:$N,Category!P$1,'2020'!$D:$D,Category!$C174)</f>
        <v>0</v>
      </c>
      <c r="Q174" s="388">
        <f>SUMIFS('2020'!$I:$I,'2020'!$E:$E,Category!$B$134,'2020'!$N:$N,Category!Q$1,'2020'!$D:$D,Category!$C174)</f>
        <v>0</v>
      </c>
      <c r="R174" s="388">
        <f>SUMIFS('2020'!$I:$I,'2020'!$E:$E,Category!$B$134,'2020'!$N:$N,Category!R$1,'2020'!$D:$D,Category!$C174)</f>
        <v>0</v>
      </c>
      <c r="S174" s="388">
        <f>SUMIFS('2020'!$I:$I,'2020'!$E:$E,Category!$B$134,'2020'!$N:$N,Category!S$1,'2020'!$D:$D,Category!$C174)</f>
        <v>0</v>
      </c>
      <c r="T174" s="388">
        <f>SUMIFS('2020'!$I:$I,'2020'!$E:$E,Category!$B$134,'2020'!$N:$N,Category!T$1,'2020'!$D:$D,Category!$C174)</f>
        <v>0</v>
      </c>
      <c r="U174" s="388">
        <f>SUMIFS('2020'!$I:$I,'2020'!$E:$E,Category!$B$134,'2020'!$N:$N,Category!U$1,'2020'!$D:$D,Category!$C174)</f>
        <v>0</v>
      </c>
      <c r="V174" s="388">
        <f>SUMIFS('2020'!$I:$I,'2020'!$E:$E,Category!$B$134,'2020'!$N:$N,Category!V$1,'2020'!$D:$D,Category!$C174)</f>
        <v>0</v>
      </c>
      <c r="W174" s="388">
        <f>SUMIFS('2020'!$I:$I,'2020'!$E:$E,Category!$B$134,'2020'!$N:$N,Category!W$1,'2020'!$D:$D,Category!$C174)</f>
        <v>0</v>
      </c>
      <c r="X174" s="389">
        <f>SUM(L174:W174)</f>
        <v>0</v>
      </c>
      <c r="Y174" s="506">
        <f>IFERROR(VLOOKUP(C174,'2021'!$D:$G,4,0),0)</f>
        <v>0</v>
      </c>
      <c r="Z174" s="388">
        <f>SUMIFS('2021'!$I:$I,'2021'!$E:$E,Category!$B$134,'2021'!$N:$N,Category!Z$1,'2021'!$D:$D,Category!$C174)</f>
        <v>0</v>
      </c>
      <c r="AA174" s="388">
        <f>SUMIFS('2021'!$I:$I,'2021'!$E:$E,Category!$B$134,'2021'!$N:$N,Category!AA$1,'2021'!$D:$D,Category!$C174)</f>
        <v>0</v>
      </c>
      <c r="AB174" s="388">
        <f>SUMIFS('2021'!$I:$I,'2021'!$E:$E,Category!$B$134,'2021'!$N:$N,Category!AB$1,'2021'!$D:$D,Category!$C174)</f>
        <v>0</v>
      </c>
      <c r="AC174" s="388">
        <f>SUMIFS('2021'!$I:$I,'2021'!$E:$E,Category!$B$134,'2021'!$N:$N,Category!AC$1,'2021'!$D:$D,Category!$C174)</f>
        <v>0</v>
      </c>
      <c r="AD174" s="388">
        <f>SUMIFS('2021'!$I:$I,'2021'!$E:$E,Category!$B$134,'2021'!$N:$N,Category!AD$1,'2021'!$D:$D,Category!$C174)</f>
        <v>0</v>
      </c>
      <c r="AE174" s="388">
        <f>SUMIFS('2021'!$I:$I,'2021'!$E:$E,Category!$B$134,'2021'!$N:$N,Category!AE$1,'2021'!$D:$D,Category!$C174)</f>
        <v>0</v>
      </c>
      <c r="AF174" s="388">
        <f>SUMIFS('2021'!$I:$I,'2021'!$E:$E,Category!$B$134,'2021'!$N:$N,Category!AF$1,'2021'!$D:$D,Category!$C174)</f>
        <v>0</v>
      </c>
      <c r="AG174" s="388">
        <f>SUMIFS('2021'!$I:$I,'2021'!$E:$E,Category!$B$134,'2021'!$N:$N,Category!AG$1,'2021'!$D:$D,Category!$C174)</f>
        <v>0</v>
      </c>
      <c r="AH174" s="388">
        <f>SUMIFS('2021'!$I:$I,'2021'!$E:$E,Category!$B$134,'2021'!$N:$N,Category!AH$1,'2021'!$D:$D,Category!$C174)</f>
        <v>0</v>
      </c>
      <c r="AI174" s="388">
        <f>SUMIFS('2021'!$I:$I,'2021'!$E:$E,Category!$B$134,'2021'!$N:$N,Category!AI$1,'2021'!$D:$D,Category!$C174)</f>
        <v>0</v>
      </c>
      <c r="AJ174" s="388">
        <f>SUMIFS('2021'!$I:$I,'2021'!$E:$E,Category!$B$134,'2021'!$N:$N,Category!AJ$1,'2021'!$D:$D,Category!$C174)</f>
        <v>0</v>
      </c>
      <c r="AK174" s="388">
        <f>SUMIFS('2021'!$I:$I,'2021'!$E:$E,Category!$B$134,'2021'!$N:$N,Category!AK$1,'2021'!$D:$D,Category!$C174)</f>
        <v>0</v>
      </c>
      <c r="AL174" s="389">
        <f>SUM(Z174:AK174)</f>
        <v>0</v>
      </c>
      <c r="AM174" s="506">
        <f>IFERROR(VLOOKUP(C174,'2022'!$D:$G,4,0),0)</f>
        <v>0</v>
      </c>
      <c r="AN174" s="388">
        <f>SUMIFS('2022'!$I:$I,'2022'!$E:$E,Category!$B$134,'2022'!$N:$N,Category!AN$1,'2022'!$D:$D,Category!$C174)</f>
        <v>0</v>
      </c>
      <c r="AO174" s="388">
        <f>SUMIFS('2022'!$I:$I,'2022'!$E:$E,Category!$B$134,'2022'!$N:$N,Category!AO$1,'2022'!$D:$D,Category!$C174)</f>
        <v>0</v>
      </c>
      <c r="AP174" s="388">
        <f>SUMIFS('2022'!$I:$I,'2022'!$E:$E,Category!$B$134,'2022'!$N:$N,Category!AP$1,'2022'!$D:$D,Category!$C174)</f>
        <v>5219000</v>
      </c>
      <c r="AQ174" s="388">
        <f>SUMIFS('2022'!$I:$I,'2022'!$E:$E,Category!$B$134,'2022'!$N:$N,Category!AQ$1,'2022'!$D:$D,Category!$C174)</f>
        <v>0</v>
      </c>
      <c r="AR174" s="388">
        <f>SUMIFS('2022'!$I:$I,'2022'!$E:$E,Category!$B$134,'2022'!$N:$N,Category!AR$1,'2022'!$D:$D,Category!$C174)</f>
        <v>0</v>
      </c>
      <c r="AS174" s="388">
        <f>SUMIFS('2022'!$I:$I,'2022'!$E:$E,Category!$B$134,'2022'!$N:$N,Category!AS$1,'2022'!$D:$D,Category!$C174)</f>
        <v>0</v>
      </c>
      <c r="AT174" s="388">
        <f>SUMIFS('2022'!$I:$I,'2022'!$E:$E,Category!$B$134,'2022'!$N:$N,Category!AT$1,'2022'!$D:$D,Category!$C174)</f>
        <v>0</v>
      </c>
      <c r="AU174" s="388">
        <f>SUMIFS('2022'!$I:$I,'2022'!$E:$E,Category!$B$134,'2022'!$N:$N,Category!AU$1,'2022'!$D:$D,Category!$C174)</f>
        <v>0</v>
      </c>
      <c r="AV174" s="388">
        <f>SUMIFS('2022'!$I:$I,'2022'!$E:$E,Category!$B$134,'2022'!$N:$N,Category!AV$1,'2022'!$D:$D,Category!$C174)</f>
        <v>0</v>
      </c>
      <c r="AW174" s="388">
        <f>SUMIFS('2022'!$I:$I,'2022'!$E:$E,Category!$B$134,'2022'!$N:$N,Category!AW$1,'2022'!$D:$D,Category!$C174)</f>
        <v>0</v>
      </c>
      <c r="AX174" s="388">
        <f>SUMIFS('2022'!$I:$I,'2022'!$E:$E,Category!$B$134,'2022'!$N:$N,Category!AX$1,'2022'!$D:$D,Category!$C174)</f>
        <v>0</v>
      </c>
      <c r="AY174" s="388">
        <f>SUMIFS('2022'!$I:$I,'2022'!$E:$E,Category!$B$134,'2022'!$N:$N,Category!AY$1,'2022'!$D:$D,Category!$C174)</f>
        <v>0</v>
      </c>
      <c r="AZ174" s="389">
        <f>SUM(AN174:AY174)</f>
        <v>5219000</v>
      </c>
      <c r="BA174" s="506">
        <f>IFERROR(VLOOKUP(C174,'2023'!$D:$G,4,0),0)</f>
        <v>0</v>
      </c>
      <c r="BB174" s="388">
        <f>SUMIFS('2023'!$I:$I,'2023'!$E:$E,Category!$B$134,'2023'!$N:$N,Category!BB$1,'2023'!$D:$D,Category!$C174)</f>
        <v>0</v>
      </c>
      <c r="BC174" s="388">
        <f>SUMIFS('2023'!$I:$I,'2023'!$E:$E,Category!$B$134,'2023'!$N:$N,Category!BC$1,'2023'!$D:$D,Category!$C174)</f>
        <v>0</v>
      </c>
      <c r="BD174" s="388">
        <f>SUMIFS('2023'!$I:$I,'2023'!$E:$E,Category!$B$134,'2023'!$N:$N,Category!BD$1,'2023'!$D:$D,Category!$C174)</f>
        <v>0</v>
      </c>
      <c r="BE174" s="388">
        <f>SUMIFS('2023'!$I:$I,'2023'!$E:$E,Category!$B$134,'2023'!$N:$N,Category!BE$1,'2023'!$D:$D,Category!$C174)</f>
        <v>0</v>
      </c>
      <c r="BF174" s="388">
        <f>SUMIFS('2023'!$I:$I,'2023'!$E:$E,Category!$B$134,'2023'!$N:$N,Category!BF$1,'2023'!$D:$D,Category!$C174)</f>
        <v>0</v>
      </c>
      <c r="BG174" s="388">
        <f>SUMIFS('2023'!$I:$I,'2023'!$E:$E,Category!$B$134,'2023'!$N:$N,Category!BG$1,'2023'!$D:$D,Category!$C174)</f>
        <v>0</v>
      </c>
      <c r="BH174" s="388">
        <f>SUMIFS('2023'!$I:$I,'2023'!$E:$E,Category!$B$134,'2023'!$N:$N,Category!BH$1,'2023'!$D:$D,Category!$C174)</f>
        <v>0</v>
      </c>
      <c r="BI174" s="388">
        <f>SUMIFS('2023'!$I:$I,'2023'!$E:$E,Category!$B$134,'2023'!$N:$N,Category!BI$1,'2023'!$D:$D,Category!$C174)</f>
        <v>0</v>
      </c>
      <c r="BJ174" s="388">
        <f>SUMIFS('2023'!$I:$I,'2023'!$E:$E,Category!$B$134,'2023'!$N:$N,Category!BJ$1,'2023'!$D:$D,Category!$C174)</f>
        <v>0</v>
      </c>
      <c r="BK174" s="388">
        <f>SUMIFS('2023'!$I:$I,'2023'!$E:$E,Category!$B$134,'2023'!$N:$N,Category!BK$1,'2023'!$D:$D,Category!$C174)</f>
        <v>0</v>
      </c>
      <c r="BL174" s="388">
        <f>SUMIFS('2023'!$I:$I,'2023'!$E:$E,Category!$B$134,'2023'!$N:$N,Category!BL$1,'2023'!$D:$D,Category!$C174)</f>
        <v>0</v>
      </c>
      <c r="BM174" s="388">
        <f>SUMIFS('2023'!$I:$I,'2023'!$E:$E,Category!$B$134,'2023'!$N:$N,Category!BM$1,'2023'!$D:$D,Category!$C174)</f>
        <v>0</v>
      </c>
      <c r="BN174" s="389">
        <f t="shared" si="69"/>
        <v>0</v>
      </c>
    </row>
    <row r="175" spans="1:66" x14ac:dyDescent="0.3">
      <c r="A175" s="386"/>
      <c r="B175" s="387"/>
      <c r="C175" s="387" t="s">
        <v>1071</v>
      </c>
      <c r="D175" s="524">
        <f>IFERROR(VLOOKUP($C175,'2019'!$D:$G,4,0),0)</f>
        <v>0</v>
      </c>
      <c r="E175" s="388">
        <f>SUMIFS('2019'!$I:$I,'2019'!$E:$E,Category!$B$134,'2019'!$N:$N,Category!E$1,'2019'!$D:$D,Category!$C175)</f>
        <v>0</v>
      </c>
      <c r="F175" s="388">
        <f>SUMIFS('2019'!$I:$I,'2019'!$E:$E,Category!$B$134,'2019'!$N:$N,Category!F$1,'2019'!$D:$D,Category!$C175)</f>
        <v>0</v>
      </c>
      <c r="G175" s="388">
        <f>SUMIFS('2019'!$I:$I,'2019'!$E:$E,Category!$B$134,'2019'!$N:$N,Category!G$1,'2019'!$D:$D,Category!$C175)</f>
        <v>0</v>
      </c>
      <c r="H175" s="388">
        <f>SUMIFS('2019'!$I:$I,'2019'!$E:$E,Category!$B$134,'2019'!$N:$N,Category!H$1,'2019'!$D:$D,Category!$C175)</f>
        <v>0</v>
      </c>
      <c r="I175" s="388">
        <f>SUMIFS('2019'!$I:$I,'2019'!$E:$E,Category!$B$134,'2019'!$N:$N,Category!I$1,'2019'!$D:$D,Category!$C175)</f>
        <v>0</v>
      </c>
      <c r="J175" s="389">
        <f t="shared" si="71"/>
        <v>0</v>
      </c>
      <c r="K175" s="506">
        <f>IFERROR(VLOOKUP($C175,'2020'!$D:$G,4,0),0)</f>
        <v>0</v>
      </c>
      <c r="L175" s="388">
        <f>SUMIFS('2020'!$I:$I,'2020'!$E:$E,Category!$B$134,'2020'!$N:$N,Category!L$1,'2020'!$D:$D,Category!$C175)</f>
        <v>0</v>
      </c>
      <c r="M175" s="388">
        <f>SUMIFS('2020'!$I:$I,'2020'!$E:$E,Category!$B$134,'2020'!$N:$N,Category!M$1,'2020'!$D:$D,Category!$C175)</f>
        <v>0</v>
      </c>
      <c r="N175" s="388">
        <f>SUMIFS('2020'!$I:$I,'2020'!$E:$E,Category!$B$134,'2020'!$N:$N,Category!N$1,'2020'!$D:$D,Category!$C175)</f>
        <v>0</v>
      </c>
      <c r="O175" s="388">
        <f>SUMIFS('2020'!$I:$I,'2020'!$E:$E,Category!$B$134,'2020'!$N:$N,Category!O$1,'2020'!$D:$D,Category!$C175)</f>
        <v>0</v>
      </c>
      <c r="P175" s="388">
        <f>SUMIFS('2020'!$I:$I,'2020'!$E:$E,Category!$B$134,'2020'!$N:$N,Category!P$1,'2020'!$D:$D,Category!$C175)</f>
        <v>0</v>
      </c>
      <c r="Q175" s="388">
        <f>SUMIFS('2020'!$I:$I,'2020'!$E:$E,Category!$B$134,'2020'!$N:$N,Category!Q$1,'2020'!$D:$D,Category!$C175)</f>
        <v>0</v>
      </c>
      <c r="R175" s="388">
        <f>SUMIFS('2020'!$I:$I,'2020'!$E:$E,Category!$B$134,'2020'!$N:$N,Category!R$1,'2020'!$D:$D,Category!$C175)</f>
        <v>0</v>
      </c>
      <c r="S175" s="388">
        <f>SUMIFS('2020'!$I:$I,'2020'!$E:$E,Category!$B$134,'2020'!$N:$N,Category!S$1,'2020'!$D:$D,Category!$C175)</f>
        <v>0</v>
      </c>
      <c r="T175" s="388">
        <f>SUMIFS('2020'!$I:$I,'2020'!$E:$E,Category!$B$134,'2020'!$N:$N,Category!T$1,'2020'!$D:$D,Category!$C175)</f>
        <v>0</v>
      </c>
      <c r="U175" s="388">
        <f>SUMIFS('2020'!$I:$I,'2020'!$E:$E,Category!$B$134,'2020'!$N:$N,Category!U$1,'2020'!$D:$D,Category!$C175)</f>
        <v>0</v>
      </c>
      <c r="V175" s="388">
        <f>SUMIFS('2020'!$I:$I,'2020'!$E:$E,Category!$B$134,'2020'!$N:$N,Category!V$1,'2020'!$D:$D,Category!$C175)</f>
        <v>0</v>
      </c>
      <c r="W175" s="388">
        <f>SUMIFS('2020'!$I:$I,'2020'!$E:$E,Category!$B$134,'2020'!$N:$N,Category!W$1,'2020'!$D:$D,Category!$C175)</f>
        <v>0</v>
      </c>
      <c r="X175" s="389">
        <f>SUM(L175:W175)</f>
        <v>0</v>
      </c>
      <c r="Y175" s="506">
        <f>IFERROR(VLOOKUP(C175,'2021'!$D:$G,4,0),0)</f>
        <v>0</v>
      </c>
      <c r="Z175" s="388">
        <f>SUMIFS('2021'!$I:$I,'2021'!$E:$E,Category!$B$134,'2021'!$N:$N,Category!Z$1,'2021'!$D:$D,Category!$C175)</f>
        <v>0</v>
      </c>
      <c r="AA175" s="388">
        <f>SUMIFS('2021'!$I:$I,'2021'!$E:$E,Category!$B$134,'2021'!$N:$N,Category!AA$1,'2021'!$D:$D,Category!$C175)</f>
        <v>0</v>
      </c>
      <c r="AB175" s="388">
        <f>SUMIFS('2021'!$I:$I,'2021'!$E:$E,Category!$B$134,'2021'!$N:$N,Category!AB$1,'2021'!$D:$D,Category!$C175)</f>
        <v>0</v>
      </c>
      <c r="AC175" s="388">
        <f>SUMIFS('2021'!$I:$I,'2021'!$E:$E,Category!$B$134,'2021'!$N:$N,Category!AC$1,'2021'!$D:$D,Category!$C175)</f>
        <v>0</v>
      </c>
      <c r="AD175" s="388">
        <f>SUMIFS('2021'!$I:$I,'2021'!$E:$E,Category!$B$134,'2021'!$N:$N,Category!AD$1,'2021'!$D:$D,Category!$C175)</f>
        <v>0</v>
      </c>
      <c r="AE175" s="388">
        <f>SUMIFS('2021'!$I:$I,'2021'!$E:$E,Category!$B$134,'2021'!$N:$N,Category!AE$1,'2021'!$D:$D,Category!$C175)</f>
        <v>0</v>
      </c>
      <c r="AF175" s="388">
        <f>SUMIFS('2021'!$I:$I,'2021'!$E:$E,Category!$B$134,'2021'!$N:$N,Category!AF$1,'2021'!$D:$D,Category!$C175)</f>
        <v>0</v>
      </c>
      <c r="AG175" s="388">
        <f>SUMIFS('2021'!$I:$I,'2021'!$E:$E,Category!$B$134,'2021'!$N:$N,Category!AG$1,'2021'!$D:$D,Category!$C175)</f>
        <v>0</v>
      </c>
      <c r="AH175" s="388">
        <f>SUMIFS('2021'!$I:$I,'2021'!$E:$E,Category!$B$134,'2021'!$N:$N,Category!AH$1,'2021'!$D:$D,Category!$C175)</f>
        <v>0</v>
      </c>
      <c r="AI175" s="388">
        <f>SUMIFS('2021'!$I:$I,'2021'!$E:$E,Category!$B$134,'2021'!$N:$N,Category!AI$1,'2021'!$D:$D,Category!$C175)</f>
        <v>0</v>
      </c>
      <c r="AJ175" s="388">
        <f>SUMIFS('2021'!$I:$I,'2021'!$E:$E,Category!$B$134,'2021'!$N:$N,Category!AJ$1,'2021'!$D:$D,Category!$C175)</f>
        <v>0</v>
      </c>
      <c r="AK175" s="388">
        <f>SUMIFS('2021'!$I:$I,'2021'!$E:$E,Category!$B$134,'2021'!$N:$N,Category!AK$1,'2021'!$D:$D,Category!$C175)</f>
        <v>0</v>
      </c>
      <c r="AL175" s="389">
        <f>SUM(Z175:AK175)</f>
        <v>0</v>
      </c>
      <c r="AM175" s="506">
        <f>IFERROR(VLOOKUP(C175,'2022'!$D:$G,4,0),0)</f>
        <v>0</v>
      </c>
      <c r="AN175" s="388">
        <f>SUMIFS('2022'!$I:$I,'2022'!$E:$E,Category!$B$134,'2022'!$N:$N,Category!AN$1,'2022'!$D:$D,Category!$C175)</f>
        <v>0</v>
      </c>
      <c r="AO175" s="388">
        <f>SUMIFS('2022'!$I:$I,'2022'!$E:$E,Category!$B$134,'2022'!$N:$N,Category!AO$1,'2022'!$D:$D,Category!$C175)</f>
        <v>0</v>
      </c>
      <c r="AP175" s="388">
        <f>SUMIFS('2022'!$I:$I,'2022'!$E:$E,Category!$B$134,'2022'!$N:$N,Category!AP$1,'2022'!$D:$D,Category!$C175)</f>
        <v>5000942</v>
      </c>
      <c r="AQ175" s="388">
        <f>SUMIFS('2022'!$I:$I,'2022'!$E:$E,Category!$B$134,'2022'!$N:$N,Category!AQ$1,'2022'!$D:$D,Category!$C175)</f>
        <v>0</v>
      </c>
      <c r="AR175" s="388">
        <f>SUMIFS('2022'!$I:$I,'2022'!$E:$E,Category!$B$134,'2022'!$N:$N,Category!AR$1,'2022'!$D:$D,Category!$C175)</f>
        <v>0</v>
      </c>
      <c r="AS175" s="388">
        <f>SUMIFS('2022'!$I:$I,'2022'!$E:$E,Category!$B$134,'2022'!$N:$N,Category!AS$1,'2022'!$D:$D,Category!$C175)</f>
        <v>0</v>
      </c>
      <c r="AT175" s="388">
        <f>SUMIFS('2022'!$I:$I,'2022'!$E:$E,Category!$B$134,'2022'!$N:$N,Category!AT$1,'2022'!$D:$D,Category!$C175)</f>
        <v>0</v>
      </c>
      <c r="AU175" s="388">
        <f>SUMIFS('2022'!$I:$I,'2022'!$E:$E,Category!$B$134,'2022'!$N:$N,Category!AU$1,'2022'!$D:$D,Category!$C175)</f>
        <v>0</v>
      </c>
      <c r="AV175" s="388">
        <f>SUMIFS('2022'!$I:$I,'2022'!$E:$E,Category!$B$134,'2022'!$N:$N,Category!AV$1,'2022'!$D:$D,Category!$C175)</f>
        <v>0</v>
      </c>
      <c r="AW175" s="388">
        <f>SUMIFS('2022'!$I:$I,'2022'!$E:$E,Category!$B$134,'2022'!$N:$N,Category!AW$1,'2022'!$D:$D,Category!$C175)</f>
        <v>0</v>
      </c>
      <c r="AX175" s="388">
        <f>SUMIFS('2022'!$I:$I,'2022'!$E:$E,Category!$B$134,'2022'!$N:$N,Category!AX$1,'2022'!$D:$D,Category!$C175)</f>
        <v>0</v>
      </c>
      <c r="AY175" s="388">
        <f>SUMIFS('2022'!$I:$I,'2022'!$E:$E,Category!$B$134,'2022'!$N:$N,Category!AY$1,'2022'!$D:$D,Category!$C175)</f>
        <v>0</v>
      </c>
      <c r="AZ175" s="389">
        <f>SUM(AN175:AY175)</f>
        <v>5000942</v>
      </c>
      <c r="BA175" s="506">
        <f>IFERROR(VLOOKUP(C175,'2023'!$D:$G,4,0),0)</f>
        <v>0</v>
      </c>
      <c r="BB175" s="388">
        <f>SUMIFS('2023'!$I:$I,'2023'!$E:$E,Category!$B$134,'2023'!$N:$N,Category!BB$1,'2023'!$D:$D,Category!$C175)</f>
        <v>0</v>
      </c>
      <c r="BC175" s="388">
        <f>SUMIFS('2023'!$I:$I,'2023'!$E:$E,Category!$B$134,'2023'!$N:$N,Category!BC$1,'2023'!$D:$D,Category!$C175)</f>
        <v>0</v>
      </c>
      <c r="BD175" s="388">
        <f>SUMIFS('2023'!$I:$I,'2023'!$E:$E,Category!$B$134,'2023'!$N:$N,Category!BD$1,'2023'!$D:$D,Category!$C175)</f>
        <v>0</v>
      </c>
      <c r="BE175" s="388">
        <f>SUMIFS('2023'!$I:$I,'2023'!$E:$E,Category!$B$134,'2023'!$N:$N,Category!BE$1,'2023'!$D:$D,Category!$C175)</f>
        <v>0</v>
      </c>
      <c r="BF175" s="388">
        <f>SUMIFS('2023'!$I:$I,'2023'!$E:$E,Category!$B$134,'2023'!$N:$N,Category!BF$1,'2023'!$D:$D,Category!$C175)</f>
        <v>0</v>
      </c>
      <c r="BG175" s="388">
        <f>SUMIFS('2023'!$I:$I,'2023'!$E:$E,Category!$B$134,'2023'!$N:$N,Category!BG$1,'2023'!$D:$D,Category!$C175)</f>
        <v>0</v>
      </c>
      <c r="BH175" s="388">
        <f>SUMIFS('2023'!$I:$I,'2023'!$E:$E,Category!$B$134,'2023'!$N:$N,Category!BH$1,'2023'!$D:$D,Category!$C175)</f>
        <v>0</v>
      </c>
      <c r="BI175" s="388">
        <f>SUMIFS('2023'!$I:$I,'2023'!$E:$E,Category!$B$134,'2023'!$N:$N,Category!BI$1,'2023'!$D:$D,Category!$C175)</f>
        <v>0</v>
      </c>
      <c r="BJ175" s="388">
        <f>SUMIFS('2023'!$I:$I,'2023'!$E:$E,Category!$B$134,'2023'!$N:$N,Category!BJ$1,'2023'!$D:$D,Category!$C175)</f>
        <v>0</v>
      </c>
      <c r="BK175" s="388">
        <f>SUMIFS('2023'!$I:$I,'2023'!$E:$E,Category!$B$134,'2023'!$N:$N,Category!BK$1,'2023'!$D:$D,Category!$C175)</f>
        <v>0</v>
      </c>
      <c r="BL175" s="388">
        <f>SUMIFS('2023'!$I:$I,'2023'!$E:$E,Category!$B$134,'2023'!$N:$N,Category!BL$1,'2023'!$D:$D,Category!$C175)</f>
        <v>0</v>
      </c>
      <c r="BM175" s="388">
        <f>SUMIFS('2023'!$I:$I,'2023'!$E:$E,Category!$B$134,'2023'!$N:$N,Category!BM$1,'2023'!$D:$D,Category!$C175)</f>
        <v>0</v>
      </c>
      <c r="BN175" s="389">
        <f t="shared" si="69"/>
        <v>0</v>
      </c>
    </row>
    <row r="176" spans="1:66" x14ac:dyDescent="0.3">
      <c r="A176" s="386"/>
      <c r="B176" s="387"/>
      <c r="C176" s="387" t="s">
        <v>1074</v>
      </c>
      <c r="D176" s="524">
        <f>IFERROR(VLOOKUP($C176,'2019'!$D:$G,4,0),0)</f>
        <v>0</v>
      </c>
      <c r="E176" s="388">
        <f>SUMIFS('2019'!$I:$I,'2019'!$E:$E,Category!$B$134,'2019'!$N:$N,Category!E$1,'2019'!$D:$D,Category!$C176)</f>
        <v>0</v>
      </c>
      <c r="F176" s="388">
        <f>SUMIFS('2019'!$I:$I,'2019'!$E:$E,Category!$B$134,'2019'!$N:$N,Category!F$1,'2019'!$D:$D,Category!$C176)</f>
        <v>0</v>
      </c>
      <c r="G176" s="388">
        <f>SUMIFS('2019'!$I:$I,'2019'!$E:$E,Category!$B$134,'2019'!$N:$N,Category!G$1,'2019'!$D:$D,Category!$C176)</f>
        <v>0</v>
      </c>
      <c r="H176" s="388">
        <f>SUMIFS('2019'!$I:$I,'2019'!$E:$E,Category!$B$134,'2019'!$N:$N,Category!H$1,'2019'!$D:$D,Category!$C176)</f>
        <v>0</v>
      </c>
      <c r="I176" s="388">
        <f>SUMIFS('2019'!$I:$I,'2019'!$E:$E,Category!$B$134,'2019'!$N:$N,Category!I$1,'2019'!$D:$D,Category!$C176)</f>
        <v>0</v>
      </c>
      <c r="J176" s="389">
        <f t="shared" si="71"/>
        <v>0</v>
      </c>
      <c r="K176" s="506">
        <f>IFERROR(VLOOKUP($C176,'2020'!$D:$G,4,0),0)</f>
        <v>0</v>
      </c>
      <c r="L176" s="388">
        <f>SUMIFS('2020'!$I:$I,'2020'!$E:$E,Category!$B$134,'2020'!$N:$N,Category!L$1,'2020'!$D:$D,Category!$C176)</f>
        <v>0</v>
      </c>
      <c r="M176" s="388">
        <f>SUMIFS('2020'!$I:$I,'2020'!$E:$E,Category!$B$134,'2020'!$N:$N,Category!M$1,'2020'!$D:$D,Category!$C176)</f>
        <v>0</v>
      </c>
      <c r="N176" s="388">
        <f>SUMIFS('2020'!$I:$I,'2020'!$E:$E,Category!$B$134,'2020'!$N:$N,Category!N$1,'2020'!$D:$D,Category!$C176)</f>
        <v>0</v>
      </c>
      <c r="O176" s="388">
        <f>SUMIFS('2020'!$I:$I,'2020'!$E:$E,Category!$B$134,'2020'!$N:$N,Category!O$1,'2020'!$D:$D,Category!$C176)</f>
        <v>0</v>
      </c>
      <c r="P176" s="388">
        <f>SUMIFS('2020'!$I:$I,'2020'!$E:$E,Category!$B$134,'2020'!$N:$N,Category!P$1,'2020'!$D:$D,Category!$C176)</f>
        <v>0</v>
      </c>
      <c r="Q176" s="388">
        <f>SUMIFS('2020'!$I:$I,'2020'!$E:$E,Category!$B$134,'2020'!$N:$N,Category!Q$1,'2020'!$D:$D,Category!$C176)</f>
        <v>0</v>
      </c>
      <c r="R176" s="388">
        <f>SUMIFS('2020'!$I:$I,'2020'!$E:$E,Category!$B$134,'2020'!$N:$N,Category!R$1,'2020'!$D:$D,Category!$C176)</f>
        <v>0</v>
      </c>
      <c r="S176" s="388">
        <f>SUMIFS('2020'!$I:$I,'2020'!$E:$E,Category!$B$134,'2020'!$N:$N,Category!S$1,'2020'!$D:$D,Category!$C176)</f>
        <v>0</v>
      </c>
      <c r="T176" s="388">
        <f>SUMIFS('2020'!$I:$I,'2020'!$E:$E,Category!$B$134,'2020'!$N:$N,Category!T$1,'2020'!$D:$D,Category!$C176)</f>
        <v>0</v>
      </c>
      <c r="U176" s="388">
        <f>SUMIFS('2020'!$I:$I,'2020'!$E:$E,Category!$B$134,'2020'!$N:$N,Category!U$1,'2020'!$D:$D,Category!$C176)</f>
        <v>0</v>
      </c>
      <c r="V176" s="388">
        <f>SUMIFS('2020'!$I:$I,'2020'!$E:$E,Category!$B$134,'2020'!$N:$N,Category!V$1,'2020'!$D:$D,Category!$C176)</f>
        <v>0</v>
      </c>
      <c r="W176" s="388">
        <f>SUMIFS('2020'!$I:$I,'2020'!$E:$E,Category!$B$134,'2020'!$N:$N,Category!W$1,'2020'!$D:$D,Category!$C176)</f>
        <v>0</v>
      </c>
      <c r="X176" s="389">
        <f>SUM(L176:W176)</f>
        <v>0</v>
      </c>
      <c r="Y176" s="506">
        <f>IFERROR(VLOOKUP(C176,'2021'!$D:$G,4,0),0)</f>
        <v>0</v>
      </c>
      <c r="Z176" s="388">
        <f>SUMIFS('2021'!$I:$I,'2021'!$E:$E,Category!$B$134,'2021'!$N:$N,Category!Z$1,'2021'!$D:$D,Category!$C176)</f>
        <v>0</v>
      </c>
      <c r="AA176" s="388">
        <f>SUMIFS('2021'!$I:$I,'2021'!$E:$E,Category!$B$134,'2021'!$N:$N,Category!AA$1,'2021'!$D:$D,Category!$C176)</f>
        <v>0</v>
      </c>
      <c r="AB176" s="388">
        <f>SUMIFS('2021'!$I:$I,'2021'!$E:$E,Category!$B$134,'2021'!$N:$N,Category!AB$1,'2021'!$D:$D,Category!$C176)</f>
        <v>0</v>
      </c>
      <c r="AC176" s="388">
        <f>SUMIFS('2021'!$I:$I,'2021'!$E:$E,Category!$B$134,'2021'!$N:$N,Category!AC$1,'2021'!$D:$D,Category!$C176)</f>
        <v>0</v>
      </c>
      <c r="AD176" s="388">
        <f>SUMIFS('2021'!$I:$I,'2021'!$E:$E,Category!$B$134,'2021'!$N:$N,Category!AD$1,'2021'!$D:$D,Category!$C176)</f>
        <v>0</v>
      </c>
      <c r="AE176" s="388">
        <f>SUMIFS('2021'!$I:$I,'2021'!$E:$E,Category!$B$134,'2021'!$N:$N,Category!AE$1,'2021'!$D:$D,Category!$C176)</f>
        <v>0</v>
      </c>
      <c r="AF176" s="388">
        <f>SUMIFS('2021'!$I:$I,'2021'!$E:$E,Category!$B$134,'2021'!$N:$N,Category!AF$1,'2021'!$D:$D,Category!$C176)</f>
        <v>0</v>
      </c>
      <c r="AG176" s="388">
        <f>SUMIFS('2021'!$I:$I,'2021'!$E:$E,Category!$B$134,'2021'!$N:$N,Category!AG$1,'2021'!$D:$D,Category!$C176)</f>
        <v>0</v>
      </c>
      <c r="AH176" s="388">
        <f>SUMIFS('2021'!$I:$I,'2021'!$E:$E,Category!$B$134,'2021'!$N:$N,Category!AH$1,'2021'!$D:$D,Category!$C176)</f>
        <v>0</v>
      </c>
      <c r="AI176" s="388">
        <f>SUMIFS('2021'!$I:$I,'2021'!$E:$E,Category!$B$134,'2021'!$N:$N,Category!AI$1,'2021'!$D:$D,Category!$C176)</f>
        <v>0</v>
      </c>
      <c r="AJ176" s="388">
        <f>SUMIFS('2021'!$I:$I,'2021'!$E:$E,Category!$B$134,'2021'!$N:$N,Category!AJ$1,'2021'!$D:$D,Category!$C176)</f>
        <v>0</v>
      </c>
      <c r="AK176" s="388">
        <f>SUMIFS('2021'!$I:$I,'2021'!$E:$E,Category!$B$134,'2021'!$N:$N,Category!AK$1,'2021'!$D:$D,Category!$C176)</f>
        <v>0</v>
      </c>
      <c r="AL176" s="389">
        <f>SUM(Z176:AK176)</f>
        <v>0</v>
      </c>
      <c r="AM176" s="506">
        <f>IFERROR(VLOOKUP(C176,'2022'!$D:$G,4,0),0)</f>
        <v>0</v>
      </c>
      <c r="AN176" s="388">
        <f>SUMIFS('2022'!$I:$I,'2022'!$E:$E,Category!$B$134,'2022'!$N:$N,Category!AN$1,'2022'!$D:$D,Category!$C176)</f>
        <v>0</v>
      </c>
      <c r="AO176" s="388">
        <f>SUMIFS('2022'!$I:$I,'2022'!$E:$E,Category!$B$134,'2022'!$N:$N,Category!AO$1,'2022'!$D:$D,Category!$C176)</f>
        <v>0</v>
      </c>
      <c r="AP176" s="388">
        <f>SUMIFS('2022'!$I:$I,'2022'!$E:$E,Category!$B$134,'2022'!$N:$N,Category!AP$1,'2022'!$D:$D,Category!$C176)</f>
        <v>0</v>
      </c>
      <c r="AQ176" s="388">
        <f>SUMIFS('2022'!$I:$I,'2022'!$E:$E,Category!$B$134,'2022'!$N:$N,Category!AQ$1,'2022'!$D:$D,Category!$C176)</f>
        <v>3280000</v>
      </c>
      <c r="AR176" s="388">
        <f>SUMIFS('2022'!$I:$I,'2022'!$E:$E,Category!$B$134,'2022'!$N:$N,Category!AR$1,'2022'!$D:$D,Category!$C176)</f>
        <v>0</v>
      </c>
      <c r="AS176" s="388">
        <f>SUMIFS('2022'!$I:$I,'2022'!$E:$E,Category!$B$134,'2022'!$N:$N,Category!AS$1,'2022'!$D:$D,Category!$C176)</f>
        <v>0</v>
      </c>
      <c r="AT176" s="388">
        <f>SUMIFS('2022'!$I:$I,'2022'!$E:$E,Category!$B$134,'2022'!$N:$N,Category!AT$1,'2022'!$D:$D,Category!$C176)</f>
        <v>0</v>
      </c>
      <c r="AU176" s="388">
        <f>SUMIFS('2022'!$I:$I,'2022'!$E:$E,Category!$B$134,'2022'!$N:$N,Category!AU$1,'2022'!$D:$D,Category!$C176)</f>
        <v>0</v>
      </c>
      <c r="AV176" s="388">
        <f>SUMIFS('2022'!$I:$I,'2022'!$E:$E,Category!$B$134,'2022'!$N:$N,Category!AV$1,'2022'!$D:$D,Category!$C176)</f>
        <v>0</v>
      </c>
      <c r="AW176" s="388">
        <f>SUMIFS('2022'!$I:$I,'2022'!$E:$E,Category!$B$134,'2022'!$N:$N,Category!AW$1,'2022'!$D:$D,Category!$C176)</f>
        <v>0</v>
      </c>
      <c r="AX176" s="388">
        <f>SUMIFS('2022'!$I:$I,'2022'!$E:$E,Category!$B$134,'2022'!$N:$N,Category!AX$1,'2022'!$D:$D,Category!$C176)</f>
        <v>0</v>
      </c>
      <c r="AY176" s="388">
        <f>SUMIFS('2022'!$I:$I,'2022'!$E:$E,Category!$B$134,'2022'!$N:$N,Category!AY$1,'2022'!$D:$D,Category!$C176)</f>
        <v>0</v>
      </c>
      <c r="AZ176" s="389">
        <f>SUM(AN176:AY176)</f>
        <v>3280000</v>
      </c>
      <c r="BA176" s="506">
        <f>IFERROR(VLOOKUP(C176,'2023'!$D:$G,4,0),0)</f>
        <v>0</v>
      </c>
      <c r="BB176" s="388">
        <f>SUMIFS('2023'!$I:$I,'2023'!$E:$E,Category!$B$134,'2023'!$N:$N,Category!BB$1,'2023'!$D:$D,Category!$C176)</f>
        <v>0</v>
      </c>
      <c r="BC176" s="388">
        <f>SUMIFS('2023'!$I:$I,'2023'!$E:$E,Category!$B$134,'2023'!$N:$N,Category!BC$1,'2023'!$D:$D,Category!$C176)</f>
        <v>0</v>
      </c>
      <c r="BD176" s="388">
        <f>SUMIFS('2023'!$I:$I,'2023'!$E:$E,Category!$B$134,'2023'!$N:$N,Category!BD$1,'2023'!$D:$D,Category!$C176)</f>
        <v>0</v>
      </c>
      <c r="BE176" s="388">
        <f>SUMIFS('2023'!$I:$I,'2023'!$E:$E,Category!$B$134,'2023'!$N:$N,Category!BE$1,'2023'!$D:$D,Category!$C176)</f>
        <v>0</v>
      </c>
      <c r="BF176" s="388">
        <f>SUMIFS('2023'!$I:$I,'2023'!$E:$E,Category!$B$134,'2023'!$N:$N,Category!BF$1,'2023'!$D:$D,Category!$C176)</f>
        <v>0</v>
      </c>
      <c r="BG176" s="388">
        <f>SUMIFS('2023'!$I:$I,'2023'!$E:$E,Category!$B$134,'2023'!$N:$N,Category!BG$1,'2023'!$D:$D,Category!$C176)</f>
        <v>0</v>
      </c>
      <c r="BH176" s="388">
        <f>SUMIFS('2023'!$I:$I,'2023'!$E:$E,Category!$B$134,'2023'!$N:$N,Category!BH$1,'2023'!$D:$D,Category!$C176)</f>
        <v>0</v>
      </c>
      <c r="BI176" s="388">
        <f>SUMIFS('2023'!$I:$I,'2023'!$E:$E,Category!$B$134,'2023'!$N:$N,Category!BI$1,'2023'!$D:$D,Category!$C176)</f>
        <v>0</v>
      </c>
      <c r="BJ176" s="388">
        <f>SUMIFS('2023'!$I:$I,'2023'!$E:$E,Category!$B$134,'2023'!$N:$N,Category!BJ$1,'2023'!$D:$D,Category!$C176)</f>
        <v>0</v>
      </c>
      <c r="BK176" s="388">
        <f>SUMIFS('2023'!$I:$I,'2023'!$E:$E,Category!$B$134,'2023'!$N:$N,Category!BK$1,'2023'!$D:$D,Category!$C176)</f>
        <v>0</v>
      </c>
      <c r="BL176" s="388">
        <f>SUMIFS('2023'!$I:$I,'2023'!$E:$E,Category!$B$134,'2023'!$N:$N,Category!BL$1,'2023'!$D:$D,Category!$C176)</f>
        <v>0</v>
      </c>
      <c r="BM176" s="388">
        <f>SUMIFS('2023'!$I:$I,'2023'!$E:$E,Category!$B$134,'2023'!$N:$N,Category!BM$1,'2023'!$D:$D,Category!$C176)</f>
        <v>0</v>
      </c>
      <c r="BN176" s="389">
        <f t="shared" si="69"/>
        <v>0</v>
      </c>
    </row>
    <row r="177" spans="1:66" x14ac:dyDescent="0.3">
      <c r="A177" s="386"/>
      <c r="B177" s="387"/>
      <c r="C177" s="387" t="s">
        <v>959</v>
      </c>
      <c r="D177" s="524">
        <f>IFERROR(VLOOKUP($C177,'2019'!$D:$G,4,0),0)</f>
        <v>0</v>
      </c>
      <c r="E177" s="388">
        <f>SUMIFS('2019'!$I:$I,'2019'!$E:$E,Category!$B$134,'2019'!$N:$N,Category!E$1,'2019'!$D:$D,Category!$C177)</f>
        <v>0</v>
      </c>
      <c r="F177" s="388">
        <f>SUMIFS('2019'!$I:$I,'2019'!$E:$E,Category!$B$134,'2019'!$N:$N,Category!F$1,'2019'!$D:$D,Category!$C177)</f>
        <v>0</v>
      </c>
      <c r="G177" s="388">
        <f>SUMIFS('2019'!$I:$I,'2019'!$E:$E,Category!$B$134,'2019'!$N:$N,Category!G$1,'2019'!$D:$D,Category!$C177)</f>
        <v>0</v>
      </c>
      <c r="H177" s="388">
        <f>SUMIFS('2019'!$I:$I,'2019'!$E:$E,Category!$B$134,'2019'!$N:$N,Category!H$1,'2019'!$D:$D,Category!$C177)</f>
        <v>0</v>
      </c>
      <c r="I177" s="388">
        <f>SUMIFS('2019'!$I:$I,'2019'!$E:$E,Category!$B$134,'2019'!$N:$N,Category!I$1,'2019'!$D:$D,Category!$C177)</f>
        <v>0</v>
      </c>
      <c r="J177" s="389">
        <f t="shared" si="71"/>
        <v>0</v>
      </c>
      <c r="K177" s="506">
        <f>IFERROR(VLOOKUP($C177,'2020'!$D:$G,4,0),0)</f>
        <v>0</v>
      </c>
      <c r="L177" s="388">
        <f>SUMIFS('2020'!$I:$I,'2020'!$E:$E,Category!$B$134,'2020'!$N:$N,Category!L$1,'2020'!$D:$D,Category!$C177)</f>
        <v>0</v>
      </c>
      <c r="M177" s="388">
        <f>SUMIFS('2020'!$I:$I,'2020'!$E:$E,Category!$B$134,'2020'!$N:$N,Category!M$1,'2020'!$D:$D,Category!$C177)</f>
        <v>0</v>
      </c>
      <c r="N177" s="388">
        <f>SUMIFS('2020'!$I:$I,'2020'!$E:$E,Category!$B$134,'2020'!$N:$N,Category!N$1,'2020'!$D:$D,Category!$C177)</f>
        <v>0</v>
      </c>
      <c r="O177" s="388">
        <f>SUMIFS('2020'!$I:$I,'2020'!$E:$E,Category!$B$134,'2020'!$N:$N,Category!O$1,'2020'!$D:$D,Category!$C177)</f>
        <v>0</v>
      </c>
      <c r="P177" s="388">
        <f>SUMIFS('2020'!$I:$I,'2020'!$E:$E,Category!$B$134,'2020'!$N:$N,Category!P$1,'2020'!$D:$D,Category!$C177)</f>
        <v>0</v>
      </c>
      <c r="Q177" s="388">
        <f>SUMIFS('2020'!$I:$I,'2020'!$E:$E,Category!$B$134,'2020'!$N:$N,Category!Q$1,'2020'!$D:$D,Category!$C177)</f>
        <v>0</v>
      </c>
      <c r="R177" s="388">
        <f>SUMIFS('2020'!$I:$I,'2020'!$E:$E,Category!$B$134,'2020'!$N:$N,Category!R$1,'2020'!$D:$D,Category!$C177)</f>
        <v>0</v>
      </c>
      <c r="S177" s="388">
        <f>SUMIFS('2020'!$I:$I,'2020'!$E:$E,Category!$B$134,'2020'!$N:$N,Category!S$1,'2020'!$D:$D,Category!$C177)</f>
        <v>0</v>
      </c>
      <c r="T177" s="388">
        <f>SUMIFS('2020'!$I:$I,'2020'!$E:$E,Category!$B$134,'2020'!$N:$N,Category!T$1,'2020'!$D:$D,Category!$C177)</f>
        <v>0</v>
      </c>
      <c r="U177" s="388">
        <f>SUMIFS('2020'!$I:$I,'2020'!$E:$E,Category!$B$134,'2020'!$N:$N,Category!U$1,'2020'!$D:$D,Category!$C177)</f>
        <v>0</v>
      </c>
      <c r="V177" s="388">
        <f>SUMIFS('2020'!$I:$I,'2020'!$E:$E,Category!$B$134,'2020'!$N:$N,Category!V$1,'2020'!$D:$D,Category!$C177)</f>
        <v>0</v>
      </c>
      <c r="W177" s="388">
        <f>SUMIFS('2020'!$I:$I,'2020'!$E:$E,Category!$B$134,'2020'!$N:$N,Category!W$1,'2020'!$D:$D,Category!$C177)</f>
        <v>0</v>
      </c>
      <c r="X177" s="389">
        <f>SUM(L177:W177)</f>
        <v>0</v>
      </c>
      <c r="Y177" s="506">
        <f>IFERROR(VLOOKUP(C177,'2021'!$D:$G,4,0),0)</f>
        <v>0</v>
      </c>
      <c r="Z177" s="388">
        <f>SUMIFS('2021'!$I:$I,'2021'!$E:$E,Category!$B$134,'2021'!$N:$N,Category!Z$1,'2021'!$D:$D,Category!$C177)</f>
        <v>0</v>
      </c>
      <c r="AA177" s="388">
        <f>SUMIFS('2021'!$I:$I,'2021'!$E:$E,Category!$B$134,'2021'!$N:$N,Category!AA$1,'2021'!$D:$D,Category!$C177)</f>
        <v>0</v>
      </c>
      <c r="AB177" s="388">
        <f>SUMIFS('2021'!$I:$I,'2021'!$E:$E,Category!$B$134,'2021'!$N:$N,Category!AB$1,'2021'!$D:$D,Category!$C177)</f>
        <v>0</v>
      </c>
      <c r="AC177" s="388">
        <f>SUMIFS('2021'!$I:$I,'2021'!$E:$E,Category!$B$134,'2021'!$N:$N,Category!AC$1,'2021'!$D:$D,Category!$C177)</f>
        <v>0</v>
      </c>
      <c r="AD177" s="388">
        <f>SUMIFS('2021'!$I:$I,'2021'!$E:$E,Category!$B$134,'2021'!$N:$N,Category!AD$1,'2021'!$D:$D,Category!$C177)</f>
        <v>0</v>
      </c>
      <c r="AE177" s="388">
        <f>SUMIFS('2021'!$I:$I,'2021'!$E:$E,Category!$B$134,'2021'!$N:$N,Category!AE$1,'2021'!$D:$D,Category!$C177)</f>
        <v>0</v>
      </c>
      <c r="AF177" s="388">
        <f>SUMIFS('2021'!$I:$I,'2021'!$E:$E,Category!$B$134,'2021'!$N:$N,Category!AF$1,'2021'!$D:$D,Category!$C177)</f>
        <v>0</v>
      </c>
      <c r="AG177" s="388">
        <f>SUMIFS('2021'!$I:$I,'2021'!$E:$E,Category!$B$134,'2021'!$N:$N,Category!AG$1,'2021'!$D:$D,Category!$C177)</f>
        <v>0</v>
      </c>
      <c r="AH177" s="388">
        <f>SUMIFS('2021'!$I:$I,'2021'!$E:$E,Category!$B$134,'2021'!$N:$N,Category!AH$1,'2021'!$D:$D,Category!$C177)</f>
        <v>0</v>
      </c>
      <c r="AI177" s="388">
        <f>SUMIFS('2021'!$I:$I,'2021'!$E:$E,Category!$B$134,'2021'!$N:$N,Category!AI$1,'2021'!$D:$D,Category!$C177)</f>
        <v>0</v>
      </c>
      <c r="AJ177" s="388">
        <f>SUMIFS('2021'!$I:$I,'2021'!$E:$E,Category!$B$134,'2021'!$N:$N,Category!AJ$1,'2021'!$D:$D,Category!$C177)</f>
        <v>0</v>
      </c>
      <c r="AK177" s="388">
        <f>SUMIFS('2021'!$I:$I,'2021'!$E:$E,Category!$B$134,'2021'!$N:$N,Category!AK$1,'2021'!$D:$D,Category!$C177)</f>
        <v>0</v>
      </c>
      <c r="AL177" s="389">
        <f>SUM(Z177:AK177)</f>
        <v>0</v>
      </c>
      <c r="AM177" s="506">
        <f>IFERROR(VLOOKUP(C177,'2022'!$D:$G,4,0),0)</f>
        <v>0</v>
      </c>
      <c r="AN177" s="388">
        <f>SUMIFS('2022'!$I:$I,'2022'!$E:$E,Category!$B$134,'2022'!$N:$N,Category!AN$1,'2022'!$D:$D,Category!$C177)</f>
        <v>0</v>
      </c>
      <c r="AO177" s="388">
        <f>SUMIFS('2022'!$I:$I,'2022'!$E:$E,Category!$B$134,'2022'!$N:$N,Category!AO$1,'2022'!$D:$D,Category!$C177)</f>
        <v>0</v>
      </c>
      <c r="AP177" s="388">
        <f>SUMIFS('2022'!$I:$I,'2022'!$E:$E,Category!$B$134,'2022'!$N:$N,Category!AP$1,'2022'!$D:$D,Category!$C177)</f>
        <v>0</v>
      </c>
      <c r="AQ177" s="388">
        <f>SUMIFS('2022'!$I:$I,'2022'!$E:$E,Category!$B$134,'2022'!$N:$N,Category!AQ$1,'2022'!$D:$D,Category!$C177)</f>
        <v>5063300</v>
      </c>
      <c r="AR177" s="388">
        <f>SUMIFS('2022'!$I:$I,'2022'!$E:$E,Category!$B$134,'2022'!$N:$N,Category!AR$1,'2022'!$D:$D,Category!$C177)</f>
        <v>0</v>
      </c>
      <c r="AS177" s="388">
        <f>SUMIFS('2022'!$I:$I,'2022'!$E:$E,Category!$B$134,'2022'!$N:$N,Category!AS$1,'2022'!$D:$D,Category!$C177)</f>
        <v>0</v>
      </c>
      <c r="AT177" s="388">
        <f>SUMIFS('2022'!$I:$I,'2022'!$E:$E,Category!$B$134,'2022'!$N:$N,Category!AT$1,'2022'!$D:$D,Category!$C177)</f>
        <v>0</v>
      </c>
      <c r="AU177" s="388">
        <f>SUMIFS('2022'!$I:$I,'2022'!$E:$E,Category!$B$134,'2022'!$N:$N,Category!AU$1,'2022'!$D:$D,Category!$C177)</f>
        <v>0</v>
      </c>
      <c r="AV177" s="388">
        <f>SUMIFS('2022'!$I:$I,'2022'!$E:$E,Category!$B$134,'2022'!$N:$N,Category!AV$1,'2022'!$D:$D,Category!$C177)</f>
        <v>0</v>
      </c>
      <c r="AW177" s="388">
        <f>SUMIFS('2022'!$I:$I,'2022'!$E:$E,Category!$B$134,'2022'!$N:$N,Category!AW$1,'2022'!$D:$D,Category!$C177)</f>
        <v>0</v>
      </c>
      <c r="AX177" s="388">
        <f>SUMIFS('2022'!$I:$I,'2022'!$E:$E,Category!$B$134,'2022'!$N:$N,Category!AX$1,'2022'!$D:$D,Category!$C177)</f>
        <v>0</v>
      </c>
      <c r="AY177" s="388">
        <f>SUMIFS('2022'!$I:$I,'2022'!$E:$E,Category!$B$134,'2022'!$N:$N,Category!AY$1,'2022'!$D:$D,Category!$C177)</f>
        <v>0</v>
      </c>
      <c r="AZ177" s="389">
        <f>SUM(AN177:AY177)</f>
        <v>5063300</v>
      </c>
      <c r="BA177" s="506">
        <f>IFERROR(VLOOKUP(C177,'2023'!$D:$G,4,0),0)</f>
        <v>0</v>
      </c>
      <c r="BB177" s="388">
        <f>SUMIFS('2023'!$I:$I,'2023'!$E:$E,Category!$B$134,'2023'!$N:$N,Category!BB$1,'2023'!$D:$D,Category!$C177)</f>
        <v>0</v>
      </c>
      <c r="BC177" s="388">
        <f>SUMIFS('2023'!$I:$I,'2023'!$E:$E,Category!$B$134,'2023'!$N:$N,Category!BC$1,'2023'!$D:$D,Category!$C177)</f>
        <v>0</v>
      </c>
      <c r="BD177" s="388">
        <f>SUMIFS('2023'!$I:$I,'2023'!$E:$E,Category!$B$134,'2023'!$N:$N,Category!BD$1,'2023'!$D:$D,Category!$C177)</f>
        <v>0</v>
      </c>
      <c r="BE177" s="388">
        <f>SUMIFS('2023'!$I:$I,'2023'!$E:$E,Category!$B$134,'2023'!$N:$N,Category!BE$1,'2023'!$D:$D,Category!$C177)</f>
        <v>0</v>
      </c>
      <c r="BF177" s="388">
        <f>SUMIFS('2023'!$I:$I,'2023'!$E:$E,Category!$B$134,'2023'!$N:$N,Category!BF$1,'2023'!$D:$D,Category!$C177)</f>
        <v>0</v>
      </c>
      <c r="BG177" s="388">
        <f>SUMIFS('2023'!$I:$I,'2023'!$E:$E,Category!$B$134,'2023'!$N:$N,Category!BG$1,'2023'!$D:$D,Category!$C177)</f>
        <v>0</v>
      </c>
      <c r="BH177" s="388">
        <f>SUMIFS('2023'!$I:$I,'2023'!$E:$E,Category!$B$134,'2023'!$N:$N,Category!BH$1,'2023'!$D:$D,Category!$C177)</f>
        <v>0</v>
      </c>
      <c r="BI177" s="388">
        <f>SUMIFS('2023'!$I:$I,'2023'!$E:$E,Category!$B$134,'2023'!$N:$N,Category!BI$1,'2023'!$D:$D,Category!$C177)</f>
        <v>0</v>
      </c>
      <c r="BJ177" s="388">
        <f>SUMIFS('2023'!$I:$I,'2023'!$E:$E,Category!$B$134,'2023'!$N:$N,Category!BJ$1,'2023'!$D:$D,Category!$C177)</f>
        <v>0</v>
      </c>
      <c r="BK177" s="388">
        <f>SUMIFS('2023'!$I:$I,'2023'!$E:$E,Category!$B$134,'2023'!$N:$N,Category!BK$1,'2023'!$D:$D,Category!$C177)</f>
        <v>0</v>
      </c>
      <c r="BL177" s="388">
        <f>SUMIFS('2023'!$I:$I,'2023'!$E:$E,Category!$B$134,'2023'!$N:$N,Category!BL$1,'2023'!$D:$D,Category!$C177)</f>
        <v>0</v>
      </c>
      <c r="BM177" s="388">
        <f>SUMIFS('2023'!$I:$I,'2023'!$E:$E,Category!$B$134,'2023'!$N:$N,Category!BM$1,'2023'!$D:$D,Category!$C177)</f>
        <v>0</v>
      </c>
      <c r="BN177" s="389">
        <f t="shared" si="69"/>
        <v>0</v>
      </c>
    </row>
    <row r="178" spans="1:66" x14ac:dyDescent="0.3">
      <c r="A178" s="386"/>
      <c r="B178" s="387"/>
      <c r="C178" s="387" t="s">
        <v>916</v>
      </c>
      <c r="D178" s="524">
        <f>IFERROR(VLOOKUP($C178,'2019'!$D:$G,4,0),0)</f>
        <v>0</v>
      </c>
      <c r="E178" s="388">
        <f>SUMIFS('2019'!$I:$I,'2019'!$E:$E,Category!$B$134,'2019'!$N:$N,Category!E$1,'2019'!$D:$D,Category!$C178)</f>
        <v>0</v>
      </c>
      <c r="F178" s="388">
        <f>SUMIFS('2019'!$I:$I,'2019'!$E:$E,Category!$B$134,'2019'!$N:$N,Category!F$1,'2019'!$D:$D,Category!$C178)</f>
        <v>0</v>
      </c>
      <c r="G178" s="388">
        <f>SUMIFS('2019'!$I:$I,'2019'!$E:$E,Category!$B$134,'2019'!$N:$N,Category!G$1,'2019'!$D:$D,Category!$C178)</f>
        <v>0</v>
      </c>
      <c r="H178" s="388">
        <f>SUMIFS('2019'!$I:$I,'2019'!$E:$E,Category!$B$134,'2019'!$N:$N,Category!H$1,'2019'!$D:$D,Category!$C178)</f>
        <v>0</v>
      </c>
      <c r="I178" s="388">
        <f>SUMIFS('2019'!$I:$I,'2019'!$E:$E,Category!$B$134,'2019'!$N:$N,Category!I$1,'2019'!$D:$D,Category!$C178)</f>
        <v>0</v>
      </c>
      <c r="J178" s="389">
        <f t="shared" si="71"/>
        <v>0</v>
      </c>
      <c r="K178" s="506">
        <f>IFERROR(VLOOKUP($C178,'2020'!$D:$G,4,0),0)</f>
        <v>0</v>
      </c>
      <c r="L178" s="388">
        <f>SUMIFS('2020'!$I:$I,'2020'!$E:$E,Category!$B$134,'2020'!$N:$N,Category!L$1,'2020'!$D:$D,Category!$C178)</f>
        <v>0</v>
      </c>
      <c r="M178" s="388">
        <f>SUMIFS('2020'!$I:$I,'2020'!$E:$E,Category!$B$134,'2020'!$N:$N,Category!M$1,'2020'!$D:$D,Category!$C178)</f>
        <v>0</v>
      </c>
      <c r="N178" s="388">
        <f>SUMIFS('2020'!$I:$I,'2020'!$E:$E,Category!$B$134,'2020'!$N:$N,Category!N$1,'2020'!$D:$D,Category!$C178)</f>
        <v>0</v>
      </c>
      <c r="O178" s="388">
        <f>SUMIFS('2020'!$I:$I,'2020'!$E:$E,Category!$B$134,'2020'!$N:$N,Category!O$1,'2020'!$D:$D,Category!$C178)</f>
        <v>0</v>
      </c>
      <c r="P178" s="388">
        <f>SUMIFS('2020'!$I:$I,'2020'!$E:$E,Category!$B$134,'2020'!$N:$N,Category!P$1,'2020'!$D:$D,Category!$C178)</f>
        <v>0</v>
      </c>
      <c r="Q178" s="388">
        <f>SUMIFS('2020'!$I:$I,'2020'!$E:$E,Category!$B$134,'2020'!$N:$N,Category!Q$1,'2020'!$D:$D,Category!$C178)</f>
        <v>0</v>
      </c>
      <c r="R178" s="388">
        <f>SUMIFS('2020'!$I:$I,'2020'!$E:$E,Category!$B$134,'2020'!$N:$N,Category!R$1,'2020'!$D:$D,Category!$C178)</f>
        <v>0</v>
      </c>
      <c r="S178" s="388">
        <f>SUMIFS('2020'!$I:$I,'2020'!$E:$E,Category!$B$134,'2020'!$N:$N,Category!S$1,'2020'!$D:$D,Category!$C178)</f>
        <v>0</v>
      </c>
      <c r="T178" s="388">
        <f>SUMIFS('2020'!$I:$I,'2020'!$E:$E,Category!$B$134,'2020'!$N:$N,Category!T$1,'2020'!$D:$D,Category!$C178)</f>
        <v>0</v>
      </c>
      <c r="U178" s="388">
        <f>SUMIFS('2020'!$I:$I,'2020'!$E:$E,Category!$B$134,'2020'!$N:$N,Category!U$1,'2020'!$D:$D,Category!$C178)</f>
        <v>0</v>
      </c>
      <c r="V178" s="388">
        <f>SUMIFS('2020'!$I:$I,'2020'!$E:$E,Category!$B$134,'2020'!$N:$N,Category!V$1,'2020'!$D:$D,Category!$C178)</f>
        <v>0</v>
      </c>
      <c r="W178" s="388">
        <f>SUMIFS('2020'!$I:$I,'2020'!$E:$E,Category!$B$134,'2020'!$N:$N,Category!W$1,'2020'!$D:$D,Category!$C178)</f>
        <v>0</v>
      </c>
      <c r="X178" s="389">
        <f t="shared" si="68"/>
        <v>0</v>
      </c>
      <c r="Y178" s="506">
        <f>IFERROR(VLOOKUP(C178,'2021'!$D:$G,4,0),0)</f>
        <v>0</v>
      </c>
      <c r="Z178" s="388">
        <f>SUMIFS('2021'!$I:$I,'2021'!$E:$E,Category!$B$134,'2021'!$N:$N,Category!Z$1,'2021'!$D:$D,Category!$C178)</f>
        <v>0</v>
      </c>
      <c r="AA178" s="388">
        <f>SUMIFS('2021'!$I:$I,'2021'!$E:$E,Category!$B$134,'2021'!$N:$N,Category!AA$1,'2021'!$D:$D,Category!$C178)</f>
        <v>0</v>
      </c>
      <c r="AB178" s="388">
        <f>SUMIFS('2021'!$I:$I,'2021'!$E:$E,Category!$B$134,'2021'!$N:$N,Category!AB$1,'2021'!$D:$D,Category!$C178)</f>
        <v>0</v>
      </c>
      <c r="AC178" s="388">
        <f>SUMIFS('2021'!$I:$I,'2021'!$E:$E,Category!$B$134,'2021'!$N:$N,Category!AC$1,'2021'!$D:$D,Category!$C178)</f>
        <v>0</v>
      </c>
      <c r="AD178" s="388">
        <f>SUMIFS('2021'!$I:$I,'2021'!$E:$E,Category!$B$134,'2021'!$N:$N,Category!AD$1,'2021'!$D:$D,Category!$C178)</f>
        <v>0</v>
      </c>
      <c r="AE178" s="388">
        <f>SUMIFS('2021'!$I:$I,'2021'!$E:$E,Category!$B$134,'2021'!$N:$N,Category!AE$1,'2021'!$D:$D,Category!$C178)</f>
        <v>0</v>
      </c>
      <c r="AF178" s="388">
        <f>SUMIFS('2021'!$I:$I,'2021'!$E:$E,Category!$B$134,'2021'!$N:$N,Category!AF$1,'2021'!$D:$D,Category!$C178)</f>
        <v>0</v>
      </c>
      <c r="AG178" s="388">
        <f>SUMIFS('2021'!$I:$I,'2021'!$E:$E,Category!$B$134,'2021'!$N:$N,Category!AG$1,'2021'!$D:$D,Category!$C178)</f>
        <v>0</v>
      </c>
      <c r="AH178" s="388">
        <f>SUMIFS('2021'!$I:$I,'2021'!$E:$E,Category!$B$134,'2021'!$N:$N,Category!AH$1,'2021'!$D:$D,Category!$C178)</f>
        <v>0</v>
      </c>
      <c r="AI178" s="388">
        <f>SUMIFS('2021'!$I:$I,'2021'!$E:$E,Category!$B$134,'2021'!$N:$N,Category!AI$1,'2021'!$D:$D,Category!$C178)</f>
        <v>0</v>
      </c>
      <c r="AJ178" s="388">
        <f>SUMIFS('2021'!$I:$I,'2021'!$E:$E,Category!$B$134,'2021'!$N:$N,Category!AJ$1,'2021'!$D:$D,Category!$C178)</f>
        <v>0</v>
      </c>
      <c r="AK178" s="388">
        <f>SUMIFS('2021'!$I:$I,'2021'!$E:$E,Category!$B$134,'2021'!$N:$N,Category!AK$1,'2021'!$D:$D,Category!$C178)</f>
        <v>0</v>
      </c>
      <c r="AL178" s="389">
        <f t="shared" si="67"/>
        <v>0</v>
      </c>
      <c r="AM178" s="506">
        <f>IFERROR(VLOOKUP(C178,'2022'!$D:$G,4,0),0)</f>
        <v>1</v>
      </c>
      <c r="AN178" s="388">
        <f>SUMIFS('2022'!$I:$I,'2022'!$E:$E,Category!$B$134,'2022'!$N:$N,Category!AN$1,'2022'!$D:$D,Category!$C178)</f>
        <v>500000</v>
      </c>
      <c r="AO178" s="388">
        <f>SUMIFS('2022'!$I:$I,'2022'!$E:$E,Category!$B$134,'2022'!$N:$N,Category!AO$1,'2022'!$D:$D,Category!$C178)</f>
        <v>500000</v>
      </c>
      <c r="AP178" s="388">
        <f>SUMIFS('2022'!$I:$I,'2022'!$E:$E,Category!$B$134,'2022'!$N:$N,Category!AP$1,'2022'!$D:$D,Category!$C178)</f>
        <v>500000</v>
      </c>
      <c r="AQ178" s="388">
        <f>SUMIFS('2022'!$I:$I,'2022'!$E:$E,Category!$B$134,'2022'!$N:$N,Category!AQ$1,'2022'!$D:$D,Category!$C178)</f>
        <v>500000</v>
      </c>
      <c r="AR178" s="388">
        <f>SUMIFS('2022'!$I:$I,'2022'!$E:$E,Category!$B$134,'2022'!$N:$N,Category!AR$1,'2022'!$D:$D,Category!$C178)</f>
        <v>500000</v>
      </c>
      <c r="AS178" s="388">
        <f>SUMIFS('2022'!$I:$I,'2022'!$E:$E,Category!$B$134,'2022'!$N:$N,Category!AS$1,'2022'!$D:$D,Category!$C178)</f>
        <v>500000</v>
      </c>
      <c r="AT178" s="388">
        <f>SUMIFS('2022'!$I:$I,'2022'!$E:$E,Category!$B$134,'2022'!$N:$N,Category!AT$1,'2022'!$D:$D,Category!$C178)</f>
        <v>500000</v>
      </c>
      <c r="AU178" s="388">
        <f>SUMIFS('2022'!$I:$I,'2022'!$E:$E,Category!$B$134,'2022'!$N:$N,Category!AU$1,'2022'!$D:$D,Category!$C178)</f>
        <v>500000</v>
      </c>
      <c r="AV178" s="388">
        <f>SUMIFS('2022'!$I:$I,'2022'!$E:$E,Category!$B$134,'2022'!$N:$N,Category!AV$1,'2022'!$D:$D,Category!$C178)</f>
        <v>500000</v>
      </c>
      <c r="AW178" s="388">
        <f>SUMIFS('2022'!$I:$I,'2022'!$E:$E,Category!$B$134,'2022'!$N:$N,Category!AW$1,'2022'!$D:$D,Category!$C178)</f>
        <v>500000</v>
      </c>
      <c r="AX178" s="388">
        <f>SUMIFS('2022'!$I:$I,'2022'!$E:$E,Category!$B$134,'2022'!$N:$N,Category!AX$1,'2022'!$D:$D,Category!$C178)</f>
        <v>500000</v>
      </c>
      <c r="AY178" s="388">
        <f>SUMIFS('2022'!$I:$I,'2022'!$E:$E,Category!$B$134,'2022'!$N:$N,Category!AY$1,'2022'!$D:$D,Category!$C178)</f>
        <v>500000</v>
      </c>
      <c r="AZ178" s="389">
        <f t="shared" si="70"/>
        <v>6000000</v>
      </c>
      <c r="BA178" s="506">
        <f>IFERROR(VLOOKUP(C178,'2023'!$D:$G,4,0),0)</f>
        <v>1</v>
      </c>
      <c r="BB178" s="388">
        <f>SUMIFS('2023'!$I:$I,'2023'!$E:$E,Category!$B$134,'2023'!$N:$N,Category!BB$1,'2023'!$D:$D,Category!$C178)</f>
        <v>500000</v>
      </c>
      <c r="BC178" s="388">
        <f>SUMIFS('2023'!$I:$I,'2023'!$E:$E,Category!$B$134,'2023'!$N:$N,Category!BC$1,'2023'!$D:$D,Category!$C178)</f>
        <v>500000</v>
      </c>
      <c r="BD178" s="388">
        <f>SUMIFS('2023'!$I:$I,'2023'!$E:$E,Category!$B$134,'2023'!$N:$N,Category!BD$1,'2023'!$D:$D,Category!$C178)</f>
        <v>0</v>
      </c>
      <c r="BE178" s="388">
        <f>SUMIFS('2023'!$I:$I,'2023'!$E:$E,Category!$B$134,'2023'!$N:$N,Category!BE$1,'2023'!$D:$D,Category!$C178)</f>
        <v>0</v>
      </c>
      <c r="BF178" s="388">
        <f>SUMIFS('2023'!$I:$I,'2023'!$E:$E,Category!$B$134,'2023'!$N:$N,Category!BF$1,'2023'!$D:$D,Category!$C178)</f>
        <v>0</v>
      </c>
      <c r="BG178" s="388">
        <f>SUMIFS('2023'!$I:$I,'2023'!$E:$E,Category!$B$134,'2023'!$N:$N,Category!BG$1,'2023'!$D:$D,Category!$C178)</f>
        <v>0</v>
      </c>
      <c r="BH178" s="388">
        <f>SUMIFS('2023'!$I:$I,'2023'!$E:$E,Category!$B$134,'2023'!$N:$N,Category!BH$1,'2023'!$D:$D,Category!$C178)</f>
        <v>0</v>
      </c>
      <c r="BI178" s="388">
        <f>SUMIFS('2023'!$I:$I,'2023'!$E:$E,Category!$B$134,'2023'!$N:$N,Category!BI$1,'2023'!$D:$D,Category!$C178)</f>
        <v>0</v>
      </c>
      <c r="BJ178" s="388">
        <f>SUMIFS('2023'!$I:$I,'2023'!$E:$E,Category!$B$134,'2023'!$N:$N,Category!BJ$1,'2023'!$D:$D,Category!$C178)</f>
        <v>0</v>
      </c>
      <c r="BK178" s="388">
        <f>SUMIFS('2023'!$I:$I,'2023'!$E:$E,Category!$B$134,'2023'!$N:$N,Category!BK$1,'2023'!$D:$D,Category!$C178)</f>
        <v>0</v>
      </c>
      <c r="BL178" s="388">
        <f>SUMIFS('2023'!$I:$I,'2023'!$E:$E,Category!$B$134,'2023'!$N:$N,Category!BL$1,'2023'!$D:$D,Category!$C178)</f>
        <v>0</v>
      </c>
      <c r="BM178" s="388">
        <f>SUMIFS('2023'!$I:$I,'2023'!$E:$E,Category!$B$134,'2023'!$N:$N,Category!BM$1,'2023'!$D:$D,Category!$C178)</f>
        <v>0</v>
      </c>
      <c r="BN178" s="389">
        <f t="shared" si="69"/>
        <v>1000000</v>
      </c>
    </row>
    <row r="179" spans="1:66" x14ac:dyDescent="0.3">
      <c r="A179" s="386"/>
      <c r="B179" s="387"/>
      <c r="C179" s="387" t="s">
        <v>917</v>
      </c>
      <c r="D179" s="524">
        <f>IFERROR(VLOOKUP($C179,'2019'!$D:$G,4,0),0)</f>
        <v>0</v>
      </c>
      <c r="E179" s="388">
        <f>SUMIFS('2019'!$I:$I,'2019'!$E:$E,Category!$B$134,'2019'!$N:$N,Category!E$1,'2019'!$D:$D,Category!$C179)</f>
        <v>0</v>
      </c>
      <c r="F179" s="388">
        <f>SUMIFS('2019'!$I:$I,'2019'!$E:$E,Category!$B$134,'2019'!$N:$N,Category!F$1,'2019'!$D:$D,Category!$C179)</f>
        <v>0</v>
      </c>
      <c r="G179" s="388">
        <f>SUMIFS('2019'!$I:$I,'2019'!$E:$E,Category!$B$134,'2019'!$N:$N,Category!G$1,'2019'!$D:$D,Category!$C179)</f>
        <v>0</v>
      </c>
      <c r="H179" s="388">
        <f>SUMIFS('2019'!$I:$I,'2019'!$E:$E,Category!$B$134,'2019'!$N:$N,Category!H$1,'2019'!$D:$D,Category!$C179)</f>
        <v>0</v>
      </c>
      <c r="I179" s="388">
        <f>SUMIFS('2019'!$I:$I,'2019'!$E:$E,Category!$B$134,'2019'!$N:$N,Category!I$1,'2019'!$D:$D,Category!$C179)</f>
        <v>0</v>
      </c>
      <c r="J179" s="389">
        <f t="shared" si="71"/>
        <v>0</v>
      </c>
      <c r="K179" s="506">
        <f>IFERROR(VLOOKUP($C179,'2020'!$D:$G,4,0),0)</f>
        <v>0</v>
      </c>
      <c r="L179" s="388">
        <f>SUMIFS('2020'!$I:$I,'2020'!$E:$E,Category!$B$134,'2020'!$N:$N,Category!L$1,'2020'!$D:$D,Category!$C179)</f>
        <v>0</v>
      </c>
      <c r="M179" s="388">
        <f>SUMIFS('2020'!$I:$I,'2020'!$E:$E,Category!$B$134,'2020'!$N:$N,Category!M$1,'2020'!$D:$D,Category!$C179)</f>
        <v>0</v>
      </c>
      <c r="N179" s="388">
        <f>SUMIFS('2020'!$I:$I,'2020'!$E:$E,Category!$B$134,'2020'!$N:$N,Category!N$1,'2020'!$D:$D,Category!$C179)</f>
        <v>0</v>
      </c>
      <c r="O179" s="388">
        <f>SUMIFS('2020'!$I:$I,'2020'!$E:$E,Category!$B$134,'2020'!$N:$N,Category!O$1,'2020'!$D:$D,Category!$C179)</f>
        <v>0</v>
      </c>
      <c r="P179" s="388">
        <f>SUMIFS('2020'!$I:$I,'2020'!$E:$E,Category!$B$134,'2020'!$N:$N,Category!P$1,'2020'!$D:$D,Category!$C179)</f>
        <v>0</v>
      </c>
      <c r="Q179" s="388">
        <f>SUMIFS('2020'!$I:$I,'2020'!$E:$E,Category!$B$134,'2020'!$N:$N,Category!Q$1,'2020'!$D:$D,Category!$C179)</f>
        <v>0</v>
      </c>
      <c r="R179" s="388">
        <f>SUMIFS('2020'!$I:$I,'2020'!$E:$E,Category!$B$134,'2020'!$N:$N,Category!R$1,'2020'!$D:$D,Category!$C179)</f>
        <v>0</v>
      </c>
      <c r="S179" s="388">
        <f>SUMIFS('2020'!$I:$I,'2020'!$E:$E,Category!$B$134,'2020'!$N:$N,Category!S$1,'2020'!$D:$D,Category!$C179)</f>
        <v>0</v>
      </c>
      <c r="T179" s="388">
        <f>SUMIFS('2020'!$I:$I,'2020'!$E:$E,Category!$B$134,'2020'!$N:$N,Category!T$1,'2020'!$D:$D,Category!$C179)</f>
        <v>0</v>
      </c>
      <c r="U179" s="388">
        <f>SUMIFS('2020'!$I:$I,'2020'!$E:$E,Category!$B$134,'2020'!$N:$N,Category!U$1,'2020'!$D:$D,Category!$C179)</f>
        <v>0</v>
      </c>
      <c r="V179" s="388">
        <f>SUMIFS('2020'!$I:$I,'2020'!$E:$E,Category!$B$134,'2020'!$N:$N,Category!V$1,'2020'!$D:$D,Category!$C179)</f>
        <v>0</v>
      </c>
      <c r="W179" s="388">
        <f>SUMIFS('2020'!$I:$I,'2020'!$E:$E,Category!$B$134,'2020'!$N:$N,Category!W$1,'2020'!$D:$D,Category!$C179)</f>
        <v>0</v>
      </c>
      <c r="X179" s="389">
        <f t="shared" si="68"/>
        <v>0</v>
      </c>
      <c r="Y179" s="506">
        <f>IFERROR(VLOOKUP(C179,'2021'!$D:$G,4,0),0)</f>
        <v>0</v>
      </c>
      <c r="Z179" s="388">
        <f>SUMIFS('2021'!$I:$I,'2021'!$E:$E,Category!$B$134,'2021'!$N:$N,Category!Z$1,'2021'!$D:$D,Category!$C179)</f>
        <v>0</v>
      </c>
      <c r="AA179" s="388">
        <f>SUMIFS('2021'!$I:$I,'2021'!$E:$E,Category!$B$134,'2021'!$N:$N,Category!AA$1,'2021'!$D:$D,Category!$C179)</f>
        <v>0</v>
      </c>
      <c r="AB179" s="388">
        <f>SUMIFS('2021'!$I:$I,'2021'!$E:$E,Category!$B$134,'2021'!$N:$N,Category!AB$1,'2021'!$D:$D,Category!$C179)</f>
        <v>0</v>
      </c>
      <c r="AC179" s="388">
        <f>SUMIFS('2021'!$I:$I,'2021'!$E:$E,Category!$B$134,'2021'!$N:$N,Category!AC$1,'2021'!$D:$D,Category!$C179)</f>
        <v>0</v>
      </c>
      <c r="AD179" s="388">
        <f>SUMIFS('2021'!$I:$I,'2021'!$E:$E,Category!$B$134,'2021'!$N:$N,Category!AD$1,'2021'!$D:$D,Category!$C179)</f>
        <v>0</v>
      </c>
      <c r="AE179" s="388">
        <f>SUMIFS('2021'!$I:$I,'2021'!$E:$E,Category!$B$134,'2021'!$N:$N,Category!AE$1,'2021'!$D:$D,Category!$C179)</f>
        <v>0</v>
      </c>
      <c r="AF179" s="388">
        <f>SUMIFS('2021'!$I:$I,'2021'!$E:$E,Category!$B$134,'2021'!$N:$N,Category!AF$1,'2021'!$D:$D,Category!$C179)</f>
        <v>0</v>
      </c>
      <c r="AG179" s="388">
        <f>SUMIFS('2021'!$I:$I,'2021'!$E:$E,Category!$B$134,'2021'!$N:$N,Category!AG$1,'2021'!$D:$D,Category!$C179)</f>
        <v>0</v>
      </c>
      <c r="AH179" s="388">
        <f>SUMIFS('2021'!$I:$I,'2021'!$E:$E,Category!$B$134,'2021'!$N:$N,Category!AH$1,'2021'!$D:$D,Category!$C179)</f>
        <v>0</v>
      </c>
      <c r="AI179" s="388">
        <f>SUMIFS('2021'!$I:$I,'2021'!$E:$E,Category!$B$134,'2021'!$N:$N,Category!AI$1,'2021'!$D:$D,Category!$C179)</f>
        <v>0</v>
      </c>
      <c r="AJ179" s="388">
        <f>SUMIFS('2021'!$I:$I,'2021'!$E:$E,Category!$B$134,'2021'!$N:$N,Category!AJ$1,'2021'!$D:$D,Category!$C179)</f>
        <v>0</v>
      </c>
      <c r="AK179" s="388">
        <f>SUMIFS('2021'!$I:$I,'2021'!$E:$E,Category!$B$134,'2021'!$N:$N,Category!AK$1,'2021'!$D:$D,Category!$C179)</f>
        <v>0</v>
      </c>
      <c r="AL179" s="389">
        <f t="shared" si="67"/>
        <v>0</v>
      </c>
      <c r="AM179" s="506">
        <f>IFERROR(VLOOKUP(C179,'2022'!$D:$G,4,0),0)</f>
        <v>1</v>
      </c>
      <c r="AN179" s="388">
        <f>SUMIFS('2022'!$I:$I,'2022'!$E:$E,Category!$B$134,'2022'!$N:$N,Category!AN$1,'2022'!$D:$D,Category!$C179)</f>
        <v>500000</v>
      </c>
      <c r="AO179" s="388">
        <f>SUMIFS('2022'!$I:$I,'2022'!$E:$E,Category!$B$134,'2022'!$N:$N,Category!AO$1,'2022'!$D:$D,Category!$C179)</f>
        <v>500000</v>
      </c>
      <c r="AP179" s="388">
        <f>SUMIFS('2022'!$I:$I,'2022'!$E:$E,Category!$B$134,'2022'!$N:$N,Category!AP$1,'2022'!$D:$D,Category!$C179)</f>
        <v>500000</v>
      </c>
      <c r="AQ179" s="388">
        <f>SUMIFS('2022'!$I:$I,'2022'!$E:$E,Category!$B$134,'2022'!$N:$N,Category!AQ$1,'2022'!$D:$D,Category!$C179)</f>
        <v>500000</v>
      </c>
      <c r="AR179" s="388">
        <f>SUMIFS('2022'!$I:$I,'2022'!$E:$E,Category!$B$134,'2022'!$N:$N,Category!AR$1,'2022'!$D:$D,Category!$C179)</f>
        <v>500000</v>
      </c>
      <c r="AS179" s="388">
        <f>SUMIFS('2022'!$I:$I,'2022'!$E:$E,Category!$B$134,'2022'!$N:$N,Category!AS$1,'2022'!$D:$D,Category!$C179)</f>
        <v>500000</v>
      </c>
      <c r="AT179" s="388">
        <f>SUMIFS('2022'!$I:$I,'2022'!$E:$E,Category!$B$134,'2022'!$N:$N,Category!AT$1,'2022'!$D:$D,Category!$C179)</f>
        <v>500000</v>
      </c>
      <c r="AU179" s="388">
        <f>SUMIFS('2022'!$I:$I,'2022'!$E:$E,Category!$B$134,'2022'!$N:$N,Category!AU$1,'2022'!$D:$D,Category!$C179)</f>
        <v>500000</v>
      </c>
      <c r="AV179" s="388">
        <f>SUMIFS('2022'!$I:$I,'2022'!$E:$E,Category!$B$134,'2022'!$N:$N,Category!AV$1,'2022'!$D:$D,Category!$C179)</f>
        <v>0</v>
      </c>
      <c r="AW179" s="388">
        <f>SUMIFS('2022'!$I:$I,'2022'!$E:$E,Category!$B$134,'2022'!$N:$N,Category!AW$1,'2022'!$D:$D,Category!$C179)</f>
        <v>0</v>
      </c>
      <c r="AX179" s="388">
        <f>SUMIFS('2022'!$I:$I,'2022'!$E:$E,Category!$B$134,'2022'!$N:$N,Category!AX$1,'2022'!$D:$D,Category!$C179)</f>
        <v>0</v>
      </c>
      <c r="AY179" s="388">
        <f>SUMIFS('2022'!$I:$I,'2022'!$E:$E,Category!$B$134,'2022'!$N:$N,Category!AY$1,'2022'!$D:$D,Category!$C179)</f>
        <v>0</v>
      </c>
      <c r="AZ179" s="389">
        <f t="shared" si="70"/>
        <v>4000000</v>
      </c>
      <c r="BA179" s="506">
        <f>IFERROR(VLOOKUP(C179,'2023'!$D:$G,4,0),0)</f>
        <v>0</v>
      </c>
      <c r="BB179" s="388">
        <f>SUMIFS('2023'!$I:$I,'2023'!$E:$E,Category!$B$134,'2023'!$N:$N,Category!BB$1,'2023'!$D:$D,Category!$C179)</f>
        <v>0</v>
      </c>
      <c r="BC179" s="388">
        <f>SUMIFS('2023'!$I:$I,'2023'!$E:$E,Category!$B$134,'2023'!$N:$N,Category!BC$1,'2023'!$D:$D,Category!$C179)</f>
        <v>0</v>
      </c>
      <c r="BD179" s="388">
        <f>SUMIFS('2023'!$I:$I,'2023'!$E:$E,Category!$B$134,'2023'!$N:$N,Category!BD$1,'2023'!$D:$D,Category!$C179)</f>
        <v>0</v>
      </c>
      <c r="BE179" s="388">
        <f>SUMIFS('2023'!$I:$I,'2023'!$E:$E,Category!$B$134,'2023'!$N:$N,Category!BE$1,'2023'!$D:$D,Category!$C179)</f>
        <v>0</v>
      </c>
      <c r="BF179" s="388">
        <f>SUMIFS('2023'!$I:$I,'2023'!$E:$E,Category!$B$134,'2023'!$N:$N,Category!BF$1,'2023'!$D:$D,Category!$C179)</f>
        <v>0</v>
      </c>
      <c r="BG179" s="388">
        <f>SUMIFS('2023'!$I:$I,'2023'!$E:$E,Category!$B$134,'2023'!$N:$N,Category!BG$1,'2023'!$D:$D,Category!$C179)</f>
        <v>0</v>
      </c>
      <c r="BH179" s="388">
        <f>SUMIFS('2023'!$I:$I,'2023'!$E:$E,Category!$B$134,'2023'!$N:$N,Category!BH$1,'2023'!$D:$D,Category!$C179)</f>
        <v>0</v>
      </c>
      <c r="BI179" s="388">
        <f>SUMIFS('2023'!$I:$I,'2023'!$E:$E,Category!$B$134,'2023'!$N:$N,Category!BI$1,'2023'!$D:$D,Category!$C179)</f>
        <v>0</v>
      </c>
      <c r="BJ179" s="388">
        <f>SUMIFS('2023'!$I:$I,'2023'!$E:$E,Category!$B$134,'2023'!$N:$N,Category!BJ$1,'2023'!$D:$D,Category!$C179)</f>
        <v>0</v>
      </c>
      <c r="BK179" s="388">
        <f>SUMIFS('2023'!$I:$I,'2023'!$E:$E,Category!$B$134,'2023'!$N:$N,Category!BK$1,'2023'!$D:$D,Category!$C179)</f>
        <v>0</v>
      </c>
      <c r="BL179" s="388">
        <f>SUMIFS('2023'!$I:$I,'2023'!$E:$E,Category!$B$134,'2023'!$N:$N,Category!BL$1,'2023'!$D:$D,Category!$C179)</f>
        <v>0</v>
      </c>
      <c r="BM179" s="388">
        <f>SUMIFS('2023'!$I:$I,'2023'!$E:$E,Category!$B$134,'2023'!$N:$N,Category!BM$1,'2023'!$D:$D,Category!$C179)</f>
        <v>0</v>
      </c>
      <c r="BN179" s="389">
        <f t="shared" si="69"/>
        <v>0</v>
      </c>
    </row>
    <row r="180" spans="1:66" x14ac:dyDescent="0.3">
      <c r="A180" s="386"/>
      <c r="B180" s="387"/>
      <c r="C180" s="387" t="s">
        <v>918</v>
      </c>
      <c r="D180" s="524">
        <f>IFERROR(VLOOKUP($C180,'2019'!$D:$G,4,0),0)</f>
        <v>0</v>
      </c>
      <c r="E180" s="388">
        <f>SUMIFS('2019'!$I:$I,'2019'!$E:$E,Category!$B$134,'2019'!$N:$N,Category!E$1,'2019'!$D:$D,Category!$C180)</f>
        <v>0</v>
      </c>
      <c r="F180" s="388">
        <f>SUMIFS('2019'!$I:$I,'2019'!$E:$E,Category!$B$134,'2019'!$N:$N,Category!F$1,'2019'!$D:$D,Category!$C180)</f>
        <v>0</v>
      </c>
      <c r="G180" s="388">
        <f>SUMIFS('2019'!$I:$I,'2019'!$E:$E,Category!$B$134,'2019'!$N:$N,Category!G$1,'2019'!$D:$D,Category!$C180)</f>
        <v>0</v>
      </c>
      <c r="H180" s="388">
        <f>SUMIFS('2019'!$I:$I,'2019'!$E:$E,Category!$B$134,'2019'!$N:$N,Category!H$1,'2019'!$D:$D,Category!$C180)</f>
        <v>0</v>
      </c>
      <c r="I180" s="388">
        <f>SUMIFS('2019'!$I:$I,'2019'!$E:$E,Category!$B$134,'2019'!$N:$N,Category!I$1,'2019'!$D:$D,Category!$C180)</f>
        <v>0</v>
      </c>
      <c r="J180" s="389">
        <f t="shared" si="71"/>
        <v>0</v>
      </c>
      <c r="K180" s="506">
        <f>IFERROR(VLOOKUP($C180,'2020'!$D:$G,4,0),0)</f>
        <v>0</v>
      </c>
      <c r="L180" s="388">
        <f>SUMIFS('2020'!$I:$I,'2020'!$E:$E,Category!$B$134,'2020'!$N:$N,Category!L$1,'2020'!$D:$D,Category!$C180)</f>
        <v>0</v>
      </c>
      <c r="M180" s="388">
        <f>SUMIFS('2020'!$I:$I,'2020'!$E:$E,Category!$B$134,'2020'!$N:$N,Category!M$1,'2020'!$D:$D,Category!$C180)</f>
        <v>0</v>
      </c>
      <c r="N180" s="388">
        <f>SUMIFS('2020'!$I:$I,'2020'!$E:$E,Category!$B$134,'2020'!$N:$N,Category!N$1,'2020'!$D:$D,Category!$C180)</f>
        <v>0</v>
      </c>
      <c r="O180" s="388">
        <f>SUMIFS('2020'!$I:$I,'2020'!$E:$E,Category!$B$134,'2020'!$N:$N,Category!O$1,'2020'!$D:$D,Category!$C180)</f>
        <v>0</v>
      </c>
      <c r="P180" s="388">
        <f>SUMIFS('2020'!$I:$I,'2020'!$E:$E,Category!$B$134,'2020'!$N:$N,Category!P$1,'2020'!$D:$D,Category!$C180)</f>
        <v>0</v>
      </c>
      <c r="Q180" s="388">
        <f>SUMIFS('2020'!$I:$I,'2020'!$E:$E,Category!$B$134,'2020'!$N:$N,Category!Q$1,'2020'!$D:$D,Category!$C180)</f>
        <v>0</v>
      </c>
      <c r="R180" s="388">
        <f>SUMIFS('2020'!$I:$I,'2020'!$E:$E,Category!$B$134,'2020'!$N:$N,Category!R$1,'2020'!$D:$D,Category!$C180)</f>
        <v>0</v>
      </c>
      <c r="S180" s="388">
        <f>SUMIFS('2020'!$I:$I,'2020'!$E:$E,Category!$B$134,'2020'!$N:$N,Category!S$1,'2020'!$D:$D,Category!$C180)</f>
        <v>0</v>
      </c>
      <c r="T180" s="388">
        <f>SUMIFS('2020'!$I:$I,'2020'!$E:$E,Category!$B$134,'2020'!$N:$N,Category!T$1,'2020'!$D:$D,Category!$C180)</f>
        <v>0</v>
      </c>
      <c r="U180" s="388">
        <f>SUMIFS('2020'!$I:$I,'2020'!$E:$E,Category!$B$134,'2020'!$N:$N,Category!U$1,'2020'!$D:$D,Category!$C180)</f>
        <v>0</v>
      </c>
      <c r="V180" s="388">
        <f>SUMIFS('2020'!$I:$I,'2020'!$E:$E,Category!$B$134,'2020'!$N:$N,Category!V$1,'2020'!$D:$D,Category!$C180)</f>
        <v>0</v>
      </c>
      <c r="W180" s="388">
        <f>SUMIFS('2020'!$I:$I,'2020'!$E:$E,Category!$B$134,'2020'!$N:$N,Category!W$1,'2020'!$D:$D,Category!$C180)</f>
        <v>0</v>
      </c>
      <c r="X180" s="389">
        <f t="shared" si="68"/>
        <v>0</v>
      </c>
      <c r="Y180" s="506">
        <f>IFERROR(VLOOKUP(C180,'2021'!$D:$G,4,0),0)</f>
        <v>0</v>
      </c>
      <c r="Z180" s="388">
        <f>SUMIFS('2021'!$I:$I,'2021'!$E:$E,Category!$B$134,'2021'!$N:$N,Category!Z$1,'2021'!$D:$D,Category!$C180)</f>
        <v>0</v>
      </c>
      <c r="AA180" s="388">
        <f>SUMIFS('2021'!$I:$I,'2021'!$E:$E,Category!$B$134,'2021'!$N:$N,Category!AA$1,'2021'!$D:$D,Category!$C180)</f>
        <v>0</v>
      </c>
      <c r="AB180" s="388">
        <f>SUMIFS('2021'!$I:$I,'2021'!$E:$E,Category!$B$134,'2021'!$N:$N,Category!AB$1,'2021'!$D:$D,Category!$C180)</f>
        <v>0</v>
      </c>
      <c r="AC180" s="388">
        <f>SUMIFS('2021'!$I:$I,'2021'!$E:$E,Category!$B$134,'2021'!$N:$N,Category!AC$1,'2021'!$D:$D,Category!$C180)</f>
        <v>0</v>
      </c>
      <c r="AD180" s="388">
        <f>SUMIFS('2021'!$I:$I,'2021'!$E:$E,Category!$B$134,'2021'!$N:$N,Category!AD$1,'2021'!$D:$D,Category!$C180)</f>
        <v>0</v>
      </c>
      <c r="AE180" s="388">
        <f>SUMIFS('2021'!$I:$I,'2021'!$E:$E,Category!$B$134,'2021'!$N:$N,Category!AE$1,'2021'!$D:$D,Category!$C180)</f>
        <v>0</v>
      </c>
      <c r="AF180" s="388">
        <f>SUMIFS('2021'!$I:$I,'2021'!$E:$E,Category!$B$134,'2021'!$N:$N,Category!AF$1,'2021'!$D:$D,Category!$C180)</f>
        <v>0</v>
      </c>
      <c r="AG180" s="388">
        <f>SUMIFS('2021'!$I:$I,'2021'!$E:$E,Category!$B$134,'2021'!$N:$N,Category!AG$1,'2021'!$D:$D,Category!$C180)</f>
        <v>0</v>
      </c>
      <c r="AH180" s="388">
        <f>SUMIFS('2021'!$I:$I,'2021'!$E:$E,Category!$B$134,'2021'!$N:$N,Category!AH$1,'2021'!$D:$D,Category!$C180)</f>
        <v>0</v>
      </c>
      <c r="AI180" s="388">
        <f>SUMIFS('2021'!$I:$I,'2021'!$E:$E,Category!$B$134,'2021'!$N:$N,Category!AI$1,'2021'!$D:$D,Category!$C180)</f>
        <v>0</v>
      </c>
      <c r="AJ180" s="388">
        <f>SUMIFS('2021'!$I:$I,'2021'!$E:$E,Category!$B$134,'2021'!$N:$N,Category!AJ$1,'2021'!$D:$D,Category!$C180)</f>
        <v>0</v>
      </c>
      <c r="AK180" s="388">
        <f>SUMIFS('2021'!$I:$I,'2021'!$E:$E,Category!$B$134,'2021'!$N:$N,Category!AK$1,'2021'!$D:$D,Category!$C180)</f>
        <v>0</v>
      </c>
      <c r="AL180" s="389">
        <f t="shared" si="67"/>
        <v>0</v>
      </c>
      <c r="AM180" s="506">
        <f>IFERROR(VLOOKUP(C180,'2022'!$D:$G,4,0),0)</f>
        <v>1</v>
      </c>
      <c r="AN180" s="388">
        <f>SUMIFS('2022'!$I:$I,'2022'!$E:$E,Category!$B$134,'2022'!$N:$N,Category!AN$1,'2022'!$D:$D,Category!$C180)</f>
        <v>500000</v>
      </c>
      <c r="AO180" s="388">
        <f>SUMIFS('2022'!$I:$I,'2022'!$E:$E,Category!$B$134,'2022'!$N:$N,Category!AO$1,'2022'!$D:$D,Category!$C180)</f>
        <v>500000</v>
      </c>
      <c r="AP180" s="388">
        <f>SUMIFS('2022'!$I:$I,'2022'!$E:$E,Category!$B$134,'2022'!$N:$N,Category!AP$1,'2022'!$D:$D,Category!$C180)</f>
        <v>500000</v>
      </c>
      <c r="AQ180" s="388">
        <f>SUMIFS('2022'!$I:$I,'2022'!$E:$E,Category!$B$134,'2022'!$N:$N,Category!AQ$1,'2022'!$D:$D,Category!$C180)</f>
        <v>500000</v>
      </c>
      <c r="AR180" s="388">
        <f>SUMIFS('2022'!$I:$I,'2022'!$E:$E,Category!$B$134,'2022'!$N:$N,Category!AR$1,'2022'!$D:$D,Category!$C180)</f>
        <v>500000</v>
      </c>
      <c r="AS180" s="388">
        <f>SUMIFS('2022'!$I:$I,'2022'!$E:$E,Category!$B$134,'2022'!$N:$N,Category!AS$1,'2022'!$D:$D,Category!$C180)</f>
        <v>500000</v>
      </c>
      <c r="AT180" s="388">
        <f>SUMIFS('2022'!$I:$I,'2022'!$E:$E,Category!$B$134,'2022'!$N:$N,Category!AT$1,'2022'!$D:$D,Category!$C180)</f>
        <v>500000</v>
      </c>
      <c r="AU180" s="388">
        <f>SUMIFS('2022'!$I:$I,'2022'!$E:$E,Category!$B$134,'2022'!$N:$N,Category!AU$1,'2022'!$D:$D,Category!$C180)</f>
        <v>500000</v>
      </c>
      <c r="AV180" s="388">
        <f>SUMIFS('2022'!$I:$I,'2022'!$E:$E,Category!$B$134,'2022'!$N:$N,Category!AV$1,'2022'!$D:$D,Category!$C180)</f>
        <v>0</v>
      </c>
      <c r="AW180" s="388">
        <f>SUMIFS('2022'!$I:$I,'2022'!$E:$E,Category!$B$134,'2022'!$N:$N,Category!AW$1,'2022'!$D:$D,Category!$C180)</f>
        <v>0</v>
      </c>
      <c r="AX180" s="388">
        <f>SUMIFS('2022'!$I:$I,'2022'!$E:$E,Category!$B$134,'2022'!$N:$N,Category!AX$1,'2022'!$D:$D,Category!$C180)</f>
        <v>0</v>
      </c>
      <c r="AY180" s="388">
        <f>SUMIFS('2022'!$I:$I,'2022'!$E:$E,Category!$B$134,'2022'!$N:$N,Category!AY$1,'2022'!$D:$D,Category!$C180)</f>
        <v>0</v>
      </c>
      <c r="AZ180" s="389">
        <f t="shared" si="70"/>
        <v>4000000</v>
      </c>
      <c r="BA180" s="506">
        <f>IFERROR(VLOOKUP(C180,'2023'!$D:$G,4,0),0)</f>
        <v>0</v>
      </c>
      <c r="BB180" s="388">
        <f>SUMIFS('2023'!$I:$I,'2023'!$E:$E,Category!$B$134,'2023'!$N:$N,Category!BB$1,'2023'!$D:$D,Category!$C180)</f>
        <v>0</v>
      </c>
      <c r="BC180" s="388">
        <f>SUMIFS('2023'!$I:$I,'2023'!$E:$E,Category!$B$134,'2023'!$N:$N,Category!BC$1,'2023'!$D:$D,Category!$C180)</f>
        <v>0</v>
      </c>
      <c r="BD180" s="388">
        <f>SUMIFS('2023'!$I:$I,'2023'!$E:$E,Category!$B$134,'2023'!$N:$N,Category!BD$1,'2023'!$D:$D,Category!$C180)</f>
        <v>0</v>
      </c>
      <c r="BE180" s="388">
        <f>SUMIFS('2023'!$I:$I,'2023'!$E:$E,Category!$B$134,'2023'!$N:$N,Category!BE$1,'2023'!$D:$D,Category!$C180)</f>
        <v>0</v>
      </c>
      <c r="BF180" s="388">
        <f>SUMIFS('2023'!$I:$I,'2023'!$E:$E,Category!$B$134,'2023'!$N:$N,Category!BF$1,'2023'!$D:$D,Category!$C180)</f>
        <v>0</v>
      </c>
      <c r="BG180" s="388">
        <f>SUMIFS('2023'!$I:$I,'2023'!$E:$E,Category!$B$134,'2023'!$N:$N,Category!BG$1,'2023'!$D:$D,Category!$C180)</f>
        <v>0</v>
      </c>
      <c r="BH180" s="388">
        <f>SUMIFS('2023'!$I:$I,'2023'!$E:$E,Category!$B$134,'2023'!$N:$N,Category!BH$1,'2023'!$D:$D,Category!$C180)</f>
        <v>0</v>
      </c>
      <c r="BI180" s="388">
        <f>SUMIFS('2023'!$I:$I,'2023'!$E:$E,Category!$B$134,'2023'!$N:$N,Category!BI$1,'2023'!$D:$D,Category!$C180)</f>
        <v>0</v>
      </c>
      <c r="BJ180" s="388">
        <f>SUMIFS('2023'!$I:$I,'2023'!$E:$E,Category!$B$134,'2023'!$N:$N,Category!BJ$1,'2023'!$D:$D,Category!$C180)</f>
        <v>0</v>
      </c>
      <c r="BK180" s="388">
        <f>SUMIFS('2023'!$I:$I,'2023'!$E:$E,Category!$B$134,'2023'!$N:$N,Category!BK$1,'2023'!$D:$D,Category!$C180)</f>
        <v>0</v>
      </c>
      <c r="BL180" s="388">
        <f>SUMIFS('2023'!$I:$I,'2023'!$E:$E,Category!$B$134,'2023'!$N:$N,Category!BL$1,'2023'!$D:$D,Category!$C180)</f>
        <v>0</v>
      </c>
      <c r="BM180" s="388">
        <f>SUMIFS('2023'!$I:$I,'2023'!$E:$E,Category!$B$134,'2023'!$N:$N,Category!BM$1,'2023'!$D:$D,Category!$C180)</f>
        <v>0</v>
      </c>
      <c r="BN180" s="389">
        <f t="shared" si="69"/>
        <v>0</v>
      </c>
    </row>
    <row r="181" spans="1:66" x14ac:dyDescent="0.3">
      <c r="A181" s="386"/>
      <c r="B181" s="387"/>
      <c r="C181" s="387" t="s">
        <v>919</v>
      </c>
      <c r="D181" s="524">
        <f>IFERROR(VLOOKUP($C181,'2019'!$D:$G,4,0),0)</f>
        <v>0</v>
      </c>
      <c r="E181" s="388">
        <f>SUMIFS('2019'!$I:$I,'2019'!$E:$E,Category!$B$134,'2019'!$N:$N,Category!E$1,'2019'!$D:$D,Category!$C181)</f>
        <v>0</v>
      </c>
      <c r="F181" s="388">
        <f>SUMIFS('2019'!$I:$I,'2019'!$E:$E,Category!$B$134,'2019'!$N:$N,Category!F$1,'2019'!$D:$D,Category!$C181)</f>
        <v>0</v>
      </c>
      <c r="G181" s="388">
        <f>SUMIFS('2019'!$I:$I,'2019'!$E:$E,Category!$B$134,'2019'!$N:$N,Category!G$1,'2019'!$D:$D,Category!$C181)</f>
        <v>0</v>
      </c>
      <c r="H181" s="388">
        <f>SUMIFS('2019'!$I:$I,'2019'!$E:$E,Category!$B$134,'2019'!$N:$N,Category!H$1,'2019'!$D:$D,Category!$C181)</f>
        <v>0</v>
      </c>
      <c r="I181" s="388">
        <f>SUMIFS('2019'!$I:$I,'2019'!$E:$E,Category!$B$134,'2019'!$N:$N,Category!I$1,'2019'!$D:$D,Category!$C181)</f>
        <v>0</v>
      </c>
      <c r="J181" s="389">
        <f t="shared" si="71"/>
        <v>0</v>
      </c>
      <c r="K181" s="506">
        <f>IFERROR(VLOOKUP($C181,'2020'!$D:$G,4,0),0)</f>
        <v>0</v>
      </c>
      <c r="L181" s="388">
        <f>SUMIFS('2020'!$I:$I,'2020'!$E:$E,Category!$B$134,'2020'!$N:$N,Category!L$1,'2020'!$D:$D,Category!$C181)</f>
        <v>0</v>
      </c>
      <c r="M181" s="388">
        <f>SUMIFS('2020'!$I:$I,'2020'!$E:$E,Category!$B$134,'2020'!$N:$N,Category!M$1,'2020'!$D:$D,Category!$C181)</f>
        <v>0</v>
      </c>
      <c r="N181" s="388">
        <f>SUMIFS('2020'!$I:$I,'2020'!$E:$E,Category!$B$134,'2020'!$N:$N,Category!N$1,'2020'!$D:$D,Category!$C181)</f>
        <v>0</v>
      </c>
      <c r="O181" s="388">
        <f>SUMIFS('2020'!$I:$I,'2020'!$E:$E,Category!$B$134,'2020'!$N:$N,Category!O$1,'2020'!$D:$D,Category!$C181)</f>
        <v>0</v>
      </c>
      <c r="P181" s="388">
        <f>SUMIFS('2020'!$I:$I,'2020'!$E:$E,Category!$B$134,'2020'!$N:$N,Category!P$1,'2020'!$D:$D,Category!$C181)</f>
        <v>0</v>
      </c>
      <c r="Q181" s="388">
        <f>SUMIFS('2020'!$I:$I,'2020'!$E:$E,Category!$B$134,'2020'!$N:$N,Category!Q$1,'2020'!$D:$D,Category!$C181)</f>
        <v>0</v>
      </c>
      <c r="R181" s="388">
        <f>SUMIFS('2020'!$I:$I,'2020'!$E:$E,Category!$B$134,'2020'!$N:$N,Category!R$1,'2020'!$D:$D,Category!$C181)</f>
        <v>0</v>
      </c>
      <c r="S181" s="388">
        <f>SUMIFS('2020'!$I:$I,'2020'!$E:$E,Category!$B$134,'2020'!$N:$N,Category!S$1,'2020'!$D:$D,Category!$C181)</f>
        <v>0</v>
      </c>
      <c r="T181" s="388">
        <f>SUMIFS('2020'!$I:$I,'2020'!$E:$E,Category!$B$134,'2020'!$N:$N,Category!T$1,'2020'!$D:$D,Category!$C181)</f>
        <v>0</v>
      </c>
      <c r="U181" s="388">
        <f>SUMIFS('2020'!$I:$I,'2020'!$E:$E,Category!$B$134,'2020'!$N:$N,Category!U$1,'2020'!$D:$D,Category!$C181)</f>
        <v>0</v>
      </c>
      <c r="V181" s="388">
        <f>SUMIFS('2020'!$I:$I,'2020'!$E:$E,Category!$B$134,'2020'!$N:$N,Category!V$1,'2020'!$D:$D,Category!$C181)</f>
        <v>0</v>
      </c>
      <c r="W181" s="388">
        <f>SUMIFS('2020'!$I:$I,'2020'!$E:$E,Category!$B$134,'2020'!$N:$N,Category!W$1,'2020'!$D:$D,Category!$C181)</f>
        <v>0</v>
      </c>
      <c r="X181" s="389">
        <f t="shared" si="68"/>
        <v>0</v>
      </c>
      <c r="Y181" s="506">
        <f>IFERROR(VLOOKUP(C181,'2021'!$D:$G,4,0),0)</f>
        <v>0</v>
      </c>
      <c r="Z181" s="388">
        <f>SUMIFS('2021'!$I:$I,'2021'!$E:$E,Category!$B$134,'2021'!$N:$N,Category!Z$1,'2021'!$D:$D,Category!$C181)</f>
        <v>0</v>
      </c>
      <c r="AA181" s="388">
        <f>SUMIFS('2021'!$I:$I,'2021'!$E:$E,Category!$B$134,'2021'!$N:$N,Category!AA$1,'2021'!$D:$D,Category!$C181)</f>
        <v>0</v>
      </c>
      <c r="AB181" s="388">
        <f>SUMIFS('2021'!$I:$I,'2021'!$E:$E,Category!$B$134,'2021'!$N:$N,Category!AB$1,'2021'!$D:$D,Category!$C181)</f>
        <v>0</v>
      </c>
      <c r="AC181" s="388">
        <f>SUMIFS('2021'!$I:$I,'2021'!$E:$E,Category!$B$134,'2021'!$N:$N,Category!AC$1,'2021'!$D:$D,Category!$C181)</f>
        <v>0</v>
      </c>
      <c r="AD181" s="388">
        <f>SUMIFS('2021'!$I:$I,'2021'!$E:$E,Category!$B$134,'2021'!$N:$N,Category!AD$1,'2021'!$D:$D,Category!$C181)</f>
        <v>0</v>
      </c>
      <c r="AE181" s="388">
        <f>SUMIFS('2021'!$I:$I,'2021'!$E:$E,Category!$B$134,'2021'!$N:$N,Category!AE$1,'2021'!$D:$D,Category!$C181)</f>
        <v>0</v>
      </c>
      <c r="AF181" s="388">
        <f>SUMIFS('2021'!$I:$I,'2021'!$E:$E,Category!$B$134,'2021'!$N:$N,Category!AF$1,'2021'!$D:$D,Category!$C181)</f>
        <v>0</v>
      </c>
      <c r="AG181" s="388">
        <f>SUMIFS('2021'!$I:$I,'2021'!$E:$E,Category!$B$134,'2021'!$N:$N,Category!AG$1,'2021'!$D:$D,Category!$C181)</f>
        <v>0</v>
      </c>
      <c r="AH181" s="388">
        <f>SUMIFS('2021'!$I:$I,'2021'!$E:$E,Category!$B$134,'2021'!$N:$N,Category!AH$1,'2021'!$D:$D,Category!$C181)</f>
        <v>0</v>
      </c>
      <c r="AI181" s="388">
        <f>SUMIFS('2021'!$I:$I,'2021'!$E:$E,Category!$B$134,'2021'!$N:$N,Category!AI$1,'2021'!$D:$D,Category!$C181)</f>
        <v>0</v>
      </c>
      <c r="AJ181" s="388">
        <f>SUMIFS('2021'!$I:$I,'2021'!$E:$E,Category!$B$134,'2021'!$N:$N,Category!AJ$1,'2021'!$D:$D,Category!$C181)</f>
        <v>0</v>
      </c>
      <c r="AK181" s="388">
        <f>SUMIFS('2021'!$I:$I,'2021'!$E:$E,Category!$B$134,'2021'!$N:$N,Category!AK$1,'2021'!$D:$D,Category!$C181)</f>
        <v>0</v>
      </c>
      <c r="AL181" s="389">
        <f t="shared" si="67"/>
        <v>0</v>
      </c>
      <c r="AM181" s="506">
        <f>IFERROR(VLOOKUP(C181,'2022'!$D:$G,4,0),0)</f>
        <v>1</v>
      </c>
      <c r="AN181" s="388">
        <f>SUMIFS('2022'!$I:$I,'2022'!$E:$E,Category!$B$134,'2022'!$N:$N,Category!AN$1,'2022'!$D:$D,Category!$C181)</f>
        <v>500000</v>
      </c>
      <c r="AO181" s="388">
        <f>SUMIFS('2022'!$I:$I,'2022'!$E:$E,Category!$B$134,'2022'!$N:$N,Category!AO$1,'2022'!$D:$D,Category!$C181)</f>
        <v>500000</v>
      </c>
      <c r="AP181" s="388">
        <f>SUMIFS('2022'!$I:$I,'2022'!$E:$E,Category!$B$134,'2022'!$N:$N,Category!AP$1,'2022'!$D:$D,Category!$C181)</f>
        <v>500000</v>
      </c>
      <c r="AQ181" s="388">
        <f>SUMIFS('2022'!$I:$I,'2022'!$E:$E,Category!$B$134,'2022'!$N:$N,Category!AQ$1,'2022'!$D:$D,Category!$C181)</f>
        <v>500000</v>
      </c>
      <c r="AR181" s="388">
        <f>SUMIFS('2022'!$I:$I,'2022'!$E:$E,Category!$B$134,'2022'!$N:$N,Category!AR$1,'2022'!$D:$D,Category!$C181)</f>
        <v>500000</v>
      </c>
      <c r="AS181" s="388">
        <f>SUMIFS('2022'!$I:$I,'2022'!$E:$E,Category!$B$134,'2022'!$N:$N,Category!AS$1,'2022'!$D:$D,Category!$C181)</f>
        <v>500000</v>
      </c>
      <c r="AT181" s="388">
        <f>SUMIFS('2022'!$I:$I,'2022'!$E:$E,Category!$B$134,'2022'!$N:$N,Category!AT$1,'2022'!$D:$D,Category!$C181)</f>
        <v>500000</v>
      </c>
      <c r="AU181" s="388">
        <f>SUMIFS('2022'!$I:$I,'2022'!$E:$E,Category!$B$134,'2022'!$N:$N,Category!AU$1,'2022'!$D:$D,Category!$C181)</f>
        <v>500000</v>
      </c>
      <c r="AV181" s="388">
        <f>SUMIFS('2022'!$I:$I,'2022'!$E:$E,Category!$B$134,'2022'!$N:$N,Category!AV$1,'2022'!$D:$D,Category!$C181)</f>
        <v>500000</v>
      </c>
      <c r="AW181" s="388">
        <f>SUMIFS('2022'!$I:$I,'2022'!$E:$E,Category!$B$134,'2022'!$N:$N,Category!AW$1,'2022'!$D:$D,Category!$C181)</f>
        <v>500000</v>
      </c>
      <c r="AX181" s="388">
        <f>SUMIFS('2022'!$I:$I,'2022'!$E:$E,Category!$B$134,'2022'!$N:$N,Category!AX$1,'2022'!$D:$D,Category!$C181)</f>
        <v>500000</v>
      </c>
      <c r="AY181" s="388">
        <f>SUMIFS('2022'!$I:$I,'2022'!$E:$E,Category!$B$134,'2022'!$N:$N,Category!AY$1,'2022'!$D:$D,Category!$C181)</f>
        <v>500000</v>
      </c>
      <c r="AZ181" s="389">
        <f t="shared" si="70"/>
        <v>6000000</v>
      </c>
      <c r="BA181" s="506">
        <f>IFERROR(VLOOKUP(C181,'2023'!$D:$G,4,0),0)</f>
        <v>1</v>
      </c>
      <c r="BB181" s="388">
        <f>SUMIFS('2023'!$I:$I,'2023'!$E:$E,Category!$B$134,'2023'!$N:$N,Category!BB$1,'2023'!$D:$D,Category!$C181)</f>
        <v>500000</v>
      </c>
      <c r="BC181" s="388">
        <f>SUMIFS('2023'!$I:$I,'2023'!$E:$E,Category!$B$134,'2023'!$N:$N,Category!BC$1,'2023'!$D:$D,Category!$C181)</f>
        <v>500000</v>
      </c>
      <c r="BD181" s="388">
        <f>SUMIFS('2023'!$I:$I,'2023'!$E:$E,Category!$B$134,'2023'!$N:$N,Category!BD$1,'2023'!$D:$D,Category!$C181)</f>
        <v>0</v>
      </c>
      <c r="BE181" s="388">
        <f>SUMIFS('2023'!$I:$I,'2023'!$E:$E,Category!$B$134,'2023'!$N:$N,Category!BE$1,'2023'!$D:$D,Category!$C181)</f>
        <v>0</v>
      </c>
      <c r="BF181" s="388">
        <f>SUMIFS('2023'!$I:$I,'2023'!$E:$E,Category!$B$134,'2023'!$N:$N,Category!BF$1,'2023'!$D:$D,Category!$C181)</f>
        <v>0</v>
      </c>
      <c r="BG181" s="388">
        <f>SUMIFS('2023'!$I:$I,'2023'!$E:$E,Category!$B$134,'2023'!$N:$N,Category!BG$1,'2023'!$D:$D,Category!$C181)</f>
        <v>0</v>
      </c>
      <c r="BH181" s="388">
        <f>SUMIFS('2023'!$I:$I,'2023'!$E:$E,Category!$B$134,'2023'!$N:$N,Category!BH$1,'2023'!$D:$D,Category!$C181)</f>
        <v>0</v>
      </c>
      <c r="BI181" s="388">
        <f>SUMIFS('2023'!$I:$I,'2023'!$E:$E,Category!$B$134,'2023'!$N:$N,Category!BI$1,'2023'!$D:$D,Category!$C181)</f>
        <v>0</v>
      </c>
      <c r="BJ181" s="388">
        <f>SUMIFS('2023'!$I:$I,'2023'!$E:$E,Category!$B$134,'2023'!$N:$N,Category!BJ$1,'2023'!$D:$D,Category!$C181)</f>
        <v>0</v>
      </c>
      <c r="BK181" s="388">
        <f>SUMIFS('2023'!$I:$I,'2023'!$E:$E,Category!$B$134,'2023'!$N:$N,Category!BK$1,'2023'!$D:$D,Category!$C181)</f>
        <v>0</v>
      </c>
      <c r="BL181" s="388">
        <f>SUMIFS('2023'!$I:$I,'2023'!$E:$E,Category!$B$134,'2023'!$N:$N,Category!BL$1,'2023'!$D:$D,Category!$C181)</f>
        <v>0</v>
      </c>
      <c r="BM181" s="388">
        <f>SUMIFS('2023'!$I:$I,'2023'!$E:$E,Category!$B$134,'2023'!$N:$N,Category!BM$1,'2023'!$D:$D,Category!$C181)</f>
        <v>0</v>
      </c>
      <c r="BN181" s="389">
        <f t="shared" si="69"/>
        <v>1000000</v>
      </c>
    </row>
    <row r="182" spans="1:66" x14ac:dyDescent="0.3">
      <c r="A182" s="386"/>
      <c r="B182" s="387"/>
      <c r="C182" s="387" t="s">
        <v>920</v>
      </c>
      <c r="D182" s="524">
        <f>IFERROR(VLOOKUP($C182,'2019'!$D:$G,4,0),0)</f>
        <v>0</v>
      </c>
      <c r="E182" s="388">
        <f>SUMIFS('2019'!$I:$I,'2019'!$E:$E,Category!$B$134,'2019'!$N:$N,Category!E$1,'2019'!$D:$D,Category!$C182)</f>
        <v>0</v>
      </c>
      <c r="F182" s="388">
        <f>SUMIFS('2019'!$I:$I,'2019'!$E:$E,Category!$B$134,'2019'!$N:$N,Category!F$1,'2019'!$D:$D,Category!$C182)</f>
        <v>0</v>
      </c>
      <c r="G182" s="388">
        <f>SUMIFS('2019'!$I:$I,'2019'!$E:$E,Category!$B$134,'2019'!$N:$N,Category!G$1,'2019'!$D:$D,Category!$C182)</f>
        <v>0</v>
      </c>
      <c r="H182" s="388">
        <f>SUMIFS('2019'!$I:$I,'2019'!$E:$E,Category!$B$134,'2019'!$N:$N,Category!H$1,'2019'!$D:$D,Category!$C182)</f>
        <v>0</v>
      </c>
      <c r="I182" s="388">
        <f>SUMIFS('2019'!$I:$I,'2019'!$E:$E,Category!$B$134,'2019'!$N:$N,Category!I$1,'2019'!$D:$D,Category!$C182)</f>
        <v>0</v>
      </c>
      <c r="J182" s="389">
        <f t="shared" si="71"/>
        <v>0</v>
      </c>
      <c r="K182" s="506">
        <f>IFERROR(VLOOKUP($C182,'2020'!$D:$G,4,0),0)</f>
        <v>0</v>
      </c>
      <c r="L182" s="388">
        <f>SUMIFS('2020'!$I:$I,'2020'!$E:$E,Category!$B$134,'2020'!$N:$N,Category!L$1,'2020'!$D:$D,Category!$C182)</f>
        <v>0</v>
      </c>
      <c r="M182" s="388">
        <f>SUMIFS('2020'!$I:$I,'2020'!$E:$E,Category!$B$134,'2020'!$N:$N,Category!M$1,'2020'!$D:$D,Category!$C182)</f>
        <v>0</v>
      </c>
      <c r="N182" s="388">
        <f>SUMIFS('2020'!$I:$I,'2020'!$E:$E,Category!$B$134,'2020'!$N:$N,Category!N$1,'2020'!$D:$D,Category!$C182)</f>
        <v>0</v>
      </c>
      <c r="O182" s="388">
        <f>SUMIFS('2020'!$I:$I,'2020'!$E:$E,Category!$B$134,'2020'!$N:$N,Category!O$1,'2020'!$D:$D,Category!$C182)</f>
        <v>0</v>
      </c>
      <c r="P182" s="388">
        <f>SUMIFS('2020'!$I:$I,'2020'!$E:$E,Category!$B$134,'2020'!$N:$N,Category!P$1,'2020'!$D:$D,Category!$C182)</f>
        <v>0</v>
      </c>
      <c r="Q182" s="388">
        <f>SUMIFS('2020'!$I:$I,'2020'!$E:$E,Category!$B$134,'2020'!$N:$N,Category!Q$1,'2020'!$D:$D,Category!$C182)</f>
        <v>0</v>
      </c>
      <c r="R182" s="388">
        <f>SUMIFS('2020'!$I:$I,'2020'!$E:$E,Category!$B$134,'2020'!$N:$N,Category!R$1,'2020'!$D:$D,Category!$C182)</f>
        <v>0</v>
      </c>
      <c r="S182" s="388">
        <f>SUMIFS('2020'!$I:$I,'2020'!$E:$E,Category!$B$134,'2020'!$N:$N,Category!S$1,'2020'!$D:$D,Category!$C182)</f>
        <v>0</v>
      </c>
      <c r="T182" s="388">
        <f>SUMIFS('2020'!$I:$I,'2020'!$E:$E,Category!$B$134,'2020'!$N:$N,Category!T$1,'2020'!$D:$D,Category!$C182)</f>
        <v>0</v>
      </c>
      <c r="U182" s="388">
        <f>SUMIFS('2020'!$I:$I,'2020'!$E:$E,Category!$B$134,'2020'!$N:$N,Category!U$1,'2020'!$D:$D,Category!$C182)</f>
        <v>0</v>
      </c>
      <c r="V182" s="388">
        <f>SUMIFS('2020'!$I:$I,'2020'!$E:$E,Category!$B$134,'2020'!$N:$N,Category!V$1,'2020'!$D:$D,Category!$C182)</f>
        <v>0</v>
      </c>
      <c r="W182" s="388">
        <f>SUMIFS('2020'!$I:$I,'2020'!$E:$E,Category!$B$134,'2020'!$N:$N,Category!W$1,'2020'!$D:$D,Category!$C182)</f>
        <v>0</v>
      </c>
      <c r="X182" s="389">
        <f t="shared" si="68"/>
        <v>0</v>
      </c>
      <c r="Y182" s="506">
        <f>IFERROR(VLOOKUP(C182,'2021'!$D:$G,4,0),0)</f>
        <v>0</v>
      </c>
      <c r="Z182" s="388">
        <f>SUMIFS('2021'!$I:$I,'2021'!$E:$E,Category!$B$134,'2021'!$N:$N,Category!Z$1,'2021'!$D:$D,Category!$C182)</f>
        <v>0</v>
      </c>
      <c r="AA182" s="388">
        <f>SUMIFS('2021'!$I:$I,'2021'!$E:$E,Category!$B$134,'2021'!$N:$N,Category!AA$1,'2021'!$D:$D,Category!$C182)</f>
        <v>0</v>
      </c>
      <c r="AB182" s="388">
        <f>SUMIFS('2021'!$I:$I,'2021'!$E:$E,Category!$B$134,'2021'!$N:$N,Category!AB$1,'2021'!$D:$D,Category!$C182)</f>
        <v>0</v>
      </c>
      <c r="AC182" s="388">
        <f>SUMIFS('2021'!$I:$I,'2021'!$E:$E,Category!$B$134,'2021'!$N:$N,Category!AC$1,'2021'!$D:$D,Category!$C182)</f>
        <v>0</v>
      </c>
      <c r="AD182" s="388">
        <f>SUMIFS('2021'!$I:$I,'2021'!$E:$E,Category!$B$134,'2021'!$N:$N,Category!AD$1,'2021'!$D:$D,Category!$C182)</f>
        <v>0</v>
      </c>
      <c r="AE182" s="388">
        <f>SUMIFS('2021'!$I:$I,'2021'!$E:$E,Category!$B$134,'2021'!$N:$N,Category!AE$1,'2021'!$D:$D,Category!$C182)</f>
        <v>0</v>
      </c>
      <c r="AF182" s="388">
        <f>SUMIFS('2021'!$I:$I,'2021'!$E:$E,Category!$B$134,'2021'!$N:$N,Category!AF$1,'2021'!$D:$D,Category!$C182)</f>
        <v>0</v>
      </c>
      <c r="AG182" s="388">
        <f>SUMIFS('2021'!$I:$I,'2021'!$E:$E,Category!$B$134,'2021'!$N:$N,Category!AG$1,'2021'!$D:$D,Category!$C182)</f>
        <v>0</v>
      </c>
      <c r="AH182" s="388">
        <f>SUMIFS('2021'!$I:$I,'2021'!$E:$E,Category!$B$134,'2021'!$N:$N,Category!AH$1,'2021'!$D:$D,Category!$C182)</f>
        <v>0</v>
      </c>
      <c r="AI182" s="388">
        <f>SUMIFS('2021'!$I:$I,'2021'!$E:$E,Category!$B$134,'2021'!$N:$N,Category!AI$1,'2021'!$D:$D,Category!$C182)</f>
        <v>0</v>
      </c>
      <c r="AJ182" s="388">
        <f>SUMIFS('2021'!$I:$I,'2021'!$E:$E,Category!$B$134,'2021'!$N:$N,Category!AJ$1,'2021'!$D:$D,Category!$C182)</f>
        <v>0</v>
      </c>
      <c r="AK182" s="388">
        <f>SUMIFS('2021'!$I:$I,'2021'!$E:$E,Category!$B$134,'2021'!$N:$N,Category!AK$1,'2021'!$D:$D,Category!$C182)</f>
        <v>0</v>
      </c>
      <c r="AL182" s="389">
        <f t="shared" si="67"/>
        <v>0</v>
      </c>
      <c r="AM182" s="506">
        <f>IFERROR(VLOOKUP(C182,'2022'!$D:$G,4,0),0)</f>
        <v>1</v>
      </c>
      <c r="AN182" s="388">
        <f>SUMIFS('2022'!$I:$I,'2022'!$E:$E,Category!$B$134,'2022'!$N:$N,Category!AN$1,'2022'!$D:$D,Category!$C182)</f>
        <v>500000</v>
      </c>
      <c r="AO182" s="388">
        <f>SUMIFS('2022'!$I:$I,'2022'!$E:$E,Category!$B$134,'2022'!$N:$N,Category!AO$1,'2022'!$D:$D,Category!$C182)</f>
        <v>500000</v>
      </c>
      <c r="AP182" s="388">
        <f>SUMIFS('2022'!$I:$I,'2022'!$E:$E,Category!$B$134,'2022'!$N:$N,Category!AP$1,'2022'!$D:$D,Category!$C182)</f>
        <v>500000</v>
      </c>
      <c r="AQ182" s="388">
        <f>SUMIFS('2022'!$I:$I,'2022'!$E:$E,Category!$B$134,'2022'!$N:$N,Category!AQ$1,'2022'!$D:$D,Category!$C182)</f>
        <v>500000</v>
      </c>
      <c r="AR182" s="388">
        <f>SUMIFS('2022'!$I:$I,'2022'!$E:$E,Category!$B$134,'2022'!$N:$N,Category!AR$1,'2022'!$D:$D,Category!$C182)</f>
        <v>500000</v>
      </c>
      <c r="AS182" s="388">
        <f>SUMIFS('2022'!$I:$I,'2022'!$E:$E,Category!$B$134,'2022'!$N:$N,Category!AS$1,'2022'!$D:$D,Category!$C182)</f>
        <v>500000</v>
      </c>
      <c r="AT182" s="388">
        <f>SUMIFS('2022'!$I:$I,'2022'!$E:$E,Category!$B$134,'2022'!$N:$N,Category!AT$1,'2022'!$D:$D,Category!$C182)</f>
        <v>500000</v>
      </c>
      <c r="AU182" s="388">
        <f>SUMIFS('2022'!$I:$I,'2022'!$E:$E,Category!$B$134,'2022'!$N:$N,Category!AU$1,'2022'!$D:$D,Category!$C182)</f>
        <v>500000</v>
      </c>
      <c r="AV182" s="388">
        <f>SUMIFS('2022'!$I:$I,'2022'!$E:$E,Category!$B$134,'2022'!$N:$N,Category!AV$1,'2022'!$D:$D,Category!$C182)</f>
        <v>500000</v>
      </c>
      <c r="AW182" s="388">
        <f>SUMIFS('2022'!$I:$I,'2022'!$E:$E,Category!$B$134,'2022'!$N:$N,Category!AW$1,'2022'!$D:$D,Category!$C182)</f>
        <v>500000</v>
      </c>
      <c r="AX182" s="388">
        <f>SUMIFS('2022'!$I:$I,'2022'!$E:$E,Category!$B$134,'2022'!$N:$N,Category!AX$1,'2022'!$D:$D,Category!$C182)</f>
        <v>500000</v>
      </c>
      <c r="AY182" s="388">
        <f>SUMIFS('2022'!$I:$I,'2022'!$E:$E,Category!$B$134,'2022'!$N:$N,Category!AY$1,'2022'!$D:$D,Category!$C182)</f>
        <v>500000</v>
      </c>
      <c r="AZ182" s="389">
        <f t="shared" si="70"/>
        <v>6000000</v>
      </c>
      <c r="BA182" s="506">
        <f>IFERROR(VLOOKUP(C182,'2023'!$D:$G,4,0),0)</f>
        <v>1</v>
      </c>
      <c r="BB182" s="388">
        <f>SUMIFS('2023'!$I:$I,'2023'!$E:$E,Category!$B$134,'2023'!$N:$N,Category!BB$1,'2023'!$D:$D,Category!$C182)</f>
        <v>500000</v>
      </c>
      <c r="BC182" s="388">
        <f>SUMIFS('2023'!$I:$I,'2023'!$E:$E,Category!$B$134,'2023'!$N:$N,Category!BC$1,'2023'!$D:$D,Category!$C182)</f>
        <v>500000</v>
      </c>
      <c r="BD182" s="388">
        <f>SUMIFS('2023'!$I:$I,'2023'!$E:$E,Category!$B$134,'2023'!$N:$N,Category!BD$1,'2023'!$D:$D,Category!$C182)</f>
        <v>0</v>
      </c>
      <c r="BE182" s="388">
        <f>SUMIFS('2023'!$I:$I,'2023'!$E:$E,Category!$B$134,'2023'!$N:$N,Category!BE$1,'2023'!$D:$D,Category!$C182)</f>
        <v>0</v>
      </c>
      <c r="BF182" s="388">
        <f>SUMIFS('2023'!$I:$I,'2023'!$E:$E,Category!$B$134,'2023'!$N:$N,Category!BF$1,'2023'!$D:$D,Category!$C182)</f>
        <v>0</v>
      </c>
      <c r="BG182" s="388">
        <f>SUMIFS('2023'!$I:$I,'2023'!$E:$E,Category!$B$134,'2023'!$N:$N,Category!BG$1,'2023'!$D:$D,Category!$C182)</f>
        <v>0</v>
      </c>
      <c r="BH182" s="388">
        <f>SUMIFS('2023'!$I:$I,'2023'!$E:$E,Category!$B$134,'2023'!$N:$N,Category!BH$1,'2023'!$D:$D,Category!$C182)</f>
        <v>0</v>
      </c>
      <c r="BI182" s="388">
        <f>SUMIFS('2023'!$I:$I,'2023'!$E:$E,Category!$B$134,'2023'!$N:$N,Category!BI$1,'2023'!$D:$D,Category!$C182)</f>
        <v>0</v>
      </c>
      <c r="BJ182" s="388">
        <f>SUMIFS('2023'!$I:$I,'2023'!$E:$E,Category!$B$134,'2023'!$N:$N,Category!BJ$1,'2023'!$D:$D,Category!$C182)</f>
        <v>0</v>
      </c>
      <c r="BK182" s="388">
        <f>SUMIFS('2023'!$I:$I,'2023'!$E:$E,Category!$B$134,'2023'!$N:$N,Category!BK$1,'2023'!$D:$D,Category!$C182)</f>
        <v>0</v>
      </c>
      <c r="BL182" s="388">
        <f>SUMIFS('2023'!$I:$I,'2023'!$E:$E,Category!$B$134,'2023'!$N:$N,Category!BL$1,'2023'!$D:$D,Category!$C182)</f>
        <v>0</v>
      </c>
      <c r="BM182" s="388">
        <f>SUMIFS('2023'!$I:$I,'2023'!$E:$E,Category!$B$134,'2023'!$N:$N,Category!BM$1,'2023'!$D:$D,Category!$C182)</f>
        <v>0</v>
      </c>
      <c r="BN182" s="389">
        <f t="shared" si="69"/>
        <v>1000000</v>
      </c>
    </row>
    <row r="183" spans="1:66" x14ac:dyDescent="0.3">
      <c r="A183" s="386"/>
      <c r="B183" s="387"/>
      <c r="C183" s="387" t="s">
        <v>921</v>
      </c>
      <c r="D183" s="524">
        <f>IFERROR(VLOOKUP($C183,'2019'!$D:$G,4,0),0)</f>
        <v>0</v>
      </c>
      <c r="E183" s="388">
        <f>SUMIFS('2019'!$I:$I,'2019'!$E:$E,Category!$B$134,'2019'!$N:$N,Category!E$1,'2019'!$D:$D,Category!$C183)</f>
        <v>0</v>
      </c>
      <c r="F183" s="388">
        <f>SUMIFS('2019'!$I:$I,'2019'!$E:$E,Category!$B$134,'2019'!$N:$N,Category!F$1,'2019'!$D:$D,Category!$C183)</f>
        <v>0</v>
      </c>
      <c r="G183" s="388">
        <f>SUMIFS('2019'!$I:$I,'2019'!$E:$E,Category!$B$134,'2019'!$N:$N,Category!G$1,'2019'!$D:$D,Category!$C183)</f>
        <v>0</v>
      </c>
      <c r="H183" s="388">
        <f>SUMIFS('2019'!$I:$I,'2019'!$E:$E,Category!$B$134,'2019'!$N:$N,Category!H$1,'2019'!$D:$D,Category!$C183)</f>
        <v>0</v>
      </c>
      <c r="I183" s="388">
        <f>SUMIFS('2019'!$I:$I,'2019'!$E:$E,Category!$B$134,'2019'!$N:$N,Category!I$1,'2019'!$D:$D,Category!$C183)</f>
        <v>0</v>
      </c>
      <c r="J183" s="389">
        <f t="shared" si="71"/>
        <v>0</v>
      </c>
      <c r="K183" s="506">
        <f>IFERROR(VLOOKUP($C183,'2020'!$D:$G,4,0),0)</f>
        <v>0</v>
      </c>
      <c r="L183" s="388">
        <f>SUMIFS('2020'!$I:$I,'2020'!$E:$E,Category!$B$134,'2020'!$N:$N,Category!L$1,'2020'!$D:$D,Category!$C183)</f>
        <v>0</v>
      </c>
      <c r="M183" s="388">
        <f>SUMIFS('2020'!$I:$I,'2020'!$E:$E,Category!$B$134,'2020'!$N:$N,Category!M$1,'2020'!$D:$D,Category!$C183)</f>
        <v>0</v>
      </c>
      <c r="N183" s="388">
        <f>SUMIFS('2020'!$I:$I,'2020'!$E:$E,Category!$B$134,'2020'!$N:$N,Category!N$1,'2020'!$D:$D,Category!$C183)</f>
        <v>0</v>
      </c>
      <c r="O183" s="388">
        <f>SUMIFS('2020'!$I:$I,'2020'!$E:$E,Category!$B$134,'2020'!$N:$N,Category!O$1,'2020'!$D:$D,Category!$C183)</f>
        <v>0</v>
      </c>
      <c r="P183" s="388">
        <f>SUMIFS('2020'!$I:$I,'2020'!$E:$E,Category!$B$134,'2020'!$N:$N,Category!P$1,'2020'!$D:$D,Category!$C183)</f>
        <v>0</v>
      </c>
      <c r="Q183" s="388">
        <f>SUMIFS('2020'!$I:$I,'2020'!$E:$E,Category!$B$134,'2020'!$N:$N,Category!Q$1,'2020'!$D:$D,Category!$C183)</f>
        <v>0</v>
      </c>
      <c r="R183" s="388">
        <f>SUMIFS('2020'!$I:$I,'2020'!$E:$E,Category!$B$134,'2020'!$N:$N,Category!R$1,'2020'!$D:$D,Category!$C183)</f>
        <v>0</v>
      </c>
      <c r="S183" s="388">
        <f>SUMIFS('2020'!$I:$I,'2020'!$E:$E,Category!$B$134,'2020'!$N:$N,Category!S$1,'2020'!$D:$D,Category!$C183)</f>
        <v>0</v>
      </c>
      <c r="T183" s="388">
        <f>SUMIFS('2020'!$I:$I,'2020'!$E:$E,Category!$B$134,'2020'!$N:$N,Category!T$1,'2020'!$D:$D,Category!$C183)</f>
        <v>0</v>
      </c>
      <c r="U183" s="388">
        <f>SUMIFS('2020'!$I:$I,'2020'!$E:$E,Category!$B$134,'2020'!$N:$N,Category!U$1,'2020'!$D:$D,Category!$C183)</f>
        <v>0</v>
      </c>
      <c r="V183" s="388">
        <f>SUMIFS('2020'!$I:$I,'2020'!$E:$E,Category!$B$134,'2020'!$N:$N,Category!V$1,'2020'!$D:$D,Category!$C183)</f>
        <v>0</v>
      </c>
      <c r="W183" s="388">
        <f>SUMIFS('2020'!$I:$I,'2020'!$E:$E,Category!$B$134,'2020'!$N:$N,Category!W$1,'2020'!$D:$D,Category!$C183)</f>
        <v>0</v>
      </c>
      <c r="X183" s="389">
        <f t="shared" si="68"/>
        <v>0</v>
      </c>
      <c r="Y183" s="506">
        <f>IFERROR(VLOOKUP(C183,'2021'!$D:$G,4,0),0)</f>
        <v>0</v>
      </c>
      <c r="Z183" s="388">
        <f>SUMIFS('2021'!$I:$I,'2021'!$E:$E,Category!$B$134,'2021'!$N:$N,Category!Z$1,'2021'!$D:$D,Category!$C183)</f>
        <v>0</v>
      </c>
      <c r="AA183" s="388">
        <f>SUMIFS('2021'!$I:$I,'2021'!$E:$E,Category!$B$134,'2021'!$N:$N,Category!AA$1,'2021'!$D:$D,Category!$C183)</f>
        <v>0</v>
      </c>
      <c r="AB183" s="388">
        <f>SUMIFS('2021'!$I:$I,'2021'!$E:$E,Category!$B$134,'2021'!$N:$N,Category!AB$1,'2021'!$D:$D,Category!$C183)</f>
        <v>0</v>
      </c>
      <c r="AC183" s="388">
        <f>SUMIFS('2021'!$I:$I,'2021'!$E:$E,Category!$B$134,'2021'!$N:$N,Category!AC$1,'2021'!$D:$D,Category!$C183)</f>
        <v>0</v>
      </c>
      <c r="AD183" s="388">
        <f>SUMIFS('2021'!$I:$I,'2021'!$E:$E,Category!$B$134,'2021'!$N:$N,Category!AD$1,'2021'!$D:$D,Category!$C183)</f>
        <v>0</v>
      </c>
      <c r="AE183" s="388">
        <f>SUMIFS('2021'!$I:$I,'2021'!$E:$E,Category!$B$134,'2021'!$N:$N,Category!AE$1,'2021'!$D:$D,Category!$C183)</f>
        <v>0</v>
      </c>
      <c r="AF183" s="388">
        <f>SUMIFS('2021'!$I:$I,'2021'!$E:$E,Category!$B$134,'2021'!$N:$N,Category!AF$1,'2021'!$D:$D,Category!$C183)</f>
        <v>0</v>
      </c>
      <c r="AG183" s="388">
        <f>SUMIFS('2021'!$I:$I,'2021'!$E:$E,Category!$B$134,'2021'!$N:$N,Category!AG$1,'2021'!$D:$D,Category!$C183)</f>
        <v>0</v>
      </c>
      <c r="AH183" s="388">
        <f>SUMIFS('2021'!$I:$I,'2021'!$E:$E,Category!$B$134,'2021'!$N:$N,Category!AH$1,'2021'!$D:$D,Category!$C183)</f>
        <v>0</v>
      </c>
      <c r="AI183" s="388">
        <f>SUMIFS('2021'!$I:$I,'2021'!$E:$E,Category!$B$134,'2021'!$N:$N,Category!AI$1,'2021'!$D:$D,Category!$C183)</f>
        <v>0</v>
      </c>
      <c r="AJ183" s="388">
        <f>SUMIFS('2021'!$I:$I,'2021'!$E:$E,Category!$B$134,'2021'!$N:$N,Category!AJ$1,'2021'!$D:$D,Category!$C183)</f>
        <v>0</v>
      </c>
      <c r="AK183" s="388">
        <f>SUMIFS('2021'!$I:$I,'2021'!$E:$E,Category!$B$134,'2021'!$N:$N,Category!AK$1,'2021'!$D:$D,Category!$C183)</f>
        <v>0</v>
      </c>
      <c r="AL183" s="389">
        <f t="shared" ref="AL183:AL202" si="72">SUM(Z183:AK183)</f>
        <v>0</v>
      </c>
      <c r="AM183" s="506">
        <f>IFERROR(VLOOKUP(C183,'2022'!$D:$G,4,0),0)</f>
        <v>1</v>
      </c>
      <c r="AN183" s="388">
        <f>SUMIFS('2022'!$I:$I,'2022'!$E:$E,Category!$B$134,'2022'!$N:$N,Category!AN$1,'2022'!$D:$D,Category!$C183)</f>
        <v>500000</v>
      </c>
      <c r="AO183" s="388">
        <f>SUMIFS('2022'!$I:$I,'2022'!$E:$E,Category!$B$134,'2022'!$N:$N,Category!AO$1,'2022'!$D:$D,Category!$C183)</f>
        <v>500000</v>
      </c>
      <c r="AP183" s="388">
        <f>SUMIFS('2022'!$I:$I,'2022'!$E:$E,Category!$B$134,'2022'!$N:$N,Category!AP$1,'2022'!$D:$D,Category!$C183)</f>
        <v>500000</v>
      </c>
      <c r="AQ183" s="388">
        <f>SUMIFS('2022'!$I:$I,'2022'!$E:$E,Category!$B$134,'2022'!$N:$N,Category!AQ$1,'2022'!$D:$D,Category!$C183)</f>
        <v>500000</v>
      </c>
      <c r="AR183" s="388">
        <f>SUMIFS('2022'!$I:$I,'2022'!$E:$E,Category!$B$134,'2022'!$N:$N,Category!AR$1,'2022'!$D:$D,Category!$C183)</f>
        <v>500000</v>
      </c>
      <c r="AS183" s="388">
        <f>SUMIFS('2022'!$I:$I,'2022'!$E:$E,Category!$B$134,'2022'!$N:$N,Category!AS$1,'2022'!$D:$D,Category!$C183)</f>
        <v>500000</v>
      </c>
      <c r="AT183" s="388">
        <f>SUMIFS('2022'!$I:$I,'2022'!$E:$E,Category!$B$134,'2022'!$N:$N,Category!AT$1,'2022'!$D:$D,Category!$C183)</f>
        <v>500000</v>
      </c>
      <c r="AU183" s="388">
        <f>SUMIFS('2022'!$I:$I,'2022'!$E:$E,Category!$B$134,'2022'!$N:$N,Category!AU$1,'2022'!$D:$D,Category!$C183)</f>
        <v>500000</v>
      </c>
      <c r="AV183" s="388">
        <f>SUMIFS('2022'!$I:$I,'2022'!$E:$E,Category!$B$134,'2022'!$N:$N,Category!AV$1,'2022'!$D:$D,Category!$C183)</f>
        <v>500000</v>
      </c>
      <c r="AW183" s="388">
        <f>SUMIFS('2022'!$I:$I,'2022'!$E:$E,Category!$B$134,'2022'!$N:$N,Category!AW$1,'2022'!$D:$D,Category!$C183)</f>
        <v>500000</v>
      </c>
      <c r="AX183" s="388">
        <f>SUMIFS('2022'!$I:$I,'2022'!$E:$E,Category!$B$134,'2022'!$N:$N,Category!AX$1,'2022'!$D:$D,Category!$C183)</f>
        <v>500000</v>
      </c>
      <c r="AY183" s="388">
        <f>SUMIFS('2022'!$I:$I,'2022'!$E:$E,Category!$B$134,'2022'!$N:$N,Category!AY$1,'2022'!$D:$D,Category!$C183)</f>
        <v>500000</v>
      </c>
      <c r="AZ183" s="389">
        <f t="shared" si="70"/>
        <v>6000000</v>
      </c>
      <c r="BA183" s="506">
        <f>IFERROR(VLOOKUP(C183,'2023'!$D:$G,4,0),0)</f>
        <v>1</v>
      </c>
      <c r="BB183" s="388">
        <f>SUMIFS('2023'!$I:$I,'2023'!$E:$E,Category!$B$134,'2023'!$N:$N,Category!BB$1,'2023'!$D:$D,Category!$C183)</f>
        <v>500000</v>
      </c>
      <c r="BC183" s="388">
        <f>SUMIFS('2023'!$I:$I,'2023'!$E:$E,Category!$B$134,'2023'!$N:$N,Category!BC$1,'2023'!$D:$D,Category!$C183)</f>
        <v>500000</v>
      </c>
      <c r="BD183" s="388">
        <f>SUMIFS('2023'!$I:$I,'2023'!$E:$E,Category!$B$134,'2023'!$N:$N,Category!BD$1,'2023'!$D:$D,Category!$C183)</f>
        <v>0</v>
      </c>
      <c r="BE183" s="388">
        <f>SUMIFS('2023'!$I:$I,'2023'!$E:$E,Category!$B$134,'2023'!$N:$N,Category!BE$1,'2023'!$D:$D,Category!$C183)</f>
        <v>0</v>
      </c>
      <c r="BF183" s="388">
        <f>SUMIFS('2023'!$I:$I,'2023'!$E:$E,Category!$B$134,'2023'!$N:$N,Category!BF$1,'2023'!$D:$D,Category!$C183)</f>
        <v>0</v>
      </c>
      <c r="BG183" s="388">
        <f>SUMIFS('2023'!$I:$I,'2023'!$E:$E,Category!$B$134,'2023'!$N:$N,Category!BG$1,'2023'!$D:$D,Category!$C183)</f>
        <v>0</v>
      </c>
      <c r="BH183" s="388">
        <f>SUMIFS('2023'!$I:$I,'2023'!$E:$E,Category!$B$134,'2023'!$N:$N,Category!BH$1,'2023'!$D:$D,Category!$C183)</f>
        <v>0</v>
      </c>
      <c r="BI183" s="388">
        <f>SUMIFS('2023'!$I:$I,'2023'!$E:$E,Category!$B$134,'2023'!$N:$N,Category!BI$1,'2023'!$D:$D,Category!$C183)</f>
        <v>0</v>
      </c>
      <c r="BJ183" s="388">
        <f>SUMIFS('2023'!$I:$I,'2023'!$E:$E,Category!$B$134,'2023'!$N:$N,Category!BJ$1,'2023'!$D:$D,Category!$C183)</f>
        <v>0</v>
      </c>
      <c r="BK183" s="388">
        <f>SUMIFS('2023'!$I:$I,'2023'!$E:$E,Category!$B$134,'2023'!$N:$N,Category!BK$1,'2023'!$D:$D,Category!$C183)</f>
        <v>0</v>
      </c>
      <c r="BL183" s="388">
        <f>SUMIFS('2023'!$I:$I,'2023'!$E:$E,Category!$B$134,'2023'!$N:$N,Category!BL$1,'2023'!$D:$D,Category!$C183)</f>
        <v>0</v>
      </c>
      <c r="BM183" s="388">
        <f>SUMIFS('2023'!$I:$I,'2023'!$E:$E,Category!$B$134,'2023'!$N:$N,Category!BM$1,'2023'!$D:$D,Category!$C183)</f>
        <v>0</v>
      </c>
      <c r="BN183" s="389">
        <f t="shared" si="69"/>
        <v>1000000</v>
      </c>
    </row>
    <row r="184" spans="1:66" x14ac:dyDescent="0.3">
      <c r="A184" s="386"/>
      <c r="B184" s="387"/>
      <c r="C184" s="387" t="s">
        <v>922</v>
      </c>
      <c r="D184" s="524">
        <f>IFERROR(VLOOKUP($C184,'2019'!$D:$G,4,0),0)</f>
        <v>0</v>
      </c>
      <c r="E184" s="388">
        <f>SUMIFS('2019'!$I:$I,'2019'!$E:$E,Category!$B$134,'2019'!$N:$N,Category!E$1,'2019'!$D:$D,Category!$C184)</f>
        <v>0</v>
      </c>
      <c r="F184" s="388">
        <f>SUMIFS('2019'!$I:$I,'2019'!$E:$E,Category!$B$134,'2019'!$N:$N,Category!F$1,'2019'!$D:$D,Category!$C184)</f>
        <v>0</v>
      </c>
      <c r="G184" s="388">
        <f>SUMIFS('2019'!$I:$I,'2019'!$E:$E,Category!$B$134,'2019'!$N:$N,Category!G$1,'2019'!$D:$D,Category!$C184)</f>
        <v>0</v>
      </c>
      <c r="H184" s="388">
        <f>SUMIFS('2019'!$I:$I,'2019'!$E:$E,Category!$B$134,'2019'!$N:$N,Category!H$1,'2019'!$D:$D,Category!$C184)</f>
        <v>0</v>
      </c>
      <c r="I184" s="388">
        <f>SUMIFS('2019'!$I:$I,'2019'!$E:$E,Category!$B$134,'2019'!$N:$N,Category!I$1,'2019'!$D:$D,Category!$C184)</f>
        <v>0</v>
      </c>
      <c r="J184" s="389">
        <f t="shared" si="71"/>
        <v>0</v>
      </c>
      <c r="K184" s="506">
        <f>IFERROR(VLOOKUP($C184,'2020'!$D:$G,4,0),0)</f>
        <v>0</v>
      </c>
      <c r="L184" s="388">
        <f>SUMIFS('2020'!$I:$I,'2020'!$E:$E,Category!$B$134,'2020'!$N:$N,Category!L$1,'2020'!$D:$D,Category!$C184)</f>
        <v>0</v>
      </c>
      <c r="M184" s="388">
        <f>SUMIFS('2020'!$I:$I,'2020'!$E:$E,Category!$B$134,'2020'!$N:$N,Category!M$1,'2020'!$D:$D,Category!$C184)</f>
        <v>0</v>
      </c>
      <c r="N184" s="388">
        <f>SUMIFS('2020'!$I:$I,'2020'!$E:$E,Category!$B$134,'2020'!$N:$N,Category!N$1,'2020'!$D:$D,Category!$C184)</f>
        <v>0</v>
      </c>
      <c r="O184" s="388">
        <f>SUMIFS('2020'!$I:$I,'2020'!$E:$E,Category!$B$134,'2020'!$N:$N,Category!O$1,'2020'!$D:$D,Category!$C184)</f>
        <v>0</v>
      </c>
      <c r="P184" s="388">
        <f>SUMIFS('2020'!$I:$I,'2020'!$E:$E,Category!$B$134,'2020'!$N:$N,Category!P$1,'2020'!$D:$D,Category!$C184)</f>
        <v>0</v>
      </c>
      <c r="Q184" s="388">
        <f>SUMIFS('2020'!$I:$I,'2020'!$E:$E,Category!$B$134,'2020'!$N:$N,Category!Q$1,'2020'!$D:$D,Category!$C184)</f>
        <v>0</v>
      </c>
      <c r="R184" s="388">
        <f>SUMIFS('2020'!$I:$I,'2020'!$E:$E,Category!$B$134,'2020'!$N:$N,Category!R$1,'2020'!$D:$D,Category!$C184)</f>
        <v>0</v>
      </c>
      <c r="S184" s="388">
        <f>SUMIFS('2020'!$I:$I,'2020'!$E:$E,Category!$B$134,'2020'!$N:$N,Category!S$1,'2020'!$D:$D,Category!$C184)</f>
        <v>0</v>
      </c>
      <c r="T184" s="388">
        <f>SUMIFS('2020'!$I:$I,'2020'!$E:$E,Category!$B$134,'2020'!$N:$N,Category!T$1,'2020'!$D:$D,Category!$C184)</f>
        <v>0</v>
      </c>
      <c r="U184" s="388">
        <f>SUMIFS('2020'!$I:$I,'2020'!$E:$E,Category!$B$134,'2020'!$N:$N,Category!U$1,'2020'!$D:$D,Category!$C184)</f>
        <v>0</v>
      </c>
      <c r="V184" s="388">
        <f>SUMIFS('2020'!$I:$I,'2020'!$E:$E,Category!$B$134,'2020'!$N:$N,Category!V$1,'2020'!$D:$D,Category!$C184)</f>
        <v>0</v>
      </c>
      <c r="W184" s="388">
        <f>SUMIFS('2020'!$I:$I,'2020'!$E:$E,Category!$B$134,'2020'!$N:$N,Category!W$1,'2020'!$D:$D,Category!$C184)</f>
        <v>0</v>
      </c>
      <c r="X184" s="389">
        <f t="shared" si="68"/>
        <v>0</v>
      </c>
      <c r="Y184" s="506">
        <f>IFERROR(VLOOKUP(C184,'2021'!$D:$G,4,0),0)</f>
        <v>0</v>
      </c>
      <c r="Z184" s="388">
        <f>SUMIFS('2021'!$I:$I,'2021'!$E:$E,Category!$B$134,'2021'!$N:$N,Category!Z$1,'2021'!$D:$D,Category!$C184)</f>
        <v>0</v>
      </c>
      <c r="AA184" s="388">
        <f>SUMIFS('2021'!$I:$I,'2021'!$E:$E,Category!$B$134,'2021'!$N:$N,Category!AA$1,'2021'!$D:$D,Category!$C184)</f>
        <v>0</v>
      </c>
      <c r="AB184" s="388">
        <f>SUMIFS('2021'!$I:$I,'2021'!$E:$E,Category!$B$134,'2021'!$N:$N,Category!AB$1,'2021'!$D:$D,Category!$C184)</f>
        <v>0</v>
      </c>
      <c r="AC184" s="388">
        <f>SUMIFS('2021'!$I:$I,'2021'!$E:$E,Category!$B$134,'2021'!$N:$N,Category!AC$1,'2021'!$D:$D,Category!$C184)</f>
        <v>0</v>
      </c>
      <c r="AD184" s="388">
        <f>SUMIFS('2021'!$I:$I,'2021'!$E:$E,Category!$B$134,'2021'!$N:$N,Category!AD$1,'2021'!$D:$D,Category!$C184)</f>
        <v>0</v>
      </c>
      <c r="AE184" s="388">
        <f>SUMIFS('2021'!$I:$I,'2021'!$E:$E,Category!$B$134,'2021'!$N:$N,Category!AE$1,'2021'!$D:$D,Category!$C184)</f>
        <v>0</v>
      </c>
      <c r="AF184" s="388">
        <f>SUMIFS('2021'!$I:$I,'2021'!$E:$E,Category!$B$134,'2021'!$N:$N,Category!AF$1,'2021'!$D:$D,Category!$C184)</f>
        <v>0</v>
      </c>
      <c r="AG184" s="388">
        <f>SUMIFS('2021'!$I:$I,'2021'!$E:$E,Category!$B$134,'2021'!$N:$N,Category!AG$1,'2021'!$D:$D,Category!$C184)</f>
        <v>0</v>
      </c>
      <c r="AH184" s="388">
        <f>SUMIFS('2021'!$I:$I,'2021'!$E:$E,Category!$B$134,'2021'!$N:$N,Category!AH$1,'2021'!$D:$D,Category!$C184)</f>
        <v>0</v>
      </c>
      <c r="AI184" s="388">
        <f>SUMIFS('2021'!$I:$I,'2021'!$E:$E,Category!$B$134,'2021'!$N:$N,Category!AI$1,'2021'!$D:$D,Category!$C184)</f>
        <v>0</v>
      </c>
      <c r="AJ184" s="388">
        <f>SUMIFS('2021'!$I:$I,'2021'!$E:$E,Category!$B$134,'2021'!$N:$N,Category!AJ$1,'2021'!$D:$D,Category!$C184)</f>
        <v>0</v>
      </c>
      <c r="AK184" s="388">
        <f>SUMIFS('2021'!$I:$I,'2021'!$E:$E,Category!$B$134,'2021'!$N:$N,Category!AK$1,'2021'!$D:$D,Category!$C184)</f>
        <v>0</v>
      </c>
      <c r="AL184" s="389">
        <f t="shared" si="72"/>
        <v>0</v>
      </c>
      <c r="AM184" s="506">
        <f>IFERROR(VLOOKUP(C184,'2022'!$D:$G,4,0),0)</f>
        <v>1</v>
      </c>
      <c r="AN184" s="388">
        <f>SUMIFS('2022'!$I:$I,'2022'!$E:$E,Category!$B$134,'2022'!$N:$N,Category!AN$1,'2022'!$D:$D,Category!$C184)</f>
        <v>500000</v>
      </c>
      <c r="AO184" s="388">
        <f>SUMIFS('2022'!$I:$I,'2022'!$E:$E,Category!$B$134,'2022'!$N:$N,Category!AO$1,'2022'!$D:$D,Category!$C184)</f>
        <v>500000</v>
      </c>
      <c r="AP184" s="388">
        <f>SUMIFS('2022'!$I:$I,'2022'!$E:$E,Category!$B$134,'2022'!$N:$N,Category!AP$1,'2022'!$D:$D,Category!$C184)</f>
        <v>500000</v>
      </c>
      <c r="AQ184" s="388">
        <f>SUMIFS('2022'!$I:$I,'2022'!$E:$E,Category!$B$134,'2022'!$N:$N,Category!AQ$1,'2022'!$D:$D,Category!$C184)</f>
        <v>500000</v>
      </c>
      <c r="AR184" s="388">
        <f>SUMIFS('2022'!$I:$I,'2022'!$E:$E,Category!$B$134,'2022'!$N:$N,Category!AR$1,'2022'!$D:$D,Category!$C184)</f>
        <v>500000</v>
      </c>
      <c r="AS184" s="388">
        <f>SUMIFS('2022'!$I:$I,'2022'!$E:$E,Category!$B$134,'2022'!$N:$N,Category!AS$1,'2022'!$D:$D,Category!$C184)</f>
        <v>500000</v>
      </c>
      <c r="AT184" s="388">
        <f>SUMIFS('2022'!$I:$I,'2022'!$E:$E,Category!$B$134,'2022'!$N:$N,Category!AT$1,'2022'!$D:$D,Category!$C184)</f>
        <v>500000</v>
      </c>
      <c r="AU184" s="388">
        <f>SUMIFS('2022'!$I:$I,'2022'!$E:$E,Category!$B$134,'2022'!$N:$N,Category!AU$1,'2022'!$D:$D,Category!$C184)</f>
        <v>500000</v>
      </c>
      <c r="AV184" s="388">
        <f>SUMIFS('2022'!$I:$I,'2022'!$E:$E,Category!$B$134,'2022'!$N:$N,Category!AV$1,'2022'!$D:$D,Category!$C184)</f>
        <v>500000</v>
      </c>
      <c r="AW184" s="388">
        <f>SUMIFS('2022'!$I:$I,'2022'!$E:$E,Category!$B$134,'2022'!$N:$N,Category!AW$1,'2022'!$D:$D,Category!$C184)</f>
        <v>500000</v>
      </c>
      <c r="AX184" s="388">
        <f>SUMIFS('2022'!$I:$I,'2022'!$E:$E,Category!$B$134,'2022'!$N:$N,Category!AX$1,'2022'!$D:$D,Category!$C184)</f>
        <v>500000</v>
      </c>
      <c r="AY184" s="388">
        <f>SUMIFS('2022'!$I:$I,'2022'!$E:$E,Category!$B$134,'2022'!$N:$N,Category!AY$1,'2022'!$D:$D,Category!$C184)</f>
        <v>500000</v>
      </c>
      <c r="AZ184" s="389">
        <f t="shared" si="70"/>
        <v>6000000</v>
      </c>
      <c r="BA184" s="506">
        <f>IFERROR(VLOOKUP(C184,'2023'!$D:$G,4,0),0)</f>
        <v>1</v>
      </c>
      <c r="BB184" s="388">
        <f>SUMIFS('2023'!$I:$I,'2023'!$E:$E,Category!$B$134,'2023'!$N:$N,Category!BB$1,'2023'!$D:$D,Category!$C184)</f>
        <v>500000</v>
      </c>
      <c r="BC184" s="388">
        <f>SUMIFS('2023'!$I:$I,'2023'!$E:$E,Category!$B$134,'2023'!$N:$N,Category!BC$1,'2023'!$D:$D,Category!$C184)</f>
        <v>500000</v>
      </c>
      <c r="BD184" s="388">
        <f>SUMIFS('2023'!$I:$I,'2023'!$E:$E,Category!$B$134,'2023'!$N:$N,Category!BD$1,'2023'!$D:$D,Category!$C184)</f>
        <v>0</v>
      </c>
      <c r="BE184" s="388">
        <f>SUMIFS('2023'!$I:$I,'2023'!$E:$E,Category!$B$134,'2023'!$N:$N,Category!BE$1,'2023'!$D:$D,Category!$C184)</f>
        <v>0</v>
      </c>
      <c r="BF184" s="388">
        <f>SUMIFS('2023'!$I:$I,'2023'!$E:$E,Category!$B$134,'2023'!$N:$N,Category!BF$1,'2023'!$D:$D,Category!$C184)</f>
        <v>0</v>
      </c>
      <c r="BG184" s="388">
        <f>SUMIFS('2023'!$I:$I,'2023'!$E:$E,Category!$B$134,'2023'!$N:$N,Category!BG$1,'2023'!$D:$D,Category!$C184)</f>
        <v>0</v>
      </c>
      <c r="BH184" s="388">
        <f>SUMIFS('2023'!$I:$I,'2023'!$E:$E,Category!$B$134,'2023'!$N:$N,Category!BH$1,'2023'!$D:$D,Category!$C184)</f>
        <v>0</v>
      </c>
      <c r="BI184" s="388">
        <f>SUMIFS('2023'!$I:$I,'2023'!$E:$E,Category!$B$134,'2023'!$N:$N,Category!BI$1,'2023'!$D:$D,Category!$C184)</f>
        <v>0</v>
      </c>
      <c r="BJ184" s="388">
        <f>SUMIFS('2023'!$I:$I,'2023'!$E:$E,Category!$B$134,'2023'!$N:$N,Category!BJ$1,'2023'!$D:$D,Category!$C184)</f>
        <v>0</v>
      </c>
      <c r="BK184" s="388">
        <f>SUMIFS('2023'!$I:$I,'2023'!$E:$E,Category!$B$134,'2023'!$N:$N,Category!BK$1,'2023'!$D:$D,Category!$C184)</f>
        <v>0</v>
      </c>
      <c r="BL184" s="388">
        <f>SUMIFS('2023'!$I:$I,'2023'!$E:$E,Category!$B$134,'2023'!$N:$N,Category!BL$1,'2023'!$D:$D,Category!$C184)</f>
        <v>0</v>
      </c>
      <c r="BM184" s="388">
        <f>SUMIFS('2023'!$I:$I,'2023'!$E:$E,Category!$B$134,'2023'!$N:$N,Category!BM$1,'2023'!$D:$D,Category!$C184)</f>
        <v>0</v>
      </c>
      <c r="BN184" s="389">
        <f t="shared" si="69"/>
        <v>1000000</v>
      </c>
    </row>
    <row r="185" spans="1:66" x14ac:dyDescent="0.3">
      <c r="A185" s="386"/>
      <c r="B185" s="387"/>
      <c r="C185" s="387" t="s">
        <v>923</v>
      </c>
      <c r="D185" s="524">
        <f>IFERROR(VLOOKUP($C185,'2019'!$D:$G,4,0),0)</f>
        <v>0</v>
      </c>
      <c r="E185" s="388">
        <f>SUMIFS('2019'!$I:$I,'2019'!$E:$E,Category!$B$134,'2019'!$N:$N,Category!E$1,'2019'!$D:$D,Category!$C185)</f>
        <v>0</v>
      </c>
      <c r="F185" s="388">
        <f>SUMIFS('2019'!$I:$I,'2019'!$E:$E,Category!$B$134,'2019'!$N:$N,Category!F$1,'2019'!$D:$D,Category!$C185)</f>
        <v>0</v>
      </c>
      <c r="G185" s="388">
        <f>SUMIFS('2019'!$I:$I,'2019'!$E:$E,Category!$B$134,'2019'!$N:$N,Category!G$1,'2019'!$D:$D,Category!$C185)</f>
        <v>0</v>
      </c>
      <c r="H185" s="388">
        <f>SUMIFS('2019'!$I:$I,'2019'!$E:$E,Category!$B$134,'2019'!$N:$N,Category!H$1,'2019'!$D:$D,Category!$C185)</f>
        <v>0</v>
      </c>
      <c r="I185" s="388">
        <f>SUMIFS('2019'!$I:$I,'2019'!$E:$E,Category!$B$134,'2019'!$N:$N,Category!I$1,'2019'!$D:$D,Category!$C185)</f>
        <v>0</v>
      </c>
      <c r="J185" s="389">
        <f t="shared" si="71"/>
        <v>0</v>
      </c>
      <c r="K185" s="506">
        <f>IFERROR(VLOOKUP($C185,'2020'!$D:$G,4,0),0)</f>
        <v>0</v>
      </c>
      <c r="L185" s="388">
        <f>SUMIFS('2020'!$I:$I,'2020'!$E:$E,Category!$B$134,'2020'!$N:$N,Category!L$1,'2020'!$D:$D,Category!$C185)</f>
        <v>0</v>
      </c>
      <c r="M185" s="388">
        <f>SUMIFS('2020'!$I:$I,'2020'!$E:$E,Category!$B$134,'2020'!$N:$N,Category!M$1,'2020'!$D:$D,Category!$C185)</f>
        <v>0</v>
      </c>
      <c r="N185" s="388">
        <f>SUMIFS('2020'!$I:$I,'2020'!$E:$E,Category!$B$134,'2020'!$N:$N,Category!N$1,'2020'!$D:$D,Category!$C185)</f>
        <v>0</v>
      </c>
      <c r="O185" s="388">
        <f>SUMIFS('2020'!$I:$I,'2020'!$E:$E,Category!$B$134,'2020'!$N:$N,Category!O$1,'2020'!$D:$D,Category!$C185)</f>
        <v>0</v>
      </c>
      <c r="P185" s="388">
        <f>SUMIFS('2020'!$I:$I,'2020'!$E:$E,Category!$B$134,'2020'!$N:$N,Category!P$1,'2020'!$D:$D,Category!$C185)</f>
        <v>0</v>
      </c>
      <c r="Q185" s="388">
        <f>SUMIFS('2020'!$I:$I,'2020'!$E:$E,Category!$B$134,'2020'!$N:$N,Category!Q$1,'2020'!$D:$D,Category!$C185)</f>
        <v>0</v>
      </c>
      <c r="R185" s="388">
        <f>SUMIFS('2020'!$I:$I,'2020'!$E:$E,Category!$B$134,'2020'!$N:$N,Category!R$1,'2020'!$D:$D,Category!$C185)</f>
        <v>0</v>
      </c>
      <c r="S185" s="388">
        <f>SUMIFS('2020'!$I:$I,'2020'!$E:$E,Category!$B$134,'2020'!$N:$N,Category!S$1,'2020'!$D:$D,Category!$C185)</f>
        <v>0</v>
      </c>
      <c r="T185" s="388">
        <f>SUMIFS('2020'!$I:$I,'2020'!$E:$E,Category!$B$134,'2020'!$N:$N,Category!T$1,'2020'!$D:$D,Category!$C185)</f>
        <v>0</v>
      </c>
      <c r="U185" s="388">
        <f>SUMIFS('2020'!$I:$I,'2020'!$E:$E,Category!$B$134,'2020'!$N:$N,Category!U$1,'2020'!$D:$D,Category!$C185)</f>
        <v>0</v>
      </c>
      <c r="V185" s="388">
        <f>SUMIFS('2020'!$I:$I,'2020'!$E:$E,Category!$B$134,'2020'!$N:$N,Category!V$1,'2020'!$D:$D,Category!$C185)</f>
        <v>0</v>
      </c>
      <c r="W185" s="388">
        <f>SUMIFS('2020'!$I:$I,'2020'!$E:$E,Category!$B$134,'2020'!$N:$N,Category!W$1,'2020'!$D:$D,Category!$C185)</f>
        <v>0</v>
      </c>
      <c r="X185" s="389">
        <f t="shared" si="68"/>
        <v>0</v>
      </c>
      <c r="Y185" s="506">
        <f>IFERROR(VLOOKUP(C185,'2021'!$D:$G,4,0),0)</f>
        <v>0</v>
      </c>
      <c r="Z185" s="388">
        <f>SUMIFS('2021'!$I:$I,'2021'!$E:$E,Category!$B$134,'2021'!$N:$N,Category!Z$1,'2021'!$D:$D,Category!$C185)</f>
        <v>0</v>
      </c>
      <c r="AA185" s="388">
        <f>SUMIFS('2021'!$I:$I,'2021'!$E:$E,Category!$B$134,'2021'!$N:$N,Category!AA$1,'2021'!$D:$D,Category!$C185)</f>
        <v>0</v>
      </c>
      <c r="AB185" s="388">
        <f>SUMIFS('2021'!$I:$I,'2021'!$E:$E,Category!$B$134,'2021'!$N:$N,Category!AB$1,'2021'!$D:$D,Category!$C185)</f>
        <v>0</v>
      </c>
      <c r="AC185" s="388">
        <f>SUMIFS('2021'!$I:$I,'2021'!$E:$E,Category!$B$134,'2021'!$N:$N,Category!AC$1,'2021'!$D:$D,Category!$C185)</f>
        <v>0</v>
      </c>
      <c r="AD185" s="388">
        <f>SUMIFS('2021'!$I:$I,'2021'!$E:$E,Category!$B$134,'2021'!$N:$N,Category!AD$1,'2021'!$D:$D,Category!$C185)</f>
        <v>0</v>
      </c>
      <c r="AE185" s="388">
        <f>SUMIFS('2021'!$I:$I,'2021'!$E:$E,Category!$B$134,'2021'!$N:$N,Category!AE$1,'2021'!$D:$D,Category!$C185)</f>
        <v>0</v>
      </c>
      <c r="AF185" s="388">
        <f>SUMIFS('2021'!$I:$I,'2021'!$E:$E,Category!$B$134,'2021'!$N:$N,Category!AF$1,'2021'!$D:$D,Category!$C185)</f>
        <v>0</v>
      </c>
      <c r="AG185" s="388">
        <f>SUMIFS('2021'!$I:$I,'2021'!$E:$E,Category!$B$134,'2021'!$N:$N,Category!AG$1,'2021'!$D:$D,Category!$C185)</f>
        <v>0</v>
      </c>
      <c r="AH185" s="388">
        <f>SUMIFS('2021'!$I:$I,'2021'!$E:$E,Category!$B$134,'2021'!$N:$N,Category!AH$1,'2021'!$D:$D,Category!$C185)</f>
        <v>0</v>
      </c>
      <c r="AI185" s="388">
        <f>SUMIFS('2021'!$I:$I,'2021'!$E:$E,Category!$B$134,'2021'!$N:$N,Category!AI$1,'2021'!$D:$D,Category!$C185)</f>
        <v>0</v>
      </c>
      <c r="AJ185" s="388">
        <f>SUMIFS('2021'!$I:$I,'2021'!$E:$E,Category!$B$134,'2021'!$N:$N,Category!AJ$1,'2021'!$D:$D,Category!$C185)</f>
        <v>0</v>
      </c>
      <c r="AK185" s="388">
        <f>SUMIFS('2021'!$I:$I,'2021'!$E:$E,Category!$B$134,'2021'!$N:$N,Category!AK$1,'2021'!$D:$D,Category!$C185)</f>
        <v>0</v>
      </c>
      <c r="AL185" s="389">
        <f t="shared" si="72"/>
        <v>0</v>
      </c>
      <c r="AM185" s="506">
        <f>IFERROR(VLOOKUP(C185,'2022'!$D:$G,4,0),0)</f>
        <v>1</v>
      </c>
      <c r="AN185" s="388">
        <f>SUMIFS('2022'!$I:$I,'2022'!$E:$E,Category!$B$134,'2022'!$N:$N,Category!AN$1,'2022'!$D:$D,Category!$C185)</f>
        <v>500000</v>
      </c>
      <c r="AO185" s="388">
        <f>SUMIFS('2022'!$I:$I,'2022'!$E:$E,Category!$B$134,'2022'!$N:$N,Category!AO$1,'2022'!$D:$D,Category!$C185)</f>
        <v>500000</v>
      </c>
      <c r="AP185" s="388">
        <f>SUMIFS('2022'!$I:$I,'2022'!$E:$E,Category!$B$134,'2022'!$N:$N,Category!AP$1,'2022'!$D:$D,Category!$C185)</f>
        <v>500000</v>
      </c>
      <c r="AQ185" s="388">
        <f>SUMIFS('2022'!$I:$I,'2022'!$E:$E,Category!$B$134,'2022'!$N:$N,Category!AQ$1,'2022'!$D:$D,Category!$C185)</f>
        <v>500000</v>
      </c>
      <c r="AR185" s="388">
        <f>SUMIFS('2022'!$I:$I,'2022'!$E:$E,Category!$B$134,'2022'!$N:$N,Category!AR$1,'2022'!$D:$D,Category!$C185)</f>
        <v>500000</v>
      </c>
      <c r="AS185" s="388">
        <f>SUMIFS('2022'!$I:$I,'2022'!$E:$E,Category!$B$134,'2022'!$N:$N,Category!AS$1,'2022'!$D:$D,Category!$C185)</f>
        <v>500000</v>
      </c>
      <c r="AT185" s="388">
        <f>SUMIFS('2022'!$I:$I,'2022'!$E:$E,Category!$B$134,'2022'!$N:$N,Category!AT$1,'2022'!$D:$D,Category!$C185)</f>
        <v>500000</v>
      </c>
      <c r="AU185" s="388">
        <f>SUMIFS('2022'!$I:$I,'2022'!$E:$E,Category!$B$134,'2022'!$N:$N,Category!AU$1,'2022'!$D:$D,Category!$C185)</f>
        <v>500000</v>
      </c>
      <c r="AV185" s="388">
        <f>SUMIFS('2022'!$I:$I,'2022'!$E:$E,Category!$B$134,'2022'!$N:$N,Category!AV$1,'2022'!$D:$D,Category!$C185)</f>
        <v>500000</v>
      </c>
      <c r="AW185" s="388">
        <f>SUMIFS('2022'!$I:$I,'2022'!$E:$E,Category!$B$134,'2022'!$N:$N,Category!AW$1,'2022'!$D:$D,Category!$C185)</f>
        <v>500000</v>
      </c>
      <c r="AX185" s="388">
        <f>SUMIFS('2022'!$I:$I,'2022'!$E:$E,Category!$B$134,'2022'!$N:$N,Category!AX$1,'2022'!$D:$D,Category!$C185)</f>
        <v>500000</v>
      </c>
      <c r="AY185" s="388">
        <f>SUMIFS('2022'!$I:$I,'2022'!$E:$E,Category!$B$134,'2022'!$N:$N,Category!AY$1,'2022'!$D:$D,Category!$C185)</f>
        <v>500000</v>
      </c>
      <c r="AZ185" s="389">
        <f t="shared" si="70"/>
        <v>6000000</v>
      </c>
      <c r="BA185" s="506">
        <f>IFERROR(VLOOKUP(C185,'2023'!$D:$G,4,0),0)</f>
        <v>1</v>
      </c>
      <c r="BB185" s="388">
        <f>SUMIFS('2023'!$I:$I,'2023'!$E:$E,Category!$B$134,'2023'!$N:$N,Category!BB$1,'2023'!$D:$D,Category!$C185)</f>
        <v>500000</v>
      </c>
      <c r="BC185" s="388">
        <f>SUMIFS('2023'!$I:$I,'2023'!$E:$E,Category!$B$134,'2023'!$N:$N,Category!BC$1,'2023'!$D:$D,Category!$C185)</f>
        <v>500000</v>
      </c>
      <c r="BD185" s="388">
        <f>SUMIFS('2023'!$I:$I,'2023'!$E:$E,Category!$B$134,'2023'!$N:$N,Category!BD$1,'2023'!$D:$D,Category!$C185)</f>
        <v>0</v>
      </c>
      <c r="BE185" s="388">
        <f>SUMIFS('2023'!$I:$I,'2023'!$E:$E,Category!$B$134,'2023'!$N:$N,Category!BE$1,'2023'!$D:$D,Category!$C185)</f>
        <v>0</v>
      </c>
      <c r="BF185" s="388">
        <f>SUMIFS('2023'!$I:$I,'2023'!$E:$E,Category!$B$134,'2023'!$N:$N,Category!BF$1,'2023'!$D:$D,Category!$C185)</f>
        <v>0</v>
      </c>
      <c r="BG185" s="388">
        <f>SUMIFS('2023'!$I:$I,'2023'!$E:$E,Category!$B$134,'2023'!$N:$N,Category!BG$1,'2023'!$D:$D,Category!$C185)</f>
        <v>0</v>
      </c>
      <c r="BH185" s="388">
        <f>SUMIFS('2023'!$I:$I,'2023'!$E:$E,Category!$B$134,'2023'!$N:$N,Category!BH$1,'2023'!$D:$D,Category!$C185)</f>
        <v>0</v>
      </c>
      <c r="BI185" s="388">
        <f>SUMIFS('2023'!$I:$I,'2023'!$E:$E,Category!$B$134,'2023'!$N:$N,Category!BI$1,'2023'!$D:$D,Category!$C185)</f>
        <v>0</v>
      </c>
      <c r="BJ185" s="388">
        <f>SUMIFS('2023'!$I:$I,'2023'!$E:$E,Category!$B$134,'2023'!$N:$N,Category!BJ$1,'2023'!$D:$D,Category!$C185)</f>
        <v>0</v>
      </c>
      <c r="BK185" s="388">
        <f>SUMIFS('2023'!$I:$I,'2023'!$E:$E,Category!$B$134,'2023'!$N:$N,Category!BK$1,'2023'!$D:$D,Category!$C185)</f>
        <v>0</v>
      </c>
      <c r="BL185" s="388">
        <f>SUMIFS('2023'!$I:$I,'2023'!$E:$E,Category!$B$134,'2023'!$N:$N,Category!BL$1,'2023'!$D:$D,Category!$C185)</f>
        <v>0</v>
      </c>
      <c r="BM185" s="388">
        <f>SUMIFS('2023'!$I:$I,'2023'!$E:$E,Category!$B$134,'2023'!$N:$N,Category!BM$1,'2023'!$D:$D,Category!$C185)</f>
        <v>0</v>
      </c>
      <c r="BN185" s="389">
        <f t="shared" si="69"/>
        <v>1000000</v>
      </c>
    </row>
    <row r="186" spans="1:66" x14ac:dyDescent="0.3">
      <c r="A186" s="386"/>
      <c r="B186" s="387"/>
      <c r="C186" s="387" t="s">
        <v>924</v>
      </c>
      <c r="D186" s="524">
        <f>IFERROR(VLOOKUP($C186,'2019'!$D:$G,4,0),0)</f>
        <v>0</v>
      </c>
      <c r="E186" s="388">
        <f>SUMIFS('2019'!$I:$I,'2019'!$E:$E,Category!$B$134,'2019'!$N:$N,Category!E$1,'2019'!$D:$D,Category!$C186)</f>
        <v>0</v>
      </c>
      <c r="F186" s="388">
        <f>SUMIFS('2019'!$I:$I,'2019'!$E:$E,Category!$B$134,'2019'!$N:$N,Category!F$1,'2019'!$D:$D,Category!$C186)</f>
        <v>0</v>
      </c>
      <c r="G186" s="388">
        <f>SUMIFS('2019'!$I:$I,'2019'!$E:$E,Category!$B$134,'2019'!$N:$N,Category!G$1,'2019'!$D:$D,Category!$C186)</f>
        <v>0</v>
      </c>
      <c r="H186" s="388">
        <f>SUMIFS('2019'!$I:$I,'2019'!$E:$E,Category!$B$134,'2019'!$N:$N,Category!H$1,'2019'!$D:$D,Category!$C186)</f>
        <v>0</v>
      </c>
      <c r="I186" s="388">
        <f>SUMIFS('2019'!$I:$I,'2019'!$E:$E,Category!$B$134,'2019'!$N:$N,Category!I$1,'2019'!$D:$D,Category!$C186)</f>
        <v>0</v>
      </c>
      <c r="J186" s="389">
        <f t="shared" si="71"/>
        <v>0</v>
      </c>
      <c r="K186" s="506">
        <f>IFERROR(VLOOKUP($C186,'2020'!$D:$G,4,0),0)</f>
        <v>0</v>
      </c>
      <c r="L186" s="388">
        <f>SUMIFS('2020'!$I:$I,'2020'!$E:$E,Category!$B$134,'2020'!$N:$N,Category!L$1,'2020'!$D:$D,Category!$C186)</f>
        <v>0</v>
      </c>
      <c r="M186" s="388">
        <f>SUMIFS('2020'!$I:$I,'2020'!$E:$E,Category!$B$134,'2020'!$N:$N,Category!M$1,'2020'!$D:$D,Category!$C186)</f>
        <v>0</v>
      </c>
      <c r="N186" s="388">
        <f>SUMIFS('2020'!$I:$I,'2020'!$E:$E,Category!$B$134,'2020'!$N:$N,Category!N$1,'2020'!$D:$D,Category!$C186)</f>
        <v>0</v>
      </c>
      <c r="O186" s="388">
        <f>SUMIFS('2020'!$I:$I,'2020'!$E:$E,Category!$B$134,'2020'!$N:$N,Category!O$1,'2020'!$D:$D,Category!$C186)</f>
        <v>0</v>
      </c>
      <c r="P186" s="388">
        <f>SUMIFS('2020'!$I:$I,'2020'!$E:$E,Category!$B$134,'2020'!$N:$N,Category!P$1,'2020'!$D:$D,Category!$C186)</f>
        <v>0</v>
      </c>
      <c r="Q186" s="388">
        <f>SUMIFS('2020'!$I:$I,'2020'!$E:$E,Category!$B$134,'2020'!$N:$N,Category!Q$1,'2020'!$D:$D,Category!$C186)</f>
        <v>0</v>
      </c>
      <c r="R186" s="388">
        <f>SUMIFS('2020'!$I:$I,'2020'!$E:$E,Category!$B$134,'2020'!$N:$N,Category!R$1,'2020'!$D:$D,Category!$C186)</f>
        <v>0</v>
      </c>
      <c r="S186" s="388">
        <f>SUMIFS('2020'!$I:$I,'2020'!$E:$E,Category!$B$134,'2020'!$N:$N,Category!S$1,'2020'!$D:$D,Category!$C186)</f>
        <v>0</v>
      </c>
      <c r="T186" s="388">
        <f>SUMIFS('2020'!$I:$I,'2020'!$E:$E,Category!$B$134,'2020'!$N:$N,Category!T$1,'2020'!$D:$D,Category!$C186)</f>
        <v>0</v>
      </c>
      <c r="U186" s="388">
        <f>SUMIFS('2020'!$I:$I,'2020'!$E:$E,Category!$B$134,'2020'!$N:$N,Category!U$1,'2020'!$D:$D,Category!$C186)</f>
        <v>0</v>
      </c>
      <c r="V186" s="388">
        <f>SUMIFS('2020'!$I:$I,'2020'!$E:$E,Category!$B$134,'2020'!$N:$N,Category!V$1,'2020'!$D:$D,Category!$C186)</f>
        <v>0</v>
      </c>
      <c r="W186" s="388">
        <f>SUMIFS('2020'!$I:$I,'2020'!$E:$E,Category!$B$134,'2020'!$N:$N,Category!W$1,'2020'!$D:$D,Category!$C186)</f>
        <v>0</v>
      </c>
      <c r="X186" s="389">
        <f t="shared" si="68"/>
        <v>0</v>
      </c>
      <c r="Y186" s="506">
        <f>IFERROR(VLOOKUP(C186,'2021'!$D:$G,4,0),0)</f>
        <v>0</v>
      </c>
      <c r="Z186" s="388">
        <f>SUMIFS('2021'!$I:$I,'2021'!$E:$E,Category!$B$134,'2021'!$N:$N,Category!Z$1,'2021'!$D:$D,Category!$C186)</f>
        <v>0</v>
      </c>
      <c r="AA186" s="388">
        <f>SUMIFS('2021'!$I:$I,'2021'!$E:$E,Category!$B$134,'2021'!$N:$N,Category!AA$1,'2021'!$D:$D,Category!$C186)</f>
        <v>0</v>
      </c>
      <c r="AB186" s="388">
        <f>SUMIFS('2021'!$I:$I,'2021'!$E:$E,Category!$B$134,'2021'!$N:$N,Category!AB$1,'2021'!$D:$D,Category!$C186)</f>
        <v>0</v>
      </c>
      <c r="AC186" s="388">
        <f>SUMIFS('2021'!$I:$I,'2021'!$E:$E,Category!$B$134,'2021'!$N:$N,Category!AC$1,'2021'!$D:$D,Category!$C186)</f>
        <v>0</v>
      </c>
      <c r="AD186" s="388">
        <f>SUMIFS('2021'!$I:$I,'2021'!$E:$E,Category!$B$134,'2021'!$N:$N,Category!AD$1,'2021'!$D:$D,Category!$C186)</f>
        <v>0</v>
      </c>
      <c r="AE186" s="388">
        <f>SUMIFS('2021'!$I:$I,'2021'!$E:$E,Category!$B$134,'2021'!$N:$N,Category!AE$1,'2021'!$D:$D,Category!$C186)</f>
        <v>0</v>
      </c>
      <c r="AF186" s="388">
        <f>SUMIFS('2021'!$I:$I,'2021'!$E:$E,Category!$B$134,'2021'!$N:$N,Category!AF$1,'2021'!$D:$D,Category!$C186)</f>
        <v>0</v>
      </c>
      <c r="AG186" s="388">
        <f>SUMIFS('2021'!$I:$I,'2021'!$E:$E,Category!$B$134,'2021'!$N:$N,Category!AG$1,'2021'!$D:$D,Category!$C186)</f>
        <v>0</v>
      </c>
      <c r="AH186" s="388">
        <f>SUMIFS('2021'!$I:$I,'2021'!$E:$E,Category!$B$134,'2021'!$N:$N,Category!AH$1,'2021'!$D:$D,Category!$C186)</f>
        <v>0</v>
      </c>
      <c r="AI186" s="388">
        <f>SUMIFS('2021'!$I:$I,'2021'!$E:$E,Category!$B$134,'2021'!$N:$N,Category!AI$1,'2021'!$D:$D,Category!$C186)</f>
        <v>0</v>
      </c>
      <c r="AJ186" s="388">
        <f>SUMIFS('2021'!$I:$I,'2021'!$E:$E,Category!$B$134,'2021'!$N:$N,Category!AJ$1,'2021'!$D:$D,Category!$C186)</f>
        <v>0</v>
      </c>
      <c r="AK186" s="388">
        <f>SUMIFS('2021'!$I:$I,'2021'!$E:$E,Category!$B$134,'2021'!$N:$N,Category!AK$1,'2021'!$D:$D,Category!$C186)</f>
        <v>0</v>
      </c>
      <c r="AL186" s="389">
        <f t="shared" si="72"/>
        <v>0</v>
      </c>
      <c r="AM186" s="506">
        <f>IFERROR(VLOOKUP(C186,'2022'!$D:$G,4,0),0)</f>
        <v>1</v>
      </c>
      <c r="AN186" s="388">
        <f>SUMIFS('2022'!$I:$I,'2022'!$E:$E,Category!$B$134,'2022'!$N:$N,Category!AN$1,'2022'!$D:$D,Category!$C186)</f>
        <v>500000</v>
      </c>
      <c r="AO186" s="388">
        <f>SUMIFS('2022'!$I:$I,'2022'!$E:$E,Category!$B$134,'2022'!$N:$N,Category!AO$1,'2022'!$D:$D,Category!$C186)</f>
        <v>500000</v>
      </c>
      <c r="AP186" s="388">
        <f>SUMIFS('2022'!$I:$I,'2022'!$E:$E,Category!$B$134,'2022'!$N:$N,Category!AP$1,'2022'!$D:$D,Category!$C186)</f>
        <v>500000</v>
      </c>
      <c r="AQ186" s="388">
        <f>SUMIFS('2022'!$I:$I,'2022'!$E:$E,Category!$B$134,'2022'!$N:$N,Category!AQ$1,'2022'!$D:$D,Category!$C186)</f>
        <v>500000</v>
      </c>
      <c r="AR186" s="388">
        <f>SUMIFS('2022'!$I:$I,'2022'!$E:$E,Category!$B$134,'2022'!$N:$N,Category!AR$1,'2022'!$D:$D,Category!$C186)</f>
        <v>500000</v>
      </c>
      <c r="AS186" s="388">
        <f>SUMIFS('2022'!$I:$I,'2022'!$E:$E,Category!$B$134,'2022'!$N:$N,Category!AS$1,'2022'!$D:$D,Category!$C186)</f>
        <v>500000</v>
      </c>
      <c r="AT186" s="388">
        <f>SUMIFS('2022'!$I:$I,'2022'!$E:$E,Category!$B$134,'2022'!$N:$N,Category!AT$1,'2022'!$D:$D,Category!$C186)</f>
        <v>500000</v>
      </c>
      <c r="AU186" s="388">
        <f>SUMIFS('2022'!$I:$I,'2022'!$E:$E,Category!$B$134,'2022'!$N:$N,Category!AU$1,'2022'!$D:$D,Category!$C186)</f>
        <v>500000</v>
      </c>
      <c r="AV186" s="388">
        <f>SUMIFS('2022'!$I:$I,'2022'!$E:$E,Category!$B$134,'2022'!$N:$N,Category!AV$1,'2022'!$D:$D,Category!$C186)</f>
        <v>500000</v>
      </c>
      <c r="AW186" s="388">
        <f>SUMIFS('2022'!$I:$I,'2022'!$E:$E,Category!$B$134,'2022'!$N:$N,Category!AW$1,'2022'!$D:$D,Category!$C186)</f>
        <v>500000</v>
      </c>
      <c r="AX186" s="388">
        <f>SUMIFS('2022'!$I:$I,'2022'!$E:$E,Category!$B$134,'2022'!$N:$N,Category!AX$1,'2022'!$D:$D,Category!$C186)</f>
        <v>500000</v>
      </c>
      <c r="AY186" s="388">
        <f>SUMIFS('2022'!$I:$I,'2022'!$E:$E,Category!$B$134,'2022'!$N:$N,Category!AY$1,'2022'!$D:$D,Category!$C186)</f>
        <v>500000</v>
      </c>
      <c r="AZ186" s="389">
        <f t="shared" si="70"/>
        <v>6000000</v>
      </c>
      <c r="BA186" s="506">
        <f>IFERROR(VLOOKUP(C186,'2023'!$D:$G,4,0),0)</f>
        <v>1</v>
      </c>
      <c r="BB186" s="388">
        <f>SUMIFS('2023'!$I:$I,'2023'!$E:$E,Category!$B$134,'2023'!$N:$N,Category!BB$1,'2023'!$D:$D,Category!$C186)</f>
        <v>500000</v>
      </c>
      <c r="BC186" s="388">
        <f>SUMIFS('2023'!$I:$I,'2023'!$E:$E,Category!$B$134,'2023'!$N:$N,Category!BC$1,'2023'!$D:$D,Category!$C186)</f>
        <v>500000</v>
      </c>
      <c r="BD186" s="388">
        <f>SUMIFS('2023'!$I:$I,'2023'!$E:$E,Category!$B$134,'2023'!$N:$N,Category!BD$1,'2023'!$D:$D,Category!$C186)</f>
        <v>0</v>
      </c>
      <c r="BE186" s="388">
        <f>SUMIFS('2023'!$I:$I,'2023'!$E:$E,Category!$B$134,'2023'!$N:$N,Category!BE$1,'2023'!$D:$D,Category!$C186)</f>
        <v>0</v>
      </c>
      <c r="BF186" s="388">
        <f>SUMIFS('2023'!$I:$I,'2023'!$E:$E,Category!$B$134,'2023'!$N:$N,Category!BF$1,'2023'!$D:$D,Category!$C186)</f>
        <v>0</v>
      </c>
      <c r="BG186" s="388">
        <f>SUMIFS('2023'!$I:$I,'2023'!$E:$E,Category!$B$134,'2023'!$N:$N,Category!BG$1,'2023'!$D:$D,Category!$C186)</f>
        <v>0</v>
      </c>
      <c r="BH186" s="388">
        <f>SUMIFS('2023'!$I:$I,'2023'!$E:$E,Category!$B$134,'2023'!$N:$N,Category!BH$1,'2023'!$D:$D,Category!$C186)</f>
        <v>0</v>
      </c>
      <c r="BI186" s="388">
        <f>SUMIFS('2023'!$I:$I,'2023'!$E:$E,Category!$B$134,'2023'!$N:$N,Category!BI$1,'2023'!$D:$D,Category!$C186)</f>
        <v>0</v>
      </c>
      <c r="BJ186" s="388">
        <f>SUMIFS('2023'!$I:$I,'2023'!$E:$E,Category!$B$134,'2023'!$N:$N,Category!BJ$1,'2023'!$D:$D,Category!$C186)</f>
        <v>0</v>
      </c>
      <c r="BK186" s="388">
        <f>SUMIFS('2023'!$I:$I,'2023'!$E:$E,Category!$B$134,'2023'!$N:$N,Category!BK$1,'2023'!$D:$D,Category!$C186)</f>
        <v>0</v>
      </c>
      <c r="BL186" s="388">
        <f>SUMIFS('2023'!$I:$I,'2023'!$E:$E,Category!$B$134,'2023'!$N:$N,Category!BL$1,'2023'!$D:$D,Category!$C186)</f>
        <v>0</v>
      </c>
      <c r="BM186" s="388">
        <f>SUMIFS('2023'!$I:$I,'2023'!$E:$E,Category!$B$134,'2023'!$N:$N,Category!BM$1,'2023'!$D:$D,Category!$C186)</f>
        <v>0</v>
      </c>
      <c r="BN186" s="389">
        <f t="shared" si="69"/>
        <v>1000000</v>
      </c>
    </row>
    <row r="187" spans="1:66" x14ac:dyDescent="0.3">
      <c r="A187" s="386"/>
      <c r="B187" s="387"/>
      <c r="C187" s="387" t="s">
        <v>925</v>
      </c>
      <c r="D187" s="524">
        <f>IFERROR(VLOOKUP($C187,'2019'!$D:$G,4,0),0)</f>
        <v>0</v>
      </c>
      <c r="E187" s="388">
        <f>SUMIFS('2019'!$I:$I,'2019'!$E:$E,Category!$B$134,'2019'!$N:$N,Category!E$1,'2019'!$D:$D,Category!$C187)</f>
        <v>0</v>
      </c>
      <c r="F187" s="388">
        <f>SUMIFS('2019'!$I:$I,'2019'!$E:$E,Category!$B$134,'2019'!$N:$N,Category!F$1,'2019'!$D:$D,Category!$C187)</f>
        <v>0</v>
      </c>
      <c r="G187" s="388">
        <f>SUMIFS('2019'!$I:$I,'2019'!$E:$E,Category!$B$134,'2019'!$N:$N,Category!G$1,'2019'!$D:$D,Category!$C187)</f>
        <v>0</v>
      </c>
      <c r="H187" s="388">
        <f>SUMIFS('2019'!$I:$I,'2019'!$E:$E,Category!$B$134,'2019'!$N:$N,Category!H$1,'2019'!$D:$D,Category!$C187)</f>
        <v>0</v>
      </c>
      <c r="I187" s="388">
        <f>SUMIFS('2019'!$I:$I,'2019'!$E:$E,Category!$B$134,'2019'!$N:$N,Category!I$1,'2019'!$D:$D,Category!$C187)</f>
        <v>0</v>
      </c>
      <c r="J187" s="389">
        <f t="shared" si="71"/>
        <v>0</v>
      </c>
      <c r="K187" s="506">
        <f>IFERROR(VLOOKUP($C187,'2020'!$D:$G,4,0),0)</f>
        <v>0</v>
      </c>
      <c r="L187" s="388">
        <f>SUMIFS('2020'!$I:$I,'2020'!$E:$E,Category!$B$134,'2020'!$N:$N,Category!L$1,'2020'!$D:$D,Category!$C187)</f>
        <v>0</v>
      </c>
      <c r="M187" s="388">
        <f>SUMIFS('2020'!$I:$I,'2020'!$E:$E,Category!$B$134,'2020'!$N:$N,Category!M$1,'2020'!$D:$D,Category!$C187)</f>
        <v>0</v>
      </c>
      <c r="N187" s="388">
        <f>SUMIFS('2020'!$I:$I,'2020'!$E:$E,Category!$B$134,'2020'!$N:$N,Category!N$1,'2020'!$D:$D,Category!$C187)</f>
        <v>0</v>
      </c>
      <c r="O187" s="388">
        <f>SUMIFS('2020'!$I:$I,'2020'!$E:$E,Category!$B$134,'2020'!$N:$N,Category!O$1,'2020'!$D:$D,Category!$C187)</f>
        <v>0</v>
      </c>
      <c r="P187" s="388">
        <f>SUMIFS('2020'!$I:$I,'2020'!$E:$E,Category!$B$134,'2020'!$N:$N,Category!P$1,'2020'!$D:$D,Category!$C187)</f>
        <v>0</v>
      </c>
      <c r="Q187" s="388">
        <f>SUMIFS('2020'!$I:$I,'2020'!$E:$E,Category!$B$134,'2020'!$N:$N,Category!Q$1,'2020'!$D:$D,Category!$C187)</f>
        <v>0</v>
      </c>
      <c r="R187" s="388">
        <f>SUMIFS('2020'!$I:$I,'2020'!$E:$E,Category!$B$134,'2020'!$N:$N,Category!R$1,'2020'!$D:$D,Category!$C187)</f>
        <v>0</v>
      </c>
      <c r="S187" s="388">
        <f>SUMIFS('2020'!$I:$I,'2020'!$E:$E,Category!$B$134,'2020'!$N:$N,Category!S$1,'2020'!$D:$D,Category!$C187)</f>
        <v>0</v>
      </c>
      <c r="T187" s="388">
        <f>SUMIFS('2020'!$I:$I,'2020'!$E:$E,Category!$B$134,'2020'!$N:$N,Category!T$1,'2020'!$D:$D,Category!$C187)</f>
        <v>0</v>
      </c>
      <c r="U187" s="388">
        <f>SUMIFS('2020'!$I:$I,'2020'!$E:$E,Category!$B$134,'2020'!$N:$N,Category!U$1,'2020'!$D:$D,Category!$C187)</f>
        <v>0</v>
      </c>
      <c r="V187" s="388">
        <f>SUMIFS('2020'!$I:$I,'2020'!$E:$E,Category!$B$134,'2020'!$N:$N,Category!V$1,'2020'!$D:$D,Category!$C187)</f>
        <v>0</v>
      </c>
      <c r="W187" s="388">
        <f>SUMIFS('2020'!$I:$I,'2020'!$E:$E,Category!$B$134,'2020'!$N:$N,Category!W$1,'2020'!$D:$D,Category!$C187)</f>
        <v>0</v>
      </c>
      <c r="X187" s="389">
        <f t="shared" si="68"/>
        <v>0</v>
      </c>
      <c r="Y187" s="506">
        <f>IFERROR(VLOOKUP(C187,'2021'!$D:$G,4,0),0)</f>
        <v>0</v>
      </c>
      <c r="Z187" s="388">
        <f>SUMIFS('2021'!$I:$I,'2021'!$E:$E,Category!$B$134,'2021'!$N:$N,Category!Z$1,'2021'!$D:$D,Category!$C187)</f>
        <v>0</v>
      </c>
      <c r="AA187" s="388">
        <f>SUMIFS('2021'!$I:$I,'2021'!$E:$E,Category!$B$134,'2021'!$N:$N,Category!AA$1,'2021'!$D:$D,Category!$C187)</f>
        <v>0</v>
      </c>
      <c r="AB187" s="388">
        <f>SUMIFS('2021'!$I:$I,'2021'!$E:$E,Category!$B$134,'2021'!$N:$N,Category!AB$1,'2021'!$D:$D,Category!$C187)</f>
        <v>0</v>
      </c>
      <c r="AC187" s="388">
        <f>SUMIFS('2021'!$I:$I,'2021'!$E:$E,Category!$B$134,'2021'!$N:$N,Category!AC$1,'2021'!$D:$D,Category!$C187)</f>
        <v>0</v>
      </c>
      <c r="AD187" s="388">
        <f>SUMIFS('2021'!$I:$I,'2021'!$E:$E,Category!$B$134,'2021'!$N:$N,Category!AD$1,'2021'!$D:$D,Category!$C187)</f>
        <v>0</v>
      </c>
      <c r="AE187" s="388">
        <f>SUMIFS('2021'!$I:$I,'2021'!$E:$E,Category!$B$134,'2021'!$N:$N,Category!AE$1,'2021'!$D:$D,Category!$C187)</f>
        <v>0</v>
      </c>
      <c r="AF187" s="388">
        <f>SUMIFS('2021'!$I:$I,'2021'!$E:$E,Category!$B$134,'2021'!$N:$N,Category!AF$1,'2021'!$D:$D,Category!$C187)</f>
        <v>0</v>
      </c>
      <c r="AG187" s="388">
        <f>SUMIFS('2021'!$I:$I,'2021'!$E:$E,Category!$B$134,'2021'!$N:$N,Category!AG$1,'2021'!$D:$D,Category!$C187)</f>
        <v>0</v>
      </c>
      <c r="AH187" s="388">
        <f>SUMIFS('2021'!$I:$I,'2021'!$E:$E,Category!$B$134,'2021'!$N:$N,Category!AH$1,'2021'!$D:$D,Category!$C187)</f>
        <v>0</v>
      </c>
      <c r="AI187" s="388">
        <f>SUMIFS('2021'!$I:$I,'2021'!$E:$E,Category!$B$134,'2021'!$N:$N,Category!AI$1,'2021'!$D:$D,Category!$C187)</f>
        <v>0</v>
      </c>
      <c r="AJ187" s="388">
        <f>SUMIFS('2021'!$I:$I,'2021'!$E:$E,Category!$B$134,'2021'!$N:$N,Category!AJ$1,'2021'!$D:$D,Category!$C187)</f>
        <v>0</v>
      </c>
      <c r="AK187" s="388">
        <f>SUMIFS('2021'!$I:$I,'2021'!$E:$E,Category!$B$134,'2021'!$N:$N,Category!AK$1,'2021'!$D:$D,Category!$C187)</f>
        <v>0</v>
      </c>
      <c r="AL187" s="389">
        <f t="shared" si="72"/>
        <v>0</v>
      </c>
      <c r="AM187" s="506">
        <f>IFERROR(VLOOKUP(C187,'2022'!$D:$G,4,0),0)</f>
        <v>1</v>
      </c>
      <c r="AN187" s="388">
        <f>SUMIFS('2022'!$I:$I,'2022'!$E:$E,Category!$B$134,'2022'!$N:$N,Category!AN$1,'2022'!$D:$D,Category!$C187)</f>
        <v>500000</v>
      </c>
      <c r="AO187" s="388">
        <f>SUMIFS('2022'!$I:$I,'2022'!$E:$E,Category!$B$134,'2022'!$N:$N,Category!AO$1,'2022'!$D:$D,Category!$C187)</f>
        <v>500000</v>
      </c>
      <c r="AP187" s="388">
        <f>SUMIFS('2022'!$I:$I,'2022'!$E:$E,Category!$B$134,'2022'!$N:$N,Category!AP$1,'2022'!$D:$D,Category!$C187)</f>
        <v>500000</v>
      </c>
      <c r="AQ187" s="388">
        <f>SUMIFS('2022'!$I:$I,'2022'!$E:$E,Category!$B$134,'2022'!$N:$N,Category!AQ$1,'2022'!$D:$D,Category!$C187)</f>
        <v>500000</v>
      </c>
      <c r="AR187" s="388">
        <f>SUMIFS('2022'!$I:$I,'2022'!$E:$E,Category!$B$134,'2022'!$N:$N,Category!AR$1,'2022'!$D:$D,Category!$C187)</f>
        <v>500000</v>
      </c>
      <c r="AS187" s="388">
        <f>SUMIFS('2022'!$I:$I,'2022'!$E:$E,Category!$B$134,'2022'!$N:$N,Category!AS$1,'2022'!$D:$D,Category!$C187)</f>
        <v>500000</v>
      </c>
      <c r="AT187" s="388">
        <f>SUMIFS('2022'!$I:$I,'2022'!$E:$E,Category!$B$134,'2022'!$N:$N,Category!AT$1,'2022'!$D:$D,Category!$C187)</f>
        <v>500000</v>
      </c>
      <c r="AU187" s="388">
        <f>SUMIFS('2022'!$I:$I,'2022'!$E:$E,Category!$B$134,'2022'!$N:$N,Category!AU$1,'2022'!$D:$D,Category!$C187)</f>
        <v>500000</v>
      </c>
      <c r="AV187" s="388">
        <f>SUMIFS('2022'!$I:$I,'2022'!$E:$E,Category!$B$134,'2022'!$N:$N,Category!AV$1,'2022'!$D:$D,Category!$C187)</f>
        <v>500000</v>
      </c>
      <c r="AW187" s="388">
        <f>SUMIFS('2022'!$I:$I,'2022'!$E:$E,Category!$B$134,'2022'!$N:$N,Category!AW$1,'2022'!$D:$D,Category!$C187)</f>
        <v>500000</v>
      </c>
      <c r="AX187" s="388">
        <f>SUMIFS('2022'!$I:$I,'2022'!$E:$E,Category!$B$134,'2022'!$N:$N,Category!AX$1,'2022'!$D:$D,Category!$C187)</f>
        <v>500000</v>
      </c>
      <c r="AY187" s="388">
        <f>SUMIFS('2022'!$I:$I,'2022'!$E:$E,Category!$B$134,'2022'!$N:$N,Category!AY$1,'2022'!$D:$D,Category!$C187)</f>
        <v>500000</v>
      </c>
      <c r="AZ187" s="389">
        <f t="shared" si="70"/>
        <v>6000000</v>
      </c>
      <c r="BA187" s="506">
        <f>IFERROR(VLOOKUP(C187,'2023'!$D:$G,4,0),0)</f>
        <v>1</v>
      </c>
      <c r="BB187" s="388">
        <f>SUMIFS('2023'!$I:$I,'2023'!$E:$E,Category!$B$134,'2023'!$N:$N,Category!BB$1,'2023'!$D:$D,Category!$C187)</f>
        <v>500000</v>
      </c>
      <c r="BC187" s="388">
        <f>SUMIFS('2023'!$I:$I,'2023'!$E:$E,Category!$B$134,'2023'!$N:$N,Category!BC$1,'2023'!$D:$D,Category!$C187)</f>
        <v>500000</v>
      </c>
      <c r="BD187" s="388">
        <f>SUMIFS('2023'!$I:$I,'2023'!$E:$E,Category!$B$134,'2023'!$N:$N,Category!BD$1,'2023'!$D:$D,Category!$C187)</f>
        <v>0</v>
      </c>
      <c r="BE187" s="388">
        <f>SUMIFS('2023'!$I:$I,'2023'!$E:$E,Category!$B$134,'2023'!$N:$N,Category!BE$1,'2023'!$D:$D,Category!$C187)</f>
        <v>0</v>
      </c>
      <c r="BF187" s="388">
        <f>SUMIFS('2023'!$I:$I,'2023'!$E:$E,Category!$B$134,'2023'!$N:$N,Category!BF$1,'2023'!$D:$D,Category!$C187)</f>
        <v>0</v>
      </c>
      <c r="BG187" s="388">
        <f>SUMIFS('2023'!$I:$I,'2023'!$E:$E,Category!$B$134,'2023'!$N:$N,Category!BG$1,'2023'!$D:$D,Category!$C187)</f>
        <v>0</v>
      </c>
      <c r="BH187" s="388">
        <f>SUMIFS('2023'!$I:$I,'2023'!$E:$E,Category!$B$134,'2023'!$N:$N,Category!BH$1,'2023'!$D:$D,Category!$C187)</f>
        <v>0</v>
      </c>
      <c r="BI187" s="388">
        <f>SUMIFS('2023'!$I:$I,'2023'!$E:$E,Category!$B$134,'2023'!$N:$N,Category!BI$1,'2023'!$D:$D,Category!$C187)</f>
        <v>0</v>
      </c>
      <c r="BJ187" s="388">
        <f>SUMIFS('2023'!$I:$I,'2023'!$E:$E,Category!$B$134,'2023'!$N:$N,Category!BJ$1,'2023'!$D:$D,Category!$C187)</f>
        <v>0</v>
      </c>
      <c r="BK187" s="388">
        <f>SUMIFS('2023'!$I:$I,'2023'!$E:$E,Category!$B$134,'2023'!$N:$N,Category!BK$1,'2023'!$D:$D,Category!$C187)</f>
        <v>0</v>
      </c>
      <c r="BL187" s="388">
        <f>SUMIFS('2023'!$I:$I,'2023'!$E:$E,Category!$B$134,'2023'!$N:$N,Category!BL$1,'2023'!$D:$D,Category!$C187)</f>
        <v>0</v>
      </c>
      <c r="BM187" s="388">
        <f>SUMIFS('2023'!$I:$I,'2023'!$E:$E,Category!$B$134,'2023'!$N:$N,Category!BM$1,'2023'!$D:$D,Category!$C187)</f>
        <v>0</v>
      </c>
      <c r="BN187" s="389">
        <f t="shared" si="69"/>
        <v>1000000</v>
      </c>
    </row>
    <row r="188" spans="1:66" x14ac:dyDescent="0.3">
      <c r="A188" s="386"/>
      <c r="B188" s="387"/>
      <c r="C188" s="387" t="s">
        <v>926</v>
      </c>
      <c r="D188" s="524">
        <f>IFERROR(VLOOKUP($C188,'2019'!$D:$G,4,0),0)</f>
        <v>0</v>
      </c>
      <c r="E188" s="388">
        <f>SUMIFS('2019'!$I:$I,'2019'!$E:$E,Category!$B$134,'2019'!$N:$N,Category!E$1,'2019'!$D:$D,Category!$C188)</f>
        <v>0</v>
      </c>
      <c r="F188" s="388">
        <f>SUMIFS('2019'!$I:$I,'2019'!$E:$E,Category!$B$134,'2019'!$N:$N,Category!F$1,'2019'!$D:$D,Category!$C188)</f>
        <v>0</v>
      </c>
      <c r="G188" s="388">
        <f>SUMIFS('2019'!$I:$I,'2019'!$E:$E,Category!$B$134,'2019'!$N:$N,Category!G$1,'2019'!$D:$D,Category!$C188)</f>
        <v>0</v>
      </c>
      <c r="H188" s="388">
        <f>SUMIFS('2019'!$I:$I,'2019'!$E:$E,Category!$B$134,'2019'!$N:$N,Category!H$1,'2019'!$D:$D,Category!$C188)</f>
        <v>0</v>
      </c>
      <c r="I188" s="388">
        <f>SUMIFS('2019'!$I:$I,'2019'!$E:$E,Category!$B$134,'2019'!$N:$N,Category!I$1,'2019'!$D:$D,Category!$C188)</f>
        <v>0</v>
      </c>
      <c r="J188" s="389">
        <f t="shared" si="71"/>
        <v>0</v>
      </c>
      <c r="K188" s="506">
        <f>IFERROR(VLOOKUP($C188,'2020'!$D:$G,4,0),0)</f>
        <v>0</v>
      </c>
      <c r="L188" s="388">
        <f>SUMIFS('2020'!$I:$I,'2020'!$E:$E,Category!$B$134,'2020'!$N:$N,Category!L$1,'2020'!$D:$D,Category!$C188)</f>
        <v>0</v>
      </c>
      <c r="M188" s="388">
        <f>SUMIFS('2020'!$I:$I,'2020'!$E:$E,Category!$B$134,'2020'!$N:$N,Category!M$1,'2020'!$D:$D,Category!$C188)</f>
        <v>0</v>
      </c>
      <c r="N188" s="388">
        <f>SUMIFS('2020'!$I:$I,'2020'!$E:$E,Category!$B$134,'2020'!$N:$N,Category!N$1,'2020'!$D:$D,Category!$C188)</f>
        <v>0</v>
      </c>
      <c r="O188" s="388">
        <f>SUMIFS('2020'!$I:$I,'2020'!$E:$E,Category!$B$134,'2020'!$N:$N,Category!O$1,'2020'!$D:$D,Category!$C188)</f>
        <v>0</v>
      </c>
      <c r="P188" s="388">
        <f>SUMIFS('2020'!$I:$I,'2020'!$E:$E,Category!$B$134,'2020'!$N:$N,Category!P$1,'2020'!$D:$D,Category!$C188)</f>
        <v>0</v>
      </c>
      <c r="Q188" s="388">
        <f>SUMIFS('2020'!$I:$I,'2020'!$E:$E,Category!$B$134,'2020'!$N:$N,Category!Q$1,'2020'!$D:$D,Category!$C188)</f>
        <v>0</v>
      </c>
      <c r="R188" s="388">
        <f>SUMIFS('2020'!$I:$I,'2020'!$E:$E,Category!$B$134,'2020'!$N:$N,Category!R$1,'2020'!$D:$D,Category!$C188)</f>
        <v>0</v>
      </c>
      <c r="S188" s="388">
        <f>SUMIFS('2020'!$I:$I,'2020'!$E:$E,Category!$B$134,'2020'!$N:$N,Category!S$1,'2020'!$D:$D,Category!$C188)</f>
        <v>0</v>
      </c>
      <c r="T188" s="388">
        <f>SUMIFS('2020'!$I:$I,'2020'!$E:$E,Category!$B$134,'2020'!$N:$N,Category!T$1,'2020'!$D:$D,Category!$C188)</f>
        <v>0</v>
      </c>
      <c r="U188" s="388">
        <f>SUMIFS('2020'!$I:$I,'2020'!$E:$E,Category!$B$134,'2020'!$N:$N,Category!U$1,'2020'!$D:$D,Category!$C188)</f>
        <v>0</v>
      </c>
      <c r="V188" s="388">
        <f>SUMIFS('2020'!$I:$I,'2020'!$E:$E,Category!$B$134,'2020'!$N:$N,Category!V$1,'2020'!$D:$D,Category!$C188)</f>
        <v>0</v>
      </c>
      <c r="W188" s="388">
        <f>SUMIFS('2020'!$I:$I,'2020'!$E:$E,Category!$B$134,'2020'!$N:$N,Category!W$1,'2020'!$D:$D,Category!$C188)</f>
        <v>0</v>
      </c>
      <c r="X188" s="389">
        <f t="shared" si="68"/>
        <v>0</v>
      </c>
      <c r="Y188" s="506">
        <f>IFERROR(VLOOKUP(C188,'2021'!$D:$G,4,0),0)</f>
        <v>0</v>
      </c>
      <c r="Z188" s="388">
        <f>SUMIFS('2021'!$I:$I,'2021'!$E:$E,Category!$B$134,'2021'!$N:$N,Category!Z$1,'2021'!$D:$D,Category!$C188)</f>
        <v>0</v>
      </c>
      <c r="AA188" s="388">
        <f>SUMIFS('2021'!$I:$I,'2021'!$E:$E,Category!$B$134,'2021'!$N:$N,Category!AA$1,'2021'!$D:$D,Category!$C188)</f>
        <v>0</v>
      </c>
      <c r="AB188" s="388">
        <f>SUMIFS('2021'!$I:$I,'2021'!$E:$E,Category!$B$134,'2021'!$N:$N,Category!AB$1,'2021'!$D:$D,Category!$C188)</f>
        <v>0</v>
      </c>
      <c r="AC188" s="388">
        <f>SUMIFS('2021'!$I:$I,'2021'!$E:$E,Category!$B$134,'2021'!$N:$N,Category!AC$1,'2021'!$D:$D,Category!$C188)</f>
        <v>0</v>
      </c>
      <c r="AD188" s="388">
        <f>SUMIFS('2021'!$I:$I,'2021'!$E:$E,Category!$B$134,'2021'!$N:$N,Category!AD$1,'2021'!$D:$D,Category!$C188)</f>
        <v>0</v>
      </c>
      <c r="AE188" s="388">
        <f>SUMIFS('2021'!$I:$I,'2021'!$E:$E,Category!$B$134,'2021'!$N:$N,Category!AE$1,'2021'!$D:$D,Category!$C188)</f>
        <v>0</v>
      </c>
      <c r="AF188" s="388">
        <f>SUMIFS('2021'!$I:$I,'2021'!$E:$E,Category!$B$134,'2021'!$N:$N,Category!AF$1,'2021'!$D:$D,Category!$C188)</f>
        <v>0</v>
      </c>
      <c r="AG188" s="388">
        <f>SUMIFS('2021'!$I:$I,'2021'!$E:$E,Category!$B$134,'2021'!$N:$N,Category!AG$1,'2021'!$D:$D,Category!$C188)</f>
        <v>0</v>
      </c>
      <c r="AH188" s="388">
        <f>SUMIFS('2021'!$I:$I,'2021'!$E:$E,Category!$B$134,'2021'!$N:$N,Category!AH$1,'2021'!$D:$D,Category!$C188)</f>
        <v>0</v>
      </c>
      <c r="AI188" s="388">
        <f>SUMIFS('2021'!$I:$I,'2021'!$E:$E,Category!$B$134,'2021'!$N:$N,Category!AI$1,'2021'!$D:$D,Category!$C188)</f>
        <v>0</v>
      </c>
      <c r="AJ188" s="388">
        <f>SUMIFS('2021'!$I:$I,'2021'!$E:$E,Category!$B$134,'2021'!$N:$N,Category!AJ$1,'2021'!$D:$D,Category!$C188)</f>
        <v>0</v>
      </c>
      <c r="AK188" s="388">
        <f>SUMIFS('2021'!$I:$I,'2021'!$E:$E,Category!$B$134,'2021'!$N:$N,Category!AK$1,'2021'!$D:$D,Category!$C188)</f>
        <v>0</v>
      </c>
      <c r="AL188" s="389">
        <f t="shared" si="72"/>
        <v>0</v>
      </c>
      <c r="AM188" s="506">
        <f>IFERROR(VLOOKUP(C188,'2022'!$D:$G,4,0),0)</f>
        <v>1</v>
      </c>
      <c r="AN188" s="388">
        <f>SUMIFS('2022'!$I:$I,'2022'!$E:$E,Category!$B$134,'2022'!$N:$N,Category!AN$1,'2022'!$D:$D,Category!$C188)</f>
        <v>500000</v>
      </c>
      <c r="AO188" s="388">
        <f>SUMIFS('2022'!$I:$I,'2022'!$E:$E,Category!$B$134,'2022'!$N:$N,Category!AO$1,'2022'!$D:$D,Category!$C188)</f>
        <v>500000</v>
      </c>
      <c r="AP188" s="388">
        <f>SUMIFS('2022'!$I:$I,'2022'!$E:$E,Category!$B$134,'2022'!$N:$N,Category!AP$1,'2022'!$D:$D,Category!$C188)</f>
        <v>500000</v>
      </c>
      <c r="AQ188" s="388">
        <f>SUMIFS('2022'!$I:$I,'2022'!$E:$E,Category!$B$134,'2022'!$N:$N,Category!AQ$1,'2022'!$D:$D,Category!$C188)</f>
        <v>500000</v>
      </c>
      <c r="AR188" s="388">
        <f>SUMIFS('2022'!$I:$I,'2022'!$E:$E,Category!$B$134,'2022'!$N:$N,Category!AR$1,'2022'!$D:$D,Category!$C188)</f>
        <v>500000</v>
      </c>
      <c r="AS188" s="388">
        <f>SUMIFS('2022'!$I:$I,'2022'!$E:$E,Category!$B$134,'2022'!$N:$N,Category!AS$1,'2022'!$D:$D,Category!$C188)</f>
        <v>500000</v>
      </c>
      <c r="AT188" s="388">
        <f>SUMIFS('2022'!$I:$I,'2022'!$E:$E,Category!$B$134,'2022'!$N:$N,Category!AT$1,'2022'!$D:$D,Category!$C188)</f>
        <v>500000</v>
      </c>
      <c r="AU188" s="388">
        <f>SUMIFS('2022'!$I:$I,'2022'!$E:$E,Category!$B$134,'2022'!$N:$N,Category!AU$1,'2022'!$D:$D,Category!$C188)</f>
        <v>500000</v>
      </c>
      <c r="AV188" s="388">
        <f>SUMIFS('2022'!$I:$I,'2022'!$E:$E,Category!$B$134,'2022'!$N:$N,Category!AV$1,'2022'!$D:$D,Category!$C188)</f>
        <v>500000</v>
      </c>
      <c r="AW188" s="388">
        <f>SUMIFS('2022'!$I:$I,'2022'!$E:$E,Category!$B$134,'2022'!$N:$N,Category!AW$1,'2022'!$D:$D,Category!$C188)</f>
        <v>500000</v>
      </c>
      <c r="AX188" s="388">
        <f>SUMIFS('2022'!$I:$I,'2022'!$E:$E,Category!$B$134,'2022'!$N:$N,Category!AX$1,'2022'!$D:$D,Category!$C188)</f>
        <v>500000</v>
      </c>
      <c r="AY188" s="388">
        <f>SUMIFS('2022'!$I:$I,'2022'!$E:$E,Category!$B$134,'2022'!$N:$N,Category!AY$1,'2022'!$D:$D,Category!$C188)</f>
        <v>500000</v>
      </c>
      <c r="AZ188" s="389">
        <f t="shared" si="70"/>
        <v>6000000</v>
      </c>
      <c r="BA188" s="506">
        <f>IFERROR(VLOOKUP(C188,'2023'!$D:$G,4,0),0)</f>
        <v>1</v>
      </c>
      <c r="BB188" s="388">
        <f>SUMIFS('2023'!$I:$I,'2023'!$E:$E,Category!$B$134,'2023'!$N:$N,Category!BB$1,'2023'!$D:$D,Category!$C188)</f>
        <v>500000</v>
      </c>
      <c r="BC188" s="388">
        <f>SUMIFS('2023'!$I:$I,'2023'!$E:$E,Category!$B$134,'2023'!$N:$N,Category!BC$1,'2023'!$D:$D,Category!$C188)</f>
        <v>500000</v>
      </c>
      <c r="BD188" s="388">
        <f>SUMIFS('2023'!$I:$I,'2023'!$E:$E,Category!$B$134,'2023'!$N:$N,Category!BD$1,'2023'!$D:$D,Category!$C188)</f>
        <v>0</v>
      </c>
      <c r="BE188" s="388">
        <f>SUMIFS('2023'!$I:$I,'2023'!$E:$E,Category!$B$134,'2023'!$N:$N,Category!BE$1,'2023'!$D:$D,Category!$C188)</f>
        <v>0</v>
      </c>
      <c r="BF188" s="388">
        <f>SUMIFS('2023'!$I:$I,'2023'!$E:$E,Category!$B$134,'2023'!$N:$N,Category!BF$1,'2023'!$D:$D,Category!$C188)</f>
        <v>0</v>
      </c>
      <c r="BG188" s="388">
        <f>SUMIFS('2023'!$I:$I,'2023'!$E:$E,Category!$B$134,'2023'!$N:$N,Category!BG$1,'2023'!$D:$D,Category!$C188)</f>
        <v>0</v>
      </c>
      <c r="BH188" s="388">
        <f>SUMIFS('2023'!$I:$I,'2023'!$E:$E,Category!$B$134,'2023'!$N:$N,Category!BH$1,'2023'!$D:$D,Category!$C188)</f>
        <v>0</v>
      </c>
      <c r="BI188" s="388">
        <f>SUMIFS('2023'!$I:$I,'2023'!$E:$E,Category!$B$134,'2023'!$N:$N,Category!BI$1,'2023'!$D:$D,Category!$C188)</f>
        <v>0</v>
      </c>
      <c r="BJ188" s="388">
        <f>SUMIFS('2023'!$I:$I,'2023'!$E:$E,Category!$B$134,'2023'!$N:$N,Category!BJ$1,'2023'!$D:$D,Category!$C188)</f>
        <v>0</v>
      </c>
      <c r="BK188" s="388">
        <f>SUMIFS('2023'!$I:$I,'2023'!$E:$E,Category!$B$134,'2023'!$N:$N,Category!BK$1,'2023'!$D:$D,Category!$C188)</f>
        <v>0</v>
      </c>
      <c r="BL188" s="388">
        <f>SUMIFS('2023'!$I:$I,'2023'!$E:$E,Category!$B$134,'2023'!$N:$N,Category!BL$1,'2023'!$D:$D,Category!$C188)</f>
        <v>0</v>
      </c>
      <c r="BM188" s="388">
        <f>SUMIFS('2023'!$I:$I,'2023'!$E:$E,Category!$B$134,'2023'!$N:$N,Category!BM$1,'2023'!$D:$D,Category!$C188)</f>
        <v>0</v>
      </c>
      <c r="BN188" s="389">
        <f t="shared" si="69"/>
        <v>1000000</v>
      </c>
    </row>
    <row r="189" spans="1:66" x14ac:dyDescent="0.3">
      <c r="A189" s="386"/>
      <c r="B189" s="387"/>
      <c r="C189" s="387" t="s">
        <v>927</v>
      </c>
      <c r="D189" s="524">
        <f>IFERROR(VLOOKUP($C189,'2019'!$D:$G,4,0),0)</f>
        <v>0</v>
      </c>
      <c r="E189" s="388">
        <f>SUMIFS('2019'!$I:$I,'2019'!$E:$E,Category!$B$134,'2019'!$N:$N,Category!E$1,'2019'!$D:$D,Category!$C189)</f>
        <v>0</v>
      </c>
      <c r="F189" s="388">
        <f>SUMIFS('2019'!$I:$I,'2019'!$E:$E,Category!$B$134,'2019'!$N:$N,Category!F$1,'2019'!$D:$D,Category!$C189)</f>
        <v>0</v>
      </c>
      <c r="G189" s="388">
        <f>SUMIFS('2019'!$I:$I,'2019'!$E:$E,Category!$B$134,'2019'!$N:$N,Category!G$1,'2019'!$D:$D,Category!$C189)</f>
        <v>0</v>
      </c>
      <c r="H189" s="388">
        <f>SUMIFS('2019'!$I:$I,'2019'!$E:$E,Category!$B$134,'2019'!$N:$N,Category!H$1,'2019'!$D:$D,Category!$C189)</f>
        <v>0</v>
      </c>
      <c r="I189" s="388">
        <f>SUMIFS('2019'!$I:$I,'2019'!$E:$E,Category!$B$134,'2019'!$N:$N,Category!I$1,'2019'!$D:$D,Category!$C189)</f>
        <v>0</v>
      </c>
      <c r="J189" s="389">
        <f t="shared" si="71"/>
        <v>0</v>
      </c>
      <c r="K189" s="506">
        <f>IFERROR(VLOOKUP($C189,'2020'!$D:$G,4,0),0)</f>
        <v>0</v>
      </c>
      <c r="L189" s="388">
        <f>SUMIFS('2020'!$I:$I,'2020'!$E:$E,Category!$B$134,'2020'!$N:$N,Category!L$1,'2020'!$D:$D,Category!$C189)</f>
        <v>0</v>
      </c>
      <c r="M189" s="388">
        <f>SUMIFS('2020'!$I:$I,'2020'!$E:$E,Category!$B$134,'2020'!$N:$N,Category!M$1,'2020'!$D:$D,Category!$C189)</f>
        <v>0</v>
      </c>
      <c r="N189" s="388">
        <f>SUMIFS('2020'!$I:$I,'2020'!$E:$E,Category!$B$134,'2020'!$N:$N,Category!N$1,'2020'!$D:$D,Category!$C189)</f>
        <v>0</v>
      </c>
      <c r="O189" s="388">
        <f>SUMIFS('2020'!$I:$I,'2020'!$E:$E,Category!$B$134,'2020'!$N:$N,Category!O$1,'2020'!$D:$D,Category!$C189)</f>
        <v>0</v>
      </c>
      <c r="P189" s="388">
        <f>SUMIFS('2020'!$I:$I,'2020'!$E:$E,Category!$B$134,'2020'!$N:$N,Category!P$1,'2020'!$D:$D,Category!$C189)</f>
        <v>0</v>
      </c>
      <c r="Q189" s="388">
        <f>SUMIFS('2020'!$I:$I,'2020'!$E:$E,Category!$B$134,'2020'!$N:$N,Category!Q$1,'2020'!$D:$D,Category!$C189)</f>
        <v>0</v>
      </c>
      <c r="R189" s="388">
        <f>SUMIFS('2020'!$I:$I,'2020'!$E:$E,Category!$B$134,'2020'!$N:$N,Category!R$1,'2020'!$D:$D,Category!$C189)</f>
        <v>0</v>
      </c>
      <c r="S189" s="388">
        <f>SUMIFS('2020'!$I:$I,'2020'!$E:$E,Category!$B$134,'2020'!$N:$N,Category!S$1,'2020'!$D:$D,Category!$C189)</f>
        <v>0</v>
      </c>
      <c r="T189" s="388">
        <f>SUMIFS('2020'!$I:$I,'2020'!$E:$E,Category!$B$134,'2020'!$N:$N,Category!T$1,'2020'!$D:$D,Category!$C189)</f>
        <v>0</v>
      </c>
      <c r="U189" s="388">
        <f>SUMIFS('2020'!$I:$I,'2020'!$E:$E,Category!$B$134,'2020'!$N:$N,Category!U$1,'2020'!$D:$D,Category!$C189)</f>
        <v>0</v>
      </c>
      <c r="V189" s="388">
        <f>SUMIFS('2020'!$I:$I,'2020'!$E:$E,Category!$B$134,'2020'!$N:$N,Category!V$1,'2020'!$D:$D,Category!$C189)</f>
        <v>0</v>
      </c>
      <c r="W189" s="388">
        <f>SUMIFS('2020'!$I:$I,'2020'!$E:$E,Category!$B$134,'2020'!$N:$N,Category!W$1,'2020'!$D:$D,Category!$C189)</f>
        <v>0</v>
      </c>
      <c r="X189" s="389">
        <f t="shared" si="68"/>
        <v>0</v>
      </c>
      <c r="Y189" s="506">
        <f>IFERROR(VLOOKUP(C189,'2021'!$D:$G,4,0),0)</f>
        <v>0</v>
      </c>
      <c r="Z189" s="388">
        <f>SUMIFS('2021'!$I:$I,'2021'!$E:$E,Category!$B$134,'2021'!$N:$N,Category!Z$1,'2021'!$D:$D,Category!$C189)</f>
        <v>0</v>
      </c>
      <c r="AA189" s="388">
        <f>SUMIFS('2021'!$I:$I,'2021'!$E:$E,Category!$B$134,'2021'!$N:$N,Category!AA$1,'2021'!$D:$D,Category!$C189)</f>
        <v>0</v>
      </c>
      <c r="AB189" s="388">
        <f>SUMIFS('2021'!$I:$I,'2021'!$E:$E,Category!$B$134,'2021'!$N:$N,Category!AB$1,'2021'!$D:$D,Category!$C189)</f>
        <v>0</v>
      </c>
      <c r="AC189" s="388">
        <f>SUMIFS('2021'!$I:$I,'2021'!$E:$E,Category!$B$134,'2021'!$N:$N,Category!AC$1,'2021'!$D:$D,Category!$C189)</f>
        <v>0</v>
      </c>
      <c r="AD189" s="388">
        <f>SUMIFS('2021'!$I:$I,'2021'!$E:$E,Category!$B$134,'2021'!$N:$N,Category!AD$1,'2021'!$D:$D,Category!$C189)</f>
        <v>0</v>
      </c>
      <c r="AE189" s="388">
        <f>SUMIFS('2021'!$I:$I,'2021'!$E:$E,Category!$B$134,'2021'!$N:$N,Category!AE$1,'2021'!$D:$D,Category!$C189)</f>
        <v>0</v>
      </c>
      <c r="AF189" s="388">
        <f>SUMIFS('2021'!$I:$I,'2021'!$E:$E,Category!$B$134,'2021'!$N:$N,Category!AF$1,'2021'!$D:$D,Category!$C189)</f>
        <v>0</v>
      </c>
      <c r="AG189" s="388">
        <f>SUMIFS('2021'!$I:$I,'2021'!$E:$E,Category!$B$134,'2021'!$N:$N,Category!AG$1,'2021'!$D:$D,Category!$C189)</f>
        <v>0</v>
      </c>
      <c r="AH189" s="388">
        <f>SUMIFS('2021'!$I:$I,'2021'!$E:$E,Category!$B$134,'2021'!$N:$N,Category!AH$1,'2021'!$D:$D,Category!$C189)</f>
        <v>0</v>
      </c>
      <c r="AI189" s="388">
        <f>SUMIFS('2021'!$I:$I,'2021'!$E:$E,Category!$B$134,'2021'!$N:$N,Category!AI$1,'2021'!$D:$D,Category!$C189)</f>
        <v>0</v>
      </c>
      <c r="AJ189" s="388">
        <f>SUMIFS('2021'!$I:$I,'2021'!$E:$E,Category!$B$134,'2021'!$N:$N,Category!AJ$1,'2021'!$D:$D,Category!$C189)</f>
        <v>0</v>
      </c>
      <c r="AK189" s="388">
        <f>SUMIFS('2021'!$I:$I,'2021'!$E:$E,Category!$B$134,'2021'!$N:$N,Category!AK$1,'2021'!$D:$D,Category!$C189)</f>
        <v>0</v>
      </c>
      <c r="AL189" s="389">
        <f t="shared" si="72"/>
        <v>0</v>
      </c>
      <c r="AM189" s="506">
        <f>IFERROR(VLOOKUP(C189,'2022'!$D:$G,4,0),0)</f>
        <v>1</v>
      </c>
      <c r="AN189" s="388">
        <f>SUMIFS('2022'!$I:$I,'2022'!$E:$E,Category!$B$134,'2022'!$N:$N,Category!AN$1,'2022'!$D:$D,Category!$C189)</f>
        <v>500000</v>
      </c>
      <c r="AO189" s="388">
        <f>SUMIFS('2022'!$I:$I,'2022'!$E:$E,Category!$B$134,'2022'!$N:$N,Category!AO$1,'2022'!$D:$D,Category!$C189)</f>
        <v>500000</v>
      </c>
      <c r="AP189" s="388">
        <f>SUMIFS('2022'!$I:$I,'2022'!$E:$E,Category!$B$134,'2022'!$N:$N,Category!AP$1,'2022'!$D:$D,Category!$C189)</f>
        <v>500000</v>
      </c>
      <c r="AQ189" s="388">
        <f>SUMIFS('2022'!$I:$I,'2022'!$E:$E,Category!$B$134,'2022'!$N:$N,Category!AQ$1,'2022'!$D:$D,Category!$C189)</f>
        <v>500000</v>
      </c>
      <c r="AR189" s="388">
        <f>SUMIFS('2022'!$I:$I,'2022'!$E:$E,Category!$B$134,'2022'!$N:$N,Category!AR$1,'2022'!$D:$D,Category!$C189)</f>
        <v>500000</v>
      </c>
      <c r="AS189" s="388">
        <f>SUMIFS('2022'!$I:$I,'2022'!$E:$E,Category!$B$134,'2022'!$N:$N,Category!AS$1,'2022'!$D:$D,Category!$C189)</f>
        <v>500000</v>
      </c>
      <c r="AT189" s="388">
        <f>SUMIFS('2022'!$I:$I,'2022'!$E:$E,Category!$B$134,'2022'!$N:$N,Category!AT$1,'2022'!$D:$D,Category!$C189)</f>
        <v>500000</v>
      </c>
      <c r="AU189" s="388">
        <f>SUMIFS('2022'!$I:$I,'2022'!$E:$E,Category!$B$134,'2022'!$N:$N,Category!AU$1,'2022'!$D:$D,Category!$C189)</f>
        <v>500000</v>
      </c>
      <c r="AV189" s="388">
        <f>SUMIFS('2022'!$I:$I,'2022'!$E:$E,Category!$B$134,'2022'!$N:$N,Category!AV$1,'2022'!$D:$D,Category!$C189)</f>
        <v>500000</v>
      </c>
      <c r="AW189" s="388">
        <f>SUMIFS('2022'!$I:$I,'2022'!$E:$E,Category!$B$134,'2022'!$N:$N,Category!AW$1,'2022'!$D:$D,Category!$C189)</f>
        <v>500000</v>
      </c>
      <c r="AX189" s="388">
        <f>SUMIFS('2022'!$I:$I,'2022'!$E:$E,Category!$B$134,'2022'!$N:$N,Category!AX$1,'2022'!$D:$D,Category!$C189)</f>
        <v>500000</v>
      </c>
      <c r="AY189" s="388">
        <f>SUMIFS('2022'!$I:$I,'2022'!$E:$E,Category!$B$134,'2022'!$N:$N,Category!AY$1,'2022'!$D:$D,Category!$C189)</f>
        <v>500000</v>
      </c>
      <c r="AZ189" s="389">
        <f t="shared" si="70"/>
        <v>6000000</v>
      </c>
      <c r="BA189" s="506">
        <f>IFERROR(VLOOKUP(C189,'2023'!$D:$G,4,0),0)</f>
        <v>1</v>
      </c>
      <c r="BB189" s="388">
        <f>SUMIFS('2023'!$I:$I,'2023'!$E:$E,Category!$B$134,'2023'!$N:$N,Category!BB$1,'2023'!$D:$D,Category!$C189)</f>
        <v>500000</v>
      </c>
      <c r="BC189" s="388">
        <f>SUMIFS('2023'!$I:$I,'2023'!$E:$E,Category!$B$134,'2023'!$N:$N,Category!BC$1,'2023'!$D:$D,Category!$C189)</f>
        <v>500000</v>
      </c>
      <c r="BD189" s="388">
        <f>SUMIFS('2023'!$I:$I,'2023'!$E:$E,Category!$B$134,'2023'!$N:$N,Category!BD$1,'2023'!$D:$D,Category!$C189)</f>
        <v>0</v>
      </c>
      <c r="BE189" s="388">
        <f>SUMIFS('2023'!$I:$I,'2023'!$E:$E,Category!$B$134,'2023'!$N:$N,Category!BE$1,'2023'!$D:$D,Category!$C189)</f>
        <v>0</v>
      </c>
      <c r="BF189" s="388">
        <f>SUMIFS('2023'!$I:$I,'2023'!$E:$E,Category!$B$134,'2023'!$N:$N,Category!BF$1,'2023'!$D:$D,Category!$C189)</f>
        <v>0</v>
      </c>
      <c r="BG189" s="388">
        <f>SUMIFS('2023'!$I:$I,'2023'!$E:$E,Category!$B$134,'2023'!$N:$N,Category!BG$1,'2023'!$D:$D,Category!$C189)</f>
        <v>0</v>
      </c>
      <c r="BH189" s="388">
        <f>SUMIFS('2023'!$I:$I,'2023'!$E:$E,Category!$B$134,'2023'!$N:$N,Category!BH$1,'2023'!$D:$D,Category!$C189)</f>
        <v>0</v>
      </c>
      <c r="BI189" s="388">
        <f>SUMIFS('2023'!$I:$I,'2023'!$E:$E,Category!$B$134,'2023'!$N:$N,Category!BI$1,'2023'!$D:$D,Category!$C189)</f>
        <v>0</v>
      </c>
      <c r="BJ189" s="388">
        <f>SUMIFS('2023'!$I:$I,'2023'!$E:$E,Category!$B$134,'2023'!$N:$N,Category!BJ$1,'2023'!$D:$D,Category!$C189)</f>
        <v>0</v>
      </c>
      <c r="BK189" s="388">
        <f>SUMIFS('2023'!$I:$I,'2023'!$E:$E,Category!$B$134,'2023'!$N:$N,Category!BK$1,'2023'!$D:$D,Category!$C189)</f>
        <v>0</v>
      </c>
      <c r="BL189" s="388">
        <f>SUMIFS('2023'!$I:$I,'2023'!$E:$E,Category!$B$134,'2023'!$N:$N,Category!BL$1,'2023'!$D:$D,Category!$C189)</f>
        <v>0</v>
      </c>
      <c r="BM189" s="388">
        <f>SUMIFS('2023'!$I:$I,'2023'!$E:$E,Category!$B$134,'2023'!$N:$N,Category!BM$1,'2023'!$D:$D,Category!$C189)</f>
        <v>0</v>
      </c>
      <c r="BN189" s="389">
        <f t="shared" si="69"/>
        <v>1000000</v>
      </c>
    </row>
    <row r="190" spans="1:66" x14ac:dyDescent="0.3">
      <c r="A190" s="386"/>
      <c r="B190" s="387"/>
      <c r="C190" s="387" t="s">
        <v>928</v>
      </c>
      <c r="D190" s="524">
        <f>IFERROR(VLOOKUP($C190,'2019'!$D:$G,4,0),0)</f>
        <v>0</v>
      </c>
      <c r="E190" s="388">
        <f>SUMIFS('2019'!$I:$I,'2019'!$E:$E,Category!$B$134,'2019'!$N:$N,Category!E$1,'2019'!$D:$D,Category!$C190)</f>
        <v>0</v>
      </c>
      <c r="F190" s="388">
        <f>SUMIFS('2019'!$I:$I,'2019'!$E:$E,Category!$B$134,'2019'!$N:$N,Category!F$1,'2019'!$D:$D,Category!$C190)</f>
        <v>0</v>
      </c>
      <c r="G190" s="388">
        <f>SUMIFS('2019'!$I:$I,'2019'!$E:$E,Category!$B$134,'2019'!$N:$N,Category!G$1,'2019'!$D:$D,Category!$C190)</f>
        <v>0</v>
      </c>
      <c r="H190" s="388">
        <f>SUMIFS('2019'!$I:$I,'2019'!$E:$E,Category!$B$134,'2019'!$N:$N,Category!H$1,'2019'!$D:$D,Category!$C190)</f>
        <v>0</v>
      </c>
      <c r="I190" s="388">
        <f>SUMIFS('2019'!$I:$I,'2019'!$E:$E,Category!$B$134,'2019'!$N:$N,Category!I$1,'2019'!$D:$D,Category!$C190)</f>
        <v>0</v>
      </c>
      <c r="J190" s="389">
        <f t="shared" si="71"/>
        <v>0</v>
      </c>
      <c r="K190" s="506">
        <f>IFERROR(VLOOKUP($C190,'2020'!$D:$G,4,0),0)</f>
        <v>0</v>
      </c>
      <c r="L190" s="388">
        <f>SUMIFS('2020'!$I:$I,'2020'!$E:$E,Category!$B$134,'2020'!$N:$N,Category!L$1,'2020'!$D:$D,Category!$C190)</f>
        <v>0</v>
      </c>
      <c r="M190" s="388">
        <f>SUMIFS('2020'!$I:$I,'2020'!$E:$E,Category!$B$134,'2020'!$N:$N,Category!M$1,'2020'!$D:$D,Category!$C190)</f>
        <v>0</v>
      </c>
      <c r="N190" s="388">
        <f>SUMIFS('2020'!$I:$I,'2020'!$E:$E,Category!$B$134,'2020'!$N:$N,Category!N$1,'2020'!$D:$D,Category!$C190)</f>
        <v>0</v>
      </c>
      <c r="O190" s="388">
        <f>SUMIFS('2020'!$I:$I,'2020'!$E:$E,Category!$B$134,'2020'!$N:$N,Category!O$1,'2020'!$D:$D,Category!$C190)</f>
        <v>0</v>
      </c>
      <c r="P190" s="388">
        <f>SUMIFS('2020'!$I:$I,'2020'!$E:$E,Category!$B$134,'2020'!$N:$N,Category!P$1,'2020'!$D:$D,Category!$C190)</f>
        <v>0</v>
      </c>
      <c r="Q190" s="388">
        <f>SUMIFS('2020'!$I:$I,'2020'!$E:$E,Category!$B$134,'2020'!$N:$N,Category!Q$1,'2020'!$D:$D,Category!$C190)</f>
        <v>0</v>
      </c>
      <c r="R190" s="388">
        <f>SUMIFS('2020'!$I:$I,'2020'!$E:$E,Category!$B$134,'2020'!$N:$N,Category!R$1,'2020'!$D:$D,Category!$C190)</f>
        <v>0</v>
      </c>
      <c r="S190" s="388">
        <f>SUMIFS('2020'!$I:$I,'2020'!$E:$E,Category!$B$134,'2020'!$N:$N,Category!S$1,'2020'!$D:$D,Category!$C190)</f>
        <v>0</v>
      </c>
      <c r="T190" s="388">
        <f>SUMIFS('2020'!$I:$I,'2020'!$E:$E,Category!$B$134,'2020'!$N:$N,Category!T$1,'2020'!$D:$D,Category!$C190)</f>
        <v>0</v>
      </c>
      <c r="U190" s="388">
        <f>SUMIFS('2020'!$I:$I,'2020'!$E:$E,Category!$B$134,'2020'!$N:$N,Category!U$1,'2020'!$D:$D,Category!$C190)</f>
        <v>0</v>
      </c>
      <c r="V190" s="388">
        <f>SUMIFS('2020'!$I:$I,'2020'!$E:$E,Category!$B$134,'2020'!$N:$N,Category!V$1,'2020'!$D:$D,Category!$C190)</f>
        <v>0</v>
      </c>
      <c r="W190" s="388">
        <f>SUMIFS('2020'!$I:$I,'2020'!$E:$E,Category!$B$134,'2020'!$N:$N,Category!W$1,'2020'!$D:$D,Category!$C190)</f>
        <v>0</v>
      </c>
      <c r="X190" s="389">
        <f t="shared" si="68"/>
        <v>0</v>
      </c>
      <c r="Y190" s="506">
        <f>IFERROR(VLOOKUP(C190,'2021'!$D:$G,4,0),0)</f>
        <v>0</v>
      </c>
      <c r="Z190" s="388">
        <f>SUMIFS('2021'!$I:$I,'2021'!$E:$E,Category!$B$134,'2021'!$N:$N,Category!Z$1,'2021'!$D:$D,Category!$C190)</f>
        <v>0</v>
      </c>
      <c r="AA190" s="388">
        <f>SUMIFS('2021'!$I:$I,'2021'!$E:$E,Category!$B$134,'2021'!$N:$N,Category!AA$1,'2021'!$D:$D,Category!$C190)</f>
        <v>0</v>
      </c>
      <c r="AB190" s="388">
        <f>SUMIFS('2021'!$I:$I,'2021'!$E:$E,Category!$B$134,'2021'!$N:$N,Category!AB$1,'2021'!$D:$D,Category!$C190)</f>
        <v>0</v>
      </c>
      <c r="AC190" s="388">
        <f>SUMIFS('2021'!$I:$I,'2021'!$E:$E,Category!$B$134,'2021'!$N:$N,Category!AC$1,'2021'!$D:$D,Category!$C190)</f>
        <v>0</v>
      </c>
      <c r="AD190" s="388">
        <f>SUMIFS('2021'!$I:$I,'2021'!$E:$E,Category!$B$134,'2021'!$N:$N,Category!AD$1,'2021'!$D:$D,Category!$C190)</f>
        <v>0</v>
      </c>
      <c r="AE190" s="388">
        <f>SUMIFS('2021'!$I:$I,'2021'!$E:$E,Category!$B$134,'2021'!$N:$N,Category!AE$1,'2021'!$D:$D,Category!$C190)</f>
        <v>0</v>
      </c>
      <c r="AF190" s="388">
        <f>SUMIFS('2021'!$I:$I,'2021'!$E:$E,Category!$B$134,'2021'!$N:$N,Category!AF$1,'2021'!$D:$D,Category!$C190)</f>
        <v>0</v>
      </c>
      <c r="AG190" s="388">
        <f>SUMIFS('2021'!$I:$I,'2021'!$E:$E,Category!$B$134,'2021'!$N:$N,Category!AG$1,'2021'!$D:$D,Category!$C190)</f>
        <v>0</v>
      </c>
      <c r="AH190" s="388">
        <f>SUMIFS('2021'!$I:$I,'2021'!$E:$E,Category!$B$134,'2021'!$N:$N,Category!AH$1,'2021'!$D:$D,Category!$C190)</f>
        <v>0</v>
      </c>
      <c r="AI190" s="388">
        <f>SUMIFS('2021'!$I:$I,'2021'!$E:$E,Category!$B$134,'2021'!$N:$N,Category!AI$1,'2021'!$D:$D,Category!$C190)</f>
        <v>0</v>
      </c>
      <c r="AJ190" s="388">
        <f>SUMIFS('2021'!$I:$I,'2021'!$E:$E,Category!$B$134,'2021'!$N:$N,Category!AJ$1,'2021'!$D:$D,Category!$C190)</f>
        <v>0</v>
      </c>
      <c r="AK190" s="388">
        <f>SUMIFS('2021'!$I:$I,'2021'!$E:$E,Category!$B$134,'2021'!$N:$N,Category!AK$1,'2021'!$D:$D,Category!$C190)</f>
        <v>0</v>
      </c>
      <c r="AL190" s="389">
        <f t="shared" si="72"/>
        <v>0</v>
      </c>
      <c r="AM190" s="506">
        <f>IFERROR(VLOOKUP(C190,'2022'!$D:$G,4,0),0)</f>
        <v>1</v>
      </c>
      <c r="AN190" s="388">
        <f>SUMIFS('2022'!$I:$I,'2022'!$E:$E,Category!$B$134,'2022'!$N:$N,Category!AN$1,'2022'!$D:$D,Category!$C190)</f>
        <v>500000</v>
      </c>
      <c r="AO190" s="388">
        <f>SUMIFS('2022'!$I:$I,'2022'!$E:$E,Category!$B$134,'2022'!$N:$N,Category!AO$1,'2022'!$D:$D,Category!$C190)</f>
        <v>500000</v>
      </c>
      <c r="AP190" s="388">
        <f>SUMIFS('2022'!$I:$I,'2022'!$E:$E,Category!$B$134,'2022'!$N:$N,Category!AP$1,'2022'!$D:$D,Category!$C190)</f>
        <v>500000</v>
      </c>
      <c r="AQ190" s="388">
        <f>SUMIFS('2022'!$I:$I,'2022'!$E:$E,Category!$B$134,'2022'!$N:$N,Category!AQ$1,'2022'!$D:$D,Category!$C190)</f>
        <v>500000</v>
      </c>
      <c r="AR190" s="388">
        <f>SUMIFS('2022'!$I:$I,'2022'!$E:$E,Category!$B$134,'2022'!$N:$N,Category!AR$1,'2022'!$D:$D,Category!$C190)</f>
        <v>500000</v>
      </c>
      <c r="AS190" s="388">
        <f>SUMIFS('2022'!$I:$I,'2022'!$E:$E,Category!$B$134,'2022'!$N:$N,Category!AS$1,'2022'!$D:$D,Category!$C190)</f>
        <v>500000</v>
      </c>
      <c r="AT190" s="388">
        <f>SUMIFS('2022'!$I:$I,'2022'!$E:$E,Category!$B$134,'2022'!$N:$N,Category!AT$1,'2022'!$D:$D,Category!$C190)</f>
        <v>500000</v>
      </c>
      <c r="AU190" s="388">
        <f>SUMIFS('2022'!$I:$I,'2022'!$E:$E,Category!$B$134,'2022'!$N:$N,Category!AU$1,'2022'!$D:$D,Category!$C190)</f>
        <v>500000</v>
      </c>
      <c r="AV190" s="388">
        <f>SUMIFS('2022'!$I:$I,'2022'!$E:$E,Category!$B$134,'2022'!$N:$N,Category!AV$1,'2022'!$D:$D,Category!$C190)</f>
        <v>500000</v>
      </c>
      <c r="AW190" s="388">
        <f>SUMIFS('2022'!$I:$I,'2022'!$E:$E,Category!$B$134,'2022'!$N:$N,Category!AW$1,'2022'!$D:$D,Category!$C190)</f>
        <v>500000</v>
      </c>
      <c r="AX190" s="388">
        <f>SUMIFS('2022'!$I:$I,'2022'!$E:$E,Category!$B$134,'2022'!$N:$N,Category!AX$1,'2022'!$D:$D,Category!$C190)</f>
        <v>500000</v>
      </c>
      <c r="AY190" s="388">
        <f>SUMIFS('2022'!$I:$I,'2022'!$E:$E,Category!$B$134,'2022'!$N:$N,Category!AY$1,'2022'!$D:$D,Category!$C190)</f>
        <v>500000</v>
      </c>
      <c r="AZ190" s="389">
        <f t="shared" si="70"/>
        <v>6000000</v>
      </c>
      <c r="BA190" s="506">
        <f>IFERROR(VLOOKUP(C190,'2023'!$D:$G,4,0),0)</f>
        <v>1</v>
      </c>
      <c r="BB190" s="388">
        <f>SUMIFS('2023'!$I:$I,'2023'!$E:$E,Category!$B$134,'2023'!$N:$N,Category!BB$1,'2023'!$D:$D,Category!$C190)</f>
        <v>500000</v>
      </c>
      <c r="BC190" s="388">
        <f>SUMIFS('2023'!$I:$I,'2023'!$E:$E,Category!$B$134,'2023'!$N:$N,Category!BC$1,'2023'!$D:$D,Category!$C190)</f>
        <v>500000</v>
      </c>
      <c r="BD190" s="388">
        <f>SUMIFS('2023'!$I:$I,'2023'!$E:$E,Category!$B$134,'2023'!$N:$N,Category!BD$1,'2023'!$D:$D,Category!$C190)</f>
        <v>0</v>
      </c>
      <c r="BE190" s="388">
        <f>SUMIFS('2023'!$I:$I,'2023'!$E:$E,Category!$B$134,'2023'!$N:$N,Category!BE$1,'2023'!$D:$D,Category!$C190)</f>
        <v>0</v>
      </c>
      <c r="BF190" s="388">
        <f>SUMIFS('2023'!$I:$I,'2023'!$E:$E,Category!$B$134,'2023'!$N:$N,Category!BF$1,'2023'!$D:$D,Category!$C190)</f>
        <v>0</v>
      </c>
      <c r="BG190" s="388">
        <f>SUMIFS('2023'!$I:$I,'2023'!$E:$E,Category!$B$134,'2023'!$N:$N,Category!BG$1,'2023'!$D:$D,Category!$C190)</f>
        <v>0</v>
      </c>
      <c r="BH190" s="388">
        <f>SUMIFS('2023'!$I:$I,'2023'!$E:$E,Category!$B$134,'2023'!$N:$N,Category!BH$1,'2023'!$D:$D,Category!$C190)</f>
        <v>0</v>
      </c>
      <c r="BI190" s="388">
        <f>SUMIFS('2023'!$I:$I,'2023'!$E:$E,Category!$B$134,'2023'!$N:$N,Category!BI$1,'2023'!$D:$D,Category!$C190)</f>
        <v>0</v>
      </c>
      <c r="BJ190" s="388">
        <f>SUMIFS('2023'!$I:$I,'2023'!$E:$E,Category!$B$134,'2023'!$N:$N,Category!BJ$1,'2023'!$D:$D,Category!$C190)</f>
        <v>0</v>
      </c>
      <c r="BK190" s="388">
        <f>SUMIFS('2023'!$I:$I,'2023'!$E:$E,Category!$B$134,'2023'!$N:$N,Category!BK$1,'2023'!$D:$D,Category!$C190)</f>
        <v>0</v>
      </c>
      <c r="BL190" s="388">
        <f>SUMIFS('2023'!$I:$I,'2023'!$E:$E,Category!$B$134,'2023'!$N:$N,Category!BL$1,'2023'!$D:$D,Category!$C190)</f>
        <v>0</v>
      </c>
      <c r="BM190" s="388">
        <f>SUMIFS('2023'!$I:$I,'2023'!$E:$E,Category!$B$134,'2023'!$N:$N,Category!BM$1,'2023'!$D:$D,Category!$C190)</f>
        <v>0</v>
      </c>
      <c r="BN190" s="389">
        <f t="shared" si="69"/>
        <v>1000000</v>
      </c>
    </row>
    <row r="191" spans="1:66" x14ac:dyDescent="0.3">
      <c r="A191" s="386"/>
      <c r="B191" s="387"/>
      <c r="C191" s="387" t="s">
        <v>929</v>
      </c>
      <c r="D191" s="524">
        <f>IFERROR(VLOOKUP($C191,'2019'!$D:$G,4,0),0)</f>
        <v>0</v>
      </c>
      <c r="E191" s="388">
        <f>SUMIFS('2019'!$I:$I,'2019'!$E:$E,Category!$B$134,'2019'!$N:$N,Category!E$1,'2019'!$D:$D,Category!$C191)</f>
        <v>0</v>
      </c>
      <c r="F191" s="388">
        <f>SUMIFS('2019'!$I:$I,'2019'!$E:$E,Category!$B$134,'2019'!$N:$N,Category!F$1,'2019'!$D:$D,Category!$C191)</f>
        <v>0</v>
      </c>
      <c r="G191" s="388">
        <f>SUMIFS('2019'!$I:$I,'2019'!$E:$E,Category!$B$134,'2019'!$N:$N,Category!G$1,'2019'!$D:$D,Category!$C191)</f>
        <v>0</v>
      </c>
      <c r="H191" s="388">
        <f>SUMIFS('2019'!$I:$I,'2019'!$E:$E,Category!$B$134,'2019'!$N:$N,Category!H$1,'2019'!$D:$D,Category!$C191)</f>
        <v>0</v>
      </c>
      <c r="I191" s="388">
        <f>SUMIFS('2019'!$I:$I,'2019'!$E:$E,Category!$B$134,'2019'!$N:$N,Category!I$1,'2019'!$D:$D,Category!$C191)</f>
        <v>0</v>
      </c>
      <c r="J191" s="389">
        <f t="shared" si="71"/>
        <v>0</v>
      </c>
      <c r="K191" s="506">
        <f>IFERROR(VLOOKUP($C191,'2020'!$D:$G,4,0),0)</f>
        <v>0</v>
      </c>
      <c r="L191" s="388">
        <f>SUMIFS('2020'!$I:$I,'2020'!$E:$E,Category!$B$134,'2020'!$N:$N,Category!L$1,'2020'!$D:$D,Category!$C191)</f>
        <v>0</v>
      </c>
      <c r="M191" s="388">
        <f>SUMIFS('2020'!$I:$I,'2020'!$E:$E,Category!$B$134,'2020'!$N:$N,Category!M$1,'2020'!$D:$D,Category!$C191)</f>
        <v>0</v>
      </c>
      <c r="N191" s="388">
        <f>SUMIFS('2020'!$I:$I,'2020'!$E:$E,Category!$B$134,'2020'!$N:$N,Category!N$1,'2020'!$D:$D,Category!$C191)</f>
        <v>0</v>
      </c>
      <c r="O191" s="388">
        <f>SUMIFS('2020'!$I:$I,'2020'!$E:$E,Category!$B$134,'2020'!$N:$N,Category!O$1,'2020'!$D:$D,Category!$C191)</f>
        <v>0</v>
      </c>
      <c r="P191" s="388">
        <f>SUMIFS('2020'!$I:$I,'2020'!$E:$E,Category!$B$134,'2020'!$N:$N,Category!P$1,'2020'!$D:$D,Category!$C191)</f>
        <v>0</v>
      </c>
      <c r="Q191" s="388">
        <f>SUMIFS('2020'!$I:$I,'2020'!$E:$E,Category!$B$134,'2020'!$N:$N,Category!Q$1,'2020'!$D:$D,Category!$C191)</f>
        <v>0</v>
      </c>
      <c r="R191" s="388">
        <f>SUMIFS('2020'!$I:$I,'2020'!$E:$E,Category!$B$134,'2020'!$N:$N,Category!R$1,'2020'!$D:$D,Category!$C191)</f>
        <v>0</v>
      </c>
      <c r="S191" s="388">
        <f>SUMIFS('2020'!$I:$I,'2020'!$E:$E,Category!$B$134,'2020'!$N:$N,Category!S$1,'2020'!$D:$D,Category!$C191)</f>
        <v>0</v>
      </c>
      <c r="T191" s="388">
        <f>SUMIFS('2020'!$I:$I,'2020'!$E:$E,Category!$B$134,'2020'!$N:$N,Category!T$1,'2020'!$D:$D,Category!$C191)</f>
        <v>0</v>
      </c>
      <c r="U191" s="388">
        <f>SUMIFS('2020'!$I:$I,'2020'!$E:$E,Category!$B$134,'2020'!$N:$N,Category!U$1,'2020'!$D:$D,Category!$C191)</f>
        <v>0</v>
      </c>
      <c r="V191" s="388">
        <f>SUMIFS('2020'!$I:$I,'2020'!$E:$E,Category!$B$134,'2020'!$N:$N,Category!V$1,'2020'!$D:$D,Category!$C191)</f>
        <v>0</v>
      </c>
      <c r="W191" s="388">
        <f>SUMIFS('2020'!$I:$I,'2020'!$E:$E,Category!$B$134,'2020'!$N:$N,Category!W$1,'2020'!$D:$D,Category!$C191)</f>
        <v>0</v>
      </c>
      <c r="X191" s="389">
        <f t="shared" si="68"/>
        <v>0</v>
      </c>
      <c r="Y191" s="506">
        <f>IFERROR(VLOOKUP(C191,'2021'!$D:$G,4,0),0)</f>
        <v>0</v>
      </c>
      <c r="Z191" s="388">
        <f>SUMIFS('2021'!$I:$I,'2021'!$E:$E,Category!$B$134,'2021'!$N:$N,Category!Z$1,'2021'!$D:$D,Category!$C191)</f>
        <v>0</v>
      </c>
      <c r="AA191" s="388">
        <f>SUMIFS('2021'!$I:$I,'2021'!$E:$E,Category!$B$134,'2021'!$N:$N,Category!AA$1,'2021'!$D:$D,Category!$C191)</f>
        <v>0</v>
      </c>
      <c r="AB191" s="388">
        <f>SUMIFS('2021'!$I:$I,'2021'!$E:$E,Category!$B$134,'2021'!$N:$N,Category!AB$1,'2021'!$D:$D,Category!$C191)</f>
        <v>0</v>
      </c>
      <c r="AC191" s="388">
        <f>SUMIFS('2021'!$I:$I,'2021'!$E:$E,Category!$B$134,'2021'!$N:$N,Category!AC$1,'2021'!$D:$D,Category!$C191)</f>
        <v>0</v>
      </c>
      <c r="AD191" s="388">
        <f>SUMIFS('2021'!$I:$I,'2021'!$E:$E,Category!$B$134,'2021'!$N:$N,Category!AD$1,'2021'!$D:$D,Category!$C191)</f>
        <v>0</v>
      </c>
      <c r="AE191" s="388">
        <f>SUMIFS('2021'!$I:$I,'2021'!$E:$E,Category!$B$134,'2021'!$N:$N,Category!AE$1,'2021'!$D:$D,Category!$C191)</f>
        <v>0</v>
      </c>
      <c r="AF191" s="388">
        <f>SUMIFS('2021'!$I:$I,'2021'!$E:$E,Category!$B$134,'2021'!$N:$N,Category!AF$1,'2021'!$D:$D,Category!$C191)</f>
        <v>0</v>
      </c>
      <c r="AG191" s="388">
        <f>SUMIFS('2021'!$I:$I,'2021'!$E:$E,Category!$B$134,'2021'!$N:$N,Category!AG$1,'2021'!$D:$D,Category!$C191)</f>
        <v>0</v>
      </c>
      <c r="AH191" s="388">
        <f>SUMIFS('2021'!$I:$I,'2021'!$E:$E,Category!$B$134,'2021'!$N:$N,Category!AH$1,'2021'!$D:$D,Category!$C191)</f>
        <v>0</v>
      </c>
      <c r="AI191" s="388">
        <f>SUMIFS('2021'!$I:$I,'2021'!$E:$E,Category!$B$134,'2021'!$N:$N,Category!AI$1,'2021'!$D:$D,Category!$C191)</f>
        <v>0</v>
      </c>
      <c r="AJ191" s="388">
        <f>SUMIFS('2021'!$I:$I,'2021'!$E:$E,Category!$B$134,'2021'!$N:$N,Category!AJ$1,'2021'!$D:$D,Category!$C191)</f>
        <v>0</v>
      </c>
      <c r="AK191" s="388">
        <f>SUMIFS('2021'!$I:$I,'2021'!$E:$E,Category!$B$134,'2021'!$N:$N,Category!AK$1,'2021'!$D:$D,Category!$C191)</f>
        <v>0</v>
      </c>
      <c r="AL191" s="389">
        <f t="shared" si="72"/>
        <v>0</v>
      </c>
      <c r="AM191" s="506">
        <f>IFERROR(VLOOKUP(C191,'2022'!$D:$G,4,0),0)</f>
        <v>1</v>
      </c>
      <c r="AN191" s="388">
        <f>SUMIFS('2022'!$I:$I,'2022'!$E:$E,Category!$B$134,'2022'!$N:$N,Category!AN$1,'2022'!$D:$D,Category!$C191)</f>
        <v>500000</v>
      </c>
      <c r="AO191" s="388">
        <f>SUMIFS('2022'!$I:$I,'2022'!$E:$E,Category!$B$134,'2022'!$N:$N,Category!AO$1,'2022'!$D:$D,Category!$C191)</f>
        <v>500000</v>
      </c>
      <c r="AP191" s="388">
        <f>SUMIFS('2022'!$I:$I,'2022'!$E:$E,Category!$B$134,'2022'!$N:$N,Category!AP$1,'2022'!$D:$D,Category!$C191)</f>
        <v>500000</v>
      </c>
      <c r="AQ191" s="388">
        <f>SUMIFS('2022'!$I:$I,'2022'!$E:$E,Category!$B$134,'2022'!$N:$N,Category!AQ$1,'2022'!$D:$D,Category!$C191)</f>
        <v>500000</v>
      </c>
      <c r="AR191" s="388">
        <f>SUMIFS('2022'!$I:$I,'2022'!$E:$E,Category!$B$134,'2022'!$N:$N,Category!AR$1,'2022'!$D:$D,Category!$C191)</f>
        <v>500000</v>
      </c>
      <c r="AS191" s="388">
        <f>SUMIFS('2022'!$I:$I,'2022'!$E:$E,Category!$B$134,'2022'!$N:$N,Category!AS$1,'2022'!$D:$D,Category!$C191)</f>
        <v>500000</v>
      </c>
      <c r="AT191" s="388">
        <f>SUMIFS('2022'!$I:$I,'2022'!$E:$E,Category!$B$134,'2022'!$N:$N,Category!AT$1,'2022'!$D:$D,Category!$C191)</f>
        <v>500000</v>
      </c>
      <c r="AU191" s="388">
        <f>SUMIFS('2022'!$I:$I,'2022'!$E:$E,Category!$B$134,'2022'!$N:$N,Category!AU$1,'2022'!$D:$D,Category!$C191)</f>
        <v>500000</v>
      </c>
      <c r="AV191" s="388">
        <f>SUMIFS('2022'!$I:$I,'2022'!$E:$E,Category!$B$134,'2022'!$N:$N,Category!AV$1,'2022'!$D:$D,Category!$C191)</f>
        <v>500000</v>
      </c>
      <c r="AW191" s="388">
        <f>SUMIFS('2022'!$I:$I,'2022'!$E:$E,Category!$B$134,'2022'!$N:$N,Category!AW$1,'2022'!$D:$D,Category!$C191)</f>
        <v>500000</v>
      </c>
      <c r="AX191" s="388">
        <f>SUMIFS('2022'!$I:$I,'2022'!$E:$E,Category!$B$134,'2022'!$N:$N,Category!AX$1,'2022'!$D:$D,Category!$C191)</f>
        <v>500000</v>
      </c>
      <c r="AY191" s="388">
        <f>SUMIFS('2022'!$I:$I,'2022'!$E:$E,Category!$B$134,'2022'!$N:$N,Category!AY$1,'2022'!$D:$D,Category!$C191)</f>
        <v>500000</v>
      </c>
      <c r="AZ191" s="389">
        <f t="shared" si="70"/>
        <v>6000000</v>
      </c>
      <c r="BA191" s="506">
        <f>IFERROR(VLOOKUP(C191,'2023'!$D:$G,4,0),0)</f>
        <v>1</v>
      </c>
      <c r="BB191" s="388">
        <f>SUMIFS('2023'!$I:$I,'2023'!$E:$E,Category!$B$134,'2023'!$N:$N,Category!BB$1,'2023'!$D:$D,Category!$C191)</f>
        <v>500000</v>
      </c>
      <c r="BC191" s="388">
        <f>SUMIFS('2023'!$I:$I,'2023'!$E:$E,Category!$B$134,'2023'!$N:$N,Category!BC$1,'2023'!$D:$D,Category!$C191)</f>
        <v>500000</v>
      </c>
      <c r="BD191" s="388">
        <f>SUMIFS('2023'!$I:$I,'2023'!$E:$E,Category!$B$134,'2023'!$N:$N,Category!BD$1,'2023'!$D:$D,Category!$C191)</f>
        <v>0</v>
      </c>
      <c r="BE191" s="388">
        <f>SUMIFS('2023'!$I:$I,'2023'!$E:$E,Category!$B$134,'2023'!$N:$N,Category!BE$1,'2023'!$D:$D,Category!$C191)</f>
        <v>0</v>
      </c>
      <c r="BF191" s="388">
        <f>SUMIFS('2023'!$I:$I,'2023'!$E:$E,Category!$B$134,'2023'!$N:$N,Category!BF$1,'2023'!$D:$D,Category!$C191)</f>
        <v>0</v>
      </c>
      <c r="BG191" s="388">
        <f>SUMIFS('2023'!$I:$I,'2023'!$E:$E,Category!$B$134,'2023'!$N:$N,Category!BG$1,'2023'!$D:$D,Category!$C191)</f>
        <v>0</v>
      </c>
      <c r="BH191" s="388">
        <f>SUMIFS('2023'!$I:$I,'2023'!$E:$E,Category!$B$134,'2023'!$N:$N,Category!BH$1,'2023'!$D:$D,Category!$C191)</f>
        <v>0</v>
      </c>
      <c r="BI191" s="388">
        <f>SUMIFS('2023'!$I:$I,'2023'!$E:$E,Category!$B$134,'2023'!$N:$N,Category!BI$1,'2023'!$D:$D,Category!$C191)</f>
        <v>0</v>
      </c>
      <c r="BJ191" s="388">
        <f>SUMIFS('2023'!$I:$I,'2023'!$E:$E,Category!$B$134,'2023'!$N:$N,Category!BJ$1,'2023'!$D:$D,Category!$C191)</f>
        <v>0</v>
      </c>
      <c r="BK191" s="388">
        <f>SUMIFS('2023'!$I:$I,'2023'!$E:$E,Category!$B$134,'2023'!$N:$N,Category!BK$1,'2023'!$D:$D,Category!$C191)</f>
        <v>0</v>
      </c>
      <c r="BL191" s="388">
        <f>SUMIFS('2023'!$I:$I,'2023'!$E:$E,Category!$B$134,'2023'!$N:$N,Category!BL$1,'2023'!$D:$D,Category!$C191)</f>
        <v>0</v>
      </c>
      <c r="BM191" s="388">
        <f>SUMIFS('2023'!$I:$I,'2023'!$E:$E,Category!$B$134,'2023'!$N:$N,Category!BM$1,'2023'!$D:$D,Category!$C191)</f>
        <v>0</v>
      </c>
      <c r="BN191" s="389">
        <f t="shared" si="69"/>
        <v>1000000</v>
      </c>
    </row>
    <row r="192" spans="1:66" x14ac:dyDescent="0.3">
      <c r="A192" s="386"/>
      <c r="B192" s="387"/>
      <c r="C192" s="387" t="s">
        <v>930</v>
      </c>
      <c r="D192" s="524">
        <f>IFERROR(VLOOKUP($C192,'2019'!$D:$G,4,0),0)</f>
        <v>0</v>
      </c>
      <c r="E192" s="388">
        <f>SUMIFS('2019'!$I:$I,'2019'!$E:$E,Category!$B$134,'2019'!$N:$N,Category!E$1,'2019'!$D:$D,Category!$C192)</f>
        <v>0</v>
      </c>
      <c r="F192" s="388">
        <f>SUMIFS('2019'!$I:$I,'2019'!$E:$E,Category!$B$134,'2019'!$N:$N,Category!F$1,'2019'!$D:$D,Category!$C192)</f>
        <v>0</v>
      </c>
      <c r="G192" s="388">
        <f>SUMIFS('2019'!$I:$I,'2019'!$E:$E,Category!$B$134,'2019'!$N:$N,Category!G$1,'2019'!$D:$D,Category!$C192)</f>
        <v>0</v>
      </c>
      <c r="H192" s="388">
        <f>SUMIFS('2019'!$I:$I,'2019'!$E:$E,Category!$B$134,'2019'!$N:$N,Category!H$1,'2019'!$D:$D,Category!$C192)</f>
        <v>0</v>
      </c>
      <c r="I192" s="388">
        <f>SUMIFS('2019'!$I:$I,'2019'!$E:$E,Category!$B$134,'2019'!$N:$N,Category!I$1,'2019'!$D:$D,Category!$C192)</f>
        <v>0</v>
      </c>
      <c r="J192" s="389">
        <f t="shared" si="71"/>
        <v>0</v>
      </c>
      <c r="K192" s="506">
        <f>IFERROR(VLOOKUP($C192,'2020'!$D:$G,4,0),0)</f>
        <v>0</v>
      </c>
      <c r="L192" s="388">
        <f>SUMIFS('2020'!$I:$I,'2020'!$E:$E,Category!$B$134,'2020'!$N:$N,Category!L$1,'2020'!$D:$D,Category!$C192)</f>
        <v>0</v>
      </c>
      <c r="M192" s="388">
        <f>SUMIFS('2020'!$I:$I,'2020'!$E:$E,Category!$B$134,'2020'!$N:$N,Category!M$1,'2020'!$D:$D,Category!$C192)</f>
        <v>0</v>
      </c>
      <c r="N192" s="388">
        <f>SUMIFS('2020'!$I:$I,'2020'!$E:$E,Category!$B$134,'2020'!$N:$N,Category!N$1,'2020'!$D:$D,Category!$C192)</f>
        <v>0</v>
      </c>
      <c r="O192" s="388">
        <f>SUMIFS('2020'!$I:$I,'2020'!$E:$E,Category!$B$134,'2020'!$N:$N,Category!O$1,'2020'!$D:$D,Category!$C192)</f>
        <v>0</v>
      </c>
      <c r="P192" s="388">
        <f>SUMIFS('2020'!$I:$I,'2020'!$E:$E,Category!$B$134,'2020'!$N:$N,Category!P$1,'2020'!$D:$D,Category!$C192)</f>
        <v>0</v>
      </c>
      <c r="Q192" s="388">
        <f>SUMIFS('2020'!$I:$I,'2020'!$E:$E,Category!$B$134,'2020'!$N:$N,Category!Q$1,'2020'!$D:$D,Category!$C192)</f>
        <v>0</v>
      </c>
      <c r="R192" s="388">
        <f>SUMIFS('2020'!$I:$I,'2020'!$E:$E,Category!$B$134,'2020'!$N:$N,Category!R$1,'2020'!$D:$D,Category!$C192)</f>
        <v>0</v>
      </c>
      <c r="S192" s="388">
        <f>SUMIFS('2020'!$I:$I,'2020'!$E:$E,Category!$B$134,'2020'!$N:$N,Category!S$1,'2020'!$D:$D,Category!$C192)</f>
        <v>0</v>
      </c>
      <c r="T192" s="388">
        <f>SUMIFS('2020'!$I:$I,'2020'!$E:$E,Category!$B$134,'2020'!$N:$N,Category!T$1,'2020'!$D:$D,Category!$C192)</f>
        <v>0</v>
      </c>
      <c r="U192" s="388">
        <f>SUMIFS('2020'!$I:$I,'2020'!$E:$E,Category!$B$134,'2020'!$N:$N,Category!U$1,'2020'!$D:$D,Category!$C192)</f>
        <v>0</v>
      </c>
      <c r="V192" s="388">
        <f>SUMIFS('2020'!$I:$I,'2020'!$E:$E,Category!$B$134,'2020'!$N:$N,Category!V$1,'2020'!$D:$D,Category!$C192)</f>
        <v>0</v>
      </c>
      <c r="W192" s="388">
        <f>SUMIFS('2020'!$I:$I,'2020'!$E:$E,Category!$B$134,'2020'!$N:$N,Category!W$1,'2020'!$D:$D,Category!$C192)</f>
        <v>0</v>
      </c>
      <c r="X192" s="389">
        <f t="shared" si="68"/>
        <v>0</v>
      </c>
      <c r="Y192" s="506">
        <f>IFERROR(VLOOKUP(C192,'2021'!$D:$G,4,0),0)</f>
        <v>0</v>
      </c>
      <c r="Z192" s="388">
        <f>SUMIFS('2021'!$I:$I,'2021'!$E:$E,Category!$B$134,'2021'!$N:$N,Category!Z$1,'2021'!$D:$D,Category!$C192)</f>
        <v>0</v>
      </c>
      <c r="AA192" s="388">
        <f>SUMIFS('2021'!$I:$I,'2021'!$E:$E,Category!$B$134,'2021'!$N:$N,Category!AA$1,'2021'!$D:$D,Category!$C192)</f>
        <v>0</v>
      </c>
      <c r="AB192" s="388">
        <f>SUMIFS('2021'!$I:$I,'2021'!$E:$E,Category!$B$134,'2021'!$N:$N,Category!AB$1,'2021'!$D:$D,Category!$C192)</f>
        <v>0</v>
      </c>
      <c r="AC192" s="388">
        <f>SUMIFS('2021'!$I:$I,'2021'!$E:$E,Category!$B$134,'2021'!$N:$N,Category!AC$1,'2021'!$D:$D,Category!$C192)</f>
        <v>0</v>
      </c>
      <c r="AD192" s="388">
        <f>SUMIFS('2021'!$I:$I,'2021'!$E:$E,Category!$B$134,'2021'!$N:$N,Category!AD$1,'2021'!$D:$D,Category!$C192)</f>
        <v>0</v>
      </c>
      <c r="AE192" s="388">
        <f>SUMIFS('2021'!$I:$I,'2021'!$E:$E,Category!$B$134,'2021'!$N:$N,Category!AE$1,'2021'!$D:$D,Category!$C192)</f>
        <v>0</v>
      </c>
      <c r="AF192" s="388">
        <f>SUMIFS('2021'!$I:$I,'2021'!$E:$E,Category!$B$134,'2021'!$N:$N,Category!AF$1,'2021'!$D:$D,Category!$C192)</f>
        <v>0</v>
      </c>
      <c r="AG192" s="388">
        <f>SUMIFS('2021'!$I:$I,'2021'!$E:$E,Category!$B$134,'2021'!$N:$N,Category!AG$1,'2021'!$D:$D,Category!$C192)</f>
        <v>0</v>
      </c>
      <c r="AH192" s="388">
        <f>SUMIFS('2021'!$I:$I,'2021'!$E:$E,Category!$B$134,'2021'!$N:$N,Category!AH$1,'2021'!$D:$D,Category!$C192)</f>
        <v>0</v>
      </c>
      <c r="AI192" s="388">
        <f>SUMIFS('2021'!$I:$I,'2021'!$E:$E,Category!$B$134,'2021'!$N:$N,Category!AI$1,'2021'!$D:$D,Category!$C192)</f>
        <v>0</v>
      </c>
      <c r="AJ192" s="388">
        <f>SUMIFS('2021'!$I:$I,'2021'!$E:$E,Category!$B$134,'2021'!$N:$N,Category!AJ$1,'2021'!$D:$D,Category!$C192)</f>
        <v>0</v>
      </c>
      <c r="AK192" s="388">
        <f>SUMIFS('2021'!$I:$I,'2021'!$E:$E,Category!$B$134,'2021'!$N:$N,Category!AK$1,'2021'!$D:$D,Category!$C192)</f>
        <v>0</v>
      </c>
      <c r="AL192" s="389">
        <f t="shared" si="72"/>
        <v>0</v>
      </c>
      <c r="AM192" s="506">
        <f>IFERROR(VLOOKUP(C192,'2022'!$D:$G,4,0),0)</f>
        <v>1</v>
      </c>
      <c r="AN192" s="388">
        <f>SUMIFS('2022'!$I:$I,'2022'!$E:$E,Category!$B$134,'2022'!$N:$N,Category!AN$1,'2022'!$D:$D,Category!$C192)</f>
        <v>500000</v>
      </c>
      <c r="AO192" s="388">
        <f>SUMIFS('2022'!$I:$I,'2022'!$E:$E,Category!$B$134,'2022'!$N:$N,Category!AO$1,'2022'!$D:$D,Category!$C192)</f>
        <v>500000</v>
      </c>
      <c r="AP192" s="388">
        <f>SUMIFS('2022'!$I:$I,'2022'!$E:$E,Category!$B$134,'2022'!$N:$N,Category!AP$1,'2022'!$D:$D,Category!$C192)</f>
        <v>500000</v>
      </c>
      <c r="AQ192" s="388">
        <f>SUMIFS('2022'!$I:$I,'2022'!$E:$E,Category!$B$134,'2022'!$N:$N,Category!AQ$1,'2022'!$D:$D,Category!$C192)</f>
        <v>500000</v>
      </c>
      <c r="AR192" s="388">
        <f>SUMIFS('2022'!$I:$I,'2022'!$E:$E,Category!$B$134,'2022'!$N:$N,Category!AR$1,'2022'!$D:$D,Category!$C192)</f>
        <v>500000</v>
      </c>
      <c r="AS192" s="388">
        <f>SUMIFS('2022'!$I:$I,'2022'!$E:$E,Category!$B$134,'2022'!$N:$N,Category!AS$1,'2022'!$D:$D,Category!$C192)</f>
        <v>500000</v>
      </c>
      <c r="AT192" s="388">
        <f>SUMIFS('2022'!$I:$I,'2022'!$E:$E,Category!$B$134,'2022'!$N:$N,Category!AT$1,'2022'!$D:$D,Category!$C192)</f>
        <v>500000</v>
      </c>
      <c r="AU192" s="388">
        <f>SUMIFS('2022'!$I:$I,'2022'!$E:$E,Category!$B$134,'2022'!$N:$N,Category!AU$1,'2022'!$D:$D,Category!$C192)</f>
        <v>500000</v>
      </c>
      <c r="AV192" s="388">
        <f>SUMIFS('2022'!$I:$I,'2022'!$E:$E,Category!$B$134,'2022'!$N:$N,Category!AV$1,'2022'!$D:$D,Category!$C192)</f>
        <v>500000</v>
      </c>
      <c r="AW192" s="388">
        <f>SUMIFS('2022'!$I:$I,'2022'!$E:$E,Category!$B$134,'2022'!$N:$N,Category!AW$1,'2022'!$D:$D,Category!$C192)</f>
        <v>500000</v>
      </c>
      <c r="AX192" s="388">
        <f>SUMIFS('2022'!$I:$I,'2022'!$E:$E,Category!$B$134,'2022'!$N:$N,Category!AX$1,'2022'!$D:$D,Category!$C192)</f>
        <v>500000</v>
      </c>
      <c r="AY192" s="388">
        <f>SUMIFS('2022'!$I:$I,'2022'!$E:$E,Category!$B$134,'2022'!$N:$N,Category!AY$1,'2022'!$D:$D,Category!$C192)</f>
        <v>500000</v>
      </c>
      <c r="AZ192" s="389">
        <f t="shared" si="70"/>
        <v>6000000</v>
      </c>
      <c r="BA192" s="506">
        <f>IFERROR(VLOOKUP(C192,'2023'!$D:$G,4,0),0)</f>
        <v>1</v>
      </c>
      <c r="BB192" s="388">
        <f>SUMIFS('2023'!$I:$I,'2023'!$E:$E,Category!$B$134,'2023'!$N:$N,Category!BB$1,'2023'!$D:$D,Category!$C192)</f>
        <v>500000</v>
      </c>
      <c r="BC192" s="388">
        <f>SUMIFS('2023'!$I:$I,'2023'!$E:$E,Category!$B$134,'2023'!$N:$N,Category!BC$1,'2023'!$D:$D,Category!$C192)</f>
        <v>500000</v>
      </c>
      <c r="BD192" s="388">
        <f>SUMIFS('2023'!$I:$I,'2023'!$E:$E,Category!$B$134,'2023'!$N:$N,Category!BD$1,'2023'!$D:$D,Category!$C192)</f>
        <v>0</v>
      </c>
      <c r="BE192" s="388">
        <f>SUMIFS('2023'!$I:$I,'2023'!$E:$E,Category!$B$134,'2023'!$N:$N,Category!BE$1,'2023'!$D:$D,Category!$C192)</f>
        <v>0</v>
      </c>
      <c r="BF192" s="388">
        <f>SUMIFS('2023'!$I:$I,'2023'!$E:$E,Category!$B$134,'2023'!$N:$N,Category!BF$1,'2023'!$D:$D,Category!$C192)</f>
        <v>0</v>
      </c>
      <c r="BG192" s="388">
        <f>SUMIFS('2023'!$I:$I,'2023'!$E:$E,Category!$B$134,'2023'!$N:$N,Category!BG$1,'2023'!$D:$D,Category!$C192)</f>
        <v>0</v>
      </c>
      <c r="BH192" s="388">
        <f>SUMIFS('2023'!$I:$I,'2023'!$E:$E,Category!$B$134,'2023'!$N:$N,Category!BH$1,'2023'!$D:$D,Category!$C192)</f>
        <v>0</v>
      </c>
      <c r="BI192" s="388">
        <f>SUMIFS('2023'!$I:$I,'2023'!$E:$E,Category!$B$134,'2023'!$N:$N,Category!BI$1,'2023'!$D:$D,Category!$C192)</f>
        <v>0</v>
      </c>
      <c r="BJ192" s="388">
        <f>SUMIFS('2023'!$I:$I,'2023'!$E:$E,Category!$B$134,'2023'!$N:$N,Category!BJ$1,'2023'!$D:$D,Category!$C192)</f>
        <v>0</v>
      </c>
      <c r="BK192" s="388">
        <f>SUMIFS('2023'!$I:$I,'2023'!$E:$E,Category!$B$134,'2023'!$N:$N,Category!BK$1,'2023'!$D:$D,Category!$C192)</f>
        <v>0</v>
      </c>
      <c r="BL192" s="388">
        <f>SUMIFS('2023'!$I:$I,'2023'!$E:$E,Category!$B$134,'2023'!$N:$N,Category!BL$1,'2023'!$D:$D,Category!$C192)</f>
        <v>0</v>
      </c>
      <c r="BM192" s="388">
        <f>SUMIFS('2023'!$I:$I,'2023'!$E:$E,Category!$B$134,'2023'!$N:$N,Category!BM$1,'2023'!$D:$D,Category!$C192)</f>
        <v>0</v>
      </c>
      <c r="BN192" s="389">
        <f t="shared" si="69"/>
        <v>1000000</v>
      </c>
    </row>
    <row r="193" spans="1:66" x14ac:dyDescent="0.3">
      <c r="A193" s="386"/>
      <c r="B193" s="387"/>
      <c r="C193" s="387" t="s">
        <v>1220</v>
      </c>
      <c r="D193" s="524">
        <f>IFERROR(VLOOKUP($C193,'2019'!$D:$G,4,0),0)</f>
        <v>0</v>
      </c>
      <c r="E193" s="388">
        <f>SUMIFS('2019'!$I:$I,'2019'!$E:$E,Category!$B$134,'2019'!$N:$N,Category!E$1,'2019'!$D:$D,Category!$C193)</f>
        <v>0</v>
      </c>
      <c r="F193" s="388">
        <f>SUMIFS('2019'!$I:$I,'2019'!$E:$E,Category!$B$134,'2019'!$N:$N,Category!F$1,'2019'!$D:$D,Category!$C193)</f>
        <v>0</v>
      </c>
      <c r="G193" s="388">
        <f>SUMIFS('2019'!$I:$I,'2019'!$E:$E,Category!$B$134,'2019'!$N:$N,Category!G$1,'2019'!$D:$D,Category!$C193)</f>
        <v>0</v>
      </c>
      <c r="H193" s="388">
        <f>SUMIFS('2019'!$I:$I,'2019'!$E:$E,Category!$B$134,'2019'!$N:$N,Category!H$1,'2019'!$D:$D,Category!$C193)</f>
        <v>0</v>
      </c>
      <c r="I193" s="388">
        <f>SUMIFS('2019'!$I:$I,'2019'!$E:$E,Category!$B$134,'2019'!$N:$N,Category!I$1,'2019'!$D:$D,Category!$C193)</f>
        <v>0</v>
      </c>
      <c r="J193" s="389">
        <f t="shared" si="71"/>
        <v>0</v>
      </c>
      <c r="K193" s="506">
        <f>IFERROR(VLOOKUP($C193,'2020'!$D:$G,4,0),0)</f>
        <v>0</v>
      </c>
      <c r="L193" s="388">
        <f>SUMIFS('2020'!$I:$I,'2020'!$E:$E,Category!$B$134,'2020'!$N:$N,Category!L$1,'2020'!$D:$D,Category!$C193)</f>
        <v>0</v>
      </c>
      <c r="M193" s="388">
        <f>SUMIFS('2020'!$I:$I,'2020'!$E:$E,Category!$B$134,'2020'!$N:$N,Category!M$1,'2020'!$D:$D,Category!$C193)</f>
        <v>0</v>
      </c>
      <c r="N193" s="388">
        <f>SUMIFS('2020'!$I:$I,'2020'!$E:$E,Category!$B$134,'2020'!$N:$N,Category!N$1,'2020'!$D:$D,Category!$C193)</f>
        <v>0</v>
      </c>
      <c r="O193" s="388">
        <f>SUMIFS('2020'!$I:$I,'2020'!$E:$E,Category!$B$134,'2020'!$N:$N,Category!O$1,'2020'!$D:$D,Category!$C193)</f>
        <v>0</v>
      </c>
      <c r="P193" s="388">
        <f>SUMIFS('2020'!$I:$I,'2020'!$E:$E,Category!$B$134,'2020'!$N:$N,Category!P$1,'2020'!$D:$D,Category!$C193)</f>
        <v>0</v>
      </c>
      <c r="Q193" s="388">
        <f>SUMIFS('2020'!$I:$I,'2020'!$E:$E,Category!$B$134,'2020'!$N:$N,Category!Q$1,'2020'!$D:$D,Category!$C193)</f>
        <v>0</v>
      </c>
      <c r="R193" s="388">
        <f>SUMIFS('2020'!$I:$I,'2020'!$E:$E,Category!$B$134,'2020'!$N:$N,Category!R$1,'2020'!$D:$D,Category!$C193)</f>
        <v>0</v>
      </c>
      <c r="S193" s="388">
        <f>SUMIFS('2020'!$I:$I,'2020'!$E:$E,Category!$B$134,'2020'!$N:$N,Category!S$1,'2020'!$D:$D,Category!$C193)</f>
        <v>0</v>
      </c>
      <c r="T193" s="388">
        <f>SUMIFS('2020'!$I:$I,'2020'!$E:$E,Category!$B$134,'2020'!$N:$N,Category!T$1,'2020'!$D:$D,Category!$C193)</f>
        <v>0</v>
      </c>
      <c r="U193" s="388">
        <f>SUMIFS('2020'!$I:$I,'2020'!$E:$E,Category!$B$134,'2020'!$N:$N,Category!U$1,'2020'!$D:$D,Category!$C193)</f>
        <v>0</v>
      </c>
      <c r="V193" s="388">
        <f>SUMIFS('2020'!$I:$I,'2020'!$E:$E,Category!$B$134,'2020'!$N:$N,Category!V$1,'2020'!$D:$D,Category!$C193)</f>
        <v>0</v>
      </c>
      <c r="W193" s="388">
        <f>SUMIFS('2020'!$I:$I,'2020'!$E:$E,Category!$B$134,'2020'!$N:$N,Category!W$1,'2020'!$D:$D,Category!$C193)</f>
        <v>0</v>
      </c>
      <c r="X193" s="389">
        <f t="shared" ref="X193:X198" si="73">SUM(L193:W193)</f>
        <v>0</v>
      </c>
      <c r="Y193" s="506">
        <f>IFERROR(VLOOKUP(C193,'2021'!$D:$G,4,0),0)</f>
        <v>0</v>
      </c>
      <c r="Z193" s="388">
        <f>SUMIFS('2021'!$I:$I,'2021'!$E:$E,Category!$B$134,'2021'!$N:$N,Category!Z$1,'2021'!$D:$D,Category!$C193)</f>
        <v>0</v>
      </c>
      <c r="AA193" s="388">
        <f>SUMIFS('2021'!$I:$I,'2021'!$E:$E,Category!$B$134,'2021'!$N:$N,Category!AA$1,'2021'!$D:$D,Category!$C193)</f>
        <v>0</v>
      </c>
      <c r="AB193" s="388">
        <f>SUMIFS('2021'!$I:$I,'2021'!$E:$E,Category!$B$134,'2021'!$N:$N,Category!AB$1,'2021'!$D:$D,Category!$C193)</f>
        <v>0</v>
      </c>
      <c r="AC193" s="388">
        <f>SUMIFS('2021'!$I:$I,'2021'!$E:$E,Category!$B$134,'2021'!$N:$N,Category!AC$1,'2021'!$D:$D,Category!$C193)</f>
        <v>0</v>
      </c>
      <c r="AD193" s="388">
        <f>SUMIFS('2021'!$I:$I,'2021'!$E:$E,Category!$B$134,'2021'!$N:$N,Category!AD$1,'2021'!$D:$D,Category!$C193)</f>
        <v>0</v>
      </c>
      <c r="AE193" s="388">
        <f>SUMIFS('2021'!$I:$I,'2021'!$E:$E,Category!$B$134,'2021'!$N:$N,Category!AE$1,'2021'!$D:$D,Category!$C193)</f>
        <v>0</v>
      </c>
      <c r="AF193" s="388">
        <f>SUMIFS('2021'!$I:$I,'2021'!$E:$E,Category!$B$134,'2021'!$N:$N,Category!AF$1,'2021'!$D:$D,Category!$C193)</f>
        <v>0</v>
      </c>
      <c r="AG193" s="388">
        <f>SUMIFS('2021'!$I:$I,'2021'!$E:$E,Category!$B$134,'2021'!$N:$N,Category!AG$1,'2021'!$D:$D,Category!$C193)</f>
        <v>0</v>
      </c>
      <c r="AH193" s="388">
        <f>SUMIFS('2021'!$I:$I,'2021'!$E:$E,Category!$B$134,'2021'!$N:$N,Category!AH$1,'2021'!$D:$D,Category!$C193)</f>
        <v>0</v>
      </c>
      <c r="AI193" s="388">
        <f>SUMIFS('2021'!$I:$I,'2021'!$E:$E,Category!$B$134,'2021'!$N:$N,Category!AI$1,'2021'!$D:$D,Category!$C193)</f>
        <v>0</v>
      </c>
      <c r="AJ193" s="388">
        <f>SUMIFS('2021'!$I:$I,'2021'!$E:$E,Category!$B$134,'2021'!$N:$N,Category!AJ$1,'2021'!$D:$D,Category!$C193)</f>
        <v>0</v>
      </c>
      <c r="AK193" s="388">
        <f>SUMIFS('2021'!$I:$I,'2021'!$E:$E,Category!$B$134,'2021'!$N:$N,Category!AK$1,'2021'!$D:$D,Category!$C193)</f>
        <v>0</v>
      </c>
      <c r="AL193" s="389">
        <f t="shared" ref="AL193:AL198" si="74">SUM(Z193:AK193)</f>
        <v>0</v>
      </c>
      <c r="AM193" s="506">
        <f>IFERROR(VLOOKUP(C193,'2022'!$D:$G,4,0),0)</f>
        <v>0</v>
      </c>
      <c r="AN193" s="388">
        <f>SUMIFS('2022'!$I:$I,'2022'!$E:$E,Category!$B$134,'2022'!$N:$N,Category!AN$1,'2022'!$D:$D,Category!$C193)</f>
        <v>0</v>
      </c>
      <c r="AO193" s="388">
        <f>SUMIFS('2022'!$I:$I,'2022'!$E:$E,Category!$B$134,'2022'!$N:$N,Category!AO$1,'2022'!$D:$D,Category!$C193)</f>
        <v>0</v>
      </c>
      <c r="AP193" s="388">
        <f>SUMIFS('2022'!$I:$I,'2022'!$E:$E,Category!$B$134,'2022'!$N:$N,Category!AP$1,'2022'!$D:$D,Category!$C193)</f>
        <v>0</v>
      </c>
      <c r="AQ193" s="388">
        <f>SUMIFS('2022'!$I:$I,'2022'!$E:$E,Category!$B$134,'2022'!$N:$N,Category!AQ$1,'2022'!$D:$D,Category!$C193)</f>
        <v>0</v>
      </c>
      <c r="AR193" s="388">
        <f>SUMIFS('2022'!$I:$I,'2022'!$E:$E,Category!$B$134,'2022'!$N:$N,Category!AR$1,'2022'!$D:$D,Category!$C193)</f>
        <v>0</v>
      </c>
      <c r="AS193" s="388">
        <f>SUMIFS('2022'!$I:$I,'2022'!$E:$E,Category!$B$134,'2022'!$N:$N,Category!AS$1,'2022'!$D:$D,Category!$C193)</f>
        <v>0</v>
      </c>
      <c r="AT193" s="388">
        <f>SUMIFS('2022'!$I:$I,'2022'!$E:$E,Category!$B$134,'2022'!$N:$N,Category!AT$1,'2022'!$D:$D,Category!$C193)</f>
        <v>0</v>
      </c>
      <c r="AU193" s="388">
        <f>SUMIFS('2022'!$I:$I,'2022'!$E:$E,Category!$B$134,'2022'!$N:$N,Category!AU$1,'2022'!$D:$D,Category!$C193)</f>
        <v>0</v>
      </c>
      <c r="AV193" s="388">
        <f>SUMIFS('2022'!$I:$I,'2022'!$E:$E,Category!$B$134,'2022'!$N:$N,Category!AV$1,'2022'!$D:$D,Category!$C193)</f>
        <v>0</v>
      </c>
      <c r="AW193" s="388">
        <f>SUMIFS('2022'!$I:$I,'2022'!$E:$E,Category!$B$134,'2022'!$N:$N,Category!AW$1,'2022'!$D:$D,Category!$C193)</f>
        <v>0</v>
      </c>
      <c r="AX193" s="388">
        <f>SUMIFS('2022'!$I:$I,'2022'!$E:$E,Category!$B$134,'2022'!$N:$N,Category!AX$1,'2022'!$D:$D,Category!$C193)</f>
        <v>0</v>
      </c>
      <c r="AY193" s="388">
        <f>SUMIFS('2022'!$I:$I,'2022'!$E:$E,Category!$B$134,'2022'!$N:$N,Category!AY$1,'2022'!$D:$D,Category!$C193)</f>
        <v>0</v>
      </c>
      <c r="AZ193" s="389">
        <f t="shared" ref="AZ193:AZ198" si="75">SUM(AN193:AY193)</f>
        <v>0</v>
      </c>
      <c r="BA193" s="506">
        <f>IFERROR(VLOOKUP(C193,'2023'!$D:$G,4,0),0)</f>
        <v>0</v>
      </c>
      <c r="BB193" s="388">
        <f>SUMIFS('2023'!$I:$I,'2023'!$E:$E,Category!$B$134,'2023'!$N:$N,Category!BB$1,'2023'!$D:$D,Category!$C193)</f>
        <v>0</v>
      </c>
      <c r="BC193" s="388">
        <f>SUMIFS('2023'!$I:$I,'2023'!$E:$E,Category!$B$134,'2023'!$N:$N,Category!BC$1,'2023'!$D:$D,Category!$C193)</f>
        <v>0</v>
      </c>
      <c r="BD193" s="388">
        <f>SUMIFS('2023'!$I:$I,'2023'!$E:$E,Category!$B$134,'2023'!$N:$N,Category!BD$1,'2023'!$D:$D,Category!$C193)</f>
        <v>0</v>
      </c>
      <c r="BE193" s="388">
        <f>SUMIFS('2023'!$I:$I,'2023'!$E:$E,Category!$B$134,'2023'!$N:$N,Category!BE$1,'2023'!$D:$D,Category!$C193)</f>
        <v>0</v>
      </c>
      <c r="BF193" s="388">
        <f>SUMIFS('2023'!$I:$I,'2023'!$E:$E,Category!$B$134,'2023'!$N:$N,Category!BF$1,'2023'!$D:$D,Category!$C193)</f>
        <v>0</v>
      </c>
      <c r="BG193" s="388">
        <f>SUMIFS('2023'!$I:$I,'2023'!$E:$E,Category!$B$134,'2023'!$N:$N,Category!BG$1,'2023'!$D:$D,Category!$C193)</f>
        <v>0</v>
      </c>
      <c r="BH193" s="388">
        <f>SUMIFS('2023'!$I:$I,'2023'!$E:$E,Category!$B$134,'2023'!$N:$N,Category!BH$1,'2023'!$D:$D,Category!$C193)</f>
        <v>0</v>
      </c>
      <c r="BI193" s="388">
        <f>SUMIFS('2023'!$I:$I,'2023'!$E:$E,Category!$B$134,'2023'!$N:$N,Category!BI$1,'2023'!$D:$D,Category!$C193)</f>
        <v>0</v>
      </c>
      <c r="BJ193" s="388">
        <f>SUMIFS('2023'!$I:$I,'2023'!$E:$E,Category!$B$134,'2023'!$N:$N,Category!BJ$1,'2023'!$D:$D,Category!$C193)</f>
        <v>0</v>
      </c>
      <c r="BK193" s="388">
        <f>SUMIFS('2023'!$I:$I,'2023'!$E:$E,Category!$B$134,'2023'!$N:$N,Category!BK$1,'2023'!$D:$D,Category!$C193)</f>
        <v>0</v>
      </c>
      <c r="BL193" s="388">
        <f>SUMIFS('2023'!$I:$I,'2023'!$E:$E,Category!$B$134,'2023'!$N:$N,Category!BL$1,'2023'!$D:$D,Category!$C193)</f>
        <v>0</v>
      </c>
      <c r="BM193" s="388">
        <f>SUMIFS('2023'!$I:$I,'2023'!$E:$E,Category!$B$134,'2023'!$N:$N,Category!BM$1,'2023'!$D:$D,Category!$C193)</f>
        <v>0</v>
      </c>
      <c r="BN193" s="389">
        <f t="shared" si="69"/>
        <v>0</v>
      </c>
    </row>
    <row r="194" spans="1:66" x14ac:dyDescent="0.3">
      <c r="A194" s="386"/>
      <c r="B194" s="387"/>
      <c r="C194" s="387" t="s">
        <v>1535</v>
      </c>
      <c r="D194" s="524">
        <f>IFERROR(VLOOKUP($C194,'2019'!$D:$G,4,0),0)</f>
        <v>0</v>
      </c>
      <c r="E194" s="388">
        <f>SUMIFS('2019'!$I:$I,'2019'!$E:$E,Category!$B$134,'2019'!$N:$N,Category!E$1,'2019'!$D:$D,Category!$C194)</f>
        <v>0</v>
      </c>
      <c r="F194" s="388">
        <f>SUMIFS('2019'!$I:$I,'2019'!$E:$E,Category!$B$134,'2019'!$N:$N,Category!F$1,'2019'!$D:$D,Category!$C194)</f>
        <v>0</v>
      </c>
      <c r="G194" s="388">
        <f>SUMIFS('2019'!$I:$I,'2019'!$E:$E,Category!$B$134,'2019'!$N:$N,Category!G$1,'2019'!$D:$D,Category!$C194)</f>
        <v>0</v>
      </c>
      <c r="H194" s="388">
        <f>SUMIFS('2019'!$I:$I,'2019'!$E:$E,Category!$B$134,'2019'!$N:$N,Category!H$1,'2019'!$D:$D,Category!$C194)</f>
        <v>0</v>
      </c>
      <c r="I194" s="388">
        <f>SUMIFS('2019'!$I:$I,'2019'!$E:$E,Category!$B$134,'2019'!$N:$N,Category!I$1,'2019'!$D:$D,Category!$C194)</f>
        <v>0</v>
      </c>
      <c r="J194" s="389">
        <f t="shared" si="71"/>
        <v>0</v>
      </c>
      <c r="K194" s="506">
        <f>IFERROR(VLOOKUP($C194,'2020'!$D:$G,4,0),0)</f>
        <v>0</v>
      </c>
      <c r="L194" s="388">
        <f>SUMIFS('2020'!$I:$I,'2020'!$E:$E,Category!$B$134,'2020'!$N:$N,Category!L$1,'2020'!$D:$D,Category!$C194)</f>
        <v>0</v>
      </c>
      <c r="M194" s="388">
        <f>SUMIFS('2020'!$I:$I,'2020'!$E:$E,Category!$B$134,'2020'!$N:$N,Category!M$1,'2020'!$D:$D,Category!$C194)</f>
        <v>0</v>
      </c>
      <c r="N194" s="388">
        <f>SUMIFS('2020'!$I:$I,'2020'!$E:$E,Category!$B$134,'2020'!$N:$N,Category!N$1,'2020'!$D:$D,Category!$C194)</f>
        <v>0</v>
      </c>
      <c r="O194" s="388">
        <f>SUMIFS('2020'!$I:$I,'2020'!$E:$E,Category!$B$134,'2020'!$N:$N,Category!O$1,'2020'!$D:$D,Category!$C194)</f>
        <v>0</v>
      </c>
      <c r="P194" s="388">
        <f>SUMIFS('2020'!$I:$I,'2020'!$E:$E,Category!$B$134,'2020'!$N:$N,Category!P$1,'2020'!$D:$D,Category!$C194)</f>
        <v>0</v>
      </c>
      <c r="Q194" s="388">
        <f>SUMIFS('2020'!$I:$I,'2020'!$E:$E,Category!$B$134,'2020'!$N:$N,Category!Q$1,'2020'!$D:$D,Category!$C194)</f>
        <v>0</v>
      </c>
      <c r="R194" s="388">
        <f>SUMIFS('2020'!$I:$I,'2020'!$E:$E,Category!$B$134,'2020'!$N:$N,Category!R$1,'2020'!$D:$D,Category!$C194)</f>
        <v>0</v>
      </c>
      <c r="S194" s="388">
        <f>SUMIFS('2020'!$I:$I,'2020'!$E:$E,Category!$B$134,'2020'!$N:$N,Category!S$1,'2020'!$D:$D,Category!$C194)</f>
        <v>0</v>
      </c>
      <c r="T194" s="388">
        <f>SUMIFS('2020'!$I:$I,'2020'!$E:$E,Category!$B$134,'2020'!$N:$N,Category!T$1,'2020'!$D:$D,Category!$C194)</f>
        <v>0</v>
      </c>
      <c r="U194" s="388">
        <f>SUMIFS('2020'!$I:$I,'2020'!$E:$E,Category!$B$134,'2020'!$N:$N,Category!U$1,'2020'!$D:$D,Category!$C194)</f>
        <v>0</v>
      </c>
      <c r="V194" s="388">
        <f>SUMIFS('2020'!$I:$I,'2020'!$E:$E,Category!$B$134,'2020'!$N:$N,Category!V$1,'2020'!$D:$D,Category!$C194)</f>
        <v>0</v>
      </c>
      <c r="W194" s="388">
        <f>SUMIFS('2020'!$I:$I,'2020'!$E:$E,Category!$B$134,'2020'!$N:$N,Category!W$1,'2020'!$D:$D,Category!$C194)</f>
        <v>0</v>
      </c>
      <c r="X194" s="389">
        <f t="shared" si="73"/>
        <v>0</v>
      </c>
      <c r="Y194" s="506">
        <f>IFERROR(VLOOKUP(C194,'2021'!$D:$G,4,0),0)</f>
        <v>0</v>
      </c>
      <c r="Z194" s="388">
        <f>SUMIFS('2021'!$I:$I,'2021'!$E:$E,Category!$B$134,'2021'!$N:$N,Category!Z$1,'2021'!$D:$D,Category!$C194)</f>
        <v>0</v>
      </c>
      <c r="AA194" s="388">
        <f>SUMIFS('2021'!$I:$I,'2021'!$E:$E,Category!$B$134,'2021'!$N:$N,Category!AA$1,'2021'!$D:$D,Category!$C194)</f>
        <v>0</v>
      </c>
      <c r="AB194" s="388">
        <f>SUMIFS('2021'!$I:$I,'2021'!$E:$E,Category!$B$134,'2021'!$N:$N,Category!AB$1,'2021'!$D:$D,Category!$C194)</f>
        <v>0</v>
      </c>
      <c r="AC194" s="388">
        <f>SUMIFS('2021'!$I:$I,'2021'!$E:$E,Category!$B$134,'2021'!$N:$N,Category!AC$1,'2021'!$D:$D,Category!$C194)</f>
        <v>0</v>
      </c>
      <c r="AD194" s="388">
        <f>SUMIFS('2021'!$I:$I,'2021'!$E:$E,Category!$B$134,'2021'!$N:$N,Category!AD$1,'2021'!$D:$D,Category!$C194)</f>
        <v>0</v>
      </c>
      <c r="AE194" s="388">
        <f>SUMIFS('2021'!$I:$I,'2021'!$E:$E,Category!$B$134,'2021'!$N:$N,Category!AE$1,'2021'!$D:$D,Category!$C194)</f>
        <v>0</v>
      </c>
      <c r="AF194" s="388">
        <f>SUMIFS('2021'!$I:$I,'2021'!$E:$E,Category!$B$134,'2021'!$N:$N,Category!AF$1,'2021'!$D:$D,Category!$C194)</f>
        <v>0</v>
      </c>
      <c r="AG194" s="388">
        <f>SUMIFS('2021'!$I:$I,'2021'!$E:$E,Category!$B$134,'2021'!$N:$N,Category!AG$1,'2021'!$D:$D,Category!$C194)</f>
        <v>0</v>
      </c>
      <c r="AH194" s="388">
        <f>SUMIFS('2021'!$I:$I,'2021'!$E:$E,Category!$B$134,'2021'!$N:$N,Category!AH$1,'2021'!$D:$D,Category!$C194)</f>
        <v>0</v>
      </c>
      <c r="AI194" s="388">
        <f>SUMIFS('2021'!$I:$I,'2021'!$E:$E,Category!$B$134,'2021'!$N:$N,Category!AI$1,'2021'!$D:$D,Category!$C194)</f>
        <v>0</v>
      </c>
      <c r="AJ194" s="388">
        <f>SUMIFS('2021'!$I:$I,'2021'!$E:$E,Category!$B$134,'2021'!$N:$N,Category!AJ$1,'2021'!$D:$D,Category!$C194)</f>
        <v>0</v>
      </c>
      <c r="AK194" s="388">
        <f>SUMIFS('2021'!$I:$I,'2021'!$E:$E,Category!$B$134,'2021'!$N:$N,Category!AK$1,'2021'!$D:$D,Category!$C194)</f>
        <v>0</v>
      </c>
      <c r="AL194" s="389">
        <f t="shared" si="74"/>
        <v>0</v>
      </c>
      <c r="AM194" s="506">
        <f>IFERROR(VLOOKUP(C194,'2022'!$D:$G,4,0),0)</f>
        <v>1</v>
      </c>
      <c r="AN194" s="388">
        <f>SUMIFS('2022'!$I:$I,'2022'!$E:$E,Category!$B$134,'2022'!$N:$N,Category!AN$1,'2022'!$D:$D,Category!$C194)</f>
        <v>0</v>
      </c>
      <c r="AO194" s="388">
        <f>SUMIFS('2022'!$I:$I,'2022'!$E:$E,Category!$B$134,'2022'!$N:$N,Category!AO$1,'2022'!$D:$D,Category!$C194)</f>
        <v>0</v>
      </c>
      <c r="AP194" s="388">
        <f>SUMIFS('2022'!$I:$I,'2022'!$E:$E,Category!$B$134,'2022'!$N:$N,Category!AP$1,'2022'!$D:$D,Category!$C194)</f>
        <v>0</v>
      </c>
      <c r="AQ194" s="388">
        <f>SUMIFS('2022'!$I:$I,'2022'!$E:$E,Category!$B$134,'2022'!$N:$N,Category!AQ$1,'2022'!$D:$D,Category!$C194)</f>
        <v>0</v>
      </c>
      <c r="AR194" s="388">
        <f>SUMIFS('2022'!$I:$I,'2022'!$E:$E,Category!$B$134,'2022'!$N:$N,Category!AR$1,'2022'!$D:$D,Category!$C194)</f>
        <v>0</v>
      </c>
      <c r="AS194" s="388">
        <f>SUMIFS('2022'!$I:$I,'2022'!$E:$E,Category!$B$134,'2022'!$N:$N,Category!AS$1,'2022'!$D:$D,Category!$C194)</f>
        <v>0</v>
      </c>
      <c r="AT194" s="388">
        <f>SUMIFS('2022'!$I:$I,'2022'!$E:$E,Category!$B$134,'2022'!$N:$N,Category!AT$1,'2022'!$D:$D,Category!$C194)</f>
        <v>0</v>
      </c>
      <c r="AU194" s="388">
        <f>SUMIFS('2022'!$I:$I,'2022'!$E:$E,Category!$B$134,'2022'!$N:$N,Category!AU$1,'2022'!$D:$D,Category!$C194)</f>
        <v>0</v>
      </c>
      <c r="AV194" s="388">
        <f>SUMIFS('2022'!$I:$I,'2022'!$E:$E,Category!$B$134,'2022'!$N:$N,Category!AV$1,'2022'!$D:$D,Category!$C194)</f>
        <v>500000</v>
      </c>
      <c r="AW194" s="388">
        <f>SUMIFS('2022'!$I:$I,'2022'!$E:$E,Category!$B$134,'2022'!$N:$N,Category!AW$1,'2022'!$D:$D,Category!$C194)</f>
        <v>500000</v>
      </c>
      <c r="AX194" s="388">
        <f>SUMIFS('2022'!$I:$I,'2022'!$E:$E,Category!$B$134,'2022'!$N:$N,Category!AX$1,'2022'!$D:$D,Category!$C194)</f>
        <v>500000</v>
      </c>
      <c r="AY194" s="388">
        <f>SUMIFS('2022'!$I:$I,'2022'!$E:$E,Category!$B$134,'2022'!$N:$N,Category!AY$1,'2022'!$D:$D,Category!$C194)</f>
        <v>500000</v>
      </c>
      <c r="AZ194" s="389">
        <f t="shared" si="75"/>
        <v>2000000</v>
      </c>
      <c r="BA194" s="506">
        <f>IFERROR(VLOOKUP(C194,'2023'!$D:$G,4,0),0)</f>
        <v>1</v>
      </c>
      <c r="BB194" s="388">
        <f>SUMIFS('2023'!$I:$I,'2023'!$E:$E,Category!$B$134,'2023'!$N:$N,Category!BB$1,'2023'!$D:$D,Category!$C194)</f>
        <v>500000</v>
      </c>
      <c r="BC194" s="388">
        <f>SUMIFS('2023'!$I:$I,'2023'!$E:$E,Category!$B$134,'2023'!$N:$N,Category!BC$1,'2023'!$D:$D,Category!$C194)</f>
        <v>500000</v>
      </c>
      <c r="BD194" s="388">
        <f>SUMIFS('2023'!$I:$I,'2023'!$E:$E,Category!$B$134,'2023'!$N:$N,Category!BD$1,'2023'!$D:$D,Category!$C194)</f>
        <v>0</v>
      </c>
      <c r="BE194" s="388">
        <f>SUMIFS('2023'!$I:$I,'2023'!$E:$E,Category!$B$134,'2023'!$N:$N,Category!BE$1,'2023'!$D:$D,Category!$C194)</f>
        <v>0</v>
      </c>
      <c r="BF194" s="388">
        <f>SUMIFS('2023'!$I:$I,'2023'!$E:$E,Category!$B$134,'2023'!$N:$N,Category!BF$1,'2023'!$D:$D,Category!$C194)</f>
        <v>0</v>
      </c>
      <c r="BG194" s="388">
        <f>SUMIFS('2023'!$I:$I,'2023'!$E:$E,Category!$B$134,'2023'!$N:$N,Category!BG$1,'2023'!$D:$D,Category!$C194)</f>
        <v>0</v>
      </c>
      <c r="BH194" s="388">
        <f>SUMIFS('2023'!$I:$I,'2023'!$E:$E,Category!$B$134,'2023'!$N:$N,Category!BH$1,'2023'!$D:$D,Category!$C194)</f>
        <v>0</v>
      </c>
      <c r="BI194" s="388">
        <f>SUMIFS('2023'!$I:$I,'2023'!$E:$E,Category!$B$134,'2023'!$N:$N,Category!BI$1,'2023'!$D:$D,Category!$C194)</f>
        <v>0</v>
      </c>
      <c r="BJ194" s="388">
        <f>SUMIFS('2023'!$I:$I,'2023'!$E:$E,Category!$B$134,'2023'!$N:$N,Category!BJ$1,'2023'!$D:$D,Category!$C194)</f>
        <v>0</v>
      </c>
      <c r="BK194" s="388">
        <f>SUMIFS('2023'!$I:$I,'2023'!$E:$E,Category!$B$134,'2023'!$N:$N,Category!BK$1,'2023'!$D:$D,Category!$C194)</f>
        <v>0</v>
      </c>
      <c r="BL194" s="388">
        <f>SUMIFS('2023'!$I:$I,'2023'!$E:$E,Category!$B$134,'2023'!$N:$N,Category!BL$1,'2023'!$D:$D,Category!$C194)</f>
        <v>0</v>
      </c>
      <c r="BM194" s="388">
        <f>SUMIFS('2023'!$I:$I,'2023'!$E:$E,Category!$B$134,'2023'!$N:$N,Category!BM$1,'2023'!$D:$D,Category!$C194)</f>
        <v>0</v>
      </c>
      <c r="BN194" s="389">
        <f t="shared" si="69"/>
        <v>1000000</v>
      </c>
    </row>
    <row r="195" spans="1:66" x14ac:dyDescent="0.3">
      <c r="A195" s="386"/>
      <c r="B195" s="387"/>
      <c r="C195" s="387" t="s">
        <v>1543</v>
      </c>
      <c r="D195" s="524">
        <f>IFERROR(VLOOKUP($C195,'2019'!$D:$G,4,0),0)</f>
        <v>0</v>
      </c>
      <c r="E195" s="388">
        <f>SUMIFS('2019'!$I:$I,'2019'!$E:$E,Category!$B$134,'2019'!$N:$N,Category!E$1,'2019'!$D:$D,Category!$C195)</f>
        <v>0</v>
      </c>
      <c r="F195" s="388">
        <f>SUMIFS('2019'!$I:$I,'2019'!$E:$E,Category!$B$134,'2019'!$N:$N,Category!F$1,'2019'!$D:$D,Category!$C195)</f>
        <v>0</v>
      </c>
      <c r="G195" s="388">
        <f>SUMIFS('2019'!$I:$I,'2019'!$E:$E,Category!$B$134,'2019'!$N:$N,Category!G$1,'2019'!$D:$D,Category!$C195)</f>
        <v>0</v>
      </c>
      <c r="H195" s="388">
        <f>SUMIFS('2019'!$I:$I,'2019'!$E:$E,Category!$B$134,'2019'!$N:$N,Category!H$1,'2019'!$D:$D,Category!$C195)</f>
        <v>0</v>
      </c>
      <c r="I195" s="388">
        <f>SUMIFS('2019'!$I:$I,'2019'!$E:$E,Category!$B$134,'2019'!$N:$N,Category!I$1,'2019'!$D:$D,Category!$C195)</f>
        <v>0</v>
      </c>
      <c r="J195" s="389">
        <f>SUM(E195:I195)</f>
        <v>0</v>
      </c>
      <c r="K195" s="506">
        <f>IFERROR(VLOOKUP($C195,'2020'!$D:$G,4,0),0)</f>
        <v>0</v>
      </c>
      <c r="L195" s="388">
        <f>SUMIFS('2020'!$I:$I,'2020'!$E:$E,Category!$B$134,'2020'!$N:$N,Category!L$1,'2020'!$D:$D,Category!$C195)</f>
        <v>0</v>
      </c>
      <c r="M195" s="388">
        <f>SUMIFS('2020'!$I:$I,'2020'!$E:$E,Category!$B$134,'2020'!$N:$N,Category!M$1,'2020'!$D:$D,Category!$C195)</f>
        <v>0</v>
      </c>
      <c r="N195" s="388">
        <f>SUMIFS('2020'!$I:$I,'2020'!$E:$E,Category!$B$134,'2020'!$N:$N,Category!N$1,'2020'!$D:$D,Category!$C195)</f>
        <v>0</v>
      </c>
      <c r="O195" s="388">
        <f>SUMIFS('2020'!$I:$I,'2020'!$E:$E,Category!$B$134,'2020'!$N:$N,Category!O$1,'2020'!$D:$D,Category!$C195)</f>
        <v>0</v>
      </c>
      <c r="P195" s="388">
        <f>SUMIFS('2020'!$I:$I,'2020'!$E:$E,Category!$B$134,'2020'!$N:$N,Category!P$1,'2020'!$D:$D,Category!$C195)</f>
        <v>0</v>
      </c>
      <c r="Q195" s="388">
        <f>SUMIFS('2020'!$I:$I,'2020'!$E:$E,Category!$B$134,'2020'!$N:$N,Category!Q$1,'2020'!$D:$D,Category!$C195)</f>
        <v>0</v>
      </c>
      <c r="R195" s="388">
        <f>SUMIFS('2020'!$I:$I,'2020'!$E:$E,Category!$B$134,'2020'!$N:$N,Category!R$1,'2020'!$D:$D,Category!$C195)</f>
        <v>0</v>
      </c>
      <c r="S195" s="388">
        <f>SUMIFS('2020'!$I:$I,'2020'!$E:$E,Category!$B$134,'2020'!$N:$N,Category!S$1,'2020'!$D:$D,Category!$C195)</f>
        <v>0</v>
      </c>
      <c r="T195" s="388">
        <f>SUMIFS('2020'!$I:$I,'2020'!$E:$E,Category!$B$134,'2020'!$N:$N,Category!T$1,'2020'!$D:$D,Category!$C195)</f>
        <v>0</v>
      </c>
      <c r="U195" s="388">
        <f>SUMIFS('2020'!$I:$I,'2020'!$E:$E,Category!$B$134,'2020'!$N:$N,Category!U$1,'2020'!$D:$D,Category!$C195)</f>
        <v>0</v>
      </c>
      <c r="V195" s="388">
        <f>SUMIFS('2020'!$I:$I,'2020'!$E:$E,Category!$B$134,'2020'!$N:$N,Category!V$1,'2020'!$D:$D,Category!$C195)</f>
        <v>0</v>
      </c>
      <c r="W195" s="388">
        <f>SUMIFS('2020'!$I:$I,'2020'!$E:$E,Category!$B$134,'2020'!$N:$N,Category!W$1,'2020'!$D:$D,Category!$C195)</f>
        <v>0</v>
      </c>
      <c r="X195" s="389">
        <f t="shared" si="73"/>
        <v>0</v>
      </c>
      <c r="Y195" s="506">
        <f>IFERROR(VLOOKUP(C195,'2021'!$D:$G,4,0),0)</f>
        <v>0</v>
      </c>
      <c r="Z195" s="388">
        <f>SUMIFS('2021'!$I:$I,'2021'!$E:$E,Category!$B$134,'2021'!$N:$N,Category!Z$1,'2021'!$D:$D,Category!$C195)</f>
        <v>0</v>
      </c>
      <c r="AA195" s="388">
        <f>SUMIFS('2021'!$I:$I,'2021'!$E:$E,Category!$B$134,'2021'!$N:$N,Category!AA$1,'2021'!$D:$D,Category!$C195)</f>
        <v>0</v>
      </c>
      <c r="AB195" s="388">
        <f>SUMIFS('2021'!$I:$I,'2021'!$E:$E,Category!$B$134,'2021'!$N:$N,Category!AB$1,'2021'!$D:$D,Category!$C195)</f>
        <v>0</v>
      </c>
      <c r="AC195" s="388">
        <f>SUMIFS('2021'!$I:$I,'2021'!$E:$E,Category!$B$134,'2021'!$N:$N,Category!AC$1,'2021'!$D:$D,Category!$C195)</f>
        <v>0</v>
      </c>
      <c r="AD195" s="388">
        <f>SUMIFS('2021'!$I:$I,'2021'!$E:$E,Category!$B$134,'2021'!$N:$N,Category!AD$1,'2021'!$D:$D,Category!$C195)</f>
        <v>0</v>
      </c>
      <c r="AE195" s="388">
        <f>SUMIFS('2021'!$I:$I,'2021'!$E:$E,Category!$B$134,'2021'!$N:$N,Category!AE$1,'2021'!$D:$D,Category!$C195)</f>
        <v>0</v>
      </c>
      <c r="AF195" s="388">
        <f>SUMIFS('2021'!$I:$I,'2021'!$E:$E,Category!$B$134,'2021'!$N:$N,Category!AF$1,'2021'!$D:$D,Category!$C195)</f>
        <v>0</v>
      </c>
      <c r="AG195" s="388">
        <f>SUMIFS('2021'!$I:$I,'2021'!$E:$E,Category!$B$134,'2021'!$N:$N,Category!AG$1,'2021'!$D:$D,Category!$C195)</f>
        <v>0</v>
      </c>
      <c r="AH195" s="388">
        <f>SUMIFS('2021'!$I:$I,'2021'!$E:$E,Category!$B$134,'2021'!$N:$N,Category!AH$1,'2021'!$D:$D,Category!$C195)</f>
        <v>0</v>
      </c>
      <c r="AI195" s="388">
        <f>SUMIFS('2021'!$I:$I,'2021'!$E:$E,Category!$B$134,'2021'!$N:$N,Category!AI$1,'2021'!$D:$D,Category!$C195)</f>
        <v>0</v>
      </c>
      <c r="AJ195" s="388">
        <f>SUMIFS('2021'!$I:$I,'2021'!$E:$E,Category!$B$134,'2021'!$N:$N,Category!AJ$1,'2021'!$D:$D,Category!$C195)</f>
        <v>0</v>
      </c>
      <c r="AK195" s="388">
        <f>SUMIFS('2021'!$I:$I,'2021'!$E:$E,Category!$B$134,'2021'!$N:$N,Category!AK$1,'2021'!$D:$D,Category!$C195)</f>
        <v>0</v>
      </c>
      <c r="AL195" s="389">
        <f t="shared" si="74"/>
        <v>0</v>
      </c>
      <c r="AM195" s="506">
        <f>IFERROR(VLOOKUP(C195,'2022'!$D:$G,4,0),0)</f>
        <v>0</v>
      </c>
      <c r="AN195" s="388">
        <f>SUMIFS('2022'!$I:$I,'2022'!$E:$E,Category!$B$134,'2022'!$N:$N,Category!AN$1,'2022'!$D:$D,Category!$C195)</f>
        <v>0</v>
      </c>
      <c r="AO195" s="388">
        <f>SUMIFS('2022'!$I:$I,'2022'!$E:$E,Category!$B$134,'2022'!$N:$N,Category!AO$1,'2022'!$D:$D,Category!$C195)</f>
        <v>0</v>
      </c>
      <c r="AP195" s="388">
        <f>SUMIFS('2022'!$I:$I,'2022'!$E:$E,Category!$B$134,'2022'!$N:$N,Category!AP$1,'2022'!$D:$D,Category!$C195)</f>
        <v>0</v>
      </c>
      <c r="AQ195" s="388">
        <f>SUMIFS('2022'!$I:$I,'2022'!$E:$E,Category!$B$134,'2022'!$N:$N,Category!AQ$1,'2022'!$D:$D,Category!$C195)</f>
        <v>0</v>
      </c>
      <c r="AR195" s="388">
        <f>SUMIFS('2022'!$I:$I,'2022'!$E:$E,Category!$B$134,'2022'!$N:$N,Category!AR$1,'2022'!$D:$D,Category!$C195)</f>
        <v>0</v>
      </c>
      <c r="AS195" s="388">
        <f>SUMIFS('2022'!$I:$I,'2022'!$E:$E,Category!$B$134,'2022'!$N:$N,Category!AS$1,'2022'!$D:$D,Category!$C195)</f>
        <v>0</v>
      </c>
      <c r="AT195" s="388">
        <f>SUMIFS('2022'!$I:$I,'2022'!$E:$E,Category!$B$134,'2022'!$N:$N,Category!AT$1,'2022'!$D:$D,Category!$C195)</f>
        <v>0</v>
      </c>
      <c r="AU195" s="388">
        <f>SUMIFS('2022'!$I:$I,'2022'!$E:$E,Category!$B$134,'2022'!$N:$N,Category!AU$1,'2022'!$D:$D,Category!$C195)</f>
        <v>0</v>
      </c>
      <c r="AV195" s="388">
        <f>SUMIFS('2022'!$I:$I,'2022'!$E:$E,Category!$B$134,'2022'!$N:$N,Category!AV$1,'2022'!$D:$D,Category!$C195)</f>
        <v>500000</v>
      </c>
      <c r="AW195" s="388">
        <f>SUMIFS('2022'!$I:$I,'2022'!$E:$E,Category!$B$134,'2022'!$N:$N,Category!AW$1,'2022'!$D:$D,Category!$C195)</f>
        <v>500000</v>
      </c>
      <c r="AX195" s="388">
        <f>SUMIFS('2022'!$I:$I,'2022'!$E:$E,Category!$B$134,'2022'!$N:$N,Category!AX$1,'2022'!$D:$D,Category!$C195)</f>
        <v>500000</v>
      </c>
      <c r="AY195" s="388">
        <f>SUMIFS('2022'!$I:$I,'2022'!$E:$E,Category!$B$134,'2022'!$N:$N,Category!AY$1,'2022'!$D:$D,Category!$C195)</f>
        <v>500000</v>
      </c>
      <c r="AZ195" s="389">
        <f t="shared" si="75"/>
        <v>2000000</v>
      </c>
      <c r="BA195" s="506">
        <f>IFERROR(VLOOKUP(C195,'2023'!$D:$G,4,0),0)</f>
        <v>0</v>
      </c>
      <c r="BB195" s="388">
        <f>SUMIFS('2023'!$I:$I,'2023'!$E:$E,Category!$B$134,'2023'!$N:$N,Category!BB$1,'2023'!$D:$D,Category!$C195)</f>
        <v>0</v>
      </c>
      <c r="BC195" s="388">
        <f>SUMIFS('2023'!$I:$I,'2023'!$E:$E,Category!$B$134,'2023'!$N:$N,Category!BC$1,'2023'!$D:$D,Category!$C195)</f>
        <v>0</v>
      </c>
      <c r="BD195" s="388">
        <f>SUMIFS('2023'!$I:$I,'2023'!$E:$E,Category!$B$134,'2023'!$N:$N,Category!BD$1,'2023'!$D:$D,Category!$C195)</f>
        <v>0</v>
      </c>
      <c r="BE195" s="388">
        <f>SUMIFS('2023'!$I:$I,'2023'!$E:$E,Category!$B$134,'2023'!$N:$N,Category!BE$1,'2023'!$D:$D,Category!$C195)</f>
        <v>0</v>
      </c>
      <c r="BF195" s="388">
        <f>SUMIFS('2023'!$I:$I,'2023'!$E:$E,Category!$B$134,'2023'!$N:$N,Category!BF$1,'2023'!$D:$D,Category!$C195)</f>
        <v>0</v>
      </c>
      <c r="BG195" s="388">
        <f>SUMIFS('2023'!$I:$I,'2023'!$E:$E,Category!$B$134,'2023'!$N:$N,Category!BG$1,'2023'!$D:$D,Category!$C195)</f>
        <v>0</v>
      </c>
      <c r="BH195" s="388">
        <f>SUMIFS('2023'!$I:$I,'2023'!$E:$E,Category!$B$134,'2023'!$N:$N,Category!BH$1,'2023'!$D:$D,Category!$C195)</f>
        <v>0</v>
      </c>
      <c r="BI195" s="388">
        <f>SUMIFS('2023'!$I:$I,'2023'!$E:$E,Category!$B$134,'2023'!$N:$N,Category!BI$1,'2023'!$D:$D,Category!$C195)</f>
        <v>0</v>
      </c>
      <c r="BJ195" s="388">
        <f>SUMIFS('2023'!$I:$I,'2023'!$E:$E,Category!$B$134,'2023'!$N:$N,Category!BJ$1,'2023'!$D:$D,Category!$C195)</f>
        <v>0</v>
      </c>
      <c r="BK195" s="388">
        <f>SUMIFS('2023'!$I:$I,'2023'!$E:$E,Category!$B$134,'2023'!$N:$N,Category!BK$1,'2023'!$D:$D,Category!$C195)</f>
        <v>0</v>
      </c>
      <c r="BL195" s="388">
        <f>SUMIFS('2023'!$I:$I,'2023'!$E:$E,Category!$B$134,'2023'!$N:$N,Category!BL$1,'2023'!$D:$D,Category!$C195)</f>
        <v>0</v>
      </c>
      <c r="BM195" s="388">
        <f>SUMIFS('2023'!$I:$I,'2023'!$E:$E,Category!$B$134,'2023'!$N:$N,Category!BM$1,'2023'!$D:$D,Category!$C195)</f>
        <v>0</v>
      </c>
      <c r="BN195" s="389">
        <f t="shared" si="69"/>
        <v>0</v>
      </c>
    </row>
    <row r="196" spans="1:66" x14ac:dyDescent="0.3">
      <c r="A196" s="386"/>
      <c r="B196" s="387"/>
      <c r="C196" s="387" t="s">
        <v>1545</v>
      </c>
      <c r="D196" s="524">
        <f>IFERROR(VLOOKUP($C196,'2019'!$D:$G,4,0),0)</f>
        <v>0</v>
      </c>
      <c r="E196" s="388">
        <f>SUMIFS('2019'!$I:$I,'2019'!$E:$E,Category!$B$134,'2019'!$N:$N,Category!E$1,'2019'!$D:$D,Category!$C196)</f>
        <v>0</v>
      </c>
      <c r="F196" s="388">
        <f>SUMIFS('2019'!$I:$I,'2019'!$E:$E,Category!$B$134,'2019'!$N:$N,Category!F$1,'2019'!$D:$D,Category!$C196)</f>
        <v>0</v>
      </c>
      <c r="G196" s="388">
        <f>SUMIFS('2019'!$I:$I,'2019'!$E:$E,Category!$B$134,'2019'!$N:$N,Category!G$1,'2019'!$D:$D,Category!$C196)</f>
        <v>0</v>
      </c>
      <c r="H196" s="388">
        <f>SUMIFS('2019'!$I:$I,'2019'!$E:$E,Category!$B$134,'2019'!$N:$N,Category!H$1,'2019'!$D:$D,Category!$C196)</f>
        <v>0</v>
      </c>
      <c r="I196" s="388">
        <f>SUMIFS('2019'!$I:$I,'2019'!$E:$E,Category!$B$134,'2019'!$N:$N,Category!I$1,'2019'!$D:$D,Category!$C196)</f>
        <v>0</v>
      </c>
      <c r="J196" s="389">
        <f>SUM(E196:I196)</f>
        <v>0</v>
      </c>
      <c r="K196" s="506">
        <f>IFERROR(VLOOKUP($C196,'2020'!$D:$G,4,0),0)</f>
        <v>0</v>
      </c>
      <c r="L196" s="388">
        <f>SUMIFS('2020'!$I:$I,'2020'!$E:$E,Category!$B$134,'2020'!$N:$N,Category!L$1,'2020'!$D:$D,Category!$C196)</f>
        <v>0</v>
      </c>
      <c r="M196" s="388">
        <f>SUMIFS('2020'!$I:$I,'2020'!$E:$E,Category!$B$134,'2020'!$N:$N,Category!M$1,'2020'!$D:$D,Category!$C196)</f>
        <v>0</v>
      </c>
      <c r="N196" s="388">
        <f>SUMIFS('2020'!$I:$I,'2020'!$E:$E,Category!$B$134,'2020'!$N:$N,Category!N$1,'2020'!$D:$D,Category!$C196)</f>
        <v>0</v>
      </c>
      <c r="O196" s="388">
        <f>SUMIFS('2020'!$I:$I,'2020'!$E:$E,Category!$B$134,'2020'!$N:$N,Category!O$1,'2020'!$D:$D,Category!$C196)</f>
        <v>0</v>
      </c>
      <c r="P196" s="388">
        <f>SUMIFS('2020'!$I:$I,'2020'!$E:$E,Category!$B$134,'2020'!$N:$N,Category!P$1,'2020'!$D:$D,Category!$C196)</f>
        <v>0</v>
      </c>
      <c r="Q196" s="388">
        <f>SUMIFS('2020'!$I:$I,'2020'!$E:$E,Category!$B$134,'2020'!$N:$N,Category!Q$1,'2020'!$D:$D,Category!$C196)</f>
        <v>0</v>
      </c>
      <c r="R196" s="388">
        <f>SUMIFS('2020'!$I:$I,'2020'!$E:$E,Category!$B$134,'2020'!$N:$N,Category!R$1,'2020'!$D:$D,Category!$C196)</f>
        <v>0</v>
      </c>
      <c r="S196" s="388">
        <f>SUMIFS('2020'!$I:$I,'2020'!$E:$E,Category!$B$134,'2020'!$N:$N,Category!S$1,'2020'!$D:$D,Category!$C196)</f>
        <v>0</v>
      </c>
      <c r="T196" s="388">
        <f>SUMIFS('2020'!$I:$I,'2020'!$E:$E,Category!$B$134,'2020'!$N:$N,Category!T$1,'2020'!$D:$D,Category!$C196)</f>
        <v>0</v>
      </c>
      <c r="U196" s="388">
        <f>SUMIFS('2020'!$I:$I,'2020'!$E:$E,Category!$B$134,'2020'!$N:$N,Category!U$1,'2020'!$D:$D,Category!$C196)</f>
        <v>0</v>
      </c>
      <c r="V196" s="388">
        <f>SUMIFS('2020'!$I:$I,'2020'!$E:$E,Category!$B$134,'2020'!$N:$N,Category!V$1,'2020'!$D:$D,Category!$C196)</f>
        <v>0</v>
      </c>
      <c r="W196" s="388">
        <f>SUMIFS('2020'!$I:$I,'2020'!$E:$E,Category!$B$134,'2020'!$N:$N,Category!W$1,'2020'!$D:$D,Category!$C196)</f>
        <v>0</v>
      </c>
      <c r="X196" s="389">
        <f t="shared" si="73"/>
        <v>0</v>
      </c>
      <c r="Y196" s="506">
        <f>IFERROR(VLOOKUP(C196,'2021'!$D:$G,4,0),0)</f>
        <v>0</v>
      </c>
      <c r="Z196" s="388">
        <f>SUMIFS('2021'!$I:$I,'2021'!$E:$E,Category!$B$134,'2021'!$N:$N,Category!Z$1,'2021'!$D:$D,Category!$C196)</f>
        <v>0</v>
      </c>
      <c r="AA196" s="388">
        <f>SUMIFS('2021'!$I:$I,'2021'!$E:$E,Category!$B$134,'2021'!$N:$N,Category!AA$1,'2021'!$D:$D,Category!$C196)</f>
        <v>0</v>
      </c>
      <c r="AB196" s="388">
        <f>SUMIFS('2021'!$I:$I,'2021'!$E:$E,Category!$B$134,'2021'!$N:$N,Category!AB$1,'2021'!$D:$D,Category!$C196)</f>
        <v>0</v>
      </c>
      <c r="AC196" s="388">
        <f>SUMIFS('2021'!$I:$I,'2021'!$E:$E,Category!$B$134,'2021'!$N:$N,Category!AC$1,'2021'!$D:$D,Category!$C196)</f>
        <v>0</v>
      </c>
      <c r="AD196" s="388">
        <f>SUMIFS('2021'!$I:$I,'2021'!$E:$E,Category!$B$134,'2021'!$N:$N,Category!AD$1,'2021'!$D:$D,Category!$C196)</f>
        <v>0</v>
      </c>
      <c r="AE196" s="388">
        <f>SUMIFS('2021'!$I:$I,'2021'!$E:$E,Category!$B$134,'2021'!$N:$N,Category!AE$1,'2021'!$D:$D,Category!$C196)</f>
        <v>0</v>
      </c>
      <c r="AF196" s="388">
        <f>SUMIFS('2021'!$I:$I,'2021'!$E:$E,Category!$B$134,'2021'!$N:$N,Category!AF$1,'2021'!$D:$D,Category!$C196)</f>
        <v>0</v>
      </c>
      <c r="AG196" s="388">
        <f>SUMIFS('2021'!$I:$I,'2021'!$E:$E,Category!$B$134,'2021'!$N:$N,Category!AG$1,'2021'!$D:$D,Category!$C196)</f>
        <v>0</v>
      </c>
      <c r="AH196" s="388">
        <f>SUMIFS('2021'!$I:$I,'2021'!$E:$E,Category!$B$134,'2021'!$N:$N,Category!AH$1,'2021'!$D:$D,Category!$C196)</f>
        <v>0</v>
      </c>
      <c r="AI196" s="388">
        <f>SUMIFS('2021'!$I:$I,'2021'!$E:$E,Category!$B$134,'2021'!$N:$N,Category!AI$1,'2021'!$D:$D,Category!$C196)</f>
        <v>0</v>
      </c>
      <c r="AJ196" s="388">
        <f>SUMIFS('2021'!$I:$I,'2021'!$E:$E,Category!$B$134,'2021'!$N:$N,Category!AJ$1,'2021'!$D:$D,Category!$C196)</f>
        <v>0</v>
      </c>
      <c r="AK196" s="388">
        <f>SUMIFS('2021'!$I:$I,'2021'!$E:$E,Category!$B$134,'2021'!$N:$N,Category!AK$1,'2021'!$D:$D,Category!$C196)</f>
        <v>0</v>
      </c>
      <c r="AL196" s="389">
        <f t="shared" si="74"/>
        <v>0</v>
      </c>
      <c r="AM196" s="506">
        <f>IFERROR(VLOOKUP(C196,'2022'!$D:$G,4,0),0)</f>
        <v>0</v>
      </c>
      <c r="AN196" s="388">
        <f>SUMIFS('2022'!$I:$I,'2022'!$E:$E,Category!$B$134,'2022'!$N:$N,Category!AN$1,'2022'!$D:$D,Category!$C196)</f>
        <v>0</v>
      </c>
      <c r="AO196" s="388">
        <f>SUMIFS('2022'!$I:$I,'2022'!$E:$E,Category!$B$134,'2022'!$N:$N,Category!AO$1,'2022'!$D:$D,Category!$C196)</f>
        <v>0</v>
      </c>
      <c r="AP196" s="388">
        <f>SUMIFS('2022'!$I:$I,'2022'!$E:$E,Category!$B$134,'2022'!$N:$N,Category!AP$1,'2022'!$D:$D,Category!$C196)</f>
        <v>0</v>
      </c>
      <c r="AQ196" s="388">
        <f>SUMIFS('2022'!$I:$I,'2022'!$E:$E,Category!$B$134,'2022'!$N:$N,Category!AQ$1,'2022'!$D:$D,Category!$C196)</f>
        <v>0</v>
      </c>
      <c r="AR196" s="388">
        <f>SUMIFS('2022'!$I:$I,'2022'!$E:$E,Category!$B$134,'2022'!$N:$N,Category!AR$1,'2022'!$D:$D,Category!$C196)</f>
        <v>0</v>
      </c>
      <c r="AS196" s="388">
        <f>SUMIFS('2022'!$I:$I,'2022'!$E:$E,Category!$B$134,'2022'!$N:$N,Category!AS$1,'2022'!$D:$D,Category!$C196)</f>
        <v>0</v>
      </c>
      <c r="AT196" s="388">
        <f>SUMIFS('2022'!$I:$I,'2022'!$E:$E,Category!$B$134,'2022'!$N:$N,Category!AT$1,'2022'!$D:$D,Category!$C196)</f>
        <v>0</v>
      </c>
      <c r="AU196" s="388">
        <f>SUMIFS('2022'!$I:$I,'2022'!$E:$E,Category!$B$134,'2022'!$N:$N,Category!AU$1,'2022'!$D:$D,Category!$C196)</f>
        <v>0</v>
      </c>
      <c r="AV196" s="388">
        <f>SUMIFS('2022'!$I:$I,'2022'!$E:$E,Category!$B$134,'2022'!$N:$N,Category!AV$1,'2022'!$D:$D,Category!$C196)</f>
        <v>500000</v>
      </c>
      <c r="AW196" s="388">
        <f>SUMIFS('2022'!$I:$I,'2022'!$E:$E,Category!$B$134,'2022'!$N:$N,Category!AW$1,'2022'!$D:$D,Category!$C196)</f>
        <v>500000</v>
      </c>
      <c r="AX196" s="388">
        <f>SUMIFS('2022'!$I:$I,'2022'!$E:$E,Category!$B$134,'2022'!$N:$N,Category!AX$1,'2022'!$D:$D,Category!$C196)</f>
        <v>500000</v>
      </c>
      <c r="AY196" s="388">
        <f>SUMIFS('2022'!$I:$I,'2022'!$E:$E,Category!$B$134,'2022'!$N:$N,Category!AY$1,'2022'!$D:$D,Category!$C196)</f>
        <v>500000</v>
      </c>
      <c r="AZ196" s="389">
        <f t="shared" si="75"/>
        <v>2000000</v>
      </c>
      <c r="BA196" s="506">
        <f>IFERROR(VLOOKUP(C196,'2023'!$D:$G,4,0),0)</f>
        <v>1</v>
      </c>
      <c r="BB196" s="388">
        <f>SUMIFS('2023'!$I:$I,'2023'!$E:$E,Category!$B$134,'2023'!$N:$N,Category!BB$1,'2023'!$D:$D,Category!$C196)</f>
        <v>500000</v>
      </c>
      <c r="BC196" s="388">
        <f>SUMIFS('2023'!$I:$I,'2023'!$E:$E,Category!$B$134,'2023'!$N:$N,Category!BC$1,'2023'!$D:$D,Category!$C196)</f>
        <v>500000</v>
      </c>
      <c r="BD196" s="388">
        <f>SUMIFS('2023'!$I:$I,'2023'!$E:$E,Category!$B$134,'2023'!$N:$N,Category!BD$1,'2023'!$D:$D,Category!$C196)</f>
        <v>0</v>
      </c>
      <c r="BE196" s="388">
        <f>SUMIFS('2023'!$I:$I,'2023'!$E:$E,Category!$B$134,'2023'!$N:$N,Category!BE$1,'2023'!$D:$D,Category!$C196)</f>
        <v>0</v>
      </c>
      <c r="BF196" s="388">
        <f>SUMIFS('2023'!$I:$I,'2023'!$E:$E,Category!$B$134,'2023'!$N:$N,Category!BF$1,'2023'!$D:$D,Category!$C196)</f>
        <v>0</v>
      </c>
      <c r="BG196" s="388">
        <f>SUMIFS('2023'!$I:$I,'2023'!$E:$E,Category!$B$134,'2023'!$N:$N,Category!BG$1,'2023'!$D:$D,Category!$C196)</f>
        <v>0</v>
      </c>
      <c r="BH196" s="388">
        <f>SUMIFS('2023'!$I:$I,'2023'!$E:$E,Category!$B$134,'2023'!$N:$N,Category!BH$1,'2023'!$D:$D,Category!$C196)</f>
        <v>0</v>
      </c>
      <c r="BI196" s="388">
        <f>SUMIFS('2023'!$I:$I,'2023'!$E:$E,Category!$B$134,'2023'!$N:$N,Category!BI$1,'2023'!$D:$D,Category!$C196)</f>
        <v>0</v>
      </c>
      <c r="BJ196" s="388">
        <f>SUMIFS('2023'!$I:$I,'2023'!$E:$E,Category!$B$134,'2023'!$N:$N,Category!BJ$1,'2023'!$D:$D,Category!$C196)</f>
        <v>0</v>
      </c>
      <c r="BK196" s="388">
        <f>SUMIFS('2023'!$I:$I,'2023'!$E:$E,Category!$B$134,'2023'!$N:$N,Category!BK$1,'2023'!$D:$D,Category!$C196)</f>
        <v>0</v>
      </c>
      <c r="BL196" s="388">
        <f>SUMIFS('2023'!$I:$I,'2023'!$E:$E,Category!$B$134,'2023'!$N:$N,Category!BL$1,'2023'!$D:$D,Category!$C196)</f>
        <v>0</v>
      </c>
      <c r="BM196" s="388">
        <f>SUMIFS('2023'!$I:$I,'2023'!$E:$E,Category!$B$134,'2023'!$N:$N,Category!BM$1,'2023'!$D:$D,Category!$C196)</f>
        <v>0</v>
      </c>
      <c r="BN196" s="389">
        <f t="shared" si="69"/>
        <v>1000000</v>
      </c>
    </row>
    <row r="197" spans="1:66" x14ac:dyDescent="0.3">
      <c r="A197" s="386"/>
      <c r="B197" s="387"/>
      <c r="C197" s="387" t="s">
        <v>1537</v>
      </c>
      <c r="D197" s="524">
        <f>IFERROR(VLOOKUP($C197,'2019'!$D:$G,4,0),0)</f>
        <v>0</v>
      </c>
      <c r="E197" s="388">
        <f>SUMIFS('2019'!$I:$I,'2019'!$E:$E,Category!$B$134,'2019'!$N:$N,Category!E$1,'2019'!$D:$D,Category!$C197)</f>
        <v>0</v>
      </c>
      <c r="F197" s="388">
        <f>SUMIFS('2019'!$I:$I,'2019'!$E:$E,Category!$B$134,'2019'!$N:$N,Category!F$1,'2019'!$D:$D,Category!$C197)</f>
        <v>0</v>
      </c>
      <c r="G197" s="388">
        <f>SUMIFS('2019'!$I:$I,'2019'!$E:$E,Category!$B$134,'2019'!$N:$N,Category!G$1,'2019'!$D:$D,Category!$C197)</f>
        <v>0</v>
      </c>
      <c r="H197" s="388">
        <f>SUMIFS('2019'!$I:$I,'2019'!$E:$E,Category!$B$134,'2019'!$N:$N,Category!H$1,'2019'!$D:$D,Category!$C197)</f>
        <v>0</v>
      </c>
      <c r="I197" s="388">
        <f>SUMIFS('2019'!$I:$I,'2019'!$E:$E,Category!$B$134,'2019'!$N:$N,Category!I$1,'2019'!$D:$D,Category!$C197)</f>
        <v>0</v>
      </c>
      <c r="J197" s="389">
        <f>SUM(E197:I197)</f>
        <v>0</v>
      </c>
      <c r="K197" s="506">
        <f>IFERROR(VLOOKUP($C197,'2020'!$D:$G,4,0),0)</f>
        <v>0</v>
      </c>
      <c r="L197" s="388">
        <f>SUMIFS('2020'!$I:$I,'2020'!$E:$E,Category!$B$134,'2020'!$N:$N,Category!L$1,'2020'!$D:$D,Category!$C197)</f>
        <v>0</v>
      </c>
      <c r="M197" s="388">
        <f>SUMIFS('2020'!$I:$I,'2020'!$E:$E,Category!$B$134,'2020'!$N:$N,Category!M$1,'2020'!$D:$D,Category!$C197)</f>
        <v>0</v>
      </c>
      <c r="N197" s="388">
        <f>SUMIFS('2020'!$I:$I,'2020'!$E:$E,Category!$B$134,'2020'!$N:$N,Category!N$1,'2020'!$D:$D,Category!$C197)</f>
        <v>0</v>
      </c>
      <c r="O197" s="388">
        <f>SUMIFS('2020'!$I:$I,'2020'!$E:$E,Category!$B$134,'2020'!$N:$N,Category!O$1,'2020'!$D:$D,Category!$C197)</f>
        <v>0</v>
      </c>
      <c r="P197" s="388">
        <f>SUMIFS('2020'!$I:$I,'2020'!$E:$E,Category!$B$134,'2020'!$N:$N,Category!P$1,'2020'!$D:$D,Category!$C197)</f>
        <v>0</v>
      </c>
      <c r="Q197" s="388">
        <f>SUMIFS('2020'!$I:$I,'2020'!$E:$E,Category!$B$134,'2020'!$N:$N,Category!Q$1,'2020'!$D:$D,Category!$C197)</f>
        <v>0</v>
      </c>
      <c r="R197" s="388">
        <f>SUMIFS('2020'!$I:$I,'2020'!$E:$E,Category!$B$134,'2020'!$N:$N,Category!R$1,'2020'!$D:$D,Category!$C197)</f>
        <v>0</v>
      </c>
      <c r="S197" s="388">
        <f>SUMIFS('2020'!$I:$I,'2020'!$E:$E,Category!$B$134,'2020'!$N:$N,Category!S$1,'2020'!$D:$D,Category!$C197)</f>
        <v>0</v>
      </c>
      <c r="T197" s="388">
        <f>SUMIFS('2020'!$I:$I,'2020'!$E:$E,Category!$B$134,'2020'!$N:$N,Category!T$1,'2020'!$D:$D,Category!$C197)</f>
        <v>0</v>
      </c>
      <c r="U197" s="388">
        <f>SUMIFS('2020'!$I:$I,'2020'!$E:$E,Category!$B$134,'2020'!$N:$N,Category!U$1,'2020'!$D:$D,Category!$C197)</f>
        <v>0</v>
      </c>
      <c r="V197" s="388">
        <f>SUMIFS('2020'!$I:$I,'2020'!$E:$E,Category!$B$134,'2020'!$N:$N,Category!V$1,'2020'!$D:$D,Category!$C197)</f>
        <v>0</v>
      </c>
      <c r="W197" s="388">
        <f>SUMIFS('2020'!$I:$I,'2020'!$E:$E,Category!$B$134,'2020'!$N:$N,Category!W$1,'2020'!$D:$D,Category!$C197)</f>
        <v>0</v>
      </c>
      <c r="X197" s="389">
        <f t="shared" si="73"/>
        <v>0</v>
      </c>
      <c r="Y197" s="506">
        <f>IFERROR(VLOOKUP(C197,'2021'!$D:$G,4,0),0)</f>
        <v>0</v>
      </c>
      <c r="Z197" s="388">
        <f>SUMIFS('2021'!$I:$I,'2021'!$E:$E,Category!$B$134,'2021'!$N:$N,Category!Z$1,'2021'!$D:$D,Category!$C197)</f>
        <v>0</v>
      </c>
      <c r="AA197" s="388">
        <f>SUMIFS('2021'!$I:$I,'2021'!$E:$E,Category!$B$134,'2021'!$N:$N,Category!AA$1,'2021'!$D:$D,Category!$C197)</f>
        <v>0</v>
      </c>
      <c r="AB197" s="388">
        <f>SUMIFS('2021'!$I:$I,'2021'!$E:$E,Category!$B$134,'2021'!$N:$N,Category!AB$1,'2021'!$D:$D,Category!$C197)</f>
        <v>0</v>
      </c>
      <c r="AC197" s="388">
        <f>SUMIFS('2021'!$I:$I,'2021'!$E:$E,Category!$B$134,'2021'!$N:$N,Category!AC$1,'2021'!$D:$D,Category!$C197)</f>
        <v>0</v>
      </c>
      <c r="AD197" s="388">
        <f>SUMIFS('2021'!$I:$I,'2021'!$E:$E,Category!$B$134,'2021'!$N:$N,Category!AD$1,'2021'!$D:$D,Category!$C197)</f>
        <v>0</v>
      </c>
      <c r="AE197" s="388">
        <f>SUMIFS('2021'!$I:$I,'2021'!$E:$E,Category!$B$134,'2021'!$N:$N,Category!AE$1,'2021'!$D:$D,Category!$C197)</f>
        <v>0</v>
      </c>
      <c r="AF197" s="388">
        <f>SUMIFS('2021'!$I:$I,'2021'!$E:$E,Category!$B$134,'2021'!$N:$N,Category!AF$1,'2021'!$D:$D,Category!$C197)</f>
        <v>0</v>
      </c>
      <c r="AG197" s="388">
        <f>SUMIFS('2021'!$I:$I,'2021'!$E:$E,Category!$B$134,'2021'!$N:$N,Category!AG$1,'2021'!$D:$D,Category!$C197)</f>
        <v>0</v>
      </c>
      <c r="AH197" s="388">
        <f>SUMIFS('2021'!$I:$I,'2021'!$E:$E,Category!$B$134,'2021'!$N:$N,Category!AH$1,'2021'!$D:$D,Category!$C197)</f>
        <v>0</v>
      </c>
      <c r="AI197" s="388">
        <f>SUMIFS('2021'!$I:$I,'2021'!$E:$E,Category!$B$134,'2021'!$N:$N,Category!AI$1,'2021'!$D:$D,Category!$C197)</f>
        <v>0</v>
      </c>
      <c r="AJ197" s="388">
        <f>SUMIFS('2021'!$I:$I,'2021'!$E:$E,Category!$B$134,'2021'!$N:$N,Category!AJ$1,'2021'!$D:$D,Category!$C197)</f>
        <v>0</v>
      </c>
      <c r="AK197" s="388">
        <f>SUMIFS('2021'!$I:$I,'2021'!$E:$E,Category!$B$134,'2021'!$N:$N,Category!AK$1,'2021'!$D:$D,Category!$C197)</f>
        <v>0</v>
      </c>
      <c r="AL197" s="389">
        <f t="shared" si="74"/>
        <v>0</v>
      </c>
      <c r="AM197" s="506">
        <f>IFERROR(VLOOKUP(C197,'2022'!$D:$G,4,0),0)</f>
        <v>1</v>
      </c>
      <c r="AN197" s="388">
        <f>SUMIFS('2022'!$I:$I,'2022'!$E:$E,Category!$B$134,'2022'!$N:$N,Category!AN$1,'2022'!$D:$D,Category!$C197)</f>
        <v>0</v>
      </c>
      <c r="AO197" s="388">
        <f>SUMIFS('2022'!$I:$I,'2022'!$E:$E,Category!$B$134,'2022'!$N:$N,Category!AO$1,'2022'!$D:$D,Category!$C197)</f>
        <v>0</v>
      </c>
      <c r="AP197" s="388">
        <f>SUMIFS('2022'!$I:$I,'2022'!$E:$E,Category!$B$134,'2022'!$N:$N,Category!AP$1,'2022'!$D:$D,Category!$C197)</f>
        <v>0</v>
      </c>
      <c r="AQ197" s="388">
        <f>SUMIFS('2022'!$I:$I,'2022'!$E:$E,Category!$B$134,'2022'!$N:$N,Category!AQ$1,'2022'!$D:$D,Category!$C197)</f>
        <v>0</v>
      </c>
      <c r="AR197" s="388">
        <f>SUMIFS('2022'!$I:$I,'2022'!$E:$E,Category!$B$134,'2022'!$N:$N,Category!AR$1,'2022'!$D:$D,Category!$C197)</f>
        <v>0</v>
      </c>
      <c r="AS197" s="388">
        <f>SUMIFS('2022'!$I:$I,'2022'!$E:$E,Category!$B$134,'2022'!$N:$N,Category!AS$1,'2022'!$D:$D,Category!$C197)</f>
        <v>0</v>
      </c>
      <c r="AT197" s="388">
        <f>SUMIFS('2022'!$I:$I,'2022'!$E:$E,Category!$B$134,'2022'!$N:$N,Category!AT$1,'2022'!$D:$D,Category!$C197)</f>
        <v>0</v>
      </c>
      <c r="AU197" s="388">
        <f>SUMIFS('2022'!$I:$I,'2022'!$E:$E,Category!$B$134,'2022'!$N:$N,Category!AU$1,'2022'!$D:$D,Category!$C197)</f>
        <v>0</v>
      </c>
      <c r="AV197" s="388">
        <f>SUMIFS('2022'!$I:$I,'2022'!$E:$E,Category!$B$134,'2022'!$N:$N,Category!AV$1,'2022'!$D:$D,Category!$C197)</f>
        <v>500000</v>
      </c>
      <c r="AW197" s="388">
        <f>SUMIFS('2022'!$I:$I,'2022'!$E:$E,Category!$B$134,'2022'!$N:$N,Category!AW$1,'2022'!$D:$D,Category!$C197)</f>
        <v>500000</v>
      </c>
      <c r="AX197" s="388">
        <f>SUMIFS('2022'!$I:$I,'2022'!$E:$E,Category!$B$134,'2022'!$N:$N,Category!AX$1,'2022'!$D:$D,Category!$C197)</f>
        <v>500000</v>
      </c>
      <c r="AY197" s="388">
        <f>SUMIFS('2022'!$I:$I,'2022'!$E:$E,Category!$B$134,'2022'!$N:$N,Category!AY$1,'2022'!$D:$D,Category!$C197)</f>
        <v>500000</v>
      </c>
      <c r="AZ197" s="389">
        <f t="shared" si="75"/>
        <v>2000000</v>
      </c>
      <c r="BA197" s="506">
        <f>IFERROR(VLOOKUP(C197,'2023'!$D:$G,4,0),0)</f>
        <v>1</v>
      </c>
      <c r="BB197" s="388">
        <f>SUMIFS('2023'!$I:$I,'2023'!$E:$E,Category!$B$134,'2023'!$N:$N,Category!BB$1,'2023'!$D:$D,Category!$C197)</f>
        <v>500000</v>
      </c>
      <c r="BC197" s="388">
        <f>SUMIFS('2023'!$I:$I,'2023'!$E:$E,Category!$B$134,'2023'!$N:$N,Category!BC$1,'2023'!$D:$D,Category!$C197)</f>
        <v>500000</v>
      </c>
      <c r="BD197" s="388">
        <f>SUMIFS('2023'!$I:$I,'2023'!$E:$E,Category!$B$134,'2023'!$N:$N,Category!BD$1,'2023'!$D:$D,Category!$C197)</f>
        <v>0</v>
      </c>
      <c r="BE197" s="388">
        <f>SUMIFS('2023'!$I:$I,'2023'!$E:$E,Category!$B$134,'2023'!$N:$N,Category!BE$1,'2023'!$D:$D,Category!$C197)</f>
        <v>0</v>
      </c>
      <c r="BF197" s="388">
        <f>SUMIFS('2023'!$I:$I,'2023'!$E:$E,Category!$B$134,'2023'!$N:$N,Category!BF$1,'2023'!$D:$D,Category!$C197)</f>
        <v>0</v>
      </c>
      <c r="BG197" s="388">
        <f>SUMIFS('2023'!$I:$I,'2023'!$E:$E,Category!$B$134,'2023'!$N:$N,Category!BG$1,'2023'!$D:$D,Category!$C197)</f>
        <v>0</v>
      </c>
      <c r="BH197" s="388">
        <f>SUMIFS('2023'!$I:$I,'2023'!$E:$E,Category!$B$134,'2023'!$N:$N,Category!BH$1,'2023'!$D:$D,Category!$C197)</f>
        <v>0</v>
      </c>
      <c r="BI197" s="388">
        <f>SUMIFS('2023'!$I:$I,'2023'!$E:$E,Category!$B$134,'2023'!$N:$N,Category!BI$1,'2023'!$D:$D,Category!$C197)</f>
        <v>0</v>
      </c>
      <c r="BJ197" s="388">
        <f>SUMIFS('2023'!$I:$I,'2023'!$E:$E,Category!$B$134,'2023'!$N:$N,Category!BJ$1,'2023'!$D:$D,Category!$C197)</f>
        <v>0</v>
      </c>
      <c r="BK197" s="388">
        <f>SUMIFS('2023'!$I:$I,'2023'!$E:$E,Category!$B$134,'2023'!$N:$N,Category!BK$1,'2023'!$D:$D,Category!$C197)</f>
        <v>0</v>
      </c>
      <c r="BL197" s="388">
        <f>SUMIFS('2023'!$I:$I,'2023'!$E:$E,Category!$B$134,'2023'!$N:$N,Category!BL$1,'2023'!$D:$D,Category!$C197)</f>
        <v>0</v>
      </c>
      <c r="BM197" s="388">
        <f>SUMIFS('2023'!$I:$I,'2023'!$E:$E,Category!$B$134,'2023'!$N:$N,Category!BM$1,'2023'!$D:$D,Category!$C197)</f>
        <v>0</v>
      </c>
      <c r="BN197" s="389">
        <f t="shared" si="69"/>
        <v>1000000</v>
      </c>
    </row>
    <row r="198" spans="1:66" x14ac:dyDescent="0.3">
      <c r="A198" s="386"/>
      <c r="B198" s="387"/>
      <c r="C198" s="387" t="s">
        <v>1974</v>
      </c>
      <c r="D198" s="524">
        <f>IFERROR(VLOOKUP($C198,'2019'!$D:$G,4,0),0)</f>
        <v>0</v>
      </c>
      <c r="E198" s="388">
        <f>SUMIFS('2019'!$I:$I,'2019'!$E:$E,Category!$B$134,'2019'!$N:$N,Category!E$1,'2019'!$D:$D,Category!$C198)</f>
        <v>0</v>
      </c>
      <c r="F198" s="388">
        <f>SUMIFS('2019'!$I:$I,'2019'!$E:$E,Category!$B$134,'2019'!$N:$N,Category!F$1,'2019'!$D:$D,Category!$C198)</f>
        <v>0</v>
      </c>
      <c r="G198" s="388">
        <f>SUMIFS('2019'!$I:$I,'2019'!$E:$E,Category!$B$134,'2019'!$N:$N,Category!G$1,'2019'!$D:$D,Category!$C198)</f>
        <v>0</v>
      </c>
      <c r="H198" s="388">
        <f>SUMIFS('2019'!$I:$I,'2019'!$E:$E,Category!$B$134,'2019'!$N:$N,Category!H$1,'2019'!$D:$D,Category!$C198)</f>
        <v>0</v>
      </c>
      <c r="I198" s="388">
        <f>SUMIFS('2019'!$I:$I,'2019'!$E:$E,Category!$B$134,'2019'!$N:$N,Category!I$1,'2019'!$D:$D,Category!$C198)</f>
        <v>0</v>
      </c>
      <c r="J198" s="389">
        <f>SUM(E198:I198)</f>
        <v>0</v>
      </c>
      <c r="K198" s="506">
        <f>IFERROR(VLOOKUP($C198,'2020'!$D:$G,4,0),0)</f>
        <v>0</v>
      </c>
      <c r="L198" s="388">
        <f>SUMIFS('2020'!$I:$I,'2020'!$E:$E,Category!$B$134,'2020'!$N:$N,Category!L$1,'2020'!$D:$D,Category!$C198)</f>
        <v>0</v>
      </c>
      <c r="M198" s="388">
        <f>SUMIFS('2020'!$I:$I,'2020'!$E:$E,Category!$B$134,'2020'!$N:$N,Category!M$1,'2020'!$D:$D,Category!$C198)</f>
        <v>0</v>
      </c>
      <c r="N198" s="388">
        <f>SUMIFS('2020'!$I:$I,'2020'!$E:$E,Category!$B$134,'2020'!$N:$N,Category!N$1,'2020'!$D:$D,Category!$C198)</f>
        <v>0</v>
      </c>
      <c r="O198" s="388">
        <f>SUMIFS('2020'!$I:$I,'2020'!$E:$E,Category!$B$134,'2020'!$N:$N,Category!O$1,'2020'!$D:$D,Category!$C198)</f>
        <v>0</v>
      </c>
      <c r="P198" s="388">
        <f>SUMIFS('2020'!$I:$I,'2020'!$E:$E,Category!$B$134,'2020'!$N:$N,Category!P$1,'2020'!$D:$D,Category!$C198)</f>
        <v>0</v>
      </c>
      <c r="Q198" s="388">
        <f>SUMIFS('2020'!$I:$I,'2020'!$E:$E,Category!$B$134,'2020'!$N:$N,Category!Q$1,'2020'!$D:$D,Category!$C198)</f>
        <v>0</v>
      </c>
      <c r="R198" s="388">
        <f>SUMIFS('2020'!$I:$I,'2020'!$E:$E,Category!$B$134,'2020'!$N:$N,Category!R$1,'2020'!$D:$D,Category!$C198)</f>
        <v>0</v>
      </c>
      <c r="S198" s="388">
        <f>SUMIFS('2020'!$I:$I,'2020'!$E:$E,Category!$B$134,'2020'!$N:$N,Category!S$1,'2020'!$D:$D,Category!$C198)</f>
        <v>0</v>
      </c>
      <c r="T198" s="388">
        <f>SUMIFS('2020'!$I:$I,'2020'!$E:$E,Category!$B$134,'2020'!$N:$N,Category!T$1,'2020'!$D:$D,Category!$C198)</f>
        <v>0</v>
      </c>
      <c r="U198" s="388">
        <f>SUMIFS('2020'!$I:$I,'2020'!$E:$E,Category!$B$134,'2020'!$N:$N,Category!U$1,'2020'!$D:$D,Category!$C198)</f>
        <v>0</v>
      </c>
      <c r="V198" s="388">
        <f>SUMIFS('2020'!$I:$I,'2020'!$E:$E,Category!$B$134,'2020'!$N:$N,Category!V$1,'2020'!$D:$D,Category!$C198)</f>
        <v>0</v>
      </c>
      <c r="W198" s="388">
        <f>SUMIFS('2020'!$I:$I,'2020'!$E:$E,Category!$B$134,'2020'!$N:$N,Category!W$1,'2020'!$D:$D,Category!$C198)</f>
        <v>0</v>
      </c>
      <c r="X198" s="389">
        <f t="shared" si="73"/>
        <v>0</v>
      </c>
      <c r="Y198" s="506">
        <f>IFERROR(VLOOKUP(C198,'2021'!$D:$G,4,0),0)</f>
        <v>0</v>
      </c>
      <c r="Z198" s="388">
        <f>SUMIFS('2021'!$I:$I,'2021'!$E:$E,Category!$B$134,'2021'!$N:$N,Category!Z$1,'2021'!$D:$D,Category!$C198)</f>
        <v>0</v>
      </c>
      <c r="AA198" s="388">
        <f>SUMIFS('2021'!$I:$I,'2021'!$E:$E,Category!$B$134,'2021'!$N:$N,Category!AA$1,'2021'!$D:$D,Category!$C198)</f>
        <v>0</v>
      </c>
      <c r="AB198" s="388">
        <f>SUMIFS('2021'!$I:$I,'2021'!$E:$E,Category!$B$134,'2021'!$N:$N,Category!AB$1,'2021'!$D:$D,Category!$C198)</f>
        <v>0</v>
      </c>
      <c r="AC198" s="388">
        <f>SUMIFS('2021'!$I:$I,'2021'!$E:$E,Category!$B$134,'2021'!$N:$N,Category!AC$1,'2021'!$D:$D,Category!$C198)</f>
        <v>0</v>
      </c>
      <c r="AD198" s="388">
        <f>SUMIFS('2021'!$I:$I,'2021'!$E:$E,Category!$B$134,'2021'!$N:$N,Category!AD$1,'2021'!$D:$D,Category!$C198)</f>
        <v>0</v>
      </c>
      <c r="AE198" s="388">
        <f>SUMIFS('2021'!$I:$I,'2021'!$E:$E,Category!$B$134,'2021'!$N:$N,Category!AE$1,'2021'!$D:$D,Category!$C198)</f>
        <v>0</v>
      </c>
      <c r="AF198" s="388">
        <f>SUMIFS('2021'!$I:$I,'2021'!$E:$E,Category!$B$134,'2021'!$N:$N,Category!AF$1,'2021'!$D:$D,Category!$C198)</f>
        <v>0</v>
      </c>
      <c r="AG198" s="388">
        <f>SUMIFS('2021'!$I:$I,'2021'!$E:$E,Category!$B$134,'2021'!$N:$N,Category!AG$1,'2021'!$D:$D,Category!$C198)</f>
        <v>0</v>
      </c>
      <c r="AH198" s="388">
        <f>SUMIFS('2021'!$I:$I,'2021'!$E:$E,Category!$B$134,'2021'!$N:$N,Category!AH$1,'2021'!$D:$D,Category!$C198)</f>
        <v>0</v>
      </c>
      <c r="AI198" s="388">
        <f>SUMIFS('2021'!$I:$I,'2021'!$E:$E,Category!$B$134,'2021'!$N:$N,Category!AI$1,'2021'!$D:$D,Category!$C198)</f>
        <v>0</v>
      </c>
      <c r="AJ198" s="388">
        <f>SUMIFS('2021'!$I:$I,'2021'!$E:$E,Category!$B$134,'2021'!$N:$N,Category!AJ$1,'2021'!$D:$D,Category!$C198)</f>
        <v>0</v>
      </c>
      <c r="AK198" s="388">
        <f>SUMIFS('2021'!$I:$I,'2021'!$E:$E,Category!$B$134,'2021'!$N:$N,Category!AK$1,'2021'!$D:$D,Category!$C198)</f>
        <v>0</v>
      </c>
      <c r="AL198" s="389">
        <f t="shared" si="74"/>
        <v>0</v>
      </c>
      <c r="AM198" s="506">
        <f>IFERROR(VLOOKUP(C198,'2022'!$D:$G,4,0),0)</f>
        <v>0</v>
      </c>
      <c r="AN198" s="388">
        <f>SUMIFS('2022'!$I:$I,'2022'!$E:$E,Category!$B$134,'2022'!$N:$N,Category!AN$1,'2022'!$D:$D,Category!$C198)</f>
        <v>0</v>
      </c>
      <c r="AO198" s="388">
        <f>SUMIFS('2022'!$I:$I,'2022'!$E:$E,Category!$B$134,'2022'!$N:$N,Category!AO$1,'2022'!$D:$D,Category!$C198)</f>
        <v>0</v>
      </c>
      <c r="AP198" s="388">
        <f>SUMIFS('2022'!$I:$I,'2022'!$E:$E,Category!$B$134,'2022'!$N:$N,Category!AP$1,'2022'!$D:$D,Category!$C198)</f>
        <v>0</v>
      </c>
      <c r="AQ198" s="388">
        <f>SUMIFS('2022'!$I:$I,'2022'!$E:$E,Category!$B$134,'2022'!$N:$N,Category!AQ$1,'2022'!$D:$D,Category!$C198)</f>
        <v>0</v>
      </c>
      <c r="AR198" s="388">
        <f>SUMIFS('2022'!$I:$I,'2022'!$E:$E,Category!$B$134,'2022'!$N:$N,Category!AR$1,'2022'!$D:$D,Category!$C198)</f>
        <v>0</v>
      </c>
      <c r="AS198" s="388">
        <f>SUMIFS('2022'!$I:$I,'2022'!$E:$E,Category!$B$134,'2022'!$N:$N,Category!AS$1,'2022'!$D:$D,Category!$C198)</f>
        <v>0</v>
      </c>
      <c r="AT198" s="388">
        <f>SUMIFS('2022'!$I:$I,'2022'!$E:$E,Category!$B$134,'2022'!$N:$N,Category!AT$1,'2022'!$D:$D,Category!$C198)</f>
        <v>0</v>
      </c>
      <c r="AU198" s="388">
        <f>SUMIFS('2022'!$I:$I,'2022'!$E:$E,Category!$B$134,'2022'!$N:$N,Category!AU$1,'2022'!$D:$D,Category!$C198)</f>
        <v>0</v>
      </c>
      <c r="AV198" s="388">
        <f>SUMIFS('2022'!$I:$I,'2022'!$E:$E,Category!$B$134,'2022'!$N:$N,Category!AV$1,'2022'!$D:$D,Category!$C198)</f>
        <v>0</v>
      </c>
      <c r="AW198" s="388">
        <f>SUMIFS('2022'!$I:$I,'2022'!$E:$E,Category!$B$134,'2022'!$N:$N,Category!AW$1,'2022'!$D:$D,Category!$C198)</f>
        <v>0</v>
      </c>
      <c r="AX198" s="388">
        <f>SUMIFS('2022'!$I:$I,'2022'!$E:$E,Category!$B$134,'2022'!$N:$N,Category!AX$1,'2022'!$D:$D,Category!$C198)</f>
        <v>0</v>
      </c>
      <c r="AY198" s="388">
        <f>SUMIFS('2022'!$I:$I,'2022'!$E:$E,Category!$B$134,'2022'!$N:$N,Category!AY$1,'2022'!$D:$D,Category!$C198)</f>
        <v>0</v>
      </c>
      <c r="AZ198" s="389">
        <f t="shared" si="75"/>
        <v>0</v>
      </c>
      <c r="BA198" s="506">
        <f>IFERROR(VLOOKUP(C198,'2023'!$D:$G,4,0),0)</f>
        <v>1</v>
      </c>
      <c r="BB198" s="388">
        <f>SUMIFS('2023'!$I:$I,'2023'!$E:$E,Category!$B$134,'2023'!$N:$N,Category!BB$1,'2023'!$D:$D,Category!$C198)</f>
        <v>500000</v>
      </c>
      <c r="BC198" s="388">
        <f>SUMIFS('2023'!$I:$I,'2023'!$E:$E,Category!$B$134,'2023'!$N:$N,Category!BC$1,'2023'!$D:$D,Category!$C198)</f>
        <v>500000</v>
      </c>
      <c r="BD198" s="388">
        <f>SUMIFS('2023'!$I:$I,'2023'!$E:$E,Category!$B$134,'2023'!$N:$N,Category!BD$1,'2023'!$D:$D,Category!$C198)</f>
        <v>0</v>
      </c>
      <c r="BE198" s="388">
        <f>SUMIFS('2023'!$I:$I,'2023'!$E:$E,Category!$B$134,'2023'!$N:$N,Category!BE$1,'2023'!$D:$D,Category!$C198)</f>
        <v>0</v>
      </c>
      <c r="BF198" s="388">
        <f>SUMIFS('2023'!$I:$I,'2023'!$E:$E,Category!$B$134,'2023'!$N:$N,Category!BF$1,'2023'!$D:$D,Category!$C198)</f>
        <v>0</v>
      </c>
      <c r="BG198" s="388">
        <f>SUMIFS('2023'!$I:$I,'2023'!$E:$E,Category!$B$134,'2023'!$N:$N,Category!BG$1,'2023'!$D:$D,Category!$C198)</f>
        <v>0</v>
      </c>
      <c r="BH198" s="388">
        <f>SUMIFS('2023'!$I:$I,'2023'!$E:$E,Category!$B$134,'2023'!$N:$N,Category!BH$1,'2023'!$D:$D,Category!$C198)</f>
        <v>0</v>
      </c>
      <c r="BI198" s="388">
        <f>SUMIFS('2023'!$I:$I,'2023'!$E:$E,Category!$B$134,'2023'!$N:$N,Category!BI$1,'2023'!$D:$D,Category!$C198)</f>
        <v>0</v>
      </c>
      <c r="BJ198" s="388">
        <f>SUMIFS('2023'!$I:$I,'2023'!$E:$E,Category!$B$134,'2023'!$N:$N,Category!BJ$1,'2023'!$D:$D,Category!$C198)</f>
        <v>0</v>
      </c>
      <c r="BK198" s="388">
        <f>SUMIFS('2023'!$I:$I,'2023'!$E:$E,Category!$B$134,'2023'!$N:$N,Category!BK$1,'2023'!$D:$D,Category!$C198)</f>
        <v>0</v>
      </c>
      <c r="BL198" s="388">
        <f>SUMIFS('2023'!$I:$I,'2023'!$E:$E,Category!$B$134,'2023'!$N:$N,Category!BL$1,'2023'!$D:$D,Category!$C198)</f>
        <v>0</v>
      </c>
      <c r="BM198" s="388">
        <f>SUMIFS('2023'!$I:$I,'2023'!$E:$E,Category!$B$134,'2023'!$N:$N,Category!BM$1,'2023'!$D:$D,Category!$C198)</f>
        <v>0</v>
      </c>
      <c r="BN198" s="389">
        <f t="shared" ref="BN198" si="76">SUM(BB198:BM198)</f>
        <v>1000000</v>
      </c>
    </row>
    <row r="199" spans="1:66" ht="21" customHeight="1" x14ac:dyDescent="0.3">
      <c r="A199" s="386"/>
      <c r="B199" s="387"/>
      <c r="C199" s="387" t="s">
        <v>1068</v>
      </c>
      <c r="D199" s="524">
        <f>IFERROR(VLOOKUP($C199,'2019'!$D:$G,4,0),0)</f>
        <v>0</v>
      </c>
      <c r="E199" s="388">
        <f>SUMIFS('2019'!$I:$I,'2019'!$E:$E,Category!$B$134,'2019'!$N:$N,Category!E$1,'2019'!$D:$D,Category!$C199)</f>
        <v>0</v>
      </c>
      <c r="F199" s="388">
        <f>SUMIFS('2019'!$I:$I,'2019'!$E:$E,Category!$B$134,'2019'!$N:$N,Category!F$1,'2019'!$D:$D,Category!$C199)</f>
        <v>0</v>
      </c>
      <c r="G199" s="388">
        <f>SUMIFS('2019'!$I:$I,'2019'!$E:$E,Category!$B$134,'2019'!$N:$N,Category!G$1,'2019'!$D:$D,Category!$C199)</f>
        <v>0</v>
      </c>
      <c r="H199" s="388">
        <f>SUMIFS('2019'!$I:$I,'2019'!$E:$E,Category!$B$134,'2019'!$N:$N,Category!H$1,'2019'!$D:$D,Category!$C199)</f>
        <v>0</v>
      </c>
      <c r="I199" s="388">
        <f>SUMIFS('2019'!$I:$I,'2019'!$E:$E,Category!$B$134,'2019'!$N:$N,Category!I$1,'2019'!$D:$D,Category!$C199)</f>
        <v>0</v>
      </c>
      <c r="J199" s="389">
        <f t="shared" si="71"/>
        <v>0</v>
      </c>
      <c r="K199" s="506">
        <f>IFERROR(VLOOKUP($C199,'2020'!$D:$G,4,0),0)</f>
        <v>0</v>
      </c>
      <c r="L199" s="388">
        <f>SUMIFS('2020'!$I:$I,'2020'!$E:$E,Category!$B$134,'2020'!$N:$N,Category!L$1,'2020'!$D:$D,Category!$C199)</f>
        <v>0</v>
      </c>
      <c r="M199" s="388">
        <f>SUMIFS('2020'!$I:$I,'2020'!$E:$E,Category!$B$134,'2020'!$N:$N,Category!M$1,'2020'!$D:$D,Category!$C199)</f>
        <v>0</v>
      </c>
      <c r="N199" s="388">
        <f>SUMIFS('2020'!$I:$I,'2020'!$E:$E,Category!$B$134,'2020'!$N:$N,Category!N$1,'2020'!$D:$D,Category!$C199)</f>
        <v>0</v>
      </c>
      <c r="O199" s="388">
        <f>SUMIFS('2020'!$I:$I,'2020'!$E:$E,Category!$B$134,'2020'!$N:$N,Category!O$1,'2020'!$D:$D,Category!$C199)</f>
        <v>0</v>
      </c>
      <c r="P199" s="388">
        <f>SUMIFS('2020'!$I:$I,'2020'!$E:$E,Category!$B$134,'2020'!$N:$N,Category!P$1,'2020'!$D:$D,Category!$C199)</f>
        <v>0</v>
      </c>
      <c r="Q199" s="388">
        <f>SUMIFS('2020'!$I:$I,'2020'!$E:$E,Category!$B$134,'2020'!$N:$N,Category!Q$1,'2020'!$D:$D,Category!$C199)</f>
        <v>0</v>
      </c>
      <c r="R199" s="388">
        <f>SUMIFS('2020'!$I:$I,'2020'!$E:$E,Category!$B$134,'2020'!$N:$N,Category!R$1,'2020'!$D:$D,Category!$C199)</f>
        <v>0</v>
      </c>
      <c r="S199" s="388">
        <f>SUMIFS('2020'!$I:$I,'2020'!$E:$E,Category!$B$134,'2020'!$N:$N,Category!S$1,'2020'!$D:$D,Category!$C199)</f>
        <v>0</v>
      </c>
      <c r="T199" s="388">
        <f>SUMIFS('2020'!$I:$I,'2020'!$E:$E,Category!$B$134,'2020'!$N:$N,Category!T$1,'2020'!$D:$D,Category!$C199)</f>
        <v>0</v>
      </c>
      <c r="U199" s="388">
        <f>SUMIFS('2020'!$I:$I,'2020'!$E:$E,Category!$B$134,'2020'!$N:$N,Category!U$1,'2020'!$D:$D,Category!$C199)</f>
        <v>0</v>
      </c>
      <c r="V199" s="388">
        <f>SUMIFS('2020'!$I:$I,'2020'!$E:$E,Category!$B$134,'2020'!$N:$N,Category!V$1,'2020'!$D:$D,Category!$C199)</f>
        <v>0</v>
      </c>
      <c r="W199" s="388">
        <f>SUMIFS('2020'!$I:$I,'2020'!$E:$E,Category!$B$134,'2020'!$N:$N,Category!W$1,'2020'!$D:$D,Category!$C199)</f>
        <v>0</v>
      </c>
      <c r="X199" s="389">
        <f t="shared" si="68"/>
        <v>0</v>
      </c>
      <c r="Y199" s="506">
        <f>IFERROR(VLOOKUP(C199,'2021'!$D:$G,4,0),0)</f>
        <v>0</v>
      </c>
      <c r="Z199" s="388">
        <f>SUMIFS('2021'!$I:$I,'2021'!$E:$E,Category!$B$134,'2021'!$N:$N,Category!Z$1,'2021'!$D:$D,Category!$C199)</f>
        <v>0</v>
      </c>
      <c r="AA199" s="388">
        <f>SUMIFS('2021'!$I:$I,'2021'!$E:$E,Category!$B$134,'2021'!$N:$N,Category!AA$1,'2021'!$D:$D,Category!$C199)</f>
        <v>0</v>
      </c>
      <c r="AB199" s="388">
        <f>SUMIFS('2021'!$I:$I,'2021'!$E:$E,Category!$B$134,'2021'!$N:$N,Category!AB$1,'2021'!$D:$D,Category!$C199)</f>
        <v>0</v>
      </c>
      <c r="AC199" s="388">
        <f>SUMIFS('2021'!$I:$I,'2021'!$E:$E,Category!$B$134,'2021'!$N:$N,Category!AC$1,'2021'!$D:$D,Category!$C199)</f>
        <v>0</v>
      </c>
      <c r="AD199" s="388">
        <f>SUMIFS('2021'!$I:$I,'2021'!$E:$E,Category!$B$134,'2021'!$N:$N,Category!AD$1,'2021'!$D:$D,Category!$C199)</f>
        <v>0</v>
      </c>
      <c r="AE199" s="388">
        <f>SUMIFS('2021'!$I:$I,'2021'!$E:$E,Category!$B$134,'2021'!$N:$N,Category!AE$1,'2021'!$D:$D,Category!$C199)</f>
        <v>0</v>
      </c>
      <c r="AF199" s="388">
        <f>SUMIFS('2021'!$I:$I,'2021'!$E:$E,Category!$B$134,'2021'!$N:$N,Category!AF$1,'2021'!$D:$D,Category!$C199)</f>
        <v>0</v>
      </c>
      <c r="AG199" s="388">
        <f>SUMIFS('2021'!$I:$I,'2021'!$E:$E,Category!$B$134,'2021'!$N:$N,Category!AG$1,'2021'!$D:$D,Category!$C199)</f>
        <v>0</v>
      </c>
      <c r="AH199" s="388">
        <f>SUMIFS('2021'!$I:$I,'2021'!$E:$E,Category!$B$134,'2021'!$N:$N,Category!AH$1,'2021'!$D:$D,Category!$C199)</f>
        <v>0</v>
      </c>
      <c r="AI199" s="388">
        <f>SUMIFS('2021'!$I:$I,'2021'!$E:$E,Category!$B$134,'2021'!$N:$N,Category!AI$1,'2021'!$D:$D,Category!$C199)</f>
        <v>0</v>
      </c>
      <c r="AJ199" s="388">
        <f>SUMIFS('2021'!$I:$I,'2021'!$E:$E,Category!$B$134,'2021'!$N:$N,Category!AJ$1,'2021'!$D:$D,Category!$C199)</f>
        <v>0</v>
      </c>
      <c r="AK199" s="388">
        <f>SUMIFS('2021'!$I:$I,'2021'!$E:$E,Category!$B$134,'2021'!$N:$N,Category!AK$1,'2021'!$D:$D,Category!$C199)</f>
        <v>0</v>
      </c>
      <c r="AL199" s="389">
        <f t="shared" si="72"/>
        <v>0</v>
      </c>
      <c r="AM199" s="506">
        <f>IFERROR(VLOOKUP(C199,'2022'!$D:$G,4,0),0)</f>
        <v>0</v>
      </c>
      <c r="AN199" s="388">
        <f>SUMIFS('2022'!$I:$I,'2022'!$E:$E,Category!$B$134,'2022'!$N:$N,Category!AN$1,'2022'!$D:$D,Category!$C199)</f>
        <v>0</v>
      </c>
      <c r="AO199" s="388">
        <f>SUMIFS('2022'!$I:$I,'2022'!$E:$E,Category!$B$134,'2022'!$N:$N,Category!AO$1,'2022'!$D:$D,Category!$C199)</f>
        <v>0</v>
      </c>
      <c r="AP199" s="388">
        <f>SUMIFS('2022'!$I:$I,'2022'!$E:$E,Category!$B$134,'2022'!$N:$N,Category!AP$1,'2022'!$D:$D,Category!$C199)</f>
        <v>12210000</v>
      </c>
      <c r="AQ199" s="388">
        <f>SUMIFS('2022'!$I:$I,'2022'!$E:$E,Category!$B$134,'2022'!$N:$N,Category!AQ$1,'2022'!$D:$D,Category!$C199)</f>
        <v>0</v>
      </c>
      <c r="AR199" s="388">
        <f>SUMIFS('2022'!$I:$I,'2022'!$E:$E,Category!$B$134,'2022'!$N:$N,Category!AR$1,'2022'!$D:$D,Category!$C199)</f>
        <v>0</v>
      </c>
      <c r="AS199" s="388">
        <f>SUMIFS('2022'!$I:$I,'2022'!$E:$E,Category!$B$134,'2022'!$N:$N,Category!AS$1,'2022'!$D:$D,Category!$C199)</f>
        <v>0</v>
      </c>
      <c r="AT199" s="388">
        <f>SUMIFS('2022'!$I:$I,'2022'!$E:$E,Category!$B$134,'2022'!$N:$N,Category!AT$1,'2022'!$D:$D,Category!$C199)</f>
        <v>0</v>
      </c>
      <c r="AU199" s="388">
        <f>SUMIFS('2022'!$I:$I,'2022'!$E:$E,Category!$B$134,'2022'!$N:$N,Category!AU$1,'2022'!$D:$D,Category!$C199)</f>
        <v>0</v>
      </c>
      <c r="AV199" s="388">
        <f>SUMIFS('2022'!$I:$I,'2022'!$E:$E,Category!$B$134,'2022'!$N:$N,Category!AV$1,'2022'!$D:$D,Category!$C199)</f>
        <v>0</v>
      </c>
      <c r="AW199" s="388">
        <f>SUMIFS('2022'!$I:$I,'2022'!$E:$E,Category!$B$134,'2022'!$N:$N,Category!AW$1,'2022'!$D:$D,Category!$C199)</f>
        <v>0</v>
      </c>
      <c r="AX199" s="388">
        <f>SUMIFS('2022'!$I:$I,'2022'!$E:$E,Category!$B$134,'2022'!$N:$N,Category!AX$1,'2022'!$D:$D,Category!$C199)</f>
        <v>0</v>
      </c>
      <c r="AY199" s="388">
        <f>SUMIFS('2022'!$I:$I,'2022'!$E:$E,Category!$B$134,'2022'!$N:$N,Category!AY$1,'2022'!$D:$D,Category!$C199)</f>
        <v>0</v>
      </c>
      <c r="AZ199" s="389">
        <f t="shared" si="70"/>
        <v>12210000</v>
      </c>
      <c r="BA199" s="506">
        <f>IFERROR(VLOOKUP(C199,'2023'!$D:$G,4,0),0)</f>
        <v>0</v>
      </c>
      <c r="BB199" s="388">
        <f>SUMIFS('2023'!$I:$I,'2023'!$E:$E,Category!$B$134,'2023'!$N:$N,Category!BB$1,'2023'!$D:$D,Category!$C199)</f>
        <v>0</v>
      </c>
      <c r="BC199" s="388">
        <f>SUMIFS('2023'!$I:$I,'2023'!$E:$E,Category!$B$134,'2023'!$N:$N,Category!BC$1,'2023'!$D:$D,Category!$C199)</f>
        <v>0</v>
      </c>
      <c r="BD199" s="388">
        <f>SUMIFS('2023'!$I:$I,'2023'!$E:$E,Category!$B$134,'2023'!$N:$N,Category!BD$1,'2023'!$D:$D,Category!$C199)</f>
        <v>0</v>
      </c>
      <c r="BE199" s="388">
        <f>SUMIFS('2023'!$I:$I,'2023'!$E:$E,Category!$B$134,'2023'!$N:$N,Category!BE$1,'2023'!$D:$D,Category!$C199)</f>
        <v>0</v>
      </c>
      <c r="BF199" s="388">
        <f>SUMIFS('2023'!$I:$I,'2023'!$E:$E,Category!$B$134,'2023'!$N:$N,Category!BF$1,'2023'!$D:$D,Category!$C199)</f>
        <v>0</v>
      </c>
      <c r="BG199" s="388">
        <f>SUMIFS('2023'!$I:$I,'2023'!$E:$E,Category!$B$134,'2023'!$N:$N,Category!BG$1,'2023'!$D:$D,Category!$C199)</f>
        <v>0</v>
      </c>
      <c r="BH199" s="388">
        <f>SUMIFS('2023'!$I:$I,'2023'!$E:$E,Category!$B$134,'2023'!$N:$N,Category!BH$1,'2023'!$D:$D,Category!$C199)</f>
        <v>0</v>
      </c>
      <c r="BI199" s="388">
        <f>SUMIFS('2023'!$I:$I,'2023'!$E:$E,Category!$B$134,'2023'!$N:$N,Category!BI$1,'2023'!$D:$D,Category!$C199)</f>
        <v>0</v>
      </c>
      <c r="BJ199" s="388">
        <f>SUMIFS('2023'!$I:$I,'2023'!$E:$E,Category!$B$134,'2023'!$N:$N,Category!BJ$1,'2023'!$D:$D,Category!$C199)</f>
        <v>0</v>
      </c>
      <c r="BK199" s="388">
        <f>SUMIFS('2023'!$I:$I,'2023'!$E:$E,Category!$B$134,'2023'!$N:$N,Category!BK$1,'2023'!$D:$D,Category!$C199)</f>
        <v>0</v>
      </c>
      <c r="BL199" s="388">
        <f>SUMIFS('2023'!$I:$I,'2023'!$E:$E,Category!$B$134,'2023'!$N:$N,Category!BL$1,'2023'!$D:$D,Category!$C199)</f>
        <v>0</v>
      </c>
      <c r="BM199" s="388">
        <f>SUMIFS('2023'!$I:$I,'2023'!$E:$E,Category!$B$134,'2023'!$N:$N,Category!BM$1,'2023'!$D:$D,Category!$C199)</f>
        <v>0</v>
      </c>
      <c r="BN199" s="389">
        <f t="shared" si="69"/>
        <v>0</v>
      </c>
    </row>
    <row r="200" spans="1:66" x14ac:dyDescent="0.3">
      <c r="A200" s="386"/>
      <c r="B200" s="387"/>
      <c r="C200" s="387" t="s">
        <v>1070</v>
      </c>
      <c r="D200" s="524">
        <f>IFERROR(VLOOKUP($C200,'2019'!$D:$G,4,0),0)</f>
        <v>0</v>
      </c>
      <c r="E200" s="388">
        <f>SUMIFS('2019'!$I:$I,'2019'!$E:$E,Category!$B$134,'2019'!$N:$N,Category!E$1,'2019'!$D:$D,Category!$C200)</f>
        <v>0</v>
      </c>
      <c r="F200" s="388">
        <f>SUMIFS('2019'!$I:$I,'2019'!$E:$E,Category!$B$134,'2019'!$N:$N,Category!F$1,'2019'!$D:$D,Category!$C200)</f>
        <v>0</v>
      </c>
      <c r="G200" s="388">
        <f>SUMIFS('2019'!$I:$I,'2019'!$E:$E,Category!$B$134,'2019'!$N:$N,Category!G$1,'2019'!$D:$D,Category!$C200)</f>
        <v>0</v>
      </c>
      <c r="H200" s="388">
        <f>SUMIFS('2019'!$I:$I,'2019'!$E:$E,Category!$B$134,'2019'!$N:$N,Category!H$1,'2019'!$D:$D,Category!$C200)</f>
        <v>0</v>
      </c>
      <c r="I200" s="388">
        <f>SUMIFS('2019'!$I:$I,'2019'!$E:$E,Category!$B$134,'2019'!$N:$N,Category!I$1,'2019'!$D:$D,Category!$C200)</f>
        <v>0</v>
      </c>
      <c r="J200" s="389">
        <f t="shared" si="71"/>
        <v>0</v>
      </c>
      <c r="K200" s="506">
        <f>IFERROR(VLOOKUP($C200,'2020'!$D:$G,4,0),0)</f>
        <v>0</v>
      </c>
      <c r="L200" s="388">
        <f>SUMIFS('2020'!$I:$I,'2020'!$E:$E,Category!$B$134,'2020'!$N:$N,Category!L$1,'2020'!$D:$D,Category!$C200)</f>
        <v>0</v>
      </c>
      <c r="M200" s="388">
        <f>SUMIFS('2020'!$I:$I,'2020'!$E:$E,Category!$B$134,'2020'!$N:$N,Category!M$1,'2020'!$D:$D,Category!$C200)</f>
        <v>0</v>
      </c>
      <c r="N200" s="388">
        <f>SUMIFS('2020'!$I:$I,'2020'!$E:$E,Category!$B$134,'2020'!$N:$N,Category!N$1,'2020'!$D:$D,Category!$C200)</f>
        <v>0</v>
      </c>
      <c r="O200" s="388">
        <f>SUMIFS('2020'!$I:$I,'2020'!$E:$E,Category!$B$134,'2020'!$N:$N,Category!O$1,'2020'!$D:$D,Category!$C200)</f>
        <v>0</v>
      </c>
      <c r="P200" s="388">
        <f>SUMIFS('2020'!$I:$I,'2020'!$E:$E,Category!$B$134,'2020'!$N:$N,Category!P$1,'2020'!$D:$D,Category!$C200)</f>
        <v>0</v>
      </c>
      <c r="Q200" s="388">
        <f>SUMIFS('2020'!$I:$I,'2020'!$E:$E,Category!$B$134,'2020'!$N:$N,Category!Q$1,'2020'!$D:$D,Category!$C200)</f>
        <v>0</v>
      </c>
      <c r="R200" s="388">
        <f>SUMIFS('2020'!$I:$I,'2020'!$E:$E,Category!$B$134,'2020'!$N:$N,Category!R$1,'2020'!$D:$D,Category!$C200)</f>
        <v>0</v>
      </c>
      <c r="S200" s="388">
        <f>SUMIFS('2020'!$I:$I,'2020'!$E:$E,Category!$B$134,'2020'!$N:$N,Category!S$1,'2020'!$D:$D,Category!$C200)</f>
        <v>0</v>
      </c>
      <c r="T200" s="388">
        <f>SUMIFS('2020'!$I:$I,'2020'!$E:$E,Category!$B$134,'2020'!$N:$N,Category!T$1,'2020'!$D:$D,Category!$C200)</f>
        <v>0</v>
      </c>
      <c r="U200" s="388">
        <f>SUMIFS('2020'!$I:$I,'2020'!$E:$E,Category!$B$134,'2020'!$N:$N,Category!U$1,'2020'!$D:$D,Category!$C200)</f>
        <v>0</v>
      </c>
      <c r="V200" s="388">
        <f>SUMIFS('2020'!$I:$I,'2020'!$E:$E,Category!$B$134,'2020'!$N:$N,Category!V$1,'2020'!$D:$D,Category!$C200)</f>
        <v>0</v>
      </c>
      <c r="W200" s="388">
        <f>SUMIFS('2020'!$I:$I,'2020'!$E:$E,Category!$B$134,'2020'!$N:$N,Category!W$1,'2020'!$D:$D,Category!$C200)</f>
        <v>0</v>
      </c>
      <c r="X200" s="389">
        <f t="shared" si="68"/>
        <v>0</v>
      </c>
      <c r="Y200" s="506">
        <f>IFERROR(VLOOKUP(C200,'2021'!$D:$G,4,0),0)</f>
        <v>0</v>
      </c>
      <c r="Z200" s="388">
        <f>SUMIFS('2021'!$I:$I,'2021'!$E:$E,Category!$B$134,'2021'!$N:$N,Category!Z$1,'2021'!$D:$D,Category!$C200)</f>
        <v>0</v>
      </c>
      <c r="AA200" s="388">
        <f>SUMIFS('2021'!$I:$I,'2021'!$E:$E,Category!$B$134,'2021'!$N:$N,Category!AA$1,'2021'!$D:$D,Category!$C200)</f>
        <v>0</v>
      </c>
      <c r="AB200" s="388">
        <f>SUMIFS('2021'!$I:$I,'2021'!$E:$E,Category!$B$134,'2021'!$N:$N,Category!AB$1,'2021'!$D:$D,Category!$C200)</f>
        <v>0</v>
      </c>
      <c r="AC200" s="388">
        <f>SUMIFS('2021'!$I:$I,'2021'!$E:$E,Category!$B$134,'2021'!$N:$N,Category!AC$1,'2021'!$D:$D,Category!$C200)</f>
        <v>0</v>
      </c>
      <c r="AD200" s="388">
        <f>SUMIFS('2021'!$I:$I,'2021'!$E:$E,Category!$B$134,'2021'!$N:$N,Category!AD$1,'2021'!$D:$D,Category!$C200)</f>
        <v>0</v>
      </c>
      <c r="AE200" s="388">
        <f>SUMIFS('2021'!$I:$I,'2021'!$E:$E,Category!$B$134,'2021'!$N:$N,Category!AE$1,'2021'!$D:$D,Category!$C200)</f>
        <v>0</v>
      </c>
      <c r="AF200" s="388">
        <f>SUMIFS('2021'!$I:$I,'2021'!$E:$E,Category!$B$134,'2021'!$N:$N,Category!AF$1,'2021'!$D:$D,Category!$C200)</f>
        <v>0</v>
      </c>
      <c r="AG200" s="388">
        <f>SUMIFS('2021'!$I:$I,'2021'!$E:$E,Category!$B$134,'2021'!$N:$N,Category!AG$1,'2021'!$D:$D,Category!$C200)</f>
        <v>0</v>
      </c>
      <c r="AH200" s="388">
        <f>SUMIFS('2021'!$I:$I,'2021'!$E:$E,Category!$B$134,'2021'!$N:$N,Category!AH$1,'2021'!$D:$D,Category!$C200)</f>
        <v>0</v>
      </c>
      <c r="AI200" s="388">
        <f>SUMIFS('2021'!$I:$I,'2021'!$E:$E,Category!$B$134,'2021'!$N:$N,Category!AI$1,'2021'!$D:$D,Category!$C200)</f>
        <v>0</v>
      </c>
      <c r="AJ200" s="388">
        <f>SUMIFS('2021'!$I:$I,'2021'!$E:$E,Category!$B$134,'2021'!$N:$N,Category!AJ$1,'2021'!$D:$D,Category!$C200)</f>
        <v>0</v>
      </c>
      <c r="AK200" s="388">
        <f>SUMIFS('2021'!$I:$I,'2021'!$E:$E,Category!$B$134,'2021'!$N:$N,Category!AK$1,'2021'!$D:$D,Category!$C200)</f>
        <v>0</v>
      </c>
      <c r="AL200" s="389">
        <f t="shared" si="72"/>
        <v>0</v>
      </c>
      <c r="AM200" s="506">
        <f>IFERROR(VLOOKUP(C200,'2022'!$D:$G,4,0),0)</f>
        <v>0</v>
      </c>
      <c r="AN200" s="388">
        <f>SUMIFS('2022'!$I:$I,'2022'!$E:$E,Category!$B$134,'2022'!$N:$N,Category!AN$1,'2022'!$D:$D,Category!$C200)</f>
        <v>0</v>
      </c>
      <c r="AO200" s="388">
        <f>SUMIFS('2022'!$I:$I,'2022'!$E:$E,Category!$B$134,'2022'!$N:$N,Category!AO$1,'2022'!$D:$D,Category!$C200)</f>
        <v>0</v>
      </c>
      <c r="AP200" s="388">
        <f>SUMIFS('2022'!$I:$I,'2022'!$E:$E,Category!$B$134,'2022'!$N:$N,Category!AP$1,'2022'!$D:$D,Category!$C200)</f>
        <v>9884882</v>
      </c>
      <c r="AQ200" s="388">
        <f>SUMIFS('2022'!$I:$I,'2022'!$E:$E,Category!$B$134,'2022'!$N:$N,Category!AQ$1,'2022'!$D:$D,Category!$C200)</f>
        <v>0</v>
      </c>
      <c r="AR200" s="388">
        <f>SUMIFS('2022'!$I:$I,'2022'!$E:$E,Category!$B$134,'2022'!$N:$N,Category!AR$1,'2022'!$D:$D,Category!$C200)</f>
        <v>0</v>
      </c>
      <c r="AS200" s="388">
        <f>SUMIFS('2022'!$I:$I,'2022'!$E:$E,Category!$B$134,'2022'!$N:$N,Category!AS$1,'2022'!$D:$D,Category!$C200)</f>
        <v>0</v>
      </c>
      <c r="AT200" s="388">
        <f>SUMIFS('2022'!$I:$I,'2022'!$E:$E,Category!$B$134,'2022'!$N:$N,Category!AT$1,'2022'!$D:$D,Category!$C200)</f>
        <v>0</v>
      </c>
      <c r="AU200" s="388">
        <f>SUMIFS('2022'!$I:$I,'2022'!$E:$E,Category!$B$134,'2022'!$N:$N,Category!AU$1,'2022'!$D:$D,Category!$C200)</f>
        <v>0</v>
      </c>
      <c r="AV200" s="388">
        <f>SUMIFS('2022'!$I:$I,'2022'!$E:$E,Category!$B$134,'2022'!$N:$N,Category!AV$1,'2022'!$D:$D,Category!$C200)</f>
        <v>0</v>
      </c>
      <c r="AW200" s="388">
        <f>SUMIFS('2022'!$I:$I,'2022'!$E:$E,Category!$B$134,'2022'!$N:$N,Category!AW$1,'2022'!$D:$D,Category!$C200)</f>
        <v>0</v>
      </c>
      <c r="AX200" s="388">
        <f>SUMIFS('2022'!$I:$I,'2022'!$E:$E,Category!$B$134,'2022'!$N:$N,Category!AX$1,'2022'!$D:$D,Category!$C200)</f>
        <v>0</v>
      </c>
      <c r="AY200" s="388">
        <f>SUMIFS('2022'!$I:$I,'2022'!$E:$E,Category!$B$134,'2022'!$N:$N,Category!AY$1,'2022'!$D:$D,Category!$C200)</f>
        <v>0</v>
      </c>
      <c r="AZ200" s="389">
        <f t="shared" si="70"/>
        <v>9884882</v>
      </c>
      <c r="BA200" s="506">
        <f>IFERROR(VLOOKUP(C200,'2023'!$D:$G,4,0),0)</f>
        <v>0</v>
      </c>
      <c r="BB200" s="388">
        <f>SUMIFS('2023'!$I:$I,'2023'!$E:$E,Category!$B$134,'2023'!$N:$N,Category!BB$1,'2023'!$D:$D,Category!$C200)</f>
        <v>0</v>
      </c>
      <c r="BC200" s="388">
        <f>SUMIFS('2023'!$I:$I,'2023'!$E:$E,Category!$B$134,'2023'!$N:$N,Category!BC$1,'2023'!$D:$D,Category!$C200)</f>
        <v>0</v>
      </c>
      <c r="BD200" s="388">
        <f>SUMIFS('2023'!$I:$I,'2023'!$E:$E,Category!$B$134,'2023'!$N:$N,Category!BD$1,'2023'!$D:$D,Category!$C200)</f>
        <v>0</v>
      </c>
      <c r="BE200" s="388">
        <f>SUMIFS('2023'!$I:$I,'2023'!$E:$E,Category!$B$134,'2023'!$N:$N,Category!BE$1,'2023'!$D:$D,Category!$C200)</f>
        <v>0</v>
      </c>
      <c r="BF200" s="388">
        <f>SUMIFS('2023'!$I:$I,'2023'!$E:$E,Category!$B$134,'2023'!$N:$N,Category!BF$1,'2023'!$D:$D,Category!$C200)</f>
        <v>0</v>
      </c>
      <c r="BG200" s="388">
        <f>SUMIFS('2023'!$I:$I,'2023'!$E:$E,Category!$B$134,'2023'!$N:$N,Category!BG$1,'2023'!$D:$D,Category!$C200)</f>
        <v>0</v>
      </c>
      <c r="BH200" s="388">
        <f>SUMIFS('2023'!$I:$I,'2023'!$E:$E,Category!$B$134,'2023'!$N:$N,Category!BH$1,'2023'!$D:$D,Category!$C200)</f>
        <v>0</v>
      </c>
      <c r="BI200" s="388">
        <f>SUMIFS('2023'!$I:$I,'2023'!$E:$E,Category!$B$134,'2023'!$N:$N,Category!BI$1,'2023'!$D:$D,Category!$C200)</f>
        <v>0</v>
      </c>
      <c r="BJ200" s="388">
        <f>SUMIFS('2023'!$I:$I,'2023'!$E:$E,Category!$B$134,'2023'!$N:$N,Category!BJ$1,'2023'!$D:$D,Category!$C200)</f>
        <v>0</v>
      </c>
      <c r="BK200" s="388">
        <f>SUMIFS('2023'!$I:$I,'2023'!$E:$E,Category!$B$134,'2023'!$N:$N,Category!BK$1,'2023'!$D:$D,Category!$C200)</f>
        <v>0</v>
      </c>
      <c r="BL200" s="388">
        <f>SUMIFS('2023'!$I:$I,'2023'!$E:$E,Category!$B$134,'2023'!$N:$N,Category!BL$1,'2023'!$D:$D,Category!$C200)</f>
        <v>0</v>
      </c>
      <c r="BM200" s="388">
        <f>SUMIFS('2023'!$I:$I,'2023'!$E:$E,Category!$B$134,'2023'!$N:$N,Category!BM$1,'2023'!$D:$D,Category!$C200)</f>
        <v>0</v>
      </c>
      <c r="BN200" s="389">
        <f t="shared" si="69"/>
        <v>0</v>
      </c>
    </row>
    <row r="201" spans="1:66" x14ac:dyDescent="0.3">
      <c r="A201" s="392"/>
      <c r="B201" s="387"/>
      <c r="C201" s="387" t="s">
        <v>1073</v>
      </c>
      <c r="D201" s="524">
        <f>IFERROR(VLOOKUP($C201,'2019'!$D:$G,4,0),0)</f>
        <v>0</v>
      </c>
      <c r="E201" s="388">
        <f>SUMIFS('2019'!$I:$I,'2019'!$E:$E,Category!$B$134,'2019'!$N:$N,Category!E$1,'2019'!$D:$D,Category!$C201)</f>
        <v>0</v>
      </c>
      <c r="F201" s="388">
        <f>SUMIFS('2019'!$I:$I,'2019'!$E:$E,Category!$B$134,'2019'!$N:$N,Category!F$1,'2019'!$D:$D,Category!$C201)</f>
        <v>0</v>
      </c>
      <c r="G201" s="388">
        <f>SUMIFS('2019'!$I:$I,'2019'!$E:$E,Category!$B$134,'2019'!$N:$N,Category!G$1,'2019'!$D:$D,Category!$C201)</f>
        <v>0</v>
      </c>
      <c r="H201" s="388">
        <f>SUMIFS('2019'!$I:$I,'2019'!$E:$E,Category!$B$134,'2019'!$N:$N,Category!H$1,'2019'!$D:$D,Category!$C201)</f>
        <v>0</v>
      </c>
      <c r="I201" s="388">
        <f>SUMIFS('2019'!$I:$I,'2019'!$E:$E,Category!$B$134,'2019'!$N:$N,Category!I$1,'2019'!$D:$D,Category!$C201)</f>
        <v>0</v>
      </c>
      <c r="J201" s="389">
        <f t="shared" si="71"/>
        <v>0</v>
      </c>
      <c r="K201" s="506">
        <f>IFERROR(VLOOKUP($C201,'2020'!$D:$G,4,0),0)</f>
        <v>0</v>
      </c>
      <c r="L201" s="388">
        <f>SUMIFS('2020'!$I:$I,'2020'!$E:$E,Category!$B$134,'2020'!$N:$N,Category!L$1,'2020'!$D:$D,Category!$C201)</f>
        <v>0</v>
      </c>
      <c r="M201" s="388">
        <f>SUMIFS('2020'!$I:$I,'2020'!$E:$E,Category!$B$134,'2020'!$N:$N,Category!M$1,'2020'!$D:$D,Category!$C201)</f>
        <v>0</v>
      </c>
      <c r="N201" s="388">
        <f>SUMIFS('2020'!$I:$I,'2020'!$E:$E,Category!$B$134,'2020'!$N:$N,Category!N$1,'2020'!$D:$D,Category!$C201)</f>
        <v>0</v>
      </c>
      <c r="O201" s="388">
        <f>SUMIFS('2020'!$I:$I,'2020'!$E:$E,Category!$B$134,'2020'!$N:$N,Category!O$1,'2020'!$D:$D,Category!$C201)</f>
        <v>0</v>
      </c>
      <c r="P201" s="388">
        <f>SUMIFS('2020'!$I:$I,'2020'!$E:$E,Category!$B$134,'2020'!$N:$N,Category!P$1,'2020'!$D:$D,Category!$C201)</f>
        <v>0</v>
      </c>
      <c r="Q201" s="388">
        <f>SUMIFS('2020'!$I:$I,'2020'!$E:$E,Category!$B$134,'2020'!$N:$N,Category!Q$1,'2020'!$D:$D,Category!$C201)</f>
        <v>0</v>
      </c>
      <c r="R201" s="388">
        <f>SUMIFS('2020'!$I:$I,'2020'!$E:$E,Category!$B$134,'2020'!$N:$N,Category!R$1,'2020'!$D:$D,Category!$C201)</f>
        <v>0</v>
      </c>
      <c r="S201" s="388">
        <f>SUMIFS('2020'!$I:$I,'2020'!$E:$E,Category!$B$134,'2020'!$N:$N,Category!S$1,'2020'!$D:$D,Category!$C201)</f>
        <v>0</v>
      </c>
      <c r="T201" s="388">
        <f>SUMIFS('2020'!$I:$I,'2020'!$E:$E,Category!$B$134,'2020'!$N:$N,Category!T$1,'2020'!$D:$D,Category!$C201)</f>
        <v>0</v>
      </c>
      <c r="U201" s="388">
        <f>SUMIFS('2020'!$I:$I,'2020'!$E:$E,Category!$B$134,'2020'!$N:$N,Category!U$1,'2020'!$D:$D,Category!$C201)</f>
        <v>0</v>
      </c>
      <c r="V201" s="388">
        <f>SUMIFS('2020'!$I:$I,'2020'!$E:$E,Category!$B$134,'2020'!$N:$N,Category!V$1,'2020'!$D:$D,Category!$C201)</f>
        <v>0</v>
      </c>
      <c r="W201" s="388">
        <f>SUMIFS('2020'!$I:$I,'2020'!$E:$E,Category!$B$134,'2020'!$N:$N,Category!W$1,'2020'!$D:$D,Category!$C201)</f>
        <v>0</v>
      </c>
      <c r="X201" s="389">
        <f t="shared" si="68"/>
        <v>0</v>
      </c>
      <c r="Y201" s="506">
        <f>IFERROR(VLOOKUP(C201,'2021'!$D:$G,4,0),0)</f>
        <v>0</v>
      </c>
      <c r="Z201" s="388">
        <f>SUMIFS('2021'!$I:$I,'2021'!$E:$E,Category!$B$134,'2021'!$N:$N,Category!Z$1,'2021'!$D:$D,Category!$C201)</f>
        <v>0</v>
      </c>
      <c r="AA201" s="388">
        <f>SUMIFS('2021'!$I:$I,'2021'!$E:$E,Category!$B$134,'2021'!$N:$N,Category!AA$1,'2021'!$D:$D,Category!$C201)</f>
        <v>0</v>
      </c>
      <c r="AB201" s="388">
        <f>SUMIFS('2021'!$I:$I,'2021'!$E:$E,Category!$B$134,'2021'!$N:$N,Category!AB$1,'2021'!$D:$D,Category!$C201)</f>
        <v>0</v>
      </c>
      <c r="AC201" s="388">
        <f>SUMIFS('2021'!$I:$I,'2021'!$E:$E,Category!$B$134,'2021'!$N:$N,Category!AC$1,'2021'!$D:$D,Category!$C201)</f>
        <v>0</v>
      </c>
      <c r="AD201" s="388">
        <f>SUMIFS('2021'!$I:$I,'2021'!$E:$E,Category!$B$134,'2021'!$N:$N,Category!AD$1,'2021'!$D:$D,Category!$C201)</f>
        <v>0</v>
      </c>
      <c r="AE201" s="388">
        <f>SUMIFS('2021'!$I:$I,'2021'!$E:$E,Category!$B$134,'2021'!$N:$N,Category!AE$1,'2021'!$D:$D,Category!$C201)</f>
        <v>0</v>
      </c>
      <c r="AF201" s="388">
        <f>SUMIFS('2021'!$I:$I,'2021'!$E:$E,Category!$B$134,'2021'!$N:$N,Category!AF$1,'2021'!$D:$D,Category!$C201)</f>
        <v>0</v>
      </c>
      <c r="AG201" s="388">
        <f>SUMIFS('2021'!$I:$I,'2021'!$E:$E,Category!$B$134,'2021'!$N:$N,Category!AG$1,'2021'!$D:$D,Category!$C201)</f>
        <v>0</v>
      </c>
      <c r="AH201" s="388">
        <f>SUMIFS('2021'!$I:$I,'2021'!$E:$E,Category!$B$134,'2021'!$N:$N,Category!AH$1,'2021'!$D:$D,Category!$C201)</f>
        <v>0</v>
      </c>
      <c r="AI201" s="388">
        <f>SUMIFS('2021'!$I:$I,'2021'!$E:$E,Category!$B$134,'2021'!$N:$N,Category!AI$1,'2021'!$D:$D,Category!$C201)</f>
        <v>0</v>
      </c>
      <c r="AJ201" s="388">
        <f>SUMIFS('2021'!$I:$I,'2021'!$E:$E,Category!$B$134,'2021'!$N:$N,Category!AJ$1,'2021'!$D:$D,Category!$C201)</f>
        <v>0</v>
      </c>
      <c r="AK201" s="388">
        <f>SUMIFS('2021'!$I:$I,'2021'!$E:$E,Category!$B$134,'2021'!$N:$N,Category!AK$1,'2021'!$D:$D,Category!$C201)</f>
        <v>0</v>
      </c>
      <c r="AL201" s="389">
        <f t="shared" si="72"/>
        <v>0</v>
      </c>
      <c r="AM201" s="506">
        <f>IFERROR(VLOOKUP(C201,'2022'!$D:$G,4,0),0)</f>
        <v>0</v>
      </c>
      <c r="AN201" s="388">
        <f>SUMIFS('2022'!$I:$I,'2022'!$E:$E,Category!$B$134,'2022'!$N:$N,Category!AN$1,'2022'!$D:$D,Category!$C201)</f>
        <v>0</v>
      </c>
      <c r="AO201" s="388">
        <f>SUMIFS('2022'!$I:$I,'2022'!$E:$E,Category!$B$134,'2022'!$N:$N,Category!AO$1,'2022'!$D:$D,Category!$C201)</f>
        <v>0</v>
      </c>
      <c r="AP201" s="388">
        <f>SUMIFS('2022'!$I:$I,'2022'!$E:$E,Category!$B$134,'2022'!$N:$N,Category!AP$1,'2022'!$D:$D,Category!$C201)</f>
        <v>0</v>
      </c>
      <c r="AQ201" s="388">
        <f>SUMIFS('2022'!$I:$I,'2022'!$E:$E,Category!$B$134,'2022'!$N:$N,Category!AQ$1,'2022'!$D:$D,Category!$C201)</f>
        <v>3540000</v>
      </c>
      <c r="AR201" s="388">
        <f>SUMIFS('2022'!$I:$I,'2022'!$E:$E,Category!$B$134,'2022'!$N:$N,Category!AR$1,'2022'!$D:$D,Category!$C201)</f>
        <v>0</v>
      </c>
      <c r="AS201" s="388">
        <f>SUMIFS('2022'!$I:$I,'2022'!$E:$E,Category!$B$134,'2022'!$N:$N,Category!AS$1,'2022'!$D:$D,Category!$C201)</f>
        <v>0</v>
      </c>
      <c r="AT201" s="388">
        <f>SUMIFS('2022'!$I:$I,'2022'!$E:$E,Category!$B$134,'2022'!$N:$N,Category!AT$1,'2022'!$D:$D,Category!$C201)</f>
        <v>0</v>
      </c>
      <c r="AU201" s="388">
        <f>SUMIFS('2022'!$I:$I,'2022'!$E:$E,Category!$B$134,'2022'!$N:$N,Category!AU$1,'2022'!$D:$D,Category!$C201)</f>
        <v>0</v>
      </c>
      <c r="AV201" s="388">
        <f>SUMIFS('2022'!$I:$I,'2022'!$E:$E,Category!$B$134,'2022'!$N:$N,Category!AV$1,'2022'!$D:$D,Category!$C201)</f>
        <v>0</v>
      </c>
      <c r="AW201" s="388">
        <f>SUMIFS('2022'!$I:$I,'2022'!$E:$E,Category!$B$134,'2022'!$N:$N,Category!AW$1,'2022'!$D:$D,Category!$C201)</f>
        <v>0</v>
      </c>
      <c r="AX201" s="388">
        <f>SUMIFS('2022'!$I:$I,'2022'!$E:$E,Category!$B$134,'2022'!$N:$N,Category!AX$1,'2022'!$D:$D,Category!$C201)</f>
        <v>0</v>
      </c>
      <c r="AY201" s="388">
        <f>SUMIFS('2022'!$I:$I,'2022'!$E:$E,Category!$B$134,'2022'!$N:$N,Category!AY$1,'2022'!$D:$D,Category!$C201)</f>
        <v>0</v>
      </c>
      <c r="AZ201" s="389">
        <f t="shared" ref="AZ201:AZ206" si="77">SUM(AN201:AY201)</f>
        <v>3540000</v>
      </c>
      <c r="BA201" s="506">
        <f>IFERROR(VLOOKUP(C201,'2023'!$D:$G,4,0),0)</f>
        <v>0</v>
      </c>
      <c r="BB201" s="388">
        <f>SUMIFS('2023'!$I:$I,'2023'!$E:$E,Category!$B$134,'2023'!$N:$N,Category!BB$1,'2023'!$D:$D,Category!$C201)</f>
        <v>0</v>
      </c>
      <c r="BC201" s="388">
        <f>SUMIFS('2023'!$I:$I,'2023'!$E:$E,Category!$B$134,'2023'!$N:$N,Category!BC$1,'2023'!$D:$D,Category!$C201)</f>
        <v>0</v>
      </c>
      <c r="BD201" s="388">
        <f>SUMIFS('2023'!$I:$I,'2023'!$E:$E,Category!$B$134,'2023'!$N:$N,Category!BD$1,'2023'!$D:$D,Category!$C201)</f>
        <v>0</v>
      </c>
      <c r="BE201" s="388">
        <f>SUMIFS('2023'!$I:$I,'2023'!$E:$E,Category!$B$134,'2023'!$N:$N,Category!BE$1,'2023'!$D:$D,Category!$C201)</f>
        <v>0</v>
      </c>
      <c r="BF201" s="388">
        <f>SUMIFS('2023'!$I:$I,'2023'!$E:$E,Category!$B$134,'2023'!$N:$N,Category!BF$1,'2023'!$D:$D,Category!$C201)</f>
        <v>0</v>
      </c>
      <c r="BG201" s="388">
        <f>SUMIFS('2023'!$I:$I,'2023'!$E:$E,Category!$B$134,'2023'!$N:$N,Category!BG$1,'2023'!$D:$D,Category!$C201)</f>
        <v>0</v>
      </c>
      <c r="BH201" s="388">
        <f>SUMIFS('2023'!$I:$I,'2023'!$E:$E,Category!$B$134,'2023'!$N:$N,Category!BH$1,'2023'!$D:$D,Category!$C201)</f>
        <v>0</v>
      </c>
      <c r="BI201" s="388">
        <f>SUMIFS('2023'!$I:$I,'2023'!$E:$E,Category!$B$134,'2023'!$N:$N,Category!BI$1,'2023'!$D:$D,Category!$C201)</f>
        <v>0</v>
      </c>
      <c r="BJ201" s="388">
        <f>SUMIFS('2023'!$I:$I,'2023'!$E:$E,Category!$B$134,'2023'!$N:$N,Category!BJ$1,'2023'!$D:$D,Category!$C201)</f>
        <v>0</v>
      </c>
      <c r="BK201" s="388">
        <f>SUMIFS('2023'!$I:$I,'2023'!$E:$E,Category!$B$134,'2023'!$N:$N,Category!BK$1,'2023'!$D:$D,Category!$C201)</f>
        <v>0</v>
      </c>
      <c r="BL201" s="388">
        <f>SUMIFS('2023'!$I:$I,'2023'!$E:$E,Category!$B$134,'2023'!$N:$N,Category!BL$1,'2023'!$D:$D,Category!$C201)</f>
        <v>0</v>
      </c>
      <c r="BM201" s="388">
        <f>SUMIFS('2023'!$I:$I,'2023'!$E:$E,Category!$B$134,'2023'!$N:$N,Category!BM$1,'2023'!$D:$D,Category!$C201)</f>
        <v>0</v>
      </c>
      <c r="BN201" s="389">
        <f t="shared" si="69"/>
        <v>0</v>
      </c>
    </row>
    <row r="202" spans="1:66" ht="39.75" x14ac:dyDescent="0.3">
      <c r="A202" s="392"/>
      <c r="B202" s="387"/>
      <c r="C202" s="387" t="s">
        <v>1075</v>
      </c>
      <c r="D202" s="524">
        <f>IFERROR(VLOOKUP($C202,'2019'!$D:$G,4,0),0)</f>
        <v>0</v>
      </c>
      <c r="E202" s="388">
        <f>SUMIFS('2019'!$I:$I,'2019'!$E:$E,Category!$B$134,'2019'!$N:$N,Category!E$1,'2019'!$D:$D,Category!$C202)</f>
        <v>0</v>
      </c>
      <c r="F202" s="388">
        <f>SUMIFS('2019'!$I:$I,'2019'!$E:$E,Category!$B$134,'2019'!$N:$N,Category!F$1,'2019'!$D:$D,Category!$C202)</f>
        <v>0</v>
      </c>
      <c r="G202" s="388">
        <f>SUMIFS('2019'!$I:$I,'2019'!$E:$E,Category!$B$134,'2019'!$N:$N,Category!G$1,'2019'!$D:$D,Category!$C202)</f>
        <v>0</v>
      </c>
      <c r="H202" s="388">
        <f>SUMIFS('2019'!$I:$I,'2019'!$E:$E,Category!$B$134,'2019'!$N:$N,Category!H$1,'2019'!$D:$D,Category!$C202)</f>
        <v>0</v>
      </c>
      <c r="I202" s="388">
        <f>SUMIFS('2019'!$I:$I,'2019'!$E:$E,Category!$B$134,'2019'!$N:$N,Category!I$1,'2019'!$D:$D,Category!$C202)</f>
        <v>0</v>
      </c>
      <c r="J202" s="389">
        <f t="shared" si="71"/>
        <v>0</v>
      </c>
      <c r="K202" s="506">
        <f>IFERROR(VLOOKUP($C202,'2020'!$D:$G,4,0),0)</f>
        <v>0</v>
      </c>
      <c r="L202" s="388">
        <f>SUMIFS('2020'!$I:$I,'2020'!$E:$E,Category!$B$134,'2020'!$N:$N,Category!L$1,'2020'!$D:$D,Category!$C202)</f>
        <v>0</v>
      </c>
      <c r="M202" s="388">
        <f>SUMIFS('2020'!$I:$I,'2020'!$E:$E,Category!$B$134,'2020'!$N:$N,Category!M$1,'2020'!$D:$D,Category!$C202)</f>
        <v>0</v>
      </c>
      <c r="N202" s="388">
        <f>SUMIFS('2020'!$I:$I,'2020'!$E:$E,Category!$B$134,'2020'!$N:$N,Category!N$1,'2020'!$D:$D,Category!$C202)</f>
        <v>0</v>
      </c>
      <c r="O202" s="388">
        <f>SUMIFS('2020'!$I:$I,'2020'!$E:$E,Category!$B$134,'2020'!$N:$N,Category!O$1,'2020'!$D:$D,Category!$C202)</f>
        <v>0</v>
      </c>
      <c r="P202" s="388">
        <f>SUMIFS('2020'!$I:$I,'2020'!$E:$E,Category!$B$134,'2020'!$N:$N,Category!P$1,'2020'!$D:$D,Category!$C202)</f>
        <v>0</v>
      </c>
      <c r="Q202" s="388">
        <f>SUMIFS('2020'!$I:$I,'2020'!$E:$E,Category!$B$134,'2020'!$N:$N,Category!Q$1,'2020'!$D:$D,Category!$C202)</f>
        <v>0</v>
      </c>
      <c r="R202" s="388">
        <f>SUMIFS('2020'!$I:$I,'2020'!$E:$E,Category!$B$134,'2020'!$N:$N,Category!R$1,'2020'!$D:$D,Category!$C202)</f>
        <v>0</v>
      </c>
      <c r="S202" s="388">
        <f>SUMIFS('2020'!$I:$I,'2020'!$E:$E,Category!$B$134,'2020'!$N:$N,Category!S$1,'2020'!$D:$D,Category!$C202)</f>
        <v>0</v>
      </c>
      <c r="T202" s="388">
        <f>SUMIFS('2020'!$I:$I,'2020'!$E:$E,Category!$B$134,'2020'!$N:$N,Category!T$1,'2020'!$D:$D,Category!$C202)</f>
        <v>0</v>
      </c>
      <c r="U202" s="388">
        <f>SUMIFS('2020'!$I:$I,'2020'!$E:$E,Category!$B$134,'2020'!$N:$N,Category!U$1,'2020'!$D:$D,Category!$C202)</f>
        <v>0</v>
      </c>
      <c r="V202" s="388">
        <f>SUMIFS('2020'!$I:$I,'2020'!$E:$E,Category!$B$134,'2020'!$N:$N,Category!V$1,'2020'!$D:$D,Category!$C202)</f>
        <v>0</v>
      </c>
      <c r="W202" s="388">
        <f>SUMIFS('2020'!$I:$I,'2020'!$E:$E,Category!$B$134,'2020'!$N:$N,Category!W$1,'2020'!$D:$D,Category!$C202)</f>
        <v>0</v>
      </c>
      <c r="X202" s="389">
        <f t="shared" si="68"/>
        <v>0</v>
      </c>
      <c r="Y202" s="506">
        <f>IFERROR(VLOOKUP(C202,'2021'!$D:$G,4,0),0)</f>
        <v>0</v>
      </c>
      <c r="Z202" s="388">
        <f>SUMIFS('2021'!$I:$I,'2021'!$E:$E,Category!$B$134,'2021'!$N:$N,Category!Z$1,'2021'!$D:$D,Category!$C202)</f>
        <v>0</v>
      </c>
      <c r="AA202" s="388">
        <f>SUMIFS('2021'!$I:$I,'2021'!$E:$E,Category!$B$134,'2021'!$N:$N,Category!AA$1,'2021'!$D:$D,Category!$C202)</f>
        <v>0</v>
      </c>
      <c r="AB202" s="388">
        <f>SUMIFS('2021'!$I:$I,'2021'!$E:$E,Category!$B$134,'2021'!$N:$N,Category!AB$1,'2021'!$D:$D,Category!$C202)</f>
        <v>0</v>
      </c>
      <c r="AC202" s="388">
        <f>SUMIFS('2021'!$I:$I,'2021'!$E:$E,Category!$B$134,'2021'!$N:$N,Category!AC$1,'2021'!$D:$D,Category!$C202)</f>
        <v>0</v>
      </c>
      <c r="AD202" s="388">
        <f>SUMIFS('2021'!$I:$I,'2021'!$E:$E,Category!$B$134,'2021'!$N:$N,Category!AD$1,'2021'!$D:$D,Category!$C202)</f>
        <v>0</v>
      </c>
      <c r="AE202" s="388">
        <f>SUMIFS('2021'!$I:$I,'2021'!$E:$E,Category!$B$134,'2021'!$N:$N,Category!AE$1,'2021'!$D:$D,Category!$C202)</f>
        <v>0</v>
      </c>
      <c r="AF202" s="388">
        <f>SUMIFS('2021'!$I:$I,'2021'!$E:$E,Category!$B$134,'2021'!$N:$N,Category!AF$1,'2021'!$D:$D,Category!$C202)</f>
        <v>0</v>
      </c>
      <c r="AG202" s="388">
        <f>SUMIFS('2021'!$I:$I,'2021'!$E:$E,Category!$B$134,'2021'!$N:$N,Category!AG$1,'2021'!$D:$D,Category!$C202)</f>
        <v>0</v>
      </c>
      <c r="AH202" s="388">
        <f>SUMIFS('2021'!$I:$I,'2021'!$E:$E,Category!$B$134,'2021'!$N:$N,Category!AH$1,'2021'!$D:$D,Category!$C202)</f>
        <v>0</v>
      </c>
      <c r="AI202" s="388">
        <f>SUMIFS('2021'!$I:$I,'2021'!$E:$E,Category!$B$134,'2021'!$N:$N,Category!AI$1,'2021'!$D:$D,Category!$C202)</f>
        <v>0</v>
      </c>
      <c r="AJ202" s="388">
        <f>SUMIFS('2021'!$I:$I,'2021'!$E:$E,Category!$B$134,'2021'!$N:$N,Category!AJ$1,'2021'!$D:$D,Category!$C202)</f>
        <v>0</v>
      </c>
      <c r="AK202" s="388">
        <f>SUMIFS('2021'!$I:$I,'2021'!$E:$E,Category!$B$134,'2021'!$N:$N,Category!AK$1,'2021'!$D:$D,Category!$C202)</f>
        <v>0</v>
      </c>
      <c r="AL202" s="389">
        <f t="shared" si="72"/>
        <v>0</v>
      </c>
      <c r="AM202" s="506">
        <f>IFERROR(VLOOKUP(C202,'2022'!$D:$G,4,0),0)</f>
        <v>0</v>
      </c>
      <c r="AN202" s="388">
        <f>SUMIFS('2022'!$I:$I,'2022'!$E:$E,Category!$B$134,'2022'!$N:$N,Category!AN$1,'2022'!$D:$D,Category!$C202)</f>
        <v>0</v>
      </c>
      <c r="AO202" s="388">
        <f>SUMIFS('2022'!$I:$I,'2022'!$E:$E,Category!$B$134,'2022'!$N:$N,Category!AO$1,'2022'!$D:$D,Category!$C202)</f>
        <v>0</v>
      </c>
      <c r="AP202" s="388">
        <f>SUMIFS('2022'!$I:$I,'2022'!$E:$E,Category!$B$134,'2022'!$N:$N,Category!AP$1,'2022'!$D:$D,Category!$C202)</f>
        <v>318500</v>
      </c>
      <c r="AQ202" s="388">
        <f>SUMIFS('2022'!$I:$I,'2022'!$E:$E,Category!$B$134,'2022'!$N:$N,Category!AQ$1,'2022'!$D:$D,Category!$C202)</f>
        <v>0</v>
      </c>
      <c r="AR202" s="388">
        <f>SUMIFS('2022'!$I:$I,'2022'!$E:$E,Category!$B$134,'2022'!$N:$N,Category!AR$1,'2022'!$D:$D,Category!$C202)</f>
        <v>0</v>
      </c>
      <c r="AS202" s="388">
        <f>SUMIFS('2022'!$I:$I,'2022'!$E:$E,Category!$B$134,'2022'!$N:$N,Category!AS$1,'2022'!$D:$D,Category!$C202)</f>
        <v>0</v>
      </c>
      <c r="AT202" s="388">
        <f>SUMIFS('2022'!$I:$I,'2022'!$E:$E,Category!$B$134,'2022'!$N:$N,Category!AT$1,'2022'!$D:$D,Category!$C202)</f>
        <v>0</v>
      </c>
      <c r="AU202" s="388">
        <f>SUMIFS('2022'!$I:$I,'2022'!$E:$E,Category!$B$134,'2022'!$N:$N,Category!AU$1,'2022'!$D:$D,Category!$C202)</f>
        <v>0</v>
      </c>
      <c r="AV202" s="388">
        <f>SUMIFS('2022'!$I:$I,'2022'!$E:$E,Category!$B$134,'2022'!$N:$N,Category!AV$1,'2022'!$D:$D,Category!$C202)</f>
        <v>0</v>
      </c>
      <c r="AW202" s="388">
        <f>SUMIFS('2022'!$I:$I,'2022'!$E:$E,Category!$B$134,'2022'!$N:$N,Category!AW$1,'2022'!$D:$D,Category!$C202)</f>
        <v>0</v>
      </c>
      <c r="AX202" s="388">
        <f>SUMIFS('2022'!$I:$I,'2022'!$E:$E,Category!$B$134,'2022'!$N:$N,Category!AX$1,'2022'!$D:$D,Category!$C202)</f>
        <v>0</v>
      </c>
      <c r="AY202" s="388">
        <f>SUMIFS('2022'!$I:$I,'2022'!$E:$E,Category!$B$134,'2022'!$N:$N,Category!AY$1,'2022'!$D:$D,Category!$C202)</f>
        <v>0</v>
      </c>
      <c r="AZ202" s="389">
        <f t="shared" si="77"/>
        <v>318500</v>
      </c>
      <c r="BA202" s="506">
        <f>IFERROR(VLOOKUP(C202,'2023'!$D:$G,4,0),0)</f>
        <v>0</v>
      </c>
      <c r="BB202" s="388">
        <f>SUMIFS('2023'!$I:$I,'2023'!$E:$E,Category!$B$134,'2023'!$N:$N,Category!BB$1,'2023'!$D:$D,Category!$C202)</f>
        <v>0</v>
      </c>
      <c r="BC202" s="388">
        <f>SUMIFS('2023'!$I:$I,'2023'!$E:$E,Category!$B$134,'2023'!$N:$N,Category!BC$1,'2023'!$D:$D,Category!$C202)</f>
        <v>0</v>
      </c>
      <c r="BD202" s="388">
        <f>SUMIFS('2023'!$I:$I,'2023'!$E:$E,Category!$B$134,'2023'!$N:$N,Category!BD$1,'2023'!$D:$D,Category!$C202)</f>
        <v>0</v>
      </c>
      <c r="BE202" s="388">
        <f>SUMIFS('2023'!$I:$I,'2023'!$E:$E,Category!$B$134,'2023'!$N:$N,Category!BE$1,'2023'!$D:$D,Category!$C202)</f>
        <v>0</v>
      </c>
      <c r="BF202" s="388">
        <f>SUMIFS('2023'!$I:$I,'2023'!$E:$E,Category!$B$134,'2023'!$N:$N,Category!BF$1,'2023'!$D:$D,Category!$C202)</f>
        <v>0</v>
      </c>
      <c r="BG202" s="388">
        <f>SUMIFS('2023'!$I:$I,'2023'!$E:$E,Category!$B$134,'2023'!$N:$N,Category!BG$1,'2023'!$D:$D,Category!$C202)</f>
        <v>0</v>
      </c>
      <c r="BH202" s="388">
        <f>SUMIFS('2023'!$I:$I,'2023'!$E:$E,Category!$B$134,'2023'!$N:$N,Category!BH$1,'2023'!$D:$D,Category!$C202)</f>
        <v>0</v>
      </c>
      <c r="BI202" s="388">
        <f>SUMIFS('2023'!$I:$I,'2023'!$E:$E,Category!$B$134,'2023'!$N:$N,Category!BI$1,'2023'!$D:$D,Category!$C202)</f>
        <v>0</v>
      </c>
      <c r="BJ202" s="388">
        <f>SUMIFS('2023'!$I:$I,'2023'!$E:$E,Category!$B$134,'2023'!$N:$N,Category!BJ$1,'2023'!$D:$D,Category!$C202)</f>
        <v>0</v>
      </c>
      <c r="BK202" s="388">
        <f>SUMIFS('2023'!$I:$I,'2023'!$E:$E,Category!$B$134,'2023'!$N:$N,Category!BK$1,'2023'!$D:$D,Category!$C202)</f>
        <v>0</v>
      </c>
      <c r="BL202" s="388">
        <f>SUMIFS('2023'!$I:$I,'2023'!$E:$E,Category!$B$134,'2023'!$N:$N,Category!BL$1,'2023'!$D:$D,Category!$C202)</f>
        <v>0</v>
      </c>
      <c r="BM202" s="388">
        <f>SUMIFS('2023'!$I:$I,'2023'!$E:$E,Category!$B$134,'2023'!$N:$N,Category!BM$1,'2023'!$D:$D,Category!$C202)</f>
        <v>0</v>
      </c>
      <c r="BN202" s="389">
        <f t="shared" si="69"/>
        <v>0</v>
      </c>
    </row>
    <row r="203" spans="1:66" x14ac:dyDescent="0.3">
      <c r="A203" s="392"/>
      <c r="B203" s="387"/>
      <c r="C203" s="387" t="s">
        <v>995</v>
      </c>
      <c r="D203" s="524">
        <f>IFERROR(VLOOKUP($C203,'2019'!$D:$G,4,0),0)</f>
        <v>0</v>
      </c>
      <c r="E203" s="388">
        <f>SUMIFS('2019'!$I:$I,'2019'!$E:$E,Category!$B$134,'2019'!$N:$N,Category!E$1,'2019'!$D:$D,Category!$C203)</f>
        <v>0</v>
      </c>
      <c r="F203" s="388">
        <f>SUMIFS('2019'!$I:$I,'2019'!$E:$E,Category!$B$134,'2019'!$N:$N,Category!F$1,'2019'!$D:$D,Category!$C203)</f>
        <v>0</v>
      </c>
      <c r="G203" s="388">
        <f>SUMIFS('2019'!$I:$I,'2019'!$E:$E,Category!$B$134,'2019'!$N:$N,Category!G$1,'2019'!$D:$D,Category!$C203)</f>
        <v>0</v>
      </c>
      <c r="H203" s="388">
        <f>SUMIFS('2019'!$I:$I,'2019'!$E:$E,Category!$B$134,'2019'!$N:$N,Category!H$1,'2019'!$D:$D,Category!$C203)</f>
        <v>0</v>
      </c>
      <c r="I203" s="388">
        <f>SUMIFS('2019'!$I:$I,'2019'!$E:$E,Category!$B$134,'2019'!$N:$N,Category!I$1,'2019'!$D:$D,Category!$C203)</f>
        <v>0</v>
      </c>
      <c r="J203" s="389">
        <f t="shared" si="71"/>
        <v>0</v>
      </c>
      <c r="K203" s="506">
        <f>IFERROR(VLOOKUP($C203,'2020'!$D:$G,4,0),0)</f>
        <v>0</v>
      </c>
      <c r="L203" s="388">
        <f>SUMIFS('2020'!$I:$I,'2020'!$E:$E,Category!$B$134,'2020'!$N:$N,Category!L$1,'2020'!$D:$D,Category!$C203)</f>
        <v>0</v>
      </c>
      <c r="M203" s="388">
        <f>SUMIFS('2020'!$I:$I,'2020'!$E:$E,Category!$B$134,'2020'!$N:$N,Category!M$1,'2020'!$D:$D,Category!$C203)</f>
        <v>0</v>
      </c>
      <c r="N203" s="388">
        <f>SUMIFS('2020'!$I:$I,'2020'!$E:$E,Category!$B$134,'2020'!$N:$N,Category!N$1,'2020'!$D:$D,Category!$C203)</f>
        <v>0</v>
      </c>
      <c r="O203" s="388">
        <f>SUMIFS('2020'!$I:$I,'2020'!$E:$E,Category!$B$134,'2020'!$N:$N,Category!O$1,'2020'!$D:$D,Category!$C203)</f>
        <v>0</v>
      </c>
      <c r="P203" s="388">
        <f>SUMIFS('2020'!$I:$I,'2020'!$E:$E,Category!$B$134,'2020'!$N:$N,Category!P$1,'2020'!$D:$D,Category!$C203)</f>
        <v>0</v>
      </c>
      <c r="Q203" s="388">
        <f>SUMIFS('2020'!$I:$I,'2020'!$E:$E,Category!$B$134,'2020'!$N:$N,Category!Q$1,'2020'!$D:$D,Category!$C203)</f>
        <v>0</v>
      </c>
      <c r="R203" s="388">
        <f>SUMIFS('2020'!$I:$I,'2020'!$E:$E,Category!$B$134,'2020'!$N:$N,Category!R$1,'2020'!$D:$D,Category!$C203)</f>
        <v>0</v>
      </c>
      <c r="S203" s="388">
        <f>SUMIFS('2020'!$I:$I,'2020'!$E:$E,Category!$B$134,'2020'!$N:$N,Category!S$1,'2020'!$D:$D,Category!$C203)</f>
        <v>0</v>
      </c>
      <c r="T203" s="388">
        <f>SUMIFS('2020'!$I:$I,'2020'!$E:$E,Category!$B$134,'2020'!$N:$N,Category!T$1,'2020'!$D:$D,Category!$C203)</f>
        <v>0</v>
      </c>
      <c r="U203" s="388">
        <f>SUMIFS('2020'!$I:$I,'2020'!$E:$E,Category!$B$134,'2020'!$N:$N,Category!U$1,'2020'!$D:$D,Category!$C203)</f>
        <v>0</v>
      </c>
      <c r="V203" s="388">
        <f>SUMIFS('2020'!$I:$I,'2020'!$E:$E,Category!$B$134,'2020'!$N:$N,Category!V$1,'2020'!$D:$D,Category!$C203)</f>
        <v>0</v>
      </c>
      <c r="W203" s="388">
        <f>SUMIFS('2020'!$I:$I,'2020'!$E:$E,Category!$B$134,'2020'!$N:$N,Category!W$1,'2020'!$D:$D,Category!$C203)</f>
        <v>0</v>
      </c>
      <c r="X203" s="389">
        <f t="shared" si="68"/>
        <v>0</v>
      </c>
      <c r="Y203" s="506">
        <f>IFERROR(VLOOKUP(C203,'2021'!$D:$G,4,0),0)</f>
        <v>0</v>
      </c>
      <c r="Z203" s="388">
        <f>SUMIFS('2021'!$I:$I,'2021'!$E:$E,Category!$B$134,'2021'!$N:$N,Category!Z$1,'2021'!$D:$D,Category!$C203)</f>
        <v>0</v>
      </c>
      <c r="AA203" s="388">
        <f>SUMIFS('2021'!$I:$I,'2021'!$E:$E,Category!$B$134,'2021'!$N:$N,Category!AA$1,'2021'!$D:$D,Category!$C203)</f>
        <v>0</v>
      </c>
      <c r="AB203" s="388">
        <f>SUMIFS('2021'!$I:$I,'2021'!$E:$E,Category!$B$134,'2021'!$N:$N,Category!AB$1,'2021'!$D:$D,Category!$C203)</f>
        <v>0</v>
      </c>
      <c r="AC203" s="388">
        <f>SUMIFS('2021'!$I:$I,'2021'!$E:$E,Category!$B$134,'2021'!$N:$N,Category!AC$1,'2021'!$D:$D,Category!$C203)</f>
        <v>0</v>
      </c>
      <c r="AD203" s="388">
        <f>SUMIFS('2021'!$I:$I,'2021'!$E:$E,Category!$B$134,'2021'!$N:$N,Category!AD$1,'2021'!$D:$D,Category!$C203)</f>
        <v>0</v>
      </c>
      <c r="AE203" s="388">
        <f>SUMIFS('2021'!$I:$I,'2021'!$E:$E,Category!$B$134,'2021'!$N:$N,Category!AE$1,'2021'!$D:$D,Category!$C203)</f>
        <v>0</v>
      </c>
      <c r="AF203" s="388">
        <f>SUMIFS('2021'!$I:$I,'2021'!$E:$E,Category!$B$134,'2021'!$N:$N,Category!AF$1,'2021'!$D:$D,Category!$C203)</f>
        <v>0</v>
      </c>
      <c r="AG203" s="388">
        <f>SUMIFS('2021'!$I:$I,'2021'!$E:$E,Category!$B$134,'2021'!$N:$N,Category!AG$1,'2021'!$D:$D,Category!$C203)</f>
        <v>0</v>
      </c>
      <c r="AH203" s="388">
        <f>SUMIFS('2021'!$I:$I,'2021'!$E:$E,Category!$B$134,'2021'!$N:$N,Category!AH$1,'2021'!$D:$D,Category!$C203)</f>
        <v>0</v>
      </c>
      <c r="AI203" s="388">
        <f>SUMIFS('2021'!$I:$I,'2021'!$E:$E,Category!$B$134,'2021'!$N:$N,Category!AI$1,'2021'!$D:$D,Category!$C203)</f>
        <v>0</v>
      </c>
      <c r="AJ203" s="388">
        <f>SUMIFS('2021'!$I:$I,'2021'!$E:$E,Category!$B$134,'2021'!$N:$N,Category!AJ$1,'2021'!$D:$D,Category!$C203)</f>
        <v>0</v>
      </c>
      <c r="AK203" s="388">
        <f>SUMIFS('2021'!$I:$I,'2021'!$E:$E,Category!$B$134,'2021'!$N:$N,Category!AK$1,'2021'!$D:$D,Category!$C203)</f>
        <v>0</v>
      </c>
      <c r="AL203" s="389">
        <f>SUM(Z203:AK203)</f>
        <v>0</v>
      </c>
      <c r="AM203" s="506">
        <f>IFERROR(VLOOKUP(C203,'2022'!$D:$G,4,0),0)</f>
        <v>0</v>
      </c>
      <c r="AN203" s="388">
        <f>SUMIFS('2022'!$I:$I,'2022'!$E:$E,Category!$B$134,'2022'!$N:$N,Category!AN$1,'2022'!$D:$D,Category!$C203)</f>
        <v>0</v>
      </c>
      <c r="AO203" s="388">
        <f>SUMIFS('2022'!$I:$I,'2022'!$E:$E,Category!$B$134,'2022'!$N:$N,Category!AO$1,'2022'!$D:$D,Category!$C203)</f>
        <v>0</v>
      </c>
      <c r="AP203" s="388">
        <f>SUMIFS('2022'!$I:$I,'2022'!$E:$E,Category!$B$134,'2022'!$N:$N,Category!AP$1,'2022'!$D:$D,Category!$C203)</f>
        <v>0</v>
      </c>
      <c r="AQ203" s="388">
        <f>SUMIFS('2022'!$I:$I,'2022'!$E:$E,Category!$B$134,'2022'!$N:$N,Category!AQ$1,'2022'!$D:$D,Category!$C203)</f>
        <v>0</v>
      </c>
      <c r="AR203" s="388">
        <f>SUMIFS('2022'!$I:$I,'2022'!$E:$E,Category!$B$134,'2022'!$N:$N,Category!AR$1,'2022'!$D:$D,Category!$C203)</f>
        <v>10000000</v>
      </c>
      <c r="AS203" s="388">
        <f>SUMIFS('2022'!$I:$I,'2022'!$E:$E,Category!$B$134,'2022'!$N:$N,Category!AS$1,'2022'!$D:$D,Category!$C203)</f>
        <v>0</v>
      </c>
      <c r="AT203" s="388">
        <f>SUMIFS('2022'!$I:$I,'2022'!$E:$E,Category!$B$134,'2022'!$N:$N,Category!AT$1,'2022'!$D:$D,Category!$C203)</f>
        <v>0</v>
      </c>
      <c r="AU203" s="388">
        <f>SUMIFS('2022'!$I:$I,'2022'!$E:$E,Category!$B$134,'2022'!$N:$N,Category!AU$1,'2022'!$D:$D,Category!$C203)</f>
        <v>0</v>
      </c>
      <c r="AV203" s="388">
        <f>SUMIFS('2022'!$I:$I,'2022'!$E:$E,Category!$B$134,'2022'!$N:$N,Category!AV$1,'2022'!$D:$D,Category!$C203)</f>
        <v>0</v>
      </c>
      <c r="AW203" s="388">
        <f>SUMIFS('2022'!$I:$I,'2022'!$E:$E,Category!$B$134,'2022'!$N:$N,Category!AW$1,'2022'!$D:$D,Category!$C203)</f>
        <v>0</v>
      </c>
      <c r="AX203" s="388">
        <f>SUMIFS('2022'!$I:$I,'2022'!$E:$E,Category!$B$134,'2022'!$N:$N,Category!AX$1,'2022'!$D:$D,Category!$C203)</f>
        <v>0</v>
      </c>
      <c r="AY203" s="388">
        <f>SUMIFS('2022'!$I:$I,'2022'!$E:$E,Category!$B$134,'2022'!$N:$N,Category!AY$1,'2022'!$D:$D,Category!$C203)</f>
        <v>0</v>
      </c>
      <c r="AZ203" s="389">
        <f t="shared" si="77"/>
        <v>10000000</v>
      </c>
      <c r="BA203" s="506">
        <f>IFERROR(VLOOKUP(C203,'2023'!$D:$G,4,0),0)</f>
        <v>0</v>
      </c>
      <c r="BB203" s="388">
        <f>SUMIFS('2023'!$I:$I,'2023'!$E:$E,Category!$B$134,'2023'!$N:$N,Category!BB$1,'2023'!$D:$D,Category!$C203)</f>
        <v>0</v>
      </c>
      <c r="BC203" s="388">
        <f>SUMIFS('2023'!$I:$I,'2023'!$E:$E,Category!$B$134,'2023'!$N:$N,Category!BC$1,'2023'!$D:$D,Category!$C203)</f>
        <v>0</v>
      </c>
      <c r="BD203" s="388">
        <f>SUMIFS('2023'!$I:$I,'2023'!$E:$E,Category!$B$134,'2023'!$N:$N,Category!BD$1,'2023'!$D:$D,Category!$C203)</f>
        <v>0</v>
      </c>
      <c r="BE203" s="388">
        <f>SUMIFS('2023'!$I:$I,'2023'!$E:$E,Category!$B$134,'2023'!$N:$N,Category!BE$1,'2023'!$D:$D,Category!$C203)</f>
        <v>0</v>
      </c>
      <c r="BF203" s="388">
        <f>SUMIFS('2023'!$I:$I,'2023'!$E:$E,Category!$B$134,'2023'!$N:$N,Category!BF$1,'2023'!$D:$D,Category!$C203)</f>
        <v>0</v>
      </c>
      <c r="BG203" s="388">
        <f>SUMIFS('2023'!$I:$I,'2023'!$E:$E,Category!$B$134,'2023'!$N:$N,Category!BG$1,'2023'!$D:$D,Category!$C203)</f>
        <v>0</v>
      </c>
      <c r="BH203" s="388">
        <f>SUMIFS('2023'!$I:$I,'2023'!$E:$E,Category!$B$134,'2023'!$N:$N,Category!BH$1,'2023'!$D:$D,Category!$C203)</f>
        <v>0</v>
      </c>
      <c r="BI203" s="388">
        <f>SUMIFS('2023'!$I:$I,'2023'!$E:$E,Category!$B$134,'2023'!$N:$N,Category!BI$1,'2023'!$D:$D,Category!$C203)</f>
        <v>0</v>
      </c>
      <c r="BJ203" s="388">
        <f>SUMIFS('2023'!$I:$I,'2023'!$E:$E,Category!$B$134,'2023'!$N:$N,Category!BJ$1,'2023'!$D:$D,Category!$C203)</f>
        <v>0</v>
      </c>
      <c r="BK203" s="388">
        <f>SUMIFS('2023'!$I:$I,'2023'!$E:$E,Category!$B$134,'2023'!$N:$N,Category!BK$1,'2023'!$D:$D,Category!$C203)</f>
        <v>0</v>
      </c>
      <c r="BL203" s="388">
        <f>SUMIFS('2023'!$I:$I,'2023'!$E:$E,Category!$B$134,'2023'!$N:$N,Category!BL$1,'2023'!$D:$D,Category!$C203)</f>
        <v>0</v>
      </c>
      <c r="BM203" s="388">
        <f>SUMIFS('2023'!$I:$I,'2023'!$E:$E,Category!$B$134,'2023'!$N:$N,Category!BM$1,'2023'!$D:$D,Category!$C203)</f>
        <v>0</v>
      </c>
      <c r="BN203" s="389">
        <f t="shared" si="69"/>
        <v>0</v>
      </c>
    </row>
    <row r="204" spans="1:66" x14ac:dyDescent="0.3">
      <c r="A204" s="392"/>
      <c r="B204" s="387"/>
      <c r="C204" s="387" t="s">
        <v>1104</v>
      </c>
      <c r="D204" s="524">
        <f>IFERROR(VLOOKUP($C204,'2019'!$D:$G,4,0),0)</f>
        <v>0</v>
      </c>
      <c r="E204" s="388">
        <f>SUMIFS('2019'!$I:$I,'2019'!$E:$E,Category!$B$134,'2019'!$N:$N,Category!E$1,'2019'!$D:$D,Category!$C204)</f>
        <v>0</v>
      </c>
      <c r="F204" s="388">
        <f>SUMIFS('2019'!$I:$I,'2019'!$E:$E,Category!$B$134,'2019'!$N:$N,Category!F$1,'2019'!$D:$D,Category!$C204)</f>
        <v>0</v>
      </c>
      <c r="G204" s="388">
        <f>SUMIFS('2019'!$I:$I,'2019'!$E:$E,Category!$B$134,'2019'!$N:$N,Category!G$1,'2019'!$D:$D,Category!$C204)</f>
        <v>0</v>
      </c>
      <c r="H204" s="388">
        <f>SUMIFS('2019'!$I:$I,'2019'!$E:$E,Category!$B$134,'2019'!$N:$N,Category!H$1,'2019'!$D:$D,Category!$C204)</f>
        <v>0</v>
      </c>
      <c r="I204" s="388">
        <f>SUMIFS('2019'!$I:$I,'2019'!$E:$E,Category!$B$134,'2019'!$N:$N,Category!I$1,'2019'!$D:$D,Category!$C204)</f>
        <v>0</v>
      </c>
      <c r="J204" s="389">
        <f t="shared" si="71"/>
        <v>0</v>
      </c>
      <c r="K204" s="506">
        <f>IFERROR(VLOOKUP($C204,'2020'!$D:$G,4,0),0)</f>
        <v>0</v>
      </c>
      <c r="L204" s="388">
        <f>SUMIFS('2020'!$I:$I,'2020'!$E:$E,Category!$B$134,'2020'!$N:$N,Category!L$1,'2020'!$D:$D,Category!$C204)</f>
        <v>0</v>
      </c>
      <c r="M204" s="388">
        <f>SUMIFS('2020'!$I:$I,'2020'!$E:$E,Category!$B$134,'2020'!$N:$N,Category!M$1,'2020'!$D:$D,Category!$C204)</f>
        <v>0</v>
      </c>
      <c r="N204" s="388">
        <f>SUMIFS('2020'!$I:$I,'2020'!$E:$E,Category!$B$134,'2020'!$N:$N,Category!N$1,'2020'!$D:$D,Category!$C204)</f>
        <v>0</v>
      </c>
      <c r="O204" s="388">
        <f>SUMIFS('2020'!$I:$I,'2020'!$E:$E,Category!$B$134,'2020'!$N:$N,Category!O$1,'2020'!$D:$D,Category!$C204)</f>
        <v>0</v>
      </c>
      <c r="P204" s="388">
        <f>SUMIFS('2020'!$I:$I,'2020'!$E:$E,Category!$B$134,'2020'!$N:$N,Category!P$1,'2020'!$D:$D,Category!$C204)</f>
        <v>0</v>
      </c>
      <c r="Q204" s="388">
        <f>SUMIFS('2020'!$I:$I,'2020'!$E:$E,Category!$B$134,'2020'!$N:$N,Category!Q$1,'2020'!$D:$D,Category!$C204)</f>
        <v>0</v>
      </c>
      <c r="R204" s="388">
        <f>SUMIFS('2020'!$I:$I,'2020'!$E:$E,Category!$B$134,'2020'!$N:$N,Category!R$1,'2020'!$D:$D,Category!$C204)</f>
        <v>0</v>
      </c>
      <c r="S204" s="388">
        <f>SUMIFS('2020'!$I:$I,'2020'!$E:$E,Category!$B$134,'2020'!$N:$N,Category!S$1,'2020'!$D:$D,Category!$C204)</f>
        <v>0</v>
      </c>
      <c r="T204" s="388">
        <f>SUMIFS('2020'!$I:$I,'2020'!$E:$E,Category!$B$134,'2020'!$N:$N,Category!T$1,'2020'!$D:$D,Category!$C204)</f>
        <v>0</v>
      </c>
      <c r="U204" s="388">
        <f>SUMIFS('2020'!$I:$I,'2020'!$E:$E,Category!$B$134,'2020'!$N:$N,Category!U$1,'2020'!$D:$D,Category!$C204)</f>
        <v>0</v>
      </c>
      <c r="V204" s="388">
        <f>SUMIFS('2020'!$I:$I,'2020'!$E:$E,Category!$B$134,'2020'!$N:$N,Category!V$1,'2020'!$D:$D,Category!$C204)</f>
        <v>0</v>
      </c>
      <c r="W204" s="388">
        <f>SUMIFS('2020'!$I:$I,'2020'!$E:$E,Category!$B$134,'2020'!$N:$N,Category!W$1,'2020'!$D:$D,Category!$C204)</f>
        <v>0</v>
      </c>
      <c r="X204" s="389">
        <f>SUM(L204:W204)</f>
        <v>0</v>
      </c>
      <c r="Y204" s="506">
        <f>IFERROR(VLOOKUP(C204,'2021'!$D:$G,4,0),0)</f>
        <v>0</v>
      </c>
      <c r="Z204" s="388">
        <f>SUMIFS('2021'!$I:$I,'2021'!$E:$E,Category!$B$134,'2021'!$N:$N,Category!Z$1,'2021'!$D:$D,Category!$C204)</f>
        <v>0</v>
      </c>
      <c r="AA204" s="388">
        <f>SUMIFS('2021'!$I:$I,'2021'!$E:$E,Category!$B$134,'2021'!$N:$N,Category!AA$1,'2021'!$D:$D,Category!$C204)</f>
        <v>0</v>
      </c>
      <c r="AB204" s="388">
        <f>SUMIFS('2021'!$I:$I,'2021'!$E:$E,Category!$B$134,'2021'!$N:$N,Category!AB$1,'2021'!$D:$D,Category!$C204)</f>
        <v>0</v>
      </c>
      <c r="AC204" s="388">
        <f>SUMIFS('2021'!$I:$I,'2021'!$E:$E,Category!$B$134,'2021'!$N:$N,Category!AC$1,'2021'!$D:$D,Category!$C204)</f>
        <v>0</v>
      </c>
      <c r="AD204" s="388">
        <f>SUMIFS('2021'!$I:$I,'2021'!$E:$E,Category!$B$134,'2021'!$N:$N,Category!AD$1,'2021'!$D:$D,Category!$C204)</f>
        <v>0</v>
      </c>
      <c r="AE204" s="388">
        <f>SUMIFS('2021'!$I:$I,'2021'!$E:$E,Category!$B$134,'2021'!$N:$N,Category!AE$1,'2021'!$D:$D,Category!$C204)</f>
        <v>0</v>
      </c>
      <c r="AF204" s="388">
        <f>SUMIFS('2021'!$I:$I,'2021'!$E:$E,Category!$B$134,'2021'!$N:$N,Category!AF$1,'2021'!$D:$D,Category!$C204)</f>
        <v>0</v>
      </c>
      <c r="AG204" s="388">
        <f>SUMIFS('2021'!$I:$I,'2021'!$E:$E,Category!$B$134,'2021'!$N:$N,Category!AG$1,'2021'!$D:$D,Category!$C204)</f>
        <v>0</v>
      </c>
      <c r="AH204" s="388">
        <f>SUMIFS('2021'!$I:$I,'2021'!$E:$E,Category!$B$134,'2021'!$N:$N,Category!AH$1,'2021'!$D:$D,Category!$C204)</f>
        <v>0</v>
      </c>
      <c r="AI204" s="388">
        <f>SUMIFS('2021'!$I:$I,'2021'!$E:$E,Category!$B$134,'2021'!$N:$N,Category!AI$1,'2021'!$D:$D,Category!$C204)</f>
        <v>0</v>
      </c>
      <c r="AJ204" s="388">
        <f>SUMIFS('2021'!$I:$I,'2021'!$E:$E,Category!$B$134,'2021'!$N:$N,Category!AJ$1,'2021'!$D:$D,Category!$C204)</f>
        <v>0</v>
      </c>
      <c r="AK204" s="388">
        <f>SUMIFS('2021'!$I:$I,'2021'!$E:$E,Category!$B$134,'2021'!$N:$N,Category!AK$1,'2021'!$D:$D,Category!$C204)</f>
        <v>0</v>
      </c>
      <c r="AL204" s="389">
        <f>SUM(Z204:AK204)</f>
        <v>0</v>
      </c>
      <c r="AM204" s="506">
        <f>IFERROR(VLOOKUP(C204,'2022'!$D:$G,4,0),0)</f>
        <v>0</v>
      </c>
      <c r="AN204" s="388">
        <f>SUMIFS('2022'!$I:$I,'2022'!$E:$E,Category!$B$134,'2022'!$N:$N,Category!AN$1,'2022'!$D:$D,Category!$C204)</f>
        <v>0</v>
      </c>
      <c r="AO204" s="388">
        <f>SUMIFS('2022'!$I:$I,'2022'!$E:$E,Category!$B$134,'2022'!$N:$N,Category!AO$1,'2022'!$D:$D,Category!$C204)</f>
        <v>0</v>
      </c>
      <c r="AP204" s="388">
        <f>SUMIFS('2022'!$I:$I,'2022'!$E:$E,Category!$B$134,'2022'!$N:$N,Category!AP$1,'2022'!$D:$D,Category!$C204)</f>
        <v>0</v>
      </c>
      <c r="AQ204" s="388">
        <f>SUMIFS('2022'!$I:$I,'2022'!$E:$E,Category!$B$134,'2022'!$N:$N,Category!AQ$1,'2022'!$D:$D,Category!$C204)</f>
        <v>0</v>
      </c>
      <c r="AR204" s="388">
        <f>SUMIFS('2022'!$I:$I,'2022'!$E:$E,Category!$B$134,'2022'!$N:$N,Category!AR$1,'2022'!$D:$D,Category!$C204)</f>
        <v>0</v>
      </c>
      <c r="AS204" s="388">
        <f>SUMIFS('2022'!$I:$I,'2022'!$E:$E,Category!$B$134,'2022'!$N:$N,Category!AS$1,'2022'!$D:$D,Category!$C204)</f>
        <v>1508700</v>
      </c>
      <c r="AT204" s="388">
        <f>SUMIFS('2022'!$I:$I,'2022'!$E:$E,Category!$B$134,'2022'!$N:$N,Category!AT$1,'2022'!$D:$D,Category!$C204)</f>
        <v>0</v>
      </c>
      <c r="AU204" s="388">
        <f>SUMIFS('2022'!$I:$I,'2022'!$E:$E,Category!$B$134,'2022'!$N:$N,Category!AU$1,'2022'!$D:$D,Category!$C204)</f>
        <v>0</v>
      </c>
      <c r="AV204" s="388">
        <f>SUMIFS('2022'!$I:$I,'2022'!$E:$E,Category!$B$134,'2022'!$N:$N,Category!AV$1,'2022'!$D:$D,Category!$C204)</f>
        <v>0</v>
      </c>
      <c r="AW204" s="388">
        <f>SUMIFS('2022'!$I:$I,'2022'!$E:$E,Category!$B$134,'2022'!$N:$N,Category!AW$1,'2022'!$D:$D,Category!$C204)</f>
        <v>0</v>
      </c>
      <c r="AX204" s="388">
        <f>SUMIFS('2022'!$I:$I,'2022'!$E:$E,Category!$B$134,'2022'!$N:$N,Category!AX$1,'2022'!$D:$D,Category!$C204)</f>
        <v>0</v>
      </c>
      <c r="AY204" s="388">
        <f>SUMIFS('2022'!$I:$I,'2022'!$E:$E,Category!$B$134,'2022'!$N:$N,Category!AY$1,'2022'!$D:$D,Category!$C204)</f>
        <v>0</v>
      </c>
      <c r="AZ204" s="389">
        <f t="shared" si="77"/>
        <v>1508700</v>
      </c>
      <c r="BA204" s="506">
        <f>IFERROR(VLOOKUP(C204,'2023'!$D:$G,4,0),0)</f>
        <v>0</v>
      </c>
      <c r="BB204" s="388">
        <f>SUMIFS('2023'!$I:$I,'2023'!$E:$E,Category!$B$134,'2023'!$N:$N,Category!BB$1,'2023'!$D:$D,Category!$C204)</f>
        <v>0</v>
      </c>
      <c r="BC204" s="388">
        <f>SUMIFS('2023'!$I:$I,'2023'!$E:$E,Category!$B$134,'2023'!$N:$N,Category!BC$1,'2023'!$D:$D,Category!$C204)</f>
        <v>0</v>
      </c>
      <c r="BD204" s="388">
        <f>SUMIFS('2023'!$I:$I,'2023'!$E:$E,Category!$B$134,'2023'!$N:$N,Category!BD$1,'2023'!$D:$D,Category!$C204)</f>
        <v>0</v>
      </c>
      <c r="BE204" s="388">
        <f>SUMIFS('2023'!$I:$I,'2023'!$E:$E,Category!$B$134,'2023'!$N:$N,Category!BE$1,'2023'!$D:$D,Category!$C204)</f>
        <v>0</v>
      </c>
      <c r="BF204" s="388">
        <f>SUMIFS('2023'!$I:$I,'2023'!$E:$E,Category!$B$134,'2023'!$N:$N,Category!BF$1,'2023'!$D:$D,Category!$C204)</f>
        <v>0</v>
      </c>
      <c r="BG204" s="388">
        <f>SUMIFS('2023'!$I:$I,'2023'!$E:$E,Category!$B$134,'2023'!$N:$N,Category!BG$1,'2023'!$D:$D,Category!$C204)</f>
        <v>0</v>
      </c>
      <c r="BH204" s="388">
        <f>SUMIFS('2023'!$I:$I,'2023'!$E:$E,Category!$B$134,'2023'!$N:$N,Category!BH$1,'2023'!$D:$D,Category!$C204)</f>
        <v>0</v>
      </c>
      <c r="BI204" s="388">
        <f>SUMIFS('2023'!$I:$I,'2023'!$E:$E,Category!$B$134,'2023'!$N:$N,Category!BI$1,'2023'!$D:$D,Category!$C204)</f>
        <v>0</v>
      </c>
      <c r="BJ204" s="388">
        <f>SUMIFS('2023'!$I:$I,'2023'!$E:$E,Category!$B$134,'2023'!$N:$N,Category!BJ$1,'2023'!$D:$D,Category!$C204)</f>
        <v>0</v>
      </c>
      <c r="BK204" s="388">
        <f>SUMIFS('2023'!$I:$I,'2023'!$E:$E,Category!$B$134,'2023'!$N:$N,Category!BK$1,'2023'!$D:$D,Category!$C204)</f>
        <v>0</v>
      </c>
      <c r="BL204" s="388">
        <f>SUMIFS('2023'!$I:$I,'2023'!$E:$E,Category!$B$134,'2023'!$N:$N,Category!BL$1,'2023'!$D:$D,Category!$C204)</f>
        <v>0</v>
      </c>
      <c r="BM204" s="388">
        <f>SUMIFS('2023'!$I:$I,'2023'!$E:$E,Category!$B$134,'2023'!$N:$N,Category!BM$1,'2023'!$D:$D,Category!$C204)</f>
        <v>0</v>
      </c>
      <c r="BN204" s="389">
        <f t="shared" si="69"/>
        <v>0</v>
      </c>
    </row>
    <row r="205" spans="1:66" ht="39.75" x14ac:dyDescent="0.3">
      <c r="A205" s="392"/>
      <c r="B205" s="387"/>
      <c r="C205" s="387" t="s">
        <v>1279</v>
      </c>
      <c r="D205" s="524">
        <f>IFERROR(VLOOKUP($C205,'2019'!$D:$G,4,0),0)</f>
        <v>0</v>
      </c>
      <c r="E205" s="388">
        <f>SUMIFS('2019'!$I:$I,'2019'!$E:$E,Category!$B$134,'2019'!$N:$N,Category!E$1,'2019'!$D:$D,Category!$C205)</f>
        <v>0</v>
      </c>
      <c r="F205" s="388">
        <f>SUMIFS('2019'!$I:$I,'2019'!$E:$E,Category!$B$134,'2019'!$N:$N,Category!F$1,'2019'!$D:$D,Category!$C205)</f>
        <v>0</v>
      </c>
      <c r="G205" s="388">
        <f>SUMIFS('2019'!$I:$I,'2019'!$E:$E,Category!$B$134,'2019'!$N:$N,Category!G$1,'2019'!$D:$D,Category!$C205)</f>
        <v>0</v>
      </c>
      <c r="H205" s="388">
        <f>SUMIFS('2019'!$I:$I,'2019'!$E:$E,Category!$B$134,'2019'!$N:$N,Category!H$1,'2019'!$D:$D,Category!$C205)</f>
        <v>0</v>
      </c>
      <c r="I205" s="388">
        <f>SUMIFS('2019'!$I:$I,'2019'!$E:$E,Category!$B$134,'2019'!$N:$N,Category!I$1,'2019'!$D:$D,Category!$C205)</f>
        <v>0</v>
      </c>
      <c r="J205" s="389">
        <f t="shared" si="71"/>
        <v>0</v>
      </c>
      <c r="K205" s="506">
        <f>IFERROR(VLOOKUP($C205,'2020'!$D:$G,4,0),0)</f>
        <v>0</v>
      </c>
      <c r="L205" s="388">
        <f>SUMIFS('2020'!$I:$I,'2020'!$E:$E,Category!$B$134,'2020'!$N:$N,Category!L$1,'2020'!$D:$D,Category!$C205)</f>
        <v>0</v>
      </c>
      <c r="M205" s="388">
        <f>SUMIFS('2020'!$I:$I,'2020'!$E:$E,Category!$B$134,'2020'!$N:$N,Category!M$1,'2020'!$D:$D,Category!$C205)</f>
        <v>0</v>
      </c>
      <c r="N205" s="388">
        <f>SUMIFS('2020'!$I:$I,'2020'!$E:$E,Category!$B$134,'2020'!$N:$N,Category!N$1,'2020'!$D:$D,Category!$C205)</f>
        <v>0</v>
      </c>
      <c r="O205" s="388">
        <f>SUMIFS('2020'!$I:$I,'2020'!$E:$E,Category!$B$134,'2020'!$N:$N,Category!O$1,'2020'!$D:$D,Category!$C205)</f>
        <v>0</v>
      </c>
      <c r="P205" s="388">
        <f>SUMIFS('2020'!$I:$I,'2020'!$E:$E,Category!$B$134,'2020'!$N:$N,Category!P$1,'2020'!$D:$D,Category!$C205)</f>
        <v>0</v>
      </c>
      <c r="Q205" s="388">
        <f>SUMIFS('2020'!$I:$I,'2020'!$E:$E,Category!$B$134,'2020'!$N:$N,Category!Q$1,'2020'!$D:$D,Category!$C205)</f>
        <v>0</v>
      </c>
      <c r="R205" s="388">
        <f>SUMIFS('2020'!$I:$I,'2020'!$E:$E,Category!$B$134,'2020'!$N:$N,Category!R$1,'2020'!$D:$D,Category!$C205)</f>
        <v>0</v>
      </c>
      <c r="S205" s="388">
        <f>SUMIFS('2020'!$I:$I,'2020'!$E:$E,Category!$B$134,'2020'!$N:$N,Category!S$1,'2020'!$D:$D,Category!$C205)</f>
        <v>0</v>
      </c>
      <c r="T205" s="388">
        <f>SUMIFS('2020'!$I:$I,'2020'!$E:$E,Category!$B$134,'2020'!$N:$N,Category!T$1,'2020'!$D:$D,Category!$C205)</f>
        <v>0</v>
      </c>
      <c r="U205" s="388">
        <f>SUMIFS('2020'!$I:$I,'2020'!$E:$E,Category!$B$134,'2020'!$N:$N,Category!U$1,'2020'!$D:$D,Category!$C205)</f>
        <v>0</v>
      </c>
      <c r="V205" s="388">
        <f>SUMIFS('2020'!$I:$I,'2020'!$E:$E,Category!$B$134,'2020'!$N:$N,Category!V$1,'2020'!$D:$D,Category!$C205)</f>
        <v>0</v>
      </c>
      <c r="W205" s="388">
        <f>SUMIFS('2020'!$I:$I,'2020'!$E:$E,Category!$B$134,'2020'!$N:$N,Category!W$1,'2020'!$D:$D,Category!$C205)</f>
        <v>0</v>
      </c>
      <c r="X205" s="389">
        <f>SUM(L205:W205)</f>
        <v>0</v>
      </c>
      <c r="Y205" s="506">
        <f>IFERROR(VLOOKUP(C205,'2021'!$D:$G,4,0),0)</f>
        <v>0</v>
      </c>
      <c r="Z205" s="388">
        <f>SUMIFS('2021'!$I:$I,'2021'!$E:$E,Category!$B$134,'2021'!$N:$N,Category!Z$1,'2021'!$D:$D,Category!$C205)</f>
        <v>0</v>
      </c>
      <c r="AA205" s="388">
        <f>SUMIFS('2021'!$I:$I,'2021'!$E:$E,Category!$B$134,'2021'!$N:$N,Category!AA$1,'2021'!$D:$D,Category!$C205)</f>
        <v>0</v>
      </c>
      <c r="AB205" s="388">
        <f>SUMIFS('2021'!$I:$I,'2021'!$E:$E,Category!$B$134,'2021'!$N:$N,Category!AB$1,'2021'!$D:$D,Category!$C205)</f>
        <v>0</v>
      </c>
      <c r="AC205" s="388">
        <f>SUMIFS('2021'!$I:$I,'2021'!$E:$E,Category!$B$134,'2021'!$N:$N,Category!AC$1,'2021'!$D:$D,Category!$C205)</f>
        <v>0</v>
      </c>
      <c r="AD205" s="388">
        <f>SUMIFS('2021'!$I:$I,'2021'!$E:$E,Category!$B$134,'2021'!$N:$N,Category!AD$1,'2021'!$D:$D,Category!$C205)</f>
        <v>0</v>
      </c>
      <c r="AE205" s="388">
        <f>SUMIFS('2021'!$I:$I,'2021'!$E:$E,Category!$B$134,'2021'!$N:$N,Category!AE$1,'2021'!$D:$D,Category!$C205)</f>
        <v>0</v>
      </c>
      <c r="AF205" s="388">
        <f>SUMIFS('2021'!$I:$I,'2021'!$E:$E,Category!$B$134,'2021'!$N:$N,Category!AF$1,'2021'!$D:$D,Category!$C205)</f>
        <v>0</v>
      </c>
      <c r="AG205" s="388">
        <f>SUMIFS('2021'!$I:$I,'2021'!$E:$E,Category!$B$134,'2021'!$N:$N,Category!AG$1,'2021'!$D:$D,Category!$C205)</f>
        <v>0</v>
      </c>
      <c r="AH205" s="388">
        <f>SUMIFS('2021'!$I:$I,'2021'!$E:$E,Category!$B$134,'2021'!$N:$N,Category!AH$1,'2021'!$D:$D,Category!$C205)</f>
        <v>0</v>
      </c>
      <c r="AI205" s="388">
        <f>SUMIFS('2021'!$I:$I,'2021'!$E:$E,Category!$B$134,'2021'!$N:$N,Category!AI$1,'2021'!$D:$D,Category!$C205)</f>
        <v>0</v>
      </c>
      <c r="AJ205" s="388">
        <f>SUMIFS('2021'!$I:$I,'2021'!$E:$E,Category!$B$134,'2021'!$N:$N,Category!AJ$1,'2021'!$D:$D,Category!$C205)</f>
        <v>0</v>
      </c>
      <c r="AK205" s="388">
        <f>SUMIFS('2021'!$I:$I,'2021'!$E:$E,Category!$B$134,'2021'!$N:$N,Category!AK$1,'2021'!$D:$D,Category!$C205)</f>
        <v>0</v>
      </c>
      <c r="AL205" s="389">
        <f>SUM(Z205:AK205)</f>
        <v>0</v>
      </c>
      <c r="AM205" s="506">
        <f>IFERROR(VLOOKUP(C205,'2022'!$D:$G,4,0),0)</f>
        <v>1</v>
      </c>
      <c r="AN205" s="388">
        <f>SUMIFS('2022'!$I:$I,'2022'!$E:$E,Category!$B$134,'2022'!$N:$N,Category!AN$1,'2022'!$D:$D,Category!$C205)</f>
        <v>0</v>
      </c>
      <c r="AO205" s="388">
        <f>SUMIFS('2022'!$I:$I,'2022'!$E:$E,Category!$B$134,'2022'!$N:$N,Category!AO$1,'2022'!$D:$D,Category!$C205)</f>
        <v>0</v>
      </c>
      <c r="AP205" s="388">
        <f>SUMIFS('2022'!$I:$I,'2022'!$E:$E,Category!$B$134,'2022'!$N:$N,Category!AP$1,'2022'!$D:$D,Category!$C205)</f>
        <v>0</v>
      </c>
      <c r="AQ205" s="388">
        <f>SUMIFS('2022'!$I:$I,'2022'!$E:$E,Category!$B$134,'2022'!$N:$N,Category!AQ$1,'2022'!$D:$D,Category!$C205)</f>
        <v>0</v>
      </c>
      <c r="AR205" s="388">
        <f>SUMIFS('2022'!$I:$I,'2022'!$E:$E,Category!$B$134,'2022'!$N:$N,Category!AR$1,'2022'!$D:$D,Category!$C205)</f>
        <v>0</v>
      </c>
      <c r="AS205" s="388">
        <f>SUMIFS('2022'!$I:$I,'2022'!$E:$E,Category!$B$134,'2022'!$N:$N,Category!AS$1,'2022'!$D:$D,Category!$C205)</f>
        <v>0</v>
      </c>
      <c r="AT205" s="388">
        <f>SUMIFS('2022'!$I:$I,'2022'!$E:$E,Category!$B$134,'2022'!$N:$N,Category!AT$1,'2022'!$D:$D,Category!$C205)</f>
        <v>0</v>
      </c>
      <c r="AU205" s="388">
        <f>SUMIFS('2022'!$I:$I,'2022'!$E:$E,Category!$B$134,'2022'!$N:$N,Category!AU$1,'2022'!$D:$D,Category!$C205)</f>
        <v>35000000</v>
      </c>
      <c r="AV205" s="388">
        <f>SUMIFS('2022'!$I:$I,'2022'!$E:$E,Category!$B$134,'2022'!$N:$N,Category!AV$1,'2022'!$D:$D,Category!$C205)</f>
        <v>0</v>
      </c>
      <c r="AW205" s="388">
        <f>SUMIFS('2022'!$I:$I,'2022'!$E:$E,Category!$B$134,'2022'!$N:$N,Category!AW$1,'2022'!$D:$D,Category!$C205)</f>
        <v>0</v>
      </c>
      <c r="AX205" s="388">
        <f>SUMIFS('2022'!$I:$I,'2022'!$E:$E,Category!$B$134,'2022'!$N:$N,Category!AX$1,'2022'!$D:$D,Category!$C205)</f>
        <v>0</v>
      </c>
      <c r="AY205" s="388">
        <f>SUMIFS('2022'!$I:$I,'2022'!$E:$E,Category!$B$134,'2022'!$N:$N,Category!AY$1,'2022'!$D:$D,Category!$C205)</f>
        <v>0</v>
      </c>
      <c r="AZ205" s="389">
        <f t="shared" si="77"/>
        <v>35000000</v>
      </c>
      <c r="BA205" s="506">
        <f>IFERROR(VLOOKUP(C205,'2023'!$D:$G,4,0),0)</f>
        <v>0</v>
      </c>
      <c r="BB205" s="388">
        <f>SUMIFS('2023'!$I:$I,'2023'!$E:$E,Category!$B$134,'2023'!$N:$N,Category!BB$1,'2023'!$D:$D,Category!$C205)</f>
        <v>0</v>
      </c>
      <c r="BC205" s="388">
        <f>SUMIFS('2023'!$I:$I,'2023'!$E:$E,Category!$B$134,'2023'!$N:$N,Category!BC$1,'2023'!$D:$D,Category!$C205)</f>
        <v>0</v>
      </c>
      <c r="BD205" s="388">
        <f>SUMIFS('2023'!$I:$I,'2023'!$E:$E,Category!$B$134,'2023'!$N:$N,Category!BD$1,'2023'!$D:$D,Category!$C205)</f>
        <v>0</v>
      </c>
      <c r="BE205" s="388">
        <f>SUMIFS('2023'!$I:$I,'2023'!$E:$E,Category!$B$134,'2023'!$N:$N,Category!BE$1,'2023'!$D:$D,Category!$C205)</f>
        <v>0</v>
      </c>
      <c r="BF205" s="388">
        <f>SUMIFS('2023'!$I:$I,'2023'!$E:$E,Category!$B$134,'2023'!$N:$N,Category!BF$1,'2023'!$D:$D,Category!$C205)</f>
        <v>0</v>
      </c>
      <c r="BG205" s="388">
        <f>SUMIFS('2023'!$I:$I,'2023'!$E:$E,Category!$B$134,'2023'!$N:$N,Category!BG$1,'2023'!$D:$D,Category!$C205)</f>
        <v>0</v>
      </c>
      <c r="BH205" s="388">
        <f>SUMIFS('2023'!$I:$I,'2023'!$E:$E,Category!$B$134,'2023'!$N:$N,Category!BH$1,'2023'!$D:$D,Category!$C205)</f>
        <v>0</v>
      </c>
      <c r="BI205" s="388">
        <f>SUMIFS('2023'!$I:$I,'2023'!$E:$E,Category!$B$134,'2023'!$N:$N,Category!BI$1,'2023'!$D:$D,Category!$C205)</f>
        <v>0</v>
      </c>
      <c r="BJ205" s="388">
        <f>SUMIFS('2023'!$I:$I,'2023'!$E:$E,Category!$B$134,'2023'!$N:$N,Category!BJ$1,'2023'!$D:$D,Category!$C205)</f>
        <v>0</v>
      </c>
      <c r="BK205" s="388">
        <f>SUMIFS('2023'!$I:$I,'2023'!$E:$E,Category!$B$134,'2023'!$N:$N,Category!BK$1,'2023'!$D:$D,Category!$C205)</f>
        <v>0</v>
      </c>
      <c r="BL205" s="388">
        <f>SUMIFS('2023'!$I:$I,'2023'!$E:$E,Category!$B$134,'2023'!$N:$N,Category!BL$1,'2023'!$D:$D,Category!$C205)</f>
        <v>0</v>
      </c>
      <c r="BM205" s="388">
        <f>SUMIFS('2023'!$I:$I,'2023'!$E:$E,Category!$B$134,'2023'!$N:$N,Category!BM$1,'2023'!$D:$D,Category!$C205)</f>
        <v>0</v>
      </c>
      <c r="BN205" s="389">
        <f t="shared" si="69"/>
        <v>0</v>
      </c>
    </row>
    <row r="206" spans="1:66" x14ac:dyDescent="0.3">
      <c r="A206" s="392"/>
      <c r="B206" s="387"/>
      <c r="C206" s="387" t="s">
        <v>1485</v>
      </c>
      <c r="D206" s="524">
        <f>IFERROR(VLOOKUP($C206,'2019'!$D:$G,4,0),0)</f>
        <v>0</v>
      </c>
      <c r="E206" s="388">
        <f>SUMIFS('2019'!$I:$I,'2019'!$E:$E,Category!$B$134,'2019'!$N:$N,Category!E$1,'2019'!$D:$D,Category!$C206)</f>
        <v>0</v>
      </c>
      <c r="F206" s="388">
        <f>SUMIFS('2019'!$I:$I,'2019'!$E:$E,Category!$B$134,'2019'!$N:$N,Category!F$1,'2019'!$D:$D,Category!$C206)</f>
        <v>0</v>
      </c>
      <c r="G206" s="388">
        <f>SUMIFS('2019'!$I:$I,'2019'!$E:$E,Category!$B$134,'2019'!$N:$N,Category!G$1,'2019'!$D:$D,Category!$C206)</f>
        <v>0</v>
      </c>
      <c r="H206" s="388">
        <f>SUMIFS('2019'!$I:$I,'2019'!$E:$E,Category!$B$134,'2019'!$N:$N,Category!H$1,'2019'!$D:$D,Category!$C206)</f>
        <v>0</v>
      </c>
      <c r="I206" s="388">
        <f>SUMIFS('2019'!$I:$I,'2019'!$E:$E,Category!$B$134,'2019'!$N:$N,Category!I$1,'2019'!$D:$D,Category!$C206)</f>
        <v>0</v>
      </c>
      <c r="J206" s="389">
        <f t="shared" si="71"/>
        <v>0</v>
      </c>
      <c r="K206" s="506">
        <f>IFERROR(VLOOKUP($C206,'2020'!$D:$G,4,0),0)</f>
        <v>66</v>
      </c>
      <c r="L206" s="388">
        <f>SUMIFS('2020'!$I:$I,'2020'!$E:$E,Category!$B$134,'2020'!$N:$N,Category!L$1,'2020'!$D:$D,Category!$C206)</f>
        <v>0</v>
      </c>
      <c r="M206" s="388">
        <f>SUMIFS('2020'!$I:$I,'2020'!$E:$E,Category!$B$134,'2020'!$N:$N,Category!M$1,'2020'!$D:$D,Category!$C206)</f>
        <v>0</v>
      </c>
      <c r="N206" s="388">
        <f>SUMIFS('2020'!$I:$I,'2020'!$E:$E,Category!$B$134,'2020'!$N:$N,Category!N$1,'2020'!$D:$D,Category!$C206)</f>
        <v>0</v>
      </c>
      <c r="O206" s="388">
        <f>SUMIFS('2020'!$I:$I,'2020'!$E:$E,Category!$B$134,'2020'!$N:$N,Category!O$1,'2020'!$D:$D,Category!$C206)</f>
        <v>0</v>
      </c>
      <c r="P206" s="388">
        <f>SUMIFS('2020'!$I:$I,'2020'!$E:$E,Category!$B$134,'2020'!$N:$N,Category!P$1,'2020'!$D:$D,Category!$C206)</f>
        <v>13500000</v>
      </c>
      <c r="Q206" s="388">
        <f>SUMIFS('2020'!$I:$I,'2020'!$E:$E,Category!$B$134,'2020'!$N:$N,Category!Q$1,'2020'!$D:$D,Category!$C206)</f>
        <v>0</v>
      </c>
      <c r="R206" s="388">
        <f>SUMIFS('2020'!$I:$I,'2020'!$E:$E,Category!$B$134,'2020'!$N:$N,Category!R$1,'2020'!$D:$D,Category!$C206)</f>
        <v>10575000</v>
      </c>
      <c r="S206" s="388">
        <f>SUMIFS('2020'!$I:$I,'2020'!$E:$E,Category!$B$134,'2020'!$N:$N,Category!S$1,'2020'!$D:$D,Category!$C206)</f>
        <v>0</v>
      </c>
      <c r="T206" s="388">
        <f>SUMIFS('2020'!$I:$I,'2020'!$E:$E,Category!$B$134,'2020'!$N:$N,Category!T$1,'2020'!$D:$D,Category!$C206)</f>
        <v>0</v>
      </c>
      <c r="U206" s="388">
        <f>SUMIFS('2020'!$I:$I,'2020'!$E:$E,Category!$B$134,'2020'!$N:$N,Category!U$1,'2020'!$D:$D,Category!$C206)</f>
        <v>0</v>
      </c>
      <c r="V206" s="388">
        <f>SUMIFS('2020'!$I:$I,'2020'!$E:$E,Category!$B$134,'2020'!$N:$N,Category!V$1,'2020'!$D:$D,Category!$C206)</f>
        <v>0</v>
      </c>
      <c r="W206" s="388">
        <f>SUMIFS('2020'!$I:$I,'2020'!$E:$E,Category!$B$134,'2020'!$N:$N,Category!W$1,'2020'!$D:$D,Category!$C206)</f>
        <v>0</v>
      </c>
      <c r="X206" s="389">
        <f>SUM(L206:W206)</f>
        <v>24075000</v>
      </c>
      <c r="Y206" s="506">
        <f>IFERROR(VLOOKUP(C206,'2021'!$D:$G,4,0),0)</f>
        <v>0</v>
      </c>
      <c r="Z206" s="388">
        <f>SUMIFS('2021'!$I:$I,'2021'!$E:$E,Category!$B$134,'2021'!$N:$N,Category!Z$1,'2021'!$D:$D,Category!$C206)</f>
        <v>0</v>
      </c>
      <c r="AA206" s="388">
        <f>SUMIFS('2021'!$I:$I,'2021'!$E:$E,Category!$B$134,'2021'!$N:$N,Category!AA$1,'2021'!$D:$D,Category!$C206)</f>
        <v>0</v>
      </c>
      <c r="AB206" s="388">
        <f>SUMIFS('2021'!$I:$I,'2021'!$E:$E,Category!$B$134,'2021'!$N:$N,Category!AB$1,'2021'!$D:$D,Category!$C206)</f>
        <v>0</v>
      </c>
      <c r="AC206" s="388">
        <f>SUMIFS('2021'!$I:$I,'2021'!$E:$E,Category!$B$134,'2021'!$N:$N,Category!AC$1,'2021'!$D:$D,Category!$C206)</f>
        <v>0</v>
      </c>
      <c r="AD206" s="388">
        <f>SUMIFS('2021'!$I:$I,'2021'!$E:$E,Category!$B$134,'2021'!$N:$N,Category!AD$1,'2021'!$D:$D,Category!$C206)</f>
        <v>0</v>
      </c>
      <c r="AE206" s="388">
        <f>SUMIFS('2021'!$I:$I,'2021'!$E:$E,Category!$B$134,'2021'!$N:$N,Category!AE$1,'2021'!$D:$D,Category!$C206)</f>
        <v>0</v>
      </c>
      <c r="AF206" s="388">
        <f>SUMIFS('2021'!$I:$I,'2021'!$E:$E,Category!$B$134,'2021'!$N:$N,Category!AF$1,'2021'!$D:$D,Category!$C206)</f>
        <v>0</v>
      </c>
      <c r="AG206" s="388">
        <f>SUMIFS('2021'!$I:$I,'2021'!$E:$E,Category!$B$134,'2021'!$N:$N,Category!AG$1,'2021'!$D:$D,Category!$C206)</f>
        <v>0</v>
      </c>
      <c r="AH206" s="388">
        <f>SUMIFS('2021'!$I:$I,'2021'!$E:$E,Category!$B$134,'2021'!$N:$N,Category!AH$1,'2021'!$D:$D,Category!$C206)</f>
        <v>0</v>
      </c>
      <c r="AI206" s="388">
        <f>SUMIFS('2021'!$I:$I,'2021'!$E:$E,Category!$B$134,'2021'!$N:$N,Category!AI$1,'2021'!$D:$D,Category!$C206)</f>
        <v>0</v>
      </c>
      <c r="AJ206" s="388">
        <f>SUMIFS('2021'!$I:$I,'2021'!$E:$E,Category!$B$134,'2021'!$N:$N,Category!AJ$1,'2021'!$D:$D,Category!$C206)</f>
        <v>0</v>
      </c>
      <c r="AK206" s="388">
        <f>SUMIFS('2021'!$I:$I,'2021'!$E:$E,Category!$B$134,'2021'!$N:$N,Category!AK$1,'2021'!$D:$D,Category!$C206)</f>
        <v>0</v>
      </c>
      <c r="AL206" s="389">
        <f>SUM(Z206:AK206)</f>
        <v>0</v>
      </c>
      <c r="AM206" s="506">
        <f>IFERROR(VLOOKUP(C206,'2022'!$D:$G,4,0),0)</f>
        <v>0</v>
      </c>
      <c r="AN206" s="388">
        <f>SUMIFS('2022'!$I:$I,'2022'!$E:$E,Category!$B$134,'2022'!$N:$N,Category!AN$1,'2022'!$D:$D,Category!$C206)</f>
        <v>0</v>
      </c>
      <c r="AO206" s="388">
        <f>SUMIFS('2022'!$I:$I,'2022'!$E:$E,Category!$B$134,'2022'!$N:$N,Category!AO$1,'2022'!$D:$D,Category!$C206)</f>
        <v>0</v>
      </c>
      <c r="AP206" s="388">
        <f>SUMIFS('2022'!$I:$I,'2022'!$E:$E,Category!$B$134,'2022'!$N:$N,Category!AP$1,'2022'!$D:$D,Category!$C206)</f>
        <v>0</v>
      </c>
      <c r="AQ206" s="388">
        <f>SUMIFS('2022'!$I:$I,'2022'!$E:$E,Category!$B$134,'2022'!$N:$N,Category!AQ$1,'2022'!$D:$D,Category!$C206)</f>
        <v>0</v>
      </c>
      <c r="AR206" s="388">
        <f>SUMIFS('2022'!$I:$I,'2022'!$E:$E,Category!$B$134,'2022'!$N:$N,Category!AR$1,'2022'!$D:$D,Category!$C206)</f>
        <v>0</v>
      </c>
      <c r="AS206" s="388">
        <f>SUMIFS('2022'!$I:$I,'2022'!$E:$E,Category!$B$134,'2022'!$N:$N,Category!AS$1,'2022'!$D:$D,Category!$C206)</f>
        <v>0</v>
      </c>
      <c r="AT206" s="388">
        <f>SUMIFS('2022'!$I:$I,'2022'!$E:$E,Category!$B$134,'2022'!$N:$N,Category!AT$1,'2022'!$D:$D,Category!$C206)</f>
        <v>0</v>
      </c>
      <c r="AU206" s="388">
        <f>SUMIFS('2022'!$I:$I,'2022'!$E:$E,Category!$B$134,'2022'!$N:$N,Category!AU$1,'2022'!$D:$D,Category!$C206)</f>
        <v>0</v>
      </c>
      <c r="AV206" s="388">
        <f>SUMIFS('2022'!$I:$I,'2022'!$E:$E,Category!$B$134,'2022'!$N:$N,Category!AV$1,'2022'!$D:$D,Category!$C206)</f>
        <v>0</v>
      </c>
      <c r="AW206" s="388">
        <f>SUMIFS('2022'!$I:$I,'2022'!$E:$E,Category!$B$134,'2022'!$N:$N,Category!AW$1,'2022'!$D:$D,Category!$C206)</f>
        <v>0</v>
      </c>
      <c r="AX206" s="388">
        <f>SUMIFS('2022'!$I:$I,'2022'!$E:$E,Category!$B$134,'2022'!$N:$N,Category!AX$1,'2022'!$D:$D,Category!$C206)</f>
        <v>0</v>
      </c>
      <c r="AY206" s="388">
        <f>SUMIFS('2022'!$I:$I,'2022'!$E:$E,Category!$B$134,'2022'!$N:$N,Category!AY$1,'2022'!$D:$D,Category!$C206)</f>
        <v>0</v>
      </c>
      <c r="AZ206" s="389">
        <f t="shared" si="77"/>
        <v>0</v>
      </c>
      <c r="BA206" s="506">
        <f>IFERROR(VLOOKUP(C206,'2023'!$D:$G,4,0),0)</f>
        <v>0</v>
      </c>
      <c r="BB206" s="388">
        <f>SUMIFS('2023'!$I:$I,'2023'!$E:$E,Category!$B$134,'2023'!$N:$N,Category!BB$1,'2023'!$D:$D,Category!$C206)</f>
        <v>0</v>
      </c>
      <c r="BC206" s="388">
        <f>SUMIFS('2023'!$I:$I,'2023'!$E:$E,Category!$B$134,'2023'!$N:$N,Category!BC$1,'2023'!$D:$D,Category!$C206)</f>
        <v>0</v>
      </c>
      <c r="BD206" s="388">
        <f>SUMIFS('2023'!$I:$I,'2023'!$E:$E,Category!$B$134,'2023'!$N:$N,Category!BD$1,'2023'!$D:$D,Category!$C206)</f>
        <v>0</v>
      </c>
      <c r="BE206" s="388">
        <f>SUMIFS('2023'!$I:$I,'2023'!$E:$E,Category!$B$134,'2023'!$N:$N,Category!BE$1,'2023'!$D:$D,Category!$C206)</f>
        <v>0</v>
      </c>
      <c r="BF206" s="388">
        <f>SUMIFS('2023'!$I:$I,'2023'!$E:$E,Category!$B$134,'2023'!$N:$N,Category!BF$1,'2023'!$D:$D,Category!$C206)</f>
        <v>0</v>
      </c>
      <c r="BG206" s="388">
        <f>SUMIFS('2023'!$I:$I,'2023'!$E:$E,Category!$B$134,'2023'!$N:$N,Category!BG$1,'2023'!$D:$D,Category!$C206)</f>
        <v>0</v>
      </c>
      <c r="BH206" s="388">
        <f>SUMIFS('2023'!$I:$I,'2023'!$E:$E,Category!$B$134,'2023'!$N:$N,Category!BH$1,'2023'!$D:$D,Category!$C206)</f>
        <v>0</v>
      </c>
      <c r="BI206" s="388">
        <f>SUMIFS('2023'!$I:$I,'2023'!$E:$E,Category!$B$134,'2023'!$N:$N,Category!BI$1,'2023'!$D:$D,Category!$C206)</f>
        <v>0</v>
      </c>
      <c r="BJ206" s="388">
        <f>SUMIFS('2023'!$I:$I,'2023'!$E:$E,Category!$B$134,'2023'!$N:$N,Category!BJ$1,'2023'!$D:$D,Category!$C206)</f>
        <v>0</v>
      </c>
      <c r="BK206" s="388">
        <f>SUMIFS('2023'!$I:$I,'2023'!$E:$E,Category!$B$134,'2023'!$N:$N,Category!BK$1,'2023'!$D:$D,Category!$C206)</f>
        <v>0</v>
      </c>
      <c r="BL206" s="388">
        <f>SUMIFS('2023'!$I:$I,'2023'!$E:$E,Category!$B$134,'2023'!$N:$N,Category!BL$1,'2023'!$D:$D,Category!$C206)</f>
        <v>0</v>
      </c>
      <c r="BM206" s="388">
        <f>SUMIFS('2023'!$I:$I,'2023'!$E:$E,Category!$B$134,'2023'!$N:$N,Category!BM$1,'2023'!$D:$D,Category!$C206)</f>
        <v>0</v>
      </c>
      <c r="BN206" s="389">
        <f t="shared" si="69"/>
        <v>0</v>
      </c>
    </row>
    <row r="207" spans="1:66" x14ac:dyDescent="0.3">
      <c r="A207" s="392"/>
      <c r="B207" s="387"/>
      <c r="C207" s="387" t="s">
        <v>1500</v>
      </c>
      <c r="D207" s="524">
        <f>IFERROR(VLOOKUP($C207,'2019'!$D:$G,4,0),0)</f>
        <v>0</v>
      </c>
      <c r="E207" s="388">
        <f>SUMIFS('2019'!$I:$I,'2019'!$E:$E,Category!$B$134,'2019'!$N:$N,Category!E$1,'2019'!$D:$D,Category!$C207)</f>
        <v>0</v>
      </c>
      <c r="F207" s="388">
        <f>SUMIFS('2019'!$I:$I,'2019'!$E:$E,Category!$B$134,'2019'!$N:$N,Category!F$1,'2019'!$D:$D,Category!$C207)</f>
        <v>0</v>
      </c>
      <c r="G207" s="388">
        <f>SUMIFS('2019'!$I:$I,'2019'!$E:$E,Category!$B$134,'2019'!$N:$N,Category!G$1,'2019'!$D:$D,Category!$C207)</f>
        <v>0</v>
      </c>
      <c r="H207" s="388">
        <f>SUMIFS('2019'!$I:$I,'2019'!$E:$E,Category!$B$134,'2019'!$N:$N,Category!H$1,'2019'!$D:$D,Category!$C207)</f>
        <v>0</v>
      </c>
      <c r="I207" s="388">
        <f>SUMIFS('2019'!$I:$I,'2019'!$E:$E,Category!$B$134,'2019'!$N:$N,Category!I$1,'2019'!$D:$D,Category!$C207)</f>
        <v>0</v>
      </c>
      <c r="J207" s="389">
        <f t="shared" si="71"/>
        <v>0</v>
      </c>
      <c r="K207" s="506">
        <f>IFERROR(VLOOKUP($C207,'2020'!$D:$G,4,0),0)</f>
        <v>0</v>
      </c>
      <c r="L207" s="388">
        <f>SUMIFS('2020'!$I:$I,'2020'!$E:$E,Category!$B$134,'2020'!$N:$N,Category!L$1,'2020'!$D:$D,Category!$C207)</f>
        <v>0</v>
      </c>
      <c r="M207" s="388">
        <f>SUMIFS('2020'!$I:$I,'2020'!$E:$E,Category!$B$134,'2020'!$N:$N,Category!M$1,'2020'!$D:$D,Category!$C207)</f>
        <v>0</v>
      </c>
      <c r="N207" s="388">
        <f>SUMIFS('2020'!$I:$I,'2020'!$E:$E,Category!$B$134,'2020'!$N:$N,Category!N$1,'2020'!$D:$D,Category!$C207)</f>
        <v>0</v>
      </c>
      <c r="O207" s="388">
        <f>SUMIFS('2020'!$I:$I,'2020'!$E:$E,Category!$B$134,'2020'!$N:$N,Category!O$1,'2020'!$D:$D,Category!$C207)</f>
        <v>0</v>
      </c>
      <c r="P207" s="388">
        <f>SUMIFS('2020'!$I:$I,'2020'!$E:$E,Category!$B$134,'2020'!$N:$N,Category!P$1,'2020'!$D:$D,Category!$C207)</f>
        <v>0</v>
      </c>
      <c r="Q207" s="388">
        <f>SUMIFS('2020'!$I:$I,'2020'!$E:$E,Category!$B$134,'2020'!$N:$N,Category!Q$1,'2020'!$D:$D,Category!$C207)</f>
        <v>0</v>
      </c>
      <c r="R207" s="388">
        <f>SUMIFS('2020'!$I:$I,'2020'!$E:$E,Category!$B$134,'2020'!$N:$N,Category!R$1,'2020'!$D:$D,Category!$C207)</f>
        <v>0</v>
      </c>
      <c r="S207" s="388">
        <f>SUMIFS('2020'!$I:$I,'2020'!$E:$E,Category!$B$134,'2020'!$N:$N,Category!S$1,'2020'!$D:$D,Category!$C207)</f>
        <v>0</v>
      </c>
      <c r="T207" s="388">
        <f>SUMIFS('2020'!$I:$I,'2020'!$E:$E,Category!$B$134,'2020'!$N:$N,Category!T$1,'2020'!$D:$D,Category!$C207)</f>
        <v>0</v>
      </c>
      <c r="U207" s="388">
        <f>SUMIFS('2020'!$I:$I,'2020'!$E:$E,Category!$B$134,'2020'!$N:$N,Category!U$1,'2020'!$D:$D,Category!$C207)</f>
        <v>8000028</v>
      </c>
      <c r="V207" s="388">
        <f>SUMIFS('2020'!$I:$I,'2020'!$E:$E,Category!$B$134,'2020'!$N:$N,Category!V$1,'2020'!$D:$D,Category!$C207)</f>
        <v>0</v>
      </c>
      <c r="W207" s="388">
        <f>SUMIFS('2020'!$I:$I,'2020'!$E:$E,Category!$B$134,'2020'!$N:$N,Category!W$1,'2020'!$D:$D,Category!$C207)</f>
        <v>0</v>
      </c>
      <c r="X207" s="389">
        <f t="shared" ref="X207:X216" si="78">SUM(L207:W207)</f>
        <v>8000028</v>
      </c>
      <c r="Y207" s="506">
        <f>IFERROR(VLOOKUP(C207,'2021'!$D:$G,4,0),0)</f>
        <v>0</v>
      </c>
      <c r="Z207" s="388">
        <f>SUMIFS('2021'!$I:$I,'2021'!$E:$E,Category!$B$134,'2021'!$N:$N,Category!Z$1,'2021'!$D:$D,Category!$C207)</f>
        <v>0</v>
      </c>
      <c r="AA207" s="388">
        <f>SUMIFS('2021'!$I:$I,'2021'!$E:$E,Category!$B$134,'2021'!$N:$N,Category!AA$1,'2021'!$D:$D,Category!$C207)</f>
        <v>0</v>
      </c>
      <c r="AB207" s="388">
        <f>SUMIFS('2021'!$I:$I,'2021'!$E:$E,Category!$B$134,'2021'!$N:$N,Category!AB$1,'2021'!$D:$D,Category!$C207)</f>
        <v>0</v>
      </c>
      <c r="AC207" s="388">
        <f>SUMIFS('2021'!$I:$I,'2021'!$E:$E,Category!$B$134,'2021'!$N:$N,Category!AC$1,'2021'!$D:$D,Category!$C207)</f>
        <v>0</v>
      </c>
      <c r="AD207" s="388">
        <f>SUMIFS('2021'!$I:$I,'2021'!$E:$E,Category!$B$134,'2021'!$N:$N,Category!AD$1,'2021'!$D:$D,Category!$C207)</f>
        <v>0</v>
      </c>
      <c r="AE207" s="388">
        <f>SUMIFS('2021'!$I:$I,'2021'!$E:$E,Category!$B$134,'2021'!$N:$N,Category!AE$1,'2021'!$D:$D,Category!$C207)</f>
        <v>0</v>
      </c>
      <c r="AF207" s="388">
        <f>SUMIFS('2021'!$I:$I,'2021'!$E:$E,Category!$B$134,'2021'!$N:$N,Category!AF$1,'2021'!$D:$D,Category!$C207)</f>
        <v>0</v>
      </c>
      <c r="AG207" s="388">
        <f>SUMIFS('2021'!$I:$I,'2021'!$E:$E,Category!$B$134,'2021'!$N:$N,Category!AG$1,'2021'!$D:$D,Category!$C207)</f>
        <v>0</v>
      </c>
      <c r="AH207" s="388">
        <f>SUMIFS('2021'!$I:$I,'2021'!$E:$E,Category!$B$134,'2021'!$N:$N,Category!AH$1,'2021'!$D:$D,Category!$C207)</f>
        <v>0</v>
      </c>
      <c r="AI207" s="388">
        <f>SUMIFS('2021'!$I:$I,'2021'!$E:$E,Category!$B$134,'2021'!$N:$N,Category!AI$1,'2021'!$D:$D,Category!$C207)</f>
        <v>0</v>
      </c>
      <c r="AJ207" s="388">
        <f>SUMIFS('2021'!$I:$I,'2021'!$E:$E,Category!$B$134,'2021'!$N:$N,Category!AJ$1,'2021'!$D:$D,Category!$C207)</f>
        <v>0</v>
      </c>
      <c r="AK207" s="388">
        <f>SUMIFS('2021'!$I:$I,'2021'!$E:$E,Category!$B$134,'2021'!$N:$N,Category!AK$1,'2021'!$D:$D,Category!$C207)</f>
        <v>0</v>
      </c>
      <c r="AL207" s="389">
        <f t="shared" ref="AL207:AL216" si="79">SUM(Z207:AK207)</f>
        <v>0</v>
      </c>
      <c r="AM207" s="506">
        <f>IFERROR(VLOOKUP(C207,'2022'!$D:$G,4,0),0)</f>
        <v>0</v>
      </c>
      <c r="AN207" s="388">
        <f>SUMIFS('2022'!$I:$I,'2022'!$E:$E,Category!$B$134,'2022'!$N:$N,Category!AN$1,'2022'!$D:$D,Category!$C207)</f>
        <v>0</v>
      </c>
      <c r="AO207" s="388">
        <f>SUMIFS('2022'!$I:$I,'2022'!$E:$E,Category!$B$134,'2022'!$N:$N,Category!AO$1,'2022'!$D:$D,Category!$C207)</f>
        <v>0</v>
      </c>
      <c r="AP207" s="388">
        <f>SUMIFS('2022'!$I:$I,'2022'!$E:$E,Category!$B$134,'2022'!$N:$N,Category!AP$1,'2022'!$D:$D,Category!$C207)</f>
        <v>0</v>
      </c>
      <c r="AQ207" s="388">
        <f>SUMIFS('2022'!$I:$I,'2022'!$E:$E,Category!$B$134,'2022'!$N:$N,Category!AQ$1,'2022'!$D:$D,Category!$C207)</f>
        <v>0</v>
      </c>
      <c r="AR207" s="388">
        <f>SUMIFS('2022'!$I:$I,'2022'!$E:$E,Category!$B$134,'2022'!$N:$N,Category!AR$1,'2022'!$D:$D,Category!$C207)</f>
        <v>0</v>
      </c>
      <c r="AS207" s="388">
        <f>SUMIFS('2022'!$I:$I,'2022'!$E:$E,Category!$B$134,'2022'!$N:$N,Category!AS$1,'2022'!$D:$D,Category!$C207)</f>
        <v>0</v>
      </c>
      <c r="AT207" s="388">
        <f>SUMIFS('2022'!$I:$I,'2022'!$E:$E,Category!$B$134,'2022'!$N:$N,Category!AT$1,'2022'!$D:$D,Category!$C207)</f>
        <v>0</v>
      </c>
      <c r="AU207" s="388">
        <f>SUMIFS('2022'!$I:$I,'2022'!$E:$E,Category!$B$134,'2022'!$N:$N,Category!AU$1,'2022'!$D:$D,Category!$C207)</f>
        <v>0</v>
      </c>
      <c r="AV207" s="388">
        <f>SUMIFS('2022'!$I:$I,'2022'!$E:$E,Category!$B$134,'2022'!$N:$N,Category!AV$1,'2022'!$D:$D,Category!$C207)</f>
        <v>0</v>
      </c>
      <c r="AW207" s="388">
        <f>SUMIFS('2022'!$I:$I,'2022'!$E:$E,Category!$B$134,'2022'!$N:$N,Category!AW$1,'2022'!$D:$D,Category!$C207)</f>
        <v>0</v>
      </c>
      <c r="AX207" s="388">
        <f>SUMIFS('2022'!$I:$I,'2022'!$E:$E,Category!$B$134,'2022'!$N:$N,Category!AX$1,'2022'!$D:$D,Category!$C207)</f>
        <v>0</v>
      </c>
      <c r="AY207" s="388">
        <f>SUMIFS('2022'!$I:$I,'2022'!$E:$E,Category!$B$134,'2022'!$N:$N,Category!AY$1,'2022'!$D:$D,Category!$C207)</f>
        <v>0</v>
      </c>
      <c r="AZ207" s="389">
        <f t="shared" ref="AZ207:AZ216" si="80">SUM(AN207:AY207)</f>
        <v>0</v>
      </c>
      <c r="BA207" s="506">
        <f>IFERROR(VLOOKUP(C207,'2023'!$D:$G,4,0),0)</f>
        <v>0</v>
      </c>
      <c r="BB207" s="388">
        <f>SUMIFS('2023'!$I:$I,'2023'!$E:$E,Category!$B$134,'2023'!$N:$N,Category!BB$1,'2023'!$D:$D,Category!$C207)</f>
        <v>0</v>
      </c>
      <c r="BC207" s="388">
        <f>SUMIFS('2023'!$I:$I,'2023'!$E:$E,Category!$B$134,'2023'!$N:$N,Category!BC$1,'2023'!$D:$D,Category!$C207)</f>
        <v>0</v>
      </c>
      <c r="BD207" s="388">
        <f>SUMIFS('2023'!$I:$I,'2023'!$E:$E,Category!$B$134,'2023'!$N:$N,Category!BD$1,'2023'!$D:$D,Category!$C207)</f>
        <v>0</v>
      </c>
      <c r="BE207" s="388">
        <f>SUMIFS('2023'!$I:$I,'2023'!$E:$E,Category!$B$134,'2023'!$N:$N,Category!BE$1,'2023'!$D:$D,Category!$C207)</f>
        <v>0</v>
      </c>
      <c r="BF207" s="388">
        <f>SUMIFS('2023'!$I:$I,'2023'!$E:$E,Category!$B$134,'2023'!$N:$N,Category!BF$1,'2023'!$D:$D,Category!$C207)</f>
        <v>0</v>
      </c>
      <c r="BG207" s="388">
        <f>SUMIFS('2023'!$I:$I,'2023'!$E:$E,Category!$B$134,'2023'!$N:$N,Category!BG$1,'2023'!$D:$D,Category!$C207)</f>
        <v>0</v>
      </c>
      <c r="BH207" s="388">
        <f>SUMIFS('2023'!$I:$I,'2023'!$E:$E,Category!$B$134,'2023'!$N:$N,Category!BH$1,'2023'!$D:$D,Category!$C207)</f>
        <v>0</v>
      </c>
      <c r="BI207" s="388">
        <f>SUMIFS('2023'!$I:$I,'2023'!$E:$E,Category!$B$134,'2023'!$N:$N,Category!BI$1,'2023'!$D:$D,Category!$C207)</f>
        <v>0</v>
      </c>
      <c r="BJ207" s="388">
        <f>SUMIFS('2023'!$I:$I,'2023'!$E:$E,Category!$B$134,'2023'!$N:$N,Category!BJ$1,'2023'!$D:$D,Category!$C207)</f>
        <v>0</v>
      </c>
      <c r="BK207" s="388">
        <f>SUMIFS('2023'!$I:$I,'2023'!$E:$E,Category!$B$134,'2023'!$N:$N,Category!BK$1,'2023'!$D:$D,Category!$C207)</f>
        <v>0</v>
      </c>
      <c r="BL207" s="388">
        <f>SUMIFS('2023'!$I:$I,'2023'!$E:$E,Category!$B$134,'2023'!$N:$N,Category!BL$1,'2023'!$D:$D,Category!$C207)</f>
        <v>0</v>
      </c>
      <c r="BM207" s="388">
        <f>SUMIFS('2023'!$I:$I,'2023'!$E:$E,Category!$B$134,'2023'!$N:$N,Category!BM$1,'2023'!$D:$D,Category!$C207)</f>
        <v>0</v>
      </c>
      <c r="BN207" s="389">
        <f t="shared" si="69"/>
        <v>0</v>
      </c>
    </row>
    <row r="208" spans="1:66" ht="39.75" x14ac:dyDescent="0.3">
      <c r="A208" s="392"/>
      <c r="B208" s="387"/>
      <c r="C208" s="387" t="s">
        <v>1612</v>
      </c>
      <c r="D208" s="524">
        <f>IFERROR(VLOOKUP($C208,'2019'!$D:$G,4,0),0)</f>
        <v>0</v>
      </c>
      <c r="E208" s="388">
        <f>SUMIFS('2019'!$I:$I,'2019'!$E:$E,Category!$B$134,'2019'!$N:$N,Category!E$1,'2019'!$D:$D,Category!$C208)</f>
        <v>0</v>
      </c>
      <c r="F208" s="388">
        <f>SUMIFS('2019'!$I:$I,'2019'!$E:$E,Category!$B$134,'2019'!$N:$N,Category!F$1,'2019'!$D:$D,Category!$C208)</f>
        <v>0</v>
      </c>
      <c r="G208" s="388">
        <f>SUMIFS('2019'!$I:$I,'2019'!$E:$E,Category!$B$134,'2019'!$N:$N,Category!G$1,'2019'!$D:$D,Category!$C208)</f>
        <v>0</v>
      </c>
      <c r="H208" s="388">
        <f>SUMIFS('2019'!$I:$I,'2019'!$E:$E,Category!$B$134,'2019'!$N:$N,Category!H$1,'2019'!$D:$D,Category!$C208)</f>
        <v>0</v>
      </c>
      <c r="I208" s="388">
        <f>SUMIFS('2019'!$I:$I,'2019'!$E:$E,Category!$B$134,'2019'!$N:$N,Category!I$1,'2019'!$D:$D,Category!$C208)</f>
        <v>0</v>
      </c>
      <c r="J208" s="389">
        <f t="shared" si="71"/>
        <v>0</v>
      </c>
      <c r="K208" s="506">
        <f>IFERROR(VLOOKUP($C208,'2020'!$D:$G,4,0),0)</f>
        <v>0</v>
      </c>
      <c r="L208" s="388">
        <f>SUMIFS('2020'!$I:$I,'2020'!$E:$E,Category!$B$134,'2020'!$N:$N,Category!L$1,'2020'!$D:$D,Category!$C208)</f>
        <v>0</v>
      </c>
      <c r="M208" s="388">
        <f>SUMIFS('2020'!$I:$I,'2020'!$E:$E,Category!$B$134,'2020'!$N:$N,Category!M$1,'2020'!$D:$D,Category!$C208)</f>
        <v>0</v>
      </c>
      <c r="N208" s="388">
        <f>SUMIFS('2020'!$I:$I,'2020'!$E:$E,Category!$B$134,'2020'!$N:$N,Category!N$1,'2020'!$D:$D,Category!$C208)</f>
        <v>0</v>
      </c>
      <c r="O208" s="388">
        <f>SUMIFS('2020'!$I:$I,'2020'!$E:$E,Category!$B$134,'2020'!$N:$N,Category!O$1,'2020'!$D:$D,Category!$C208)</f>
        <v>0</v>
      </c>
      <c r="P208" s="388">
        <f>SUMIFS('2020'!$I:$I,'2020'!$E:$E,Category!$B$134,'2020'!$N:$N,Category!P$1,'2020'!$D:$D,Category!$C208)</f>
        <v>0</v>
      </c>
      <c r="Q208" s="388">
        <f>SUMIFS('2020'!$I:$I,'2020'!$E:$E,Category!$B$134,'2020'!$N:$N,Category!Q$1,'2020'!$D:$D,Category!$C208)</f>
        <v>0</v>
      </c>
      <c r="R208" s="388">
        <f>SUMIFS('2020'!$I:$I,'2020'!$E:$E,Category!$B$134,'2020'!$N:$N,Category!R$1,'2020'!$D:$D,Category!$C208)</f>
        <v>0</v>
      </c>
      <c r="S208" s="388">
        <f>SUMIFS('2020'!$I:$I,'2020'!$E:$E,Category!$B$134,'2020'!$N:$N,Category!S$1,'2020'!$D:$D,Category!$C208)</f>
        <v>0</v>
      </c>
      <c r="T208" s="388">
        <f>SUMIFS('2020'!$I:$I,'2020'!$E:$E,Category!$B$134,'2020'!$N:$N,Category!T$1,'2020'!$D:$D,Category!$C208)</f>
        <v>0</v>
      </c>
      <c r="U208" s="388">
        <f>SUMIFS('2020'!$I:$I,'2020'!$E:$E,Category!$B$134,'2020'!$N:$N,Category!U$1,'2020'!$D:$D,Category!$C208)</f>
        <v>0</v>
      </c>
      <c r="V208" s="388">
        <f>SUMIFS('2020'!$I:$I,'2020'!$E:$E,Category!$B$134,'2020'!$N:$N,Category!V$1,'2020'!$D:$D,Category!$C208)</f>
        <v>0</v>
      </c>
      <c r="W208" s="388">
        <f>SUMIFS('2020'!$I:$I,'2020'!$E:$E,Category!$B$134,'2020'!$N:$N,Category!W$1,'2020'!$D:$D,Category!$C208)</f>
        <v>0</v>
      </c>
      <c r="X208" s="389">
        <f t="shared" si="78"/>
        <v>0</v>
      </c>
      <c r="Y208" s="506">
        <f>IFERROR(VLOOKUP(C208,'2021'!$D:$G,4,0),0)</f>
        <v>0</v>
      </c>
      <c r="Z208" s="388">
        <f>SUMIFS('2021'!$I:$I,'2021'!$E:$E,Category!$B$134,'2021'!$N:$N,Category!Z$1,'2021'!$D:$D,Category!$C208)</f>
        <v>0</v>
      </c>
      <c r="AA208" s="388">
        <f>SUMIFS('2021'!$I:$I,'2021'!$E:$E,Category!$B$134,'2021'!$N:$N,Category!AA$1,'2021'!$D:$D,Category!$C208)</f>
        <v>0</v>
      </c>
      <c r="AB208" s="388">
        <f>SUMIFS('2021'!$I:$I,'2021'!$E:$E,Category!$B$134,'2021'!$N:$N,Category!AB$1,'2021'!$D:$D,Category!$C208)</f>
        <v>0</v>
      </c>
      <c r="AC208" s="388">
        <f>SUMIFS('2021'!$I:$I,'2021'!$E:$E,Category!$B$134,'2021'!$N:$N,Category!AC$1,'2021'!$D:$D,Category!$C208)</f>
        <v>0</v>
      </c>
      <c r="AD208" s="388">
        <f>SUMIFS('2021'!$I:$I,'2021'!$E:$E,Category!$B$134,'2021'!$N:$N,Category!AD$1,'2021'!$D:$D,Category!$C208)</f>
        <v>0</v>
      </c>
      <c r="AE208" s="388">
        <f>SUMIFS('2021'!$I:$I,'2021'!$E:$E,Category!$B$134,'2021'!$N:$N,Category!AE$1,'2021'!$D:$D,Category!$C208)</f>
        <v>0</v>
      </c>
      <c r="AF208" s="388">
        <f>SUMIFS('2021'!$I:$I,'2021'!$E:$E,Category!$B$134,'2021'!$N:$N,Category!AF$1,'2021'!$D:$D,Category!$C208)</f>
        <v>0</v>
      </c>
      <c r="AG208" s="388">
        <f>SUMIFS('2021'!$I:$I,'2021'!$E:$E,Category!$B$134,'2021'!$N:$N,Category!AG$1,'2021'!$D:$D,Category!$C208)</f>
        <v>8000023</v>
      </c>
      <c r="AH208" s="388">
        <f>SUMIFS('2021'!$I:$I,'2021'!$E:$E,Category!$B$134,'2021'!$N:$N,Category!AH$1,'2021'!$D:$D,Category!$C208)</f>
        <v>0</v>
      </c>
      <c r="AI208" s="388">
        <f>SUMIFS('2021'!$I:$I,'2021'!$E:$E,Category!$B$134,'2021'!$N:$N,Category!AI$1,'2021'!$D:$D,Category!$C208)</f>
        <v>0</v>
      </c>
      <c r="AJ208" s="388">
        <f>SUMIFS('2021'!$I:$I,'2021'!$E:$E,Category!$B$134,'2021'!$N:$N,Category!AJ$1,'2021'!$D:$D,Category!$C208)</f>
        <v>0</v>
      </c>
      <c r="AK208" s="388">
        <f>SUMIFS('2021'!$I:$I,'2021'!$E:$E,Category!$B$134,'2021'!$N:$N,Category!AK$1,'2021'!$D:$D,Category!$C208)</f>
        <v>0</v>
      </c>
      <c r="AL208" s="389">
        <f t="shared" si="79"/>
        <v>8000023</v>
      </c>
      <c r="AM208" s="506">
        <f>IFERROR(VLOOKUP(C208,'2022'!$D:$G,4,0),0)</f>
        <v>0</v>
      </c>
      <c r="AN208" s="388">
        <f>SUMIFS('2022'!$I:$I,'2022'!$E:$E,Category!$B$134,'2022'!$N:$N,Category!AN$1,'2022'!$D:$D,Category!$C208)</f>
        <v>0</v>
      </c>
      <c r="AO208" s="388">
        <f>SUMIFS('2022'!$I:$I,'2022'!$E:$E,Category!$B$134,'2022'!$N:$N,Category!AO$1,'2022'!$D:$D,Category!$C208)</f>
        <v>0</v>
      </c>
      <c r="AP208" s="388">
        <f>SUMIFS('2022'!$I:$I,'2022'!$E:$E,Category!$B$134,'2022'!$N:$N,Category!AP$1,'2022'!$D:$D,Category!$C208)</f>
        <v>0</v>
      </c>
      <c r="AQ208" s="388">
        <f>SUMIFS('2022'!$I:$I,'2022'!$E:$E,Category!$B$134,'2022'!$N:$N,Category!AQ$1,'2022'!$D:$D,Category!$C208)</f>
        <v>0</v>
      </c>
      <c r="AR208" s="388">
        <f>SUMIFS('2022'!$I:$I,'2022'!$E:$E,Category!$B$134,'2022'!$N:$N,Category!AR$1,'2022'!$D:$D,Category!$C208)</f>
        <v>0</v>
      </c>
      <c r="AS208" s="388">
        <f>SUMIFS('2022'!$I:$I,'2022'!$E:$E,Category!$B$134,'2022'!$N:$N,Category!AS$1,'2022'!$D:$D,Category!$C208)</f>
        <v>0</v>
      </c>
      <c r="AT208" s="388">
        <f>SUMIFS('2022'!$I:$I,'2022'!$E:$E,Category!$B$134,'2022'!$N:$N,Category!AT$1,'2022'!$D:$D,Category!$C208)</f>
        <v>0</v>
      </c>
      <c r="AU208" s="388">
        <f>SUMIFS('2022'!$I:$I,'2022'!$E:$E,Category!$B$134,'2022'!$N:$N,Category!AU$1,'2022'!$D:$D,Category!$C208)</f>
        <v>0</v>
      </c>
      <c r="AV208" s="388">
        <f>SUMIFS('2022'!$I:$I,'2022'!$E:$E,Category!$B$134,'2022'!$N:$N,Category!AV$1,'2022'!$D:$D,Category!$C208)</f>
        <v>0</v>
      </c>
      <c r="AW208" s="388">
        <f>SUMIFS('2022'!$I:$I,'2022'!$E:$E,Category!$B$134,'2022'!$N:$N,Category!AW$1,'2022'!$D:$D,Category!$C208)</f>
        <v>0</v>
      </c>
      <c r="AX208" s="388">
        <f>SUMIFS('2022'!$I:$I,'2022'!$E:$E,Category!$B$134,'2022'!$N:$N,Category!AX$1,'2022'!$D:$D,Category!$C208)</f>
        <v>0</v>
      </c>
      <c r="AY208" s="388">
        <f>SUMIFS('2022'!$I:$I,'2022'!$E:$E,Category!$B$134,'2022'!$N:$N,Category!AY$1,'2022'!$D:$D,Category!$C208)</f>
        <v>0</v>
      </c>
      <c r="AZ208" s="389">
        <f t="shared" si="80"/>
        <v>0</v>
      </c>
      <c r="BA208" s="506">
        <f>IFERROR(VLOOKUP(C208,'2023'!$D:$G,4,0),0)</f>
        <v>0</v>
      </c>
      <c r="BB208" s="388">
        <f>SUMIFS('2023'!$I:$I,'2023'!$E:$E,Category!$B$134,'2023'!$N:$N,Category!BB$1,'2023'!$D:$D,Category!$C208)</f>
        <v>0</v>
      </c>
      <c r="BC208" s="388">
        <f>SUMIFS('2023'!$I:$I,'2023'!$E:$E,Category!$B$134,'2023'!$N:$N,Category!BC$1,'2023'!$D:$D,Category!$C208)</f>
        <v>0</v>
      </c>
      <c r="BD208" s="388">
        <f>SUMIFS('2023'!$I:$I,'2023'!$E:$E,Category!$B$134,'2023'!$N:$N,Category!BD$1,'2023'!$D:$D,Category!$C208)</f>
        <v>0</v>
      </c>
      <c r="BE208" s="388">
        <f>SUMIFS('2023'!$I:$I,'2023'!$E:$E,Category!$B$134,'2023'!$N:$N,Category!BE$1,'2023'!$D:$D,Category!$C208)</f>
        <v>0</v>
      </c>
      <c r="BF208" s="388">
        <f>SUMIFS('2023'!$I:$I,'2023'!$E:$E,Category!$B$134,'2023'!$N:$N,Category!BF$1,'2023'!$D:$D,Category!$C208)</f>
        <v>0</v>
      </c>
      <c r="BG208" s="388">
        <f>SUMIFS('2023'!$I:$I,'2023'!$E:$E,Category!$B$134,'2023'!$N:$N,Category!BG$1,'2023'!$D:$D,Category!$C208)</f>
        <v>0</v>
      </c>
      <c r="BH208" s="388">
        <f>SUMIFS('2023'!$I:$I,'2023'!$E:$E,Category!$B$134,'2023'!$N:$N,Category!BH$1,'2023'!$D:$D,Category!$C208)</f>
        <v>0</v>
      </c>
      <c r="BI208" s="388">
        <f>SUMIFS('2023'!$I:$I,'2023'!$E:$E,Category!$B$134,'2023'!$N:$N,Category!BI$1,'2023'!$D:$D,Category!$C208)</f>
        <v>0</v>
      </c>
      <c r="BJ208" s="388">
        <f>SUMIFS('2023'!$I:$I,'2023'!$E:$E,Category!$B$134,'2023'!$N:$N,Category!BJ$1,'2023'!$D:$D,Category!$C208)</f>
        <v>0</v>
      </c>
      <c r="BK208" s="388">
        <f>SUMIFS('2023'!$I:$I,'2023'!$E:$E,Category!$B$134,'2023'!$N:$N,Category!BK$1,'2023'!$D:$D,Category!$C208)</f>
        <v>0</v>
      </c>
      <c r="BL208" s="388">
        <f>SUMIFS('2023'!$I:$I,'2023'!$E:$E,Category!$B$134,'2023'!$N:$N,Category!BL$1,'2023'!$D:$D,Category!$C208)</f>
        <v>0</v>
      </c>
      <c r="BM208" s="388">
        <f>SUMIFS('2023'!$I:$I,'2023'!$E:$E,Category!$B$134,'2023'!$N:$N,Category!BM$1,'2023'!$D:$D,Category!$C208)</f>
        <v>0</v>
      </c>
      <c r="BN208" s="389">
        <f t="shared" si="69"/>
        <v>0</v>
      </c>
    </row>
    <row r="209" spans="1:66" x14ac:dyDescent="0.3">
      <c r="A209" s="392"/>
      <c r="B209" s="387"/>
      <c r="C209" s="387" t="s">
        <v>1727</v>
      </c>
      <c r="D209" s="524">
        <f>IFERROR(VLOOKUP($C209,'2019'!$D:$G,4,0),0)</f>
        <v>0</v>
      </c>
      <c r="E209" s="388">
        <f>SUMIFS('2019'!$I:$I,'2019'!$E:$E,Category!$B$134,'2019'!$N:$N,Category!E$1,'2019'!$D:$D,Category!$C209)</f>
        <v>0</v>
      </c>
      <c r="F209" s="388">
        <f>SUMIFS('2019'!$I:$I,'2019'!$E:$E,Category!$B$134,'2019'!$N:$N,Category!F$1,'2019'!$D:$D,Category!$C209)</f>
        <v>0</v>
      </c>
      <c r="G209" s="388">
        <f>SUMIFS('2019'!$I:$I,'2019'!$E:$E,Category!$B$134,'2019'!$N:$N,Category!G$1,'2019'!$D:$D,Category!$C209)</f>
        <v>0</v>
      </c>
      <c r="H209" s="388">
        <f>SUMIFS('2019'!$I:$I,'2019'!$E:$E,Category!$B$134,'2019'!$N:$N,Category!H$1,'2019'!$D:$D,Category!$C209)</f>
        <v>0</v>
      </c>
      <c r="I209" s="388">
        <f>SUMIFS('2019'!$I:$I,'2019'!$E:$E,Category!$B$134,'2019'!$N:$N,Category!I$1,'2019'!$D:$D,Category!$C209)</f>
        <v>0</v>
      </c>
      <c r="J209" s="389">
        <f t="shared" si="71"/>
        <v>0</v>
      </c>
      <c r="K209" s="506">
        <f>IFERROR(VLOOKUP($C209,'2020'!$D:$G,4,0),0)</f>
        <v>0</v>
      </c>
      <c r="L209" s="388">
        <f>SUMIFS('2020'!$I:$I,'2020'!$E:$E,Category!$B$134,'2020'!$N:$N,Category!L$1,'2020'!$D:$D,Category!$C209)</f>
        <v>0</v>
      </c>
      <c r="M209" s="388">
        <f>SUMIFS('2020'!$I:$I,'2020'!$E:$E,Category!$B$134,'2020'!$N:$N,Category!M$1,'2020'!$D:$D,Category!$C209)</f>
        <v>0</v>
      </c>
      <c r="N209" s="388">
        <f>SUMIFS('2020'!$I:$I,'2020'!$E:$E,Category!$B$134,'2020'!$N:$N,Category!N$1,'2020'!$D:$D,Category!$C209)</f>
        <v>0</v>
      </c>
      <c r="O209" s="388">
        <f>SUMIFS('2020'!$I:$I,'2020'!$E:$E,Category!$B$134,'2020'!$N:$N,Category!O$1,'2020'!$D:$D,Category!$C209)</f>
        <v>0</v>
      </c>
      <c r="P209" s="388">
        <f>SUMIFS('2020'!$I:$I,'2020'!$E:$E,Category!$B$134,'2020'!$N:$N,Category!P$1,'2020'!$D:$D,Category!$C209)</f>
        <v>0</v>
      </c>
      <c r="Q209" s="388">
        <f>SUMIFS('2020'!$I:$I,'2020'!$E:$E,Category!$B$134,'2020'!$N:$N,Category!Q$1,'2020'!$D:$D,Category!$C209)</f>
        <v>0</v>
      </c>
      <c r="R209" s="388">
        <f>SUMIFS('2020'!$I:$I,'2020'!$E:$E,Category!$B$134,'2020'!$N:$N,Category!R$1,'2020'!$D:$D,Category!$C209)</f>
        <v>0</v>
      </c>
      <c r="S209" s="388">
        <f>SUMIFS('2020'!$I:$I,'2020'!$E:$E,Category!$B$134,'2020'!$N:$N,Category!S$1,'2020'!$D:$D,Category!$C209)</f>
        <v>0</v>
      </c>
      <c r="T209" s="388">
        <f>SUMIFS('2020'!$I:$I,'2020'!$E:$E,Category!$B$134,'2020'!$N:$N,Category!T$1,'2020'!$D:$D,Category!$C209)</f>
        <v>0</v>
      </c>
      <c r="U209" s="388">
        <f>SUMIFS('2020'!$I:$I,'2020'!$E:$E,Category!$B$134,'2020'!$N:$N,Category!U$1,'2020'!$D:$D,Category!$C209)</f>
        <v>0</v>
      </c>
      <c r="V209" s="388">
        <f>SUMIFS('2020'!$I:$I,'2020'!$E:$E,Category!$B$134,'2020'!$N:$N,Category!V$1,'2020'!$D:$D,Category!$C209)</f>
        <v>0</v>
      </c>
      <c r="W209" s="388">
        <f>SUMIFS('2020'!$I:$I,'2020'!$E:$E,Category!$B$134,'2020'!$N:$N,Category!W$1,'2020'!$D:$D,Category!$C209)</f>
        <v>0</v>
      </c>
      <c r="X209" s="389">
        <f t="shared" si="78"/>
        <v>0</v>
      </c>
      <c r="Y209" s="506">
        <f>IFERROR(VLOOKUP(C209,'2021'!$D:$G,4,0),0)</f>
        <v>0</v>
      </c>
      <c r="Z209" s="388">
        <f>SUMIFS('2021'!$I:$I,'2021'!$E:$E,Category!$B$134,'2021'!$N:$N,Category!Z$1,'2021'!$D:$D,Category!$C209)</f>
        <v>0</v>
      </c>
      <c r="AA209" s="388">
        <f>SUMIFS('2021'!$I:$I,'2021'!$E:$E,Category!$B$134,'2021'!$N:$N,Category!AA$1,'2021'!$D:$D,Category!$C209)</f>
        <v>0</v>
      </c>
      <c r="AB209" s="388">
        <f>SUMIFS('2021'!$I:$I,'2021'!$E:$E,Category!$B$134,'2021'!$N:$N,Category!AB$1,'2021'!$D:$D,Category!$C209)</f>
        <v>0</v>
      </c>
      <c r="AC209" s="388">
        <f>SUMIFS('2021'!$I:$I,'2021'!$E:$E,Category!$B$134,'2021'!$N:$N,Category!AC$1,'2021'!$D:$D,Category!$C209)</f>
        <v>0</v>
      </c>
      <c r="AD209" s="388">
        <f>SUMIFS('2021'!$I:$I,'2021'!$E:$E,Category!$B$134,'2021'!$N:$N,Category!AD$1,'2021'!$D:$D,Category!$C209)</f>
        <v>0</v>
      </c>
      <c r="AE209" s="388">
        <f>SUMIFS('2021'!$I:$I,'2021'!$E:$E,Category!$B$134,'2021'!$N:$N,Category!AE$1,'2021'!$D:$D,Category!$C209)</f>
        <v>0</v>
      </c>
      <c r="AF209" s="388">
        <f>SUMIFS('2021'!$I:$I,'2021'!$E:$E,Category!$B$134,'2021'!$N:$N,Category!AF$1,'2021'!$D:$D,Category!$C209)</f>
        <v>0</v>
      </c>
      <c r="AG209" s="388">
        <f>SUMIFS('2021'!$I:$I,'2021'!$E:$E,Category!$B$134,'2021'!$N:$N,Category!AG$1,'2021'!$D:$D,Category!$C209)</f>
        <v>0</v>
      </c>
      <c r="AH209" s="388">
        <f>SUMIFS('2021'!$I:$I,'2021'!$E:$E,Category!$B$134,'2021'!$N:$N,Category!AH$1,'2021'!$D:$D,Category!$C209)</f>
        <v>0</v>
      </c>
      <c r="AI209" s="388">
        <f>SUMIFS('2021'!$I:$I,'2021'!$E:$E,Category!$B$134,'2021'!$N:$N,Category!AI$1,'2021'!$D:$D,Category!$C209)</f>
        <v>0</v>
      </c>
      <c r="AJ209" s="388">
        <f>SUMIFS('2021'!$I:$I,'2021'!$E:$E,Category!$B$134,'2021'!$N:$N,Category!AJ$1,'2021'!$D:$D,Category!$C209)</f>
        <v>0</v>
      </c>
      <c r="AK209" s="388">
        <f>SUMIFS('2021'!$I:$I,'2021'!$E:$E,Category!$B$134,'2021'!$N:$N,Category!AK$1,'2021'!$D:$D,Category!$C209)</f>
        <v>0</v>
      </c>
      <c r="AL209" s="389">
        <f t="shared" si="79"/>
        <v>0</v>
      </c>
      <c r="AM209" s="506">
        <f>IFERROR(VLOOKUP(C209,'2022'!$D:$G,4,0),0)</f>
        <v>0</v>
      </c>
      <c r="AN209" s="388">
        <f>SUMIFS('2022'!$I:$I,'2022'!$E:$E,Category!$B$134,'2022'!$N:$N,Category!AN$1,'2022'!$D:$D,Category!$C209)</f>
        <v>0</v>
      </c>
      <c r="AO209" s="388">
        <f>SUMIFS('2022'!$I:$I,'2022'!$E:$E,Category!$B$134,'2022'!$N:$N,Category!AO$1,'2022'!$D:$D,Category!$C209)</f>
        <v>0</v>
      </c>
      <c r="AP209" s="388">
        <f>SUMIFS('2022'!$I:$I,'2022'!$E:$E,Category!$B$134,'2022'!$N:$N,Category!AP$1,'2022'!$D:$D,Category!$C209)</f>
        <v>0</v>
      </c>
      <c r="AQ209" s="388">
        <f>SUMIFS('2022'!$I:$I,'2022'!$E:$E,Category!$B$134,'2022'!$N:$N,Category!AQ$1,'2022'!$D:$D,Category!$C209)</f>
        <v>0</v>
      </c>
      <c r="AR209" s="388">
        <f>SUMIFS('2022'!$I:$I,'2022'!$E:$E,Category!$B$134,'2022'!$N:$N,Category!AR$1,'2022'!$D:$D,Category!$C209)</f>
        <v>0</v>
      </c>
      <c r="AS209" s="388">
        <f>SUMIFS('2022'!$I:$I,'2022'!$E:$E,Category!$B$134,'2022'!$N:$N,Category!AS$1,'2022'!$D:$D,Category!$C209)</f>
        <v>0</v>
      </c>
      <c r="AT209" s="388">
        <f>SUMIFS('2022'!$I:$I,'2022'!$E:$E,Category!$B$134,'2022'!$N:$N,Category!AT$1,'2022'!$D:$D,Category!$C209)</f>
        <v>0</v>
      </c>
      <c r="AU209" s="388">
        <f>SUMIFS('2022'!$I:$I,'2022'!$E:$E,Category!$B$134,'2022'!$N:$N,Category!AU$1,'2022'!$D:$D,Category!$C209)</f>
        <v>0</v>
      </c>
      <c r="AV209" s="388">
        <f>SUMIFS('2022'!$I:$I,'2022'!$E:$E,Category!$B$134,'2022'!$N:$N,Category!AV$1,'2022'!$D:$D,Category!$C209)</f>
        <v>0</v>
      </c>
      <c r="AW209" s="388">
        <f>SUMIFS('2022'!$I:$I,'2022'!$E:$E,Category!$B$134,'2022'!$N:$N,Category!AW$1,'2022'!$D:$D,Category!$C209)</f>
        <v>0</v>
      </c>
      <c r="AX209" s="388">
        <f>SUMIFS('2022'!$I:$I,'2022'!$E:$E,Category!$B$134,'2022'!$N:$N,Category!AX$1,'2022'!$D:$D,Category!$C209)</f>
        <v>500000</v>
      </c>
      <c r="AY209" s="388">
        <f>SUMIFS('2022'!$I:$I,'2022'!$E:$E,Category!$B$134,'2022'!$N:$N,Category!AY$1,'2022'!$D:$D,Category!$C209)</f>
        <v>500000</v>
      </c>
      <c r="AZ209" s="389">
        <f t="shared" si="80"/>
        <v>1000000</v>
      </c>
      <c r="BA209" s="506">
        <f>IFERROR(VLOOKUP(C209,'2023'!$D:$G,4,0),0)</f>
        <v>1</v>
      </c>
      <c r="BB209" s="388">
        <f>SUMIFS('2023'!$I:$I,'2023'!$E:$E,Category!$B$134,'2023'!$N:$N,Category!BB$1,'2023'!$D:$D,Category!$C209)</f>
        <v>500000</v>
      </c>
      <c r="BC209" s="388">
        <f>SUMIFS('2023'!$I:$I,'2023'!$E:$E,Category!$B$134,'2023'!$N:$N,Category!BC$1,'2023'!$D:$D,Category!$C209)</f>
        <v>500000</v>
      </c>
      <c r="BD209" s="388">
        <f>SUMIFS('2023'!$I:$I,'2023'!$E:$E,Category!$B$134,'2023'!$N:$N,Category!BD$1,'2023'!$D:$D,Category!$C209)</f>
        <v>0</v>
      </c>
      <c r="BE209" s="388">
        <f>SUMIFS('2023'!$I:$I,'2023'!$E:$E,Category!$B$134,'2023'!$N:$N,Category!BE$1,'2023'!$D:$D,Category!$C209)</f>
        <v>0</v>
      </c>
      <c r="BF209" s="388">
        <f>SUMIFS('2023'!$I:$I,'2023'!$E:$E,Category!$B$134,'2023'!$N:$N,Category!BF$1,'2023'!$D:$D,Category!$C209)</f>
        <v>0</v>
      </c>
      <c r="BG209" s="388">
        <f>SUMIFS('2023'!$I:$I,'2023'!$E:$E,Category!$B$134,'2023'!$N:$N,Category!BG$1,'2023'!$D:$D,Category!$C209)</f>
        <v>0</v>
      </c>
      <c r="BH209" s="388">
        <f>SUMIFS('2023'!$I:$I,'2023'!$E:$E,Category!$B$134,'2023'!$N:$N,Category!BH$1,'2023'!$D:$D,Category!$C209)</f>
        <v>0</v>
      </c>
      <c r="BI209" s="388">
        <f>SUMIFS('2023'!$I:$I,'2023'!$E:$E,Category!$B$134,'2023'!$N:$N,Category!BI$1,'2023'!$D:$D,Category!$C209)</f>
        <v>0</v>
      </c>
      <c r="BJ209" s="388">
        <f>SUMIFS('2023'!$I:$I,'2023'!$E:$E,Category!$B$134,'2023'!$N:$N,Category!BJ$1,'2023'!$D:$D,Category!$C209)</f>
        <v>0</v>
      </c>
      <c r="BK209" s="388">
        <f>SUMIFS('2023'!$I:$I,'2023'!$E:$E,Category!$B$134,'2023'!$N:$N,Category!BK$1,'2023'!$D:$D,Category!$C209)</f>
        <v>0</v>
      </c>
      <c r="BL209" s="388">
        <f>SUMIFS('2023'!$I:$I,'2023'!$E:$E,Category!$B$134,'2023'!$N:$N,Category!BL$1,'2023'!$D:$D,Category!$C209)</f>
        <v>0</v>
      </c>
      <c r="BM209" s="388">
        <f>SUMIFS('2023'!$I:$I,'2023'!$E:$E,Category!$B$134,'2023'!$N:$N,Category!BM$1,'2023'!$D:$D,Category!$C209)</f>
        <v>0</v>
      </c>
      <c r="BN209" s="389">
        <f t="shared" si="69"/>
        <v>1000000</v>
      </c>
    </row>
    <row r="210" spans="1:66" x14ac:dyDescent="0.3">
      <c r="A210" s="392"/>
      <c r="B210" s="387"/>
      <c r="C210" s="387" t="s">
        <v>1728</v>
      </c>
      <c r="D210" s="524">
        <f>IFERROR(VLOOKUP($C210,'2019'!$D:$G,4,0),0)</f>
        <v>0</v>
      </c>
      <c r="E210" s="388">
        <f>SUMIFS('2019'!$I:$I,'2019'!$E:$E,Category!$B$134,'2019'!$N:$N,Category!E$1,'2019'!$D:$D,Category!$C210)</f>
        <v>0</v>
      </c>
      <c r="F210" s="388">
        <f>SUMIFS('2019'!$I:$I,'2019'!$E:$E,Category!$B$134,'2019'!$N:$N,Category!F$1,'2019'!$D:$D,Category!$C210)</f>
        <v>0</v>
      </c>
      <c r="G210" s="388">
        <f>SUMIFS('2019'!$I:$I,'2019'!$E:$E,Category!$B$134,'2019'!$N:$N,Category!G$1,'2019'!$D:$D,Category!$C210)</f>
        <v>0</v>
      </c>
      <c r="H210" s="388">
        <f>SUMIFS('2019'!$I:$I,'2019'!$E:$E,Category!$B$134,'2019'!$N:$N,Category!H$1,'2019'!$D:$D,Category!$C210)</f>
        <v>0</v>
      </c>
      <c r="I210" s="388">
        <f>SUMIFS('2019'!$I:$I,'2019'!$E:$E,Category!$B$134,'2019'!$N:$N,Category!I$1,'2019'!$D:$D,Category!$C210)</f>
        <v>0</v>
      </c>
      <c r="J210" s="389">
        <f t="shared" si="71"/>
        <v>0</v>
      </c>
      <c r="K210" s="506">
        <f>IFERROR(VLOOKUP($C210,'2020'!$D:$G,4,0),0)</f>
        <v>0</v>
      </c>
      <c r="L210" s="388">
        <f>SUMIFS('2020'!$I:$I,'2020'!$E:$E,Category!$B$134,'2020'!$N:$N,Category!L$1,'2020'!$D:$D,Category!$C210)</f>
        <v>0</v>
      </c>
      <c r="M210" s="388">
        <f>SUMIFS('2020'!$I:$I,'2020'!$E:$E,Category!$B$134,'2020'!$N:$N,Category!M$1,'2020'!$D:$D,Category!$C210)</f>
        <v>0</v>
      </c>
      <c r="N210" s="388">
        <f>SUMIFS('2020'!$I:$I,'2020'!$E:$E,Category!$B$134,'2020'!$N:$N,Category!N$1,'2020'!$D:$D,Category!$C210)</f>
        <v>0</v>
      </c>
      <c r="O210" s="388">
        <f>SUMIFS('2020'!$I:$I,'2020'!$E:$E,Category!$B$134,'2020'!$N:$N,Category!O$1,'2020'!$D:$D,Category!$C210)</f>
        <v>0</v>
      </c>
      <c r="P210" s="388">
        <f>SUMIFS('2020'!$I:$I,'2020'!$E:$E,Category!$B$134,'2020'!$N:$N,Category!P$1,'2020'!$D:$D,Category!$C210)</f>
        <v>0</v>
      </c>
      <c r="Q210" s="388">
        <f>SUMIFS('2020'!$I:$I,'2020'!$E:$E,Category!$B$134,'2020'!$N:$N,Category!Q$1,'2020'!$D:$D,Category!$C210)</f>
        <v>0</v>
      </c>
      <c r="R210" s="388">
        <f>SUMIFS('2020'!$I:$I,'2020'!$E:$E,Category!$B$134,'2020'!$N:$N,Category!R$1,'2020'!$D:$D,Category!$C210)</f>
        <v>0</v>
      </c>
      <c r="S210" s="388">
        <f>SUMIFS('2020'!$I:$I,'2020'!$E:$E,Category!$B$134,'2020'!$N:$N,Category!S$1,'2020'!$D:$D,Category!$C210)</f>
        <v>0</v>
      </c>
      <c r="T210" s="388">
        <f>SUMIFS('2020'!$I:$I,'2020'!$E:$E,Category!$B$134,'2020'!$N:$N,Category!T$1,'2020'!$D:$D,Category!$C210)</f>
        <v>0</v>
      </c>
      <c r="U210" s="388">
        <f>SUMIFS('2020'!$I:$I,'2020'!$E:$E,Category!$B$134,'2020'!$N:$N,Category!U$1,'2020'!$D:$D,Category!$C210)</f>
        <v>0</v>
      </c>
      <c r="V210" s="388">
        <f>SUMIFS('2020'!$I:$I,'2020'!$E:$E,Category!$B$134,'2020'!$N:$N,Category!V$1,'2020'!$D:$D,Category!$C210)</f>
        <v>0</v>
      </c>
      <c r="W210" s="388">
        <f>SUMIFS('2020'!$I:$I,'2020'!$E:$E,Category!$B$134,'2020'!$N:$N,Category!W$1,'2020'!$D:$D,Category!$C210)</f>
        <v>0</v>
      </c>
      <c r="X210" s="389">
        <f t="shared" si="78"/>
        <v>0</v>
      </c>
      <c r="Y210" s="506">
        <f>IFERROR(VLOOKUP(C210,'2021'!$D:$G,4,0),0)</f>
        <v>0</v>
      </c>
      <c r="Z210" s="388">
        <f>SUMIFS('2021'!$I:$I,'2021'!$E:$E,Category!$B$134,'2021'!$N:$N,Category!Z$1,'2021'!$D:$D,Category!$C210)</f>
        <v>0</v>
      </c>
      <c r="AA210" s="388">
        <f>SUMIFS('2021'!$I:$I,'2021'!$E:$E,Category!$B$134,'2021'!$N:$N,Category!AA$1,'2021'!$D:$D,Category!$C210)</f>
        <v>0</v>
      </c>
      <c r="AB210" s="388">
        <f>SUMIFS('2021'!$I:$I,'2021'!$E:$E,Category!$B$134,'2021'!$N:$N,Category!AB$1,'2021'!$D:$D,Category!$C210)</f>
        <v>0</v>
      </c>
      <c r="AC210" s="388">
        <f>SUMIFS('2021'!$I:$I,'2021'!$E:$E,Category!$B$134,'2021'!$N:$N,Category!AC$1,'2021'!$D:$D,Category!$C210)</f>
        <v>0</v>
      </c>
      <c r="AD210" s="388">
        <f>SUMIFS('2021'!$I:$I,'2021'!$E:$E,Category!$B$134,'2021'!$N:$N,Category!AD$1,'2021'!$D:$D,Category!$C210)</f>
        <v>0</v>
      </c>
      <c r="AE210" s="388">
        <f>SUMIFS('2021'!$I:$I,'2021'!$E:$E,Category!$B$134,'2021'!$N:$N,Category!AE$1,'2021'!$D:$D,Category!$C210)</f>
        <v>0</v>
      </c>
      <c r="AF210" s="388">
        <f>SUMIFS('2021'!$I:$I,'2021'!$E:$E,Category!$B$134,'2021'!$N:$N,Category!AF$1,'2021'!$D:$D,Category!$C210)</f>
        <v>0</v>
      </c>
      <c r="AG210" s="388">
        <f>SUMIFS('2021'!$I:$I,'2021'!$E:$E,Category!$B$134,'2021'!$N:$N,Category!AG$1,'2021'!$D:$D,Category!$C210)</f>
        <v>0</v>
      </c>
      <c r="AH210" s="388">
        <f>SUMIFS('2021'!$I:$I,'2021'!$E:$E,Category!$B$134,'2021'!$N:$N,Category!AH$1,'2021'!$D:$D,Category!$C210)</f>
        <v>0</v>
      </c>
      <c r="AI210" s="388">
        <f>SUMIFS('2021'!$I:$I,'2021'!$E:$E,Category!$B$134,'2021'!$N:$N,Category!AI$1,'2021'!$D:$D,Category!$C210)</f>
        <v>0</v>
      </c>
      <c r="AJ210" s="388">
        <f>SUMIFS('2021'!$I:$I,'2021'!$E:$E,Category!$B$134,'2021'!$N:$N,Category!AJ$1,'2021'!$D:$D,Category!$C210)</f>
        <v>0</v>
      </c>
      <c r="AK210" s="388">
        <f>SUMIFS('2021'!$I:$I,'2021'!$E:$E,Category!$B$134,'2021'!$N:$N,Category!AK$1,'2021'!$D:$D,Category!$C210)</f>
        <v>0</v>
      </c>
      <c r="AL210" s="389">
        <f t="shared" si="79"/>
        <v>0</v>
      </c>
      <c r="AM210" s="506">
        <f>IFERROR(VLOOKUP(C210,'2022'!$D:$G,4,0),0)</f>
        <v>0</v>
      </c>
      <c r="AN210" s="388">
        <f>SUMIFS('2022'!$I:$I,'2022'!$E:$E,Category!$B$134,'2022'!$N:$N,Category!AN$1,'2022'!$D:$D,Category!$C210)</f>
        <v>0</v>
      </c>
      <c r="AO210" s="388">
        <f>SUMIFS('2022'!$I:$I,'2022'!$E:$E,Category!$B$134,'2022'!$N:$N,Category!AO$1,'2022'!$D:$D,Category!$C210)</f>
        <v>0</v>
      </c>
      <c r="AP210" s="388">
        <f>SUMIFS('2022'!$I:$I,'2022'!$E:$E,Category!$B$134,'2022'!$N:$N,Category!AP$1,'2022'!$D:$D,Category!$C210)</f>
        <v>0</v>
      </c>
      <c r="AQ210" s="388">
        <f>SUMIFS('2022'!$I:$I,'2022'!$E:$E,Category!$B$134,'2022'!$N:$N,Category!AQ$1,'2022'!$D:$D,Category!$C210)</f>
        <v>0</v>
      </c>
      <c r="AR210" s="388">
        <f>SUMIFS('2022'!$I:$I,'2022'!$E:$E,Category!$B$134,'2022'!$N:$N,Category!AR$1,'2022'!$D:$D,Category!$C210)</f>
        <v>0</v>
      </c>
      <c r="AS210" s="388">
        <f>SUMIFS('2022'!$I:$I,'2022'!$E:$E,Category!$B$134,'2022'!$N:$N,Category!AS$1,'2022'!$D:$D,Category!$C210)</f>
        <v>0</v>
      </c>
      <c r="AT210" s="388">
        <f>SUMIFS('2022'!$I:$I,'2022'!$E:$E,Category!$B$134,'2022'!$N:$N,Category!AT$1,'2022'!$D:$D,Category!$C210)</f>
        <v>0</v>
      </c>
      <c r="AU210" s="388">
        <f>SUMIFS('2022'!$I:$I,'2022'!$E:$E,Category!$B$134,'2022'!$N:$N,Category!AU$1,'2022'!$D:$D,Category!$C210)</f>
        <v>0</v>
      </c>
      <c r="AV210" s="388">
        <f>SUMIFS('2022'!$I:$I,'2022'!$E:$E,Category!$B$134,'2022'!$N:$N,Category!AV$1,'2022'!$D:$D,Category!$C210)</f>
        <v>0</v>
      </c>
      <c r="AW210" s="388">
        <f>SUMIFS('2022'!$I:$I,'2022'!$E:$E,Category!$B$134,'2022'!$N:$N,Category!AW$1,'2022'!$D:$D,Category!$C210)</f>
        <v>0</v>
      </c>
      <c r="AX210" s="388">
        <f>SUMIFS('2022'!$I:$I,'2022'!$E:$E,Category!$B$134,'2022'!$N:$N,Category!AX$1,'2022'!$D:$D,Category!$C210)</f>
        <v>500000</v>
      </c>
      <c r="AY210" s="388">
        <f>SUMIFS('2022'!$I:$I,'2022'!$E:$E,Category!$B$134,'2022'!$N:$N,Category!AY$1,'2022'!$D:$D,Category!$C210)</f>
        <v>5000000</v>
      </c>
      <c r="AZ210" s="389">
        <f t="shared" si="80"/>
        <v>5500000</v>
      </c>
      <c r="BA210" s="506">
        <f>IFERROR(VLOOKUP(C210,'2023'!$D:$G,4,0),0)</f>
        <v>1</v>
      </c>
      <c r="BB210" s="388">
        <f>SUMIFS('2023'!$I:$I,'2023'!$E:$E,Category!$B$134,'2023'!$N:$N,Category!BB$1,'2023'!$D:$D,Category!$C210)</f>
        <v>500000</v>
      </c>
      <c r="BC210" s="388">
        <f>SUMIFS('2023'!$I:$I,'2023'!$E:$E,Category!$B$134,'2023'!$N:$N,Category!BC$1,'2023'!$D:$D,Category!$C210)</f>
        <v>500000</v>
      </c>
      <c r="BD210" s="388">
        <f>SUMIFS('2023'!$I:$I,'2023'!$E:$E,Category!$B$134,'2023'!$N:$N,Category!BD$1,'2023'!$D:$D,Category!$C210)</f>
        <v>0</v>
      </c>
      <c r="BE210" s="388">
        <f>SUMIFS('2023'!$I:$I,'2023'!$E:$E,Category!$B$134,'2023'!$N:$N,Category!BE$1,'2023'!$D:$D,Category!$C210)</f>
        <v>0</v>
      </c>
      <c r="BF210" s="388">
        <f>SUMIFS('2023'!$I:$I,'2023'!$E:$E,Category!$B$134,'2023'!$N:$N,Category!BF$1,'2023'!$D:$D,Category!$C210)</f>
        <v>0</v>
      </c>
      <c r="BG210" s="388">
        <f>SUMIFS('2023'!$I:$I,'2023'!$E:$E,Category!$B$134,'2023'!$N:$N,Category!BG$1,'2023'!$D:$D,Category!$C210)</f>
        <v>0</v>
      </c>
      <c r="BH210" s="388">
        <f>SUMIFS('2023'!$I:$I,'2023'!$E:$E,Category!$B$134,'2023'!$N:$N,Category!BH$1,'2023'!$D:$D,Category!$C210)</f>
        <v>0</v>
      </c>
      <c r="BI210" s="388">
        <f>SUMIFS('2023'!$I:$I,'2023'!$E:$E,Category!$B$134,'2023'!$N:$N,Category!BI$1,'2023'!$D:$D,Category!$C210)</f>
        <v>0</v>
      </c>
      <c r="BJ210" s="388">
        <f>SUMIFS('2023'!$I:$I,'2023'!$E:$E,Category!$B$134,'2023'!$N:$N,Category!BJ$1,'2023'!$D:$D,Category!$C210)</f>
        <v>0</v>
      </c>
      <c r="BK210" s="388">
        <f>SUMIFS('2023'!$I:$I,'2023'!$E:$E,Category!$B$134,'2023'!$N:$N,Category!BK$1,'2023'!$D:$D,Category!$C210)</f>
        <v>0</v>
      </c>
      <c r="BL210" s="388">
        <f>SUMIFS('2023'!$I:$I,'2023'!$E:$E,Category!$B$134,'2023'!$N:$N,Category!BL$1,'2023'!$D:$D,Category!$C210)</f>
        <v>0</v>
      </c>
      <c r="BM210" s="388">
        <f>SUMIFS('2023'!$I:$I,'2023'!$E:$E,Category!$B$134,'2023'!$N:$N,Category!BM$1,'2023'!$D:$D,Category!$C210)</f>
        <v>0</v>
      </c>
      <c r="BN210" s="389">
        <f t="shared" si="69"/>
        <v>1000000</v>
      </c>
    </row>
    <row r="211" spans="1:66" x14ac:dyDescent="0.3">
      <c r="A211" s="392"/>
      <c r="B211" s="387"/>
      <c r="C211" s="387" t="s">
        <v>1729</v>
      </c>
      <c r="D211" s="524">
        <f>IFERROR(VLOOKUP($C211,'2019'!$D:$G,4,0),0)</f>
        <v>0</v>
      </c>
      <c r="E211" s="388">
        <f>SUMIFS('2019'!$I:$I,'2019'!$E:$E,Category!$B$134,'2019'!$N:$N,Category!E$1,'2019'!$D:$D,Category!$C211)</f>
        <v>0</v>
      </c>
      <c r="F211" s="388">
        <f>SUMIFS('2019'!$I:$I,'2019'!$E:$E,Category!$B$134,'2019'!$N:$N,Category!F$1,'2019'!$D:$D,Category!$C211)</f>
        <v>0</v>
      </c>
      <c r="G211" s="388">
        <f>SUMIFS('2019'!$I:$I,'2019'!$E:$E,Category!$B$134,'2019'!$N:$N,Category!G$1,'2019'!$D:$D,Category!$C211)</f>
        <v>0</v>
      </c>
      <c r="H211" s="388">
        <f>SUMIFS('2019'!$I:$I,'2019'!$E:$E,Category!$B$134,'2019'!$N:$N,Category!H$1,'2019'!$D:$D,Category!$C211)</f>
        <v>0</v>
      </c>
      <c r="I211" s="388">
        <f>SUMIFS('2019'!$I:$I,'2019'!$E:$E,Category!$B$134,'2019'!$N:$N,Category!I$1,'2019'!$D:$D,Category!$C211)</f>
        <v>0</v>
      </c>
      <c r="J211" s="389">
        <f>SUM(E211:I211)</f>
        <v>0</v>
      </c>
      <c r="K211" s="506">
        <f>IFERROR(VLOOKUP($C211,'2020'!$D:$G,4,0),0)</f>
        <v>0</v>
      </c>
      <c r="L211" s="388">
        <f>SUMIFS('2020'!$I:$I,'2020'!$E:$E,Category!$B$134,'2020'!$N:$N,Category!L$1,'2020'!$D:$D,Category!$C211)</f>
        <v>0</v>
      </c>
      <c r="M211" s="388">
        <f>SUMIFS('2020'!$I:$I,'2020'!$E:$E,Category!$B$134,'2020'!$N:$N,Category!M$1,'2020'!$D:$D,Category!$C211)</f>
        <v>0</v>
      </c>
      <c r="N211" s="388">
        <f>SUMIFS('2020'!$I:$I,'2020'!$E:$E,Category!$B$134,'2020'!$N:$N,Category!N$1,'2020'!$D:$D,Category!$C211)</f>
        <v>0</v>
      </c>
      <c r="O211" s="388">
        <f>SUMIFS('2020'!$I:$I,'2020'!$E:$E,Category!$B$134,'2020'!$N:$N,Category!O$1,'2020'!$D:$D,Category!$C211)</f>
        <v>0</v>
      </c>
      <c r="P211" s="388">
        <f>SUMIFS('2020'!$I:$I,'2020'!$E:$E,Category!$B$134,'2020'!$N:$N,Category!P$1,'2020'!$D:$D,Category!$C211)</f>
        <v>0</v>
      </c>
      <c r="Q211" s="388">
        <f>SUMIFS('2020'!$I:$I,'2020'!$E:$E,Category!$B$134,'2020'!$N:$N,Category!Q$1,'2020'!$D:$D,Category!$C211)</f>
        <v>0</v>
      </c>
      <c r="R211" s="388">
        <f>SUMIFS('2020'!$I:$I,'2020'!$E:$E,Category!$B$134,'2020'!$N:$N,Category!R$1,'2020'!$D:$D,Category!$C211)</f>
        <v>0</v>
      </c>
      <c r="S211" s="388">
        <f>SUMIFS('2020'!$I:$I,'2020'!$E:$E,Category!$B$134,'2020'!$N:$N,Category!S$1,'2020'!$D:$D,Category!$C211)</f>
        <v>0</v>
      </c>
      <c r="T211" s="388">
        <f>SUMIFS('2020'!$I:$I,'2020'!$E:$E,Category!$B$134,'2020'!$N:$N,Category!T$1,'2020'!$D:$D,Category!$C211)</f>
        <v>0</v>
      </c>
      <c r="U211" s="388">
        <f>SUMIFS('2020'!$I:$I,'2020'!$E:$E,Category!$B$134,'2020'!$N:$N,Category!U$1,'2020'!$D:$D,Category!$C211)</f>
        <v>0</v>
      </c>
      <c r="V211" s="388">
        <f>SUMIFS('2020'!$I:$I,'2020'!$E:$E,Category!$B$134,'2020'!$N:$N,Category!V$1,'2020'!$D:$D,Category!$C211)</f>
        <v>0</v>
      </c>
      <c r="W211" s="388">
        <f>SUMIFS('2020'!$I:$I,'2020'!$E:$E,Category!$B$134,'2020'!$N:$N,Category!W$1,'2020'!$D:$D,Category!$C211)</f>
        <v>0</v>
      </c>
      <c r="X211" s="389">
        <f>SUM(L211:W211)</f>
        <v>0</v>
      </c>
      <c r="Y211" s="506">
        <f>IFERROR(VLOOKUP(C211,'2021'!$D:$G,4,0),0)</f>
        <v>0</v>
      </c>
      <c r="Z211" s="388">
        <f>SUMIFS('2021'!$I:$I,'2021'!$E:$E,Category!$B$134,'2021'!$N:$N,Category!Z$1,'2021'!$D:$D,Category!$C211)</f>
        <v>0</v>
      </c>
      <c r="AA211" s="388">
        <f>SUMIFS('2021'!$I:$I,'2021'!$E:$E,Category!$B$134,'2021'!$N:$N,Category!AA$1,'2021'!$D:$D,Category!$C211)</f>
        <v>0</v>
      </c>
      <c r="AB211" s="388">
        <f>SUMIFS('2021'!$I:$I,'2021'!$E:$E,Category!$B$134,'2021'!$N:$N,Category!AB$1,'2021'!$D:$D,Category!$C211)</f>
        <v>0</v>
      </c>
      <c r="AC211" s="388">
        <f>SUMIFS('2021'!$I:$I,'2021'!$E:$E,Category!$B$134,'2021'!$N:$N,Category!AC$1,'2021'!$D:$D,Category!$C211)</f>
        <v>0</v>
      </c>
      <c r="AD211" s="388">
        <f>SUMIFS('2021'!$I:$I,'2021'!$E:$E,Category!$B$134,'2021'!$N:$N,Category!AD$1,'2021'!$D:$D,Category!$C211)</f>
        <v>0</v>
      </c>
      <c r="AE211" s="388">
        <f>SUMIFS('2021'!$I:$I,'2021'!$E:$E,Category!$B$134,'2021'!$N:$N,Category!AE$1,'2021'!$D:$D,Category!$C211)</f>
        <v>0</v>
      </c>
      <c r="AF211" s="388">
        <f>SUMIFS('2021'!$I:$I,'2021'!$E:$E,Category!$B$134,'2021'!$N:$N,Category!AF$1,'2021'!$D:$D,Category!$C211)</f>
        <v>0</v>
      </c>
      <c r="AG211" s="388">
        <f>SUMIFS('2021'!$I:$I,'2021'!$E:$E,Category!$B$134,'2021'!$N:$N,Category!AG$1,'2021'!$D:$D,Category!$C211)</f>
        <v>0</v>
      </c>
      <c r="AH211" s="388">
        <f>SUMIFS('2021'!$I:$I,'2021'!$E:$E,Category!$B$134,'2021'!$N:$N,Category!AH$1,'2021'!$D:$D,Category!$C211)</f>
        <v>0</v>
      </c>
      <c r="AI211" s="388">
        <f>SUMIFS('2021'!$I:$I,'2021'!$E:$E,Category!$B$134,'2021'!$N:$N,Category!AI$1,'2021'!$D:$D,Category!$C211)</f>
        <v>0</v>
      </c>
      <c r="AJ211" s="388">
        <f>SUMIFS('2021'!$I:$I,'2021'!$E:$E,Category!$B$134,'2021'!$N:$N,Category!AJ$1,'2021'!$D:$D,Category!$C211)</f>
        <v>0</v>
      </c>
      <c r="AK211" s="388">
        <f>SUMIFS('2021'!$I:$I,'2021'!$E:$E,Category!$B$134,'2021'!$N:$N,Category!AK$1,'2021'!$D:$D,Category!$C211)</f>
        <v>0</v>
      </c>
      <c r="AL211" s="389">
        <f>SUM(Z211:AK211)</f>
        <v>0</v>
      </c>
      <c r="AM211" s="506">
        <f>IFERROR(VLOOKUP(C211,'2022'!$D:$G,4,0),0)</f>
        <v>0</v>
      </c>
      <c r="AN211" s="388">
        <f>SUMIFS('2022'!$I:$I,'2022'!$E:$E,Category!$B$134,'2022'!$N:$N,Category!AN$1,'2022'!$D:$D,Category!$C211)</f>
        <v>0</v>
      </c>
      <c r="AO211" s="388">
        <f>SUMIFS('2022'!$I:$I,'2022'!$E:$E,Category!$B$134,'2022'!$N:$N,Category!AO$1,'2022'!$D:$D,Category!$C211)</f>
        <v>0</v>
      </c>
      <c r="AP211" s="388">
        <f>SUMIFS('2022'!$I:$I,'2022'!$E:$E,Category!$B$134,'2022'!$N:$N,Category!AP$1,'2022'!$D:$D,Category!$C211)</f>
        <v>0</v>
      </c>
      <c r="AQ211" s="388">
        <f>SUMIFS('2022'!$I:$I,'2022'!$E:$E,Category!$B$134,'2022'!$N:$N,Category!AQ$1,'2022'!$D:$D,Category!$C211)</f>
        <v>0</v>
      </c>
      <c r="AR211" s="388">
        <f>SUMIFS('2022'!$I:$I,'2022'!$E:$E,Category!$B$134,'2022'!$N:$N,Category!AR$1,'2022'!$D:$D,Category!$C211)</f>
        <v>0</v>
      </c>
      <c r="AS211" s="388">
        <f>SUMIFS('2022'!$I:$I,'2022'!$E:$E,Category!$B$134,'2022'!$N:$N,Category!AS$1,'2022'!$D:$D,Category!$C211)</f>
        <v>0</v>
      </c>
      <c r="AT211" s="388">
        <f>SUMIFS('2022'!$I:$I,'2022'!$E:$E,Category!$B$134,'2022'!$N:$N,Category!AT$1,'2022'!$D:$D,Category!$C211)</f>
        <v>0</v>
      </c>
      <c r="AU211" s="388">
        <f>SUMIFS('2022'!$I:$I,'2022'!$E:$E,Category!$B$134,'2022'!$N:$N,Category!AU$1,'2022'!$D:$D,Category!$C211)</f>
        <v>0</v>
      </c>
      <c r="AV211" s="388">
        <f>SUMIFS('2022'!$I:$I,'2022'!$E:$E,Category!$B$134,'2022'!$N:$N,Category!AV$1,'2022'!$D:$D,Category!$C211)</f>
        <v>0</v>
      </c>
      <c r="AW211" s="388">
        <f>SUMIFS('2022'!$I:$I,'2022'!$E:$E,Category!$B$134,'2022'!$N:$N,Category!AW$1,'2022'!$D:$D,Category!$C211)</f>
        <v>0</v>
      </c>
      <c r="AX211" s="388">
        <f>SUMIFS('2022'!$I:$I,'2022'!$E:$E,Category!$B$134,'2022'!$N:$N,Category!AX$1,'2022'!$D:$D,Category!$C211)</f>
        <v>500000</v>
      </c>
      <c r="AY211" s="388">
        <f>SUMIFS('2022'!$I:$I,'2022'!$E:$E,Category!$B$134,'2022'!$N:$N,Category!AY$1,'2022'!$D:$D,Category!$C211)</f>
        <v>500000</v>
      </c>
      <c r="AZ211" s="389">
        <f>SUM(AN211:AY211)</f>
        <v>1000000</v>
      </c>
      <c r="BA211" s="506">
        <f>IFERROR(VLOOKUP(C211,'2023'!$D:$G,4,0),0)</f>
        <v>1</v>
      </c>
      <c r="BB211" s="388">
        <f>SUMIFS('2023'!$I:$I,'2023'!$E:$E,Category!$B$134,'2023'!$N:$N,Category!BB$1,'2023'!$D:$D,Category!$C211)</f>
        <v>500000</v>
      </c>
      <c r="BC211" s="388">
        <f>SUMIFS('2023'!$I:$I,'2023'!$E:$E,Category!$B$134,'2023'!$N:$N,Category!BC$1,'2023'!$D:$D,Category!$C211)</f>
        <v>500000</v>
      </c>
      <c r="BD211" s="388">
        <f>SUMIFS('2023'!$I:$I,'2023'!$E:$E,Category!$B$134,'2023'!$N:$N,Category!BD$1,'2023'!$D:$D,Category!$C211)</f>
        <v>0</v>
      </c>
      <c r="BE211" s="388">
        <f>SUMIFS('2023'!$I:$I,'2023'!$E:$E,Category!$B$134,'2023'!$N:$N,Category!BE$1,'2023'!$D:$D,Category!$C211)</f>
        <v>0</v>
      </c>
      <c r="BF211" s="388">
        <f>SUMIFS('2023'!$I:$I,'2023'!$E:$E,Category!$B$134,'2023'!$N:$N,Category!BF$1,'2023'!$D:$D,Category!$C211)</f>
        <v>0</v>
      </c>
      <c r="BG211" s="388">
        <f>SUMIFS('2023'!$I:$I,'2023'!$E:$E,Category!$B$134,'2023'!$N:$N,Category!BG$1,'2023'!$D:$D,Category!$C211)</f>
        <v>0</v>
      </c>
      <c r="BH211" s="388">
        <f>SUMIFS('2023'!$I:$I,'2023'!$E:$E,Category!$B$134,'2023'!$N:$N,Category!BH$1,'2023'!$D:$D,Category!$C211)</f>
        <v>0</v>
      </c>
      <c r="BI211" s="388">
        <f>SUMIFS('2023'!$I:$I,'2023'!$E:$E,Category!$B$134,'2023'!$N:$N,Category!BI$1,'2023'!$D:$D,Category!$C211)</f>
        <v>0</v>
      </c>
      <c r="BJ211" s="388">
        <f>SUMIFS('2023'!$I:$I,'2023'!$E:$E,Category!$B$134,'2023'!$N:$N,Category!BJ$1,'2023'!$D:$D,Category!$C211)</f>
        <v>0</v>
      </c>
      <c r="BK211" s="388">
        <f>SUMIFS('2023'!$I:$I,'2023'!$E:$E,Category!$B$134,'2023'!$N:$N,Category!BK$1,'2023'!$D:$D,Category!$C211)</f>
        <v>0</v>
      </c>
      <c r="BL211" s="388">
        <f>SUMIFS('2023'!$I:$I,'2023'!$E:$E,Category!$B$134,'2023'!$N:$N,Category!BL$1,'2023'!$D:$D,Category!$C211)</f>
        <v>0</v>
      </c>
      <c r="BM211" s="388">
        <f>SUMIFS('2023'!$I:$I,'2023'!$E:$E,Category!$B$134,'2023'!$N:$N,Category!BM$1,'2023'!$D:$D,Category!$C211)</f>
        <v>0</v>
      </c>
      <c r="BN211" s="389">
        <f t="shared" si="69"/>
        <v>1000000</v>
      </c>
    </row>
    <row r="212" spans="1:66" x14ac:dyDescent="0.3">
      <c r="A212" s="392"/>
      <c r="B212" s="387"/>
      <c r="C212" s="387" t="s">
        <v>1730</v>
      </c>
      <c r="D212" s="524">
        <f>IFERROR(VLOOKUP($C212,'2019'!$D:$G,4,0),0)</f>
        <v>0</v>
      </c>
      <c r="E212" s="388">
        <f>SUMIFS('2019'!$I:$I,'2019'!$E:$E,Category!$B$134,'2019'!$N:$N,Category!E$1,'2019'!$D:$D,Category!$C212)</f>
        <v>0</v>
      </c>
      <c r="F212" s="388">
        <f>SUMIFS('2019'!$I:$I,'2019'!$E:$E,Category!$B$134,'2019'!$N:$N,Category!F$1,'2019'!$D:$D,Category!$C212)</f>
        <v>0</v>
      </c>
      <c r="G212" s="388">
        <f>SUMIFS('2019'!$I:$I,'2019'!$E:$E,Category!$B$134,'2019'!$N:$N,Category!G$1,'2019'!$D:$D,Category!$C212)</f>
        <v>0</v>
      </c>
      <c r="H212" s="388">
        <f>SUMIFS('2019'!$I:$I,'2019'!$E:$E,Category!$B$134,'2019'!$N:$N,Category!H$1,'2019'!$D:$D,Category!$C212)</f>
        <v>0</v>
      </c>
      <c r="I212" s="388">
        <f>SUMIFS('2019'!$I:$I,'2019'!$E:$E,Category!$B$134,'2019'!$N:$N,Category!I$1,'2019'!$D:$D,Category!$C212)</f>
        <v>0</v>
      </c>
      <c r="J212" s="389">
        <f>SUM(E212:I212)</f>
        <v>0</v>
      </c>
      <c r="K212" s="506">
        <f>IFERROR(VLOOKUP($C212,'2020'!$D:$G,4,0),0)</f>
        <v>0</v>
      </c>
      <c r="L212" s="388">
        <f>SUMIFS('2020'!$I:$I,'2020'!$E:$E,Category!$B$134,'2020'!$N:$N,Category!L$1,'2020'!$D:$D,Category!$C212)</f>
        <v>0</v>
      </c>
      <c r="M212" s="388">
        <f>SUMIFS('2020'!$I:$I,'2020'!$E:$E,Category!$B$134,'2020'!$N:$N,Category!M$1,'2020'!$D:$D,Category!$C212)</f>
        <v>0</v>
      </c>
      <c r="N212" s="388">
        <f>SUMIFS('2020'!$I:$I,'2020'!$E:$E,Category!$B$134,'2020'!$N:$N,Category!N$1,'2020'!$D:$D,Category!$C212)</f>
        <v>0</v>
      </c>
      <c r="O212" s="388">
        <f>SUMIFS('2020'!$I:$I,'2020'!$E:$E,Category!$B$134,'2020'!$N:$N,Category!O$1,'2020'!$D:$D,Category!$C212)</f>
        <v>0</v>
      </c>
      <c r="P212" s="388">
        <f>SUMIFS('2020'!$I:$I,'2020'!$E:$E,Category!$B$134,'2020'!$N:$N,Category!P$1,'2020'!$D:$D,Category!$C212)</f>
        <v>0</v>
      </c>
      <c r="Q212" s="388">
        <f>SUMIFS('2020'!$I:$I,'2020'!$E:$E,Category!$B$134,'2020'!$N:$N,Category!Q$1,'2020'!$D:$D,Category!$C212)</f>
        <v>0</v>
      </c>
      <c r="R212" s="388">
        <f>SUMIFS('2020'!$I:$I,'2020'!$E:$E,Category!$B$134,'2020'!$N:$N,Category!R$1,'2020'!$D:$D,Category!$C212)</f>
        <v>0</v>
      </c>
      <c r="S212" s="388">
        <f>SUMIFS('2020'!$I:$I,'2020'!$E:$E,Category!$B$134,'2020'!$N:$N,Category!S$1,'2020'!$D:$D,Category!$C212)</f>
        <v>0</v>
      </c>
      <c r="T212" s="388">
        <f>SUMIFS('2020'!$I:$I,'2020'!$E:$E,Category!$B$134,'2020'!$N:$N,Category!T$1,'2020'!$D:$D,Category!$C212)</f>
        <v>0</v>
      </c>
      <c r="U212" s="388">
        <f>SUMIFS('2020'!$I:$I,'2020'!$E:$E,Category!$B$134,'2020'!$N:$N,Category!U$1,'2020'!$D:$D,Category!$C212)</f>
        <v>0</v>
      </c>
      <c r="V212" s="388">
        <f>SUMIFS('2020'!$I:$I,'2020'!$E:$E,Category!$B$134,'2020'!$N:$N,Category!V$1,'2020'!$D:$D,Category!$C212)</f>
        <v>0</v>
      </c>
      <c r="W212" s="388">
        <f>SUMIFS('2020'!$I:$I,'2020'!$E:$E,Category!$B$134,'2020'!$N:$N,Category!W$1,'2020'!$D:$D,Category!$C212)</f>
        <v>0</v>
      </c>
      <c r="X212" s="389">
        <f>SUM(L212:W212)</f>
        <v>0</v>
      </c>
      <c r="Y212" s="506">
        <f>IFERROR(VLOOKUP(C212,'2021'!$D:$G,4,0),0)</f>
        <v>0</v>
      </c>
      <c r="Z212" s="388">
        <f>SUMIFS('2021'!$I:$I,'2021'!$E:$E,Category!$B$134,'2021'!$N:$N,Category!Z$1,'2021'!$D:$D,Category!$C212)</f>
        <v>0</v>
      </c>
      <c r="AA212" s="388">
        <f>SUMIFS('2021'!$I:$I,'2021'!$E:$E,Category!$B$134,'2021'!$N:$N,Category!AA$1,'2021'!$D:$D,Category!$C212)</f>
        <v>0</v>
      </c>
      <c r="AB212" s="388">
        <f>SUMIFS('2021'!$I:$I,'2021'!$E:$E,Category!$B$134,'2021'!$N:$N,Category!AB$1,'2021'!$D:$D,Category!$C212)</f>
        <v>0</v>
      </c>
      <c r="AC212" s="388">
        <f>SUMIFS('2021'!$I:$I,'2021'!$E:$E,Category!$B$134,'2021'!$N:$N,Category!AC$1,'2021'!$D:$D,Category!$C212)</f>
        <v>0</v>
      </c>
      <c r="AD212" s="388">
        <f>SUMIFS('2021'!$I:$I,'2021'!$E:$E,Category!$B$134,'2021'!$N:$N,Category!AD$1,'2021'!$D:$D,Category!$C212)</f>
        <v>0</v>
      </c>
      <c r="AE212" s="388">
        <f>SUMIFS('2021'!$I:$I,'2021'!$E:$E,Category!$B$134,'2021'!$N:$N,Category!AE$1,'2021'!$D:$D,Category!$C212)</f>
        <v>0</v>
      </c>
      <c r="AF212" s="388">
        <f>SUMIFS('2021'!$I:$I,'2021'!$E:$E,Category!$B$134,'2021'!$N:$N,Category!AF$1,'2021'!$D:$D,Category!$C212)</f>
        <v>0</v>
      </c>
      <c r="AG212" s="388">
        <f>SUMIFS('2021'!$I:$I,'2021'!$E:$E,Category!$B$134,'2021'!$N:$N,Category!AG$1,'2021'!$D:$D,Category!$C212)</f>
        <v>0</v>
      </c>
      <c r="AH212" s="388">
        <f>SUMIFS('2021'!$I:$I,'2021'!$E:$E,Category!$B$134,'2021'!$N:$N,Category!AH$1,'2021'!$D:$D,Category!$C212)</f>
        <v>0</v>
      </c>
      <c r="AI212" s="388">
        <f>SUMIFS('2021'!$I:$I,'2021'!$E:$E,Category!$B$134,'2021'!$N:$N,Category!AI$1,'2021'!$D:$D,Category!$C212)</f>
        <v>0</v>
      </c>
      <c r="AJ212" s="388">
        <f>SUMIFS('2021'!$I:$I,'2021'!$E:$E,Category!$B$134,'2021'!$N:$N,Category!AJ$1,'2021'!$D:$D,Category!$C212)</f>
        <v>0</v>
      </c>
      <c r="AK212" s="388">
        <f>SUMIFS('2021'!$I:$I,'2021'!$E:$E,Category!$B$134,'2021'!$N:$N,Category!AK$1,'2021'!$D:$D,Category!$C212)</f>
        <v>0</v>
      </c>
      <c r="AL212" s="389">
        <f>SUM(Z212:AK212)</f>
        <v>0</v>
      </c>
      <c r="AM212" s="506">
        <f>IFERROR(VLOOKUP(C212,'2022'!$D:$G,4,0),0)</f>
        <v>0</v>
      </c>
      <c r="AN212" s="388">
        <f>SUMIFS('2022'!$I:$I,'2022'!$E:$E,Category!$B$134,'2022'!$N:$N,Category!AN$1,'2022'!$D:$D,Category!$C212)</f>
        <v>0</v>
      </c>
      <c r="AO212" s="388">
        <f>SUMIFS('2022'!$I:$I,'2022'!$E:$E,Category!$B$134,'2022'!$N:$N,Category!AO$1,'2022'!$D:$D,Category!$C212)</f>
        <v>0</v>
      </c>
      <c r="AP212" s="388">
        <f>SUMIFS('2022'!$I:$I,'2022'!$E:$E,Category!$B$134,'2022'!$N:$N,Category!AP$1,'2022'!$D:$D,Category!$C212)</f>
        <v>0</v>
      </c>
      <c r="AQ212" s="388">
        <f>SUMIFS('2022'!$I:$I,'2022'!$E:$E,Category!$B$134,'2022'!$N:$N,Category!AQ$1,'2022'!$D:$D,Category!$C212)</f>
        <v>0</v>
      </c>
      <c r="AR212" s="388">
        <f>SUMIFS('2022'!$I:$I,'2022'!$E:$E,Category!$B$134,'2022'!$N:$N,Category!AR$1,'2022'!$D:$D,Category!$C212)</f>
        <v>0</v>
      </c>
      <c r="AS212" s="388">
        <f>SUMIFS('2022'!$I:$I,'2022'!$E:$E,Category!$B$134,'2022'!$N:$N,Category!AS$1,'2022'!$D:$D,Category!$C212)</f>
        <v>0</v>
      </c>
      <c r="AT212" s="388">
        <f>SUMIFS('2022'!$I:$I,'2022'!$E:$E,Category!$B$134,'2022'!$N:$N,Category!AT$1,'2022'!$D:$D,Category!$C212)</f>
        <v>0</v>
      </c>
      <c r="AU212" s="388">
        <f>SUMIFS('2022'!$I:$I,'2022'!$E:$E,Category!$B$134,'2022'!$N:$N,Category!AU$1,'2022'!$D:$D,Category!$C212)</f>
        <v>0</v>
      </c>
      <c r="AV212" s="388">
        <f>SUMIFS('2022'!$I:$I,'2022'!$E:$E,Category!$B$134,'2022'!$N:$N,Category!AV$1,'2022'!$D:$D,Category!$C212)</f>
        <v>0</v>
      </c>
      <c r="AW212" s="388">
        <f>SUMIFS('2022'!$I:$I,'2022'!$E:$E,Category!$B$134,'2022'!$N:$N,Category!AW$1,'2022'!$D:$D,Category!$C212)</f>
        <v>0</v>
      </c>
      <c r="AX212" s="388">
        <f>SUMIFS('2022'!$I:$I,'2022'!$E:$E,Category!$B$134,'2022'!$N:$N,Category!AX$1,'2022'!$D:$D,Category!$C212)</f>
        <v>500000</v>
      </c>
      <c r="AY212" s="388">
        <f>SUMIFS('2022'!$I:$I,'2022'!$E:$E,Category!$B$134,'2022'!$N:$N,Category!AY$1,'2022'!$D:$D,Category!$C212)</f>
        <v>5000000</v>
      </c>
      <c r="AZ212" s="389">
        <f>SUM(AN212:AY212)</f>
        <v>5500000</v>
      </c>
      <c r="BA212" s="506">
        <f>IFERROR(VLOOKUP(C212,'2023'!$D:$G,4,0),0)</f>
        <v>1</v>
      </c>
      <c r="BB212" s="388">
        <f>SUMIFS('2023'!$I:$I,'2023'!$E:$E,Category!$B$134,'2023'!$N:$N,Category!BB$1,'2023'!$D:$D,Category!$C212)</f>
        <v>500000</v>
      </c>
      <c r="BC212" s="388">
        <f>SUMIFS('2023'!$I:$I,'2023'!$E:$E,Category!$B$134,'2023'!$N:$N,Category!BC$1,'2023'!$D:$D,Category!$C212)</f>
        <v>500000</v>
      </c>
      <c r="BD212" s="388">
        <f>SUMIFS('2023'!$I:$I,'2023'!$E:$E,Category!$B$134,'2023'!$N:$N,Category!BD$1,'2023'!$D:$D,Category!$C212)</f>
        <v>0</v>
      </c>
      <c r="BE212" s="388">
        <f>SUMIFS('2023'!$I:$I,'2023'!$E:$E,Category!$B$134,'2023'!$N:$N,Category!BE$1,'2023'!$D:$D,Category!$C212)</f>
        <v>0</v>
      </c>
      <c r="BF212" s="388">
        <f>SUMIFS('2023'!$I:$I,'2023'!$E:$E,Category!$B$134,'2023'!$N:$N,Category!BF$1,'2023'!$D:$D,Category!$C212)</f>
        <v>0</v>
      </c>
      <c r="BG212" s="388">
        <f>SUMIFS('2023'!$I:$I,'2023'!$E:$E,Category!$B$134,'2023'!$N:$N,Category!BG$1,'2023'!$D:$D,Category!$C212)</f>
        <v>0</v>
      </c>
      <c r="BH212" s="388">
        <f>SUMIFS('2023'!$I:$I,'2023'!$E:$E,Category!$B$134,'2023'!$N:$N,Category!BH$1,'2023'!$D:$D,Category!$C212)</f>
        <v>0</v>
      </c>
      <c r="BI212" s="388">
        <f>SUMIFS('2023'!$I:$I,'2023'!$E:$E,Category!$B$134,'2023'!$N:$N,Category!BI$1,'2023'!$D:$D,Category!$C212)</f>
        <v>0</v>
      </c>
      <c r="BJ212" s="388">
        <f>SUMIFS('2023'!$I:$I,'2023'!$E:$E,Category!$B$134,'2023'!$N:$N,Category!BJ$1,'2023'!$D:$D,Category!$C212)</f>
        <v>0</v>
      </c>
      <c r="BK212" s="388">
        <f>SUMIFS('2023'!$I:$I,'2023'!$E:$E,Category!$B$134,'2023'!$N:$N,Category!BK$1,'2023'!$D:$D,Category!$C212)</f>
        <v>0</v>
      </c>
      <c r="BL212" s="388">
        <f>SUMIFS('2023'!$I:$I,'2023'!$E:$E,Category!$B$134,'2023'!$N:$N,Category!BL$1,'2023'!$D:$D,Category!$C212)</f>
        <v>0</v>
      </c>
      <c r="BM212" s="388">
        <f>SUMIFS('2023'!$I:$I,'2023'!$E:$E,Category!$B$134,'2023'!$N:$N,Category!BM$1,'2023'!$D:$D,Category!$C212)</f>
        <v>0</v>
      </c>
      <c r="BN212" s="389">
        <f t="shared" si="69"/>
        <v>1000000</v>
      </c>
    </row>
    <row r="213" spans="1:66" x14ac:dyDescent="0.3">
      <c r="A213" s="392"/>
      <c r="B213" s="387"/>
      <c r="C213" s="387" t="s">
        <v>1688</v>
      </c>
      <c r="D213" s="524">
        <f>IFERROR(VLOOKUP($C213,'2019'!$D:$G,4,0),0)</f>
        <v>0</v>
      </c>
      <c r="E213" s="388">
        <f>SUMIFS('2019'!$I:$I,'2019'!$E:$E,Category!$B$134,'2019'!$N:$N,Category!E$1,'2019'!$D:$D,Category!$C213)</f>
        <v>0</v>
      </c>
      <c r="F213" s="388">
        <f>SUMIFS('2019'!$I:$I,'2019'!$E:$E,Category!$B$134,'2019'!$N:$N,Category!F$1,'2019'!$D:$D,Category!$C213)</f>
        <v>0</v>
      </c>
      <c r="G213" s="388">
        <f>SUMIFS('2019'!$I:$I,'2019'!$E:$E,Category!$B$134,'2019'!$N:$N,Category!G$1,'2019'!$D:$D,Category!$C213)</f>
        <v>0</v>
      </c>
      <c r="H213" s="388">
        <f>SUMIFS('2019'!$I:$I,'2019'!$E:$E,Category!$B$134,'2019'!$N:$N,Category!H$1,'2019'!$D:$D,Category!$C213)</f>
        <v>0</v>
      </c>
      <c r="I213" s="388">
        <f>SUMIFS('2019'!$I:$I,'2019'!$E:$E,Category!$B$134,'2019'!$N:$N,Category!I$1,'2019'!$D:$D,Category!$C213)</f>
        <v>0</v>
      </c>
      <c r="J213" s="389">
        <f>SUM(E213:I213)</f>
        <v>0</v>
      </c>
      <c r="K213" s="506">
        <f>IFERROR(VLOOKUP($C213,'2020'!$D:$G,4,0),0)</f>
        <v>0</v>
      </c>
      <c r="L213" s="388">
        <f>SUMIFS('2020'!$I:$I,'2020'!$E:$E,Category!$B$134,'2020'!$N:$N,Category!L$1,'2020'!$D:$D,Category!$C213)</f>
        <v>0</v>
      </c>
      <c r="M213" s="388">
        <f>SUMIFS('2020'!$I:$I,'2020'!$E:$E,Category!$B$134,'2020'!$N:$N,Category!M$1,'2020'!$D:$D,Category!$C213)</f>
        <v>0</v>
      </c>
      <c r="N213" s="388">
        <f>SUMIFS('2020'!$I:$I,'2020'!$E:$E,Category!$B$134,'2020'!$N:$N,Category!N$1,'2020'!$D:$D,Category!$C213)</f>
        <v>0</v>
      </c>
      <c r="O213" s="388">
        <f>SUMIFS('2020'!$I:$I,'2020'!$E:$E,Category!$B$134,'2020'!$N:$N,Category!O$1,'2020'!$D:$D,Category!$C213)</f>
        <v>0</v>
      </c>
      <c r="P213" s="388">
        <f>SUMIFS('2020'!$I:$I,'2020'!$E:$E,Category!$B$134,'2020'!$N:$N,Category!P$1,'2020'!$D:$D,Category!$C213)</f>
        <v>0</v>
      </c>
      <c r="Q213" s="388">
        <f>SUMIFS('2020'!$I:$I,'2020'!$E:$E,Category!$B$134,'2020'!$N:$N,Category!Q$1,'2020'!$D:$D,Category!$C213)</f>
        <v>0</v>
      </c>
      <c r="R213" s="388">
        <f>SUMIFS('2020'!$I:$I,'2020'!$E:$E,Category!$B$134,'2020'!$N:$N,Category!R$1,'2020'!$D:$D,Category!$C213)</f>
        <v>0</v>
      </c>
      <c r="S213" s="388">
        <f>SUMIFS('2020'!$I:$I,'2020'!$E:$E,Category!$B$134,'2020'!$N:$N,Category!S$1,'2020'!$D:$D,Category!$C213)</f>
        <v>0</v>
      </c>
      <c r="T213" s="388">
        <f>SUMIFS('2020'!$I:$I,'2020'!$E:$E,Category!$B$134,'2020'!$N:$N,Category!T$1,'2020'!$D:$D,Category!$C213)</f>
        <v>0</v>
      </c>
      <c r="U213" s="388">
        <f>SUMIFS('2020'!$I:$I,'2020'!$E:$E,Category!$B$134,'2020'!$N:$N,Category!U$1,'2020'!$D:$D,Category!$C213)</f>
        <v>0</v>
      </c>
      <c r="V213" s="388">
        <f>SUMIFS('2020'!$I:$I,'2020'!$E:$E,Category!$B$134,'2020'!$N:$N,Category!V$1,'2020'!$D:$D,Category!$C213)</f>
        <v>0</v>
      </c>
      <c r="W213" s="388">
        <f>SUMIFS('2020'!$I:$I,'2020'!$E:$E,Category!$B$134,'2020'!$N:$N,Category!W$1,'2020'!$D:$D,Category!$C213)</f>
        <v>0</v>
      </c>
      <c r="X213" s="389">
        <f>SUM(L213:W213)</f>
        <v>0</v>
      </c>
      <c r="Y213" s="506">
        <f>IFERROR(VLOOKUP(C213,'2021'!$D:$G,4,0),0)</f>
        <v>0</v>
      </c>
      <c r="Z213" s="388">
        <f>SUMIFS('2021'!$I:$I,'2021'!$E:$E,Category!$B$134,'2021'!$N:$N,Category!Z$1,'2021'!$D:$D,Category!$C213)</f>
        <v>0</v>
      </c>
      <c r="AA213" s="388">
        <f>SUMIFS('2021'!$I:$I,'2021'!$E:$E,Category!$B$134,'2021'!$N:$N,Category!AA$1,'2021'!$D:$D,Category!$C213)</f>
        <v>0</v>
      </c>
      <c r="AB213" s="388">
        <f>SUMIFS('2021'!$I:$I,'2021'!$E:$E,Category!$B$134,'2021'!$N:$N,Category!AB$1,'2021'!$D:$D,Category!$C213)</f>
        <v>0</v>
      </c>
      <c r="AC213" s="388">
        <f>SUMIFS('2021'!$I:$I,'2021'!$E:$E,Category!$B$134,'2021'!$N:$N,Category!AC$1,'2021'!$D:$D,Category!$C213)</f>
        <v>0</v>
      </c>
      <c r="AD213" s="388">
        <f>SUMIFS('2021'!$I:$I,'2021'!$E:$E,Category!$B$134,'2021'!$N:$N,Category!AD$1,'2021'!$D:$D,Category!$C213)</f>
        <v>0</v>
      </c>
      <c r="AE213" s="388">
        <f>SUMIFS('2021'!$I:$I,'2021'!$E:$E,Category!$B$134,'2021'!$N:$N,Category!AE$1,'2021'!$D:$D,Category!$C213)</f>
        <v>0</v>
      </c>
      <c r="AF213" s="388">
        <f>SUMIFS('2021'!$I:$I,'2021'!$E:$E,Category!$B$134,'2021'!$N:$N,Category!AF$1,'2021'!$D:$D,Category!$C213)</f>
        <v>0</v>
      </c>
      <c r="AG213" s="388">
        <f>SUMIFS('2021'!$I:$I,'2021'!$E:$E,Category!$B$134,'2021'!$N:$N,Category!AG$1,'2021'!$D:$D,Category!$C213)</f>
        <v>0</v>
      </c>
      <c r="AH213" s="388">
        <f>SUMIFS('2021'!$I:$I,'2021'!$E:$E,Category!$B$134,'2021'!$N:$N,Category!AH$1,'2021'!$D:$D,Category!$C213)</f>
        <v>0</v>
      </c>
      <c r="AI213" s="388">
        <f>SUMIFS('2021'!$I:$I,'2021'!$E:$E,Category!$B$134,'2021'!$N:$N,Category!AI$1,'2021'!$D:$D,Category!$C213)</f>
        <v>0</v>
      </c>
      <c r="AJ213" s="388">
        <f>SUMIFS('2021'!$I:$I,'2021'!$E:$E,Category!$B$134,'2021'!$N:$N,Category!AJ$1,'2021'!$D:$D,Category!$C213)</f>
        <v>0</v>
      </c>
      <c r="AK213" s="388">
        <f>SUMIFS('2021'!$I:$I,'2021'!$E:$E,Category!$B$134,'2021'!$N:$N,Category!AK$1,'2021'!$D:$D,Category!$C213)</f>
        <v>0</v>
      </c>
      <c r="AL213" s="389">
        <f>SUM(Z213:AK213)</f>
        <v>0</v>
      </c>
      <c r="AM213" s="506">
        <f>IFERROR(VLOOKUP(C213,'2022'!$D:$G,4,0),0)</f>
        <v>0</v>
      </c>
      <c r="AN213" s="388">
        <f>SUMIFS('2022'!$I:$I,'2022'!$E:$E,Category!$B$134,'2022'!$N:$N,Category!AN$1,'2022'!$D:$D,Category!$C213)</f>
        <v>0</v>
      </c>
      <c r="AO213" s="388">
        <f>SUMIFS('2022'!$I:$I,'2022'!$E:$E,Category!$B$134,'2022'!$N:$N,Category!AO$1,'2022'!$D:$D,Category!$C213)</f>
        <v>0</v>
      </c>
      <c r="AP213" s="388">
        <f>SUMIFS('2022'!$I:$I,'2022'!$E:$E,Category!$B$134,'2022'!$N:$N,Category!AP$1,'2022'!$D:$D,Category!$C213)</f>
        <v>0</v>
      </c>
      <c r="AQ213" s="388">
        <f>SUMIFS('2022'!$I:$I,'2022'!$E:$E,Category!$B$134,'2022'!$N:$N,Category!AQ$1,'2022'!$D:$D,Category!$C213)</f>
        <v>0</v>
      </c>
      <c r="AR213" s="388">
        <f>SUMIFS('2022'!$I:$I,'2022'!$E:$E,Category!$B$134,'2022'!$N:$N,Category!AR$1,'2022'!$D:$D,Category!$C213)</f>
        <v>0</v>
      </c>
      <c r="AS213" s="388">
        <f>SUMIFS('2022'!$I:$I,'2022'!$E:$E,Category!$B$134,'2022'!$N:$N,Category!AS$1,'2022'!$D:$D,Category!$C213)</f>
        <v>0</v>
      </c>
      <c r="AT213" s="388">
        <f>SUMIFS('2022'!$I:$I,'2022'!$E:$E,Category!$B$134,'2022'!$N:$N,Category!AT$1,'2022'!$D:$D,Category!$C213)</f>
        <v>0</v>
      </c>
      <c r="AU213" s="388">
        <f>SUMIFS('2022'!$I:$I,'2022'!$E:$E,Category!$B$134,'2022'!$N:$N,Category!AU$1,'2022'!$D:$D,Category!$C213)</f>
        <v>0</v>
      </c>
      <c r="AV213" s="388">
        <f>SUMIFS('2022'!$I:$I,'2022'!$E:$E,Category!$B$134,'2022'!$N:$N,Category!AV$1,'2022'!$D:$D,Category!$C213)</f>
        <v>0</v>
      </c>
      <c r="AW213" s="388">
        <f>SUMIFS('2022'!$I:$I,'2022'!$E:$E,Category!$B$134,'2022'!$N:$N,Category!AW$1,'2022'!$D:$D,Category!$C213)</f>
        <v>0</v>
      </c>
      <c r="AX213" s="388">
        <f>SUMIFS('2022'!$I:$I,'2022'!$E:$E,Category!$B$134,'2022'!$N:$N,Category!AX$1,'2022'!$D:$D,Category!$C213)</f>
        <v>0</v>
      </c>
      <c r="AY213" s="388">
        <f>SUMIFS('2022'!$I:$I,'2022'!$E:$E,Category!$B$134,'2022'!$N:$N,Category!AY$1,'2022'!$D:$D,Category!$C213)</f>
        <v>0</v>
      </c>
      <c r="AZ213" s="389">
        <f>SUM(AN213:AY213)</f>
        <v>0</v>
      </c>
      <c r="BA213" s="506">
        <f>IFERROR(VLOOKUP(C213,'2023'!$D:$G,4,0),0)</f>
        <v>0</v>
      </c>
      <c r="BB213" s="388">
        <f>SUMIFS('2023'!$I:$I,'2023'!$E:$E,Category!$B$134,'2023'!$N:$N,Category!BB$1,'2023'!$D:$D,Category!$C213)</f>
        <v>0</v>
      </c>
      <c r="BC213" s="388">
        <f>SUMIFS('2023'!$I:$I,'2023'!$E:$E,Category!$B$134,'2023'!$N:$N,Category!BC$1,'2023'!$D:$D,Category!$C213)</f>
        <v>0</v>
      </c>
      <c r="BD213" s="388">
        <f>SUMIFS('2023'!$I:$I,'2023'!$E:$E,Category!$B$134,'2023'!$N:$N,Category!BD$1,'2023'!$D:$D,Category!$C213)</f>
        <v>0</v>
      </c>
      <c r="BE213" s="388">
        <f>SUMIFS('2023'!$I:$I,'2023'!$E:$E,Category!$B$134,'2023'!$N:$N,Category!BE$1,'2023'!$D:$D,Category!$C213)</f>
        <v>0</v>
      </c>
      <c r="BF213" s="388">
        <f>SUMIFS('2023'!$I:$I,'2023'!$E:$E,Category!$B$134,'2023'!$N:$N,Category!BF$1,'2023'!$D:$D,Category!$C213)</f>
        <v>0</v>
      </c>
      <c r="BG213" s="388">
        <f>SUMIFS('2023'!$I:$I,'2023'!$E:$E,Category!$B$134,'2023'!$N:$N,Category!BG$1,'2023'!$D:$D,Category!$C213)</f>
        <v>0</v>
      </c>
      <c r="BH213" s="388">
        <f>SUMIFS('2023'!$I:$I,'2023'!$E:$E,Category!$B$134,'2023'!$N:$N,Category!BH$1,'2023'!$D:$D,Category!$C213)</f>
        <v>0</v>
      </c>
      <c r="BI213" s="388">
        <f>SUMIFS('2023'!$I:$I,'2023'!$E:$E,Category!$B$134,'2023'!$N:$N,Category!BI$1,'2023'!$D:$D,Category!$C213)</f>
        <v>0</v>
      </c>
      <c r="BJ213" s="388">
        <f>SUMIFS('2023'!$I:$I,'2023'!$E:$E,Category!$B$134,'2023'!$N:$N,Category!BJ$1,'2023'!$D:$D,Category!$C213)</f>
        <v>0</v>
      </c>
      <c r="BK213" s="388">
        <f>SUMIFS('2023'!$I:$I,'2023'!$E:$E,Category!$B$134,'2023'!$N:$N,Category!BK$1,'2023'!$D:$D,Category!$C213)</f>
        <v>0</v>
      </c>
      <c r="BL213" s="388">
        <f>SUMIFS('2023'!$I:$I,'2023'!$E:$E,Category!$B$134,'2023'!$N:$N,Category!BL$1,'2023'!$D:$D,Category!$C213)</f>
        <v>0</v>
      </c>
      <c r="BM213" s="388">
        <f>SUMIFS('2023'!$I:$I,'2023'!$E:$E,Category!$B$134,'2023'!$N:$N,Category!BM$1,'2023'!$D:$D,Category!$C213)</f>
        <v>0</v>
      </c>
      <c r="BN213" s="389">
        <f t="shared" si="69"/>
        <v>0</v>
      </c>
    </row>
    <row r="214" spans="1:66" ht="39.75" x14ac:dyDescent="0.3">
      <c r="A214" s="392"/>
      <c r="B214" s="387"/>
      <c r="C214" s="387" t="s">
        <v>2196</v>
      </c>
      <c r="D214" s="524">
        <f>IFERROR(VLOOKUP($C214,'2019'!$D:$G,4,0),0)</f>
        <v>0</v>
      </c>
      <c r="E214" s="388">
        <f>SUMIFS('2019'!$I:$I,'2019'!$E:$E,Category!$B$134,'2019'!$N:$N,Category!E$1,'2019'!$D:$D,Category!$C214)</f>
        <v>0</v>
      </c>
      <c r="F214" s="388">
        <f>SUMIFS('2019'!$I:$I,'2019'!$E:$E,Category!$B$134,'2019'!$N:$N,Category!F$1,'2019'!$D:$D,Category!$C214)</f>
        <v>0</v>
      </c>
      <c r="G214" s="388">
        <f>SUMIFS('2019'!$I:$I,'2019'!$E:$E,Category!$B$134,'2019'!$N:$N,Category!G$1,'2019'!$D:$D,Category!$C214)</f>
        <v>0</v>
      </c>
      <c r="H214" s="388">
        <f>SUMIFS('2019'!$I:$I,'2019'!$E:$E,Category!$B$134,'2019'!$N:$N,Category!H$1,'2019'!$D:$D,Category!$C214)</f>
        <v>0</v>
      </c>
      <c r="I214" s="388">
        <f>SUMIFS('2019'!$I:$I,'2019'!$E:$E,Category!$B$134,'2019'!$N:$N,Category!I$1,'2019'!$D:$D,Category!$C214)</f>
        <v>0</v>
      </c>
      <c r="J214" s="389">
        <f>SUM(E214:I214)</f>
        <v>0</v>
      </c>
      <c r="K214" s="506">
        <f>IFERROR(VLOOKUP($C214,'2020'!$D:$G,4,0),0)</f>
        <v>0</v>
      </c>
      <c r="L214" s="388">
        <f>SUMIFS('2020'!$I:$I,'2020'!$E:$E,Category!$B$134,'2020'!$N:$N,Category!L$1,'2020'!$D:$D,Category!$C214)</f>
        <v>0</v>
      </c>
      <c r="M214" s="388">
        <f>SUMIFS('2020'!$I:$I,'2020'!$E:$E,Category!$B$134,'2020'!$N:$N,Category!M$1,'2020'!$D:$D,Category!$C214)</f>
        <v>0</v>
      </c>
      <c r="N214" s="388">
        <f>SUMIFS('2020'!$I:$I,'2020'!$E:$E,Category!$B$134,'2020'!$N:$N,Category!N$1,'2020'!$D:$D,Category!$C214)</f>
        <v>0</v>
      </c>
      <c r="O214" s="388">
        <f>SUMIFS('2020'!$I:$I,'2020'!$E:$E,Category!$B$134,'2020'!$N:$N,Category!O$1,'2020'!$D:$D,Category!$C214)</f>
        <v>0</v>
      </c>
      <c r="P214" s="388">
        <f>SUMIFS('2020'!$I:$I,'2020'!$E:$E,Category!$B$134,'2020'!$N:$N,Category!P$1,'2020'!$D:$D,Category!$C214)</f>
        <v>0</v>
      </c>
      <c r="Q214" s="388">
        <f>SUMIFS('2020'!$I:$I,'2020'!$E:$E,Category!$B$134,'2020'!$N:$N,Category!Q$1,'2020'!$D:$D,Category!$C214)</f>
        <v>0</v>
      </c>
      <c r="R214" s="388">
        <f>SUMIFS('2020'!$I:$I,'2020'!$E:$E,Category!$B$134,'2020'!$N:$N,Category!R$1,'2020'!$D:$D,Category!$C214)</f>
        <v>0</v>
      </c>
      <c r="S214" s="388">
        <f>SUMIFS('2020'!$I:$I,'2020'!$E:$E,Category!$B$134,'2020'!$N:$N,Category!S$1,'2020'!$D:$D,Category!$C214)</f>
        <v>0</v>
      </c>
      <c r="T214" s="388">
        <f>SUMIFS('2020'!$I:$I,'2020'!$E:$E,Category!$B$134,'2020'!$N:$N,Category!T$1,'2020'!$D:$D,Category!$C214)</f>
        <v>0</v>
      </c>
      <c r="U214" s="388">
        <f>SUMIFS('2020'!$I:$I,'2020'!$E:$E,Category!$B$134,'2020'!$N:$N,Category!U$1,'2020'!$D:$D,Category!$C214)</f>
        <v>0</v>
      </c>
      <c r="V214" s="388">
        <f>SUMIFS('2020'!$I:$I,'2020'!$E:$E,Category!$B$134,'2020'!$N:$N,Category!V$1,'2020'!$D:$D,Category!$C214)</f>
        <v>0</v>
      </c>
      <c r="W214" s="388">
        <f>SUMIFS('2020'!$I:$I,'2020'!$E:$E,Category!$B$134,'2020'!$N:$N,Category!W$1,'2020'!$D:$D,Category!$C214)</f>
        <v>0</v>
      </c>
      <c r="X214" s="389">
        <f>SUM(L214:W214)</f>
        <v>0</v>
      </c>
      <c r="Y214" s="506">
        <f>IFERROR(VLOOKUP(C214,'2021'!$D:$G,4,0),0)</f>
        <v>0</v>
      </c>
      <c r="Z214" s="388">
        <f>SUMIFS('2021'!$I:$I,'2021'!$E:$E,Category!$B$134,'2021'!$N:$N,Category!Z$1,'2021'!$D:$D,Category!$C214)</f>
        <v>0</v>
      </c>
      <c r="AA214" s="388">
        <f>SUMIFS('2021'!$I:$I,'2021'!$E:$E,Category!$B$134,'2021'!$N:$N,Category!AA$1,'2021'!$D:$D,Category!$C214)</f>
        <v>0</v>
      </c>
      <c r="AB214" s="388">
        <f>SUMIFS('2021'!$I:$I,'2021'!$E:$E,Category!$B$134,'2021'!$N:$N,Category!AB$1,'2021'!$D:$D,Category!$C214)</f>
        <v>0</v>
      </c>
      <c r="AC214" s="388">
        <f>SUMIFS('2021'!$I:$I,'2021'!$E:$E,Category!$B$134,'2021'!$N:$N,Category!AC$1,'2021'!$D:$D,Category!$C214)</f>
        <v>0</v>
      </c>
      <c r="AD214" s="388">
        <f>SUMIFS('2021'!$I:$I,'2021'!$E:$E,Category!$B$134,'2021'!$N:$N,Category!AD$1,'2021'!$D:$D,Category!$C214)</f>
        <v>0</v>
      </c>
      <c r="AE214" s="388">
        <f>SUMIFS('2021'!$I:$I,'2021'!$E:$E,Category!$B$134,'2021'!$N:$N,Category!AE$1,'2021'!$D:$D,Category!$C214)</f>
        <v>0</v>
      </c>
      <c r="AF214" s="388">
        <f>SUMIFS('2021'!$I:$I,'2021'!$E:$E,Category!$B$134,'2021'!$N:$N,Category!AF$1,'2021'!$D:$D,Category!$C214)</f>
        <v>0</v>
      </c>
      <c r="AG214" s="388">
        <f>SUMIFS('2021'!$I:$I,'2021'!$E:$E,Category!$B$134,'2021'!$N:$N,Category!AG$1,'2021'!$D:$D,Category!$C214)</f>
        <v>0</v>
      </c>
      <c r="AH214" s="388">
        <f>SUMIFS('2021'!$I:$I,'2021'!$E:$E,Category!$B$134,'2021'!$N:$N,Category!AH$1,'2021'!$D:$D,Category!$C214)</f>
        <v>0</v>
      </c>
      <c r="AI214" s="388">
        <f>SUMIFS('2021'!$I:$I,'2021'!$E:$E,Category!$B$134,'2021'!$N:$N,Category!AI$1,'2021'!$D:$D,Category!$C214)</f>
        <v>0</v>
      </c>
      <c r="AJ214" s="388">
        <f>SUMIFS('2021'!$I:$I,'2021'!$E:$E,Category!$B$134,'2021'!$N:$N,Category!AJ$1,'2021'!$D:$D,Category!$C214)</f>
        <v>0</v>
      </c>
      <c r="AK214" s="388">
        <f>SUMIFS('2021'!$I:$I,'2021'!$E:$E,Category!$B$134,'2021'!$N:$N,Category!AK$1,'2021'!$D:$D,Category!$C214)</f>
        <v>0</v>
      </c>
      <c r="AL214" s="389">
        <f>SUM(Z214:AK214)</f>
        <v>0</v>
      </c>
      <c r="AM214" s="506">
        <f>IFERROR(VLOOKUP(C214,'2022'!$D:$G,4,0),0)</f>
        <v>0</v>
      </c>
      <c r="AN214" s="388">
        <f>SUMIFS('2022'!$I:$I,'2022'!$E:$E,Category!$B$134,'2022'!$N:$N,Category!AN$1,'2022'!$D:$D,Category!$C214)</f>
        <v>0</v>
      </c>
      <c r="AO214" s="388">
        <f>SUMIFS('2022'!$I:$I,'2022'!$E:$E,Category!$B$134,'2022'!$N:$N,Category!AO$1,'2022'!$D:$D,Category!$C214)</f>
        <v>0</v>
      </c>
      <c r="AP214" s="388">
        <f>SUMIFS('2022'!$I:$I,'2022'!$E:$E,Category!$B$134,'2022'!$N:$N,Category!AP$1,'2022'!$D:$D,Category!$C214)</f>
        <v>0</v>
      </c>
      <c r="AQ214" s="388">
        <f>SUMIFS('2022'!$I:$I,'2022'!$E:$E,Category!$B$134,'2022'!$N:$N,Category!AQ$1,'2022'!$D:$D,Category!$C214)</f>
        <v>0</v>
      </c>
      <c r="AR214" s="388">
        <f>SUMIFS('2022'!$I:$I,'2022'!$E:$E,Category!$B$134,'2022'!$N:$N,Category!AR$1,'2022'!$D:$D,Category!$C214)</f>
        <v>0</v>
      </c>
      <c r="AS214" s="388">
        <f>SUMIFS('2022'!$I:$I,'2022'!$E:$E,Category!$B$134,'2022'!$N:$N,Category!AS$1,'2022'!$D:$D,Category!$C214)</f>
        <v>0</v>
      </c>
      <c r="AT214" s="388">
        <f>SUMIFS('2022'!$I:$I,'2022'!$E:$E,Category!$B$134,'2022'!$N:$N,Category!AT$1,'2022'!$D:$D,Category!$C214)</f>
        <v>0</v>
      </c>
      <c r="AU214" s="388">
        <f>SUMIFS('2022'!$I:$I,'2022'!$E:$E,Category!$B$134,'2022'!$N:$N,Category!AU$1,'2022'!$D:$D,Category!$C214)</f>
        <v>0</v>
      </c>
      <c r="AV214" s="388">
        <f>SUMIFS('2022'!$I:$I,'2022'!$E:$E,Category!$B$134,'2022'!$N:$N,Category!AV$1,'2022'!$D:$D,Category!$C214)</f>
        <v>0</v>
      </c>
      <c r="AW214" s="388">
        <f>SUMIFS('2022'!$I:$I,'2022'!$E:$E,Category!$B$134,'2022'!$N:$N,Category!AW$1,'2022'!$D:$D,Category!$C214)</f>
        <v>0</v>
      </c>
      <c r="AX214" s="388">
        <f>SUMIFS('2022'!$I:$I,'2022'!$E:$E,Category!$B$134,'2022'!$N:$N,Category!AX$1,'2022'!$D:$D,Category!$C214)</f>
        <v>0</v>
      </c>
      <c r="AY214" s="388">
        <f>SUMIFS('2022'!$I:$I,'2022'!$E:$E,Category!$B$134,'2022'!$N:$N,Category!AY$1,'2022'!$D:$D,Category!$C214)</f>
        <v>0</v>
      </c>
      <c r="AZ214" s="389">
        <f>SUM(AN214:AY214)</f>
        <v>0</v>
      </c>
      <c r="BA214" s="506">
        <f>IFERROR(VLOOKUP(C214,'2023'!$D:$G,4,0),0)</f>
        <v>0</v>
      </c>
      <c r="BB214" s="388">
        <f>SUMIFS('2023'!$I:$I,'2023'!$E:$E,Category!$B$134,'2023'!$N:$N,Category!BB$1,'2023'!$D:$D,Category!$C214)</f>
        <v>0</v>
      </c>
      <c r="BC214" s="388">
        <f>SUMIFS('2023'!$I:$I,'2023'!$E:$E,Category!$B$134,'2023'!$N:$N,Category!BC$1,'2023'!$D:$D,Category!$C214)</f>
        <v>6250360</v>
      </c>
      <c r="BD214" s="388">
        <f>SUMIFS('2023'!$I:$I,'2023'!$E:$E,Category!$B$134,'2023'!$N:$N,Category!BD$1,'2023'!$D:$D,Category!$C214)</f>
        <v>0</v>
      </c>
      <c r="BE214" s="388">
        <f>SUMIFS('2023'!$I:$I,'2023'!$E:$E,Category!$B$134,'2023'!$N:$N,Category!BE$1,'2023'!$D:$D,Category!$C214)</f>
        <v>0</v>
      </c>
      <c r="BF214" s="388">
        <f>SUMIFS('2023'!$I:$I,'2023'!$E:$E,Category!$B$134,'2023'!$N:$N,Category!BF$1,'2023'!$D:$D,Category!$C214)</f>
        <v>0</v>
      </c>
      <c r="BG214" s="388">
        <f>SUMIFS('2023'!$I:$I,'2023'!$E:$E,Category!$B$134,'2023'!$N:$N,Category!BG$1,'2023'!$D:$D,Category!$C214)</f>
        <v>0</v>
      </c>
      <c r="BH214" s="388">
        <f>SUMIFS('2023'!$I:$I,'2023'!$E:$E,Category!$B$134,'2023'!$N:$N,Category!BH$1,'2023'!$D:$D,Category!$C214)</f>
        <v>0</v>
      </c>
      <c r="BI214" s="388">
        <f>SUMIFS('2023'!$I:$I,'2023'!$E:$E,Category!$B$134,'2023'!$N:$N,Category!BI$1,'2023'!$D:$D,Category!$C214)</f>
        <v>0</v>
      </c>
      <c r="BJ214" s="388">
        <f>SUMIFS('2023'!$I:$I,'2023'!$E:$E,Category!$B$134,'2023'!$N:$N,Category!BJ$1,'2023'!$D:$D,Category!$C214)</f>
        <v>0</v>
      </c>
      <c r="BK214" s="388">
        <f>SUMIFS('2023'!$I:$I,'2023'!$E:$E,Category!$B$134,'2023'!$N:$N,Category!BK$1,'2023'!$D:$D,Category!$C214)</f>
        <v>0</v>
      </c>
      <c r="BL214" s="388">
        <f>SUMIFS('2023'!$I:$I,'2023'!$E:$E,Category!$B$134,'2023'!$N:$N,Category!BL$1,'2023'!$D:$D,Category!$C214)</f>
        <v>0</v>
      </c>
      <c r="BM214" s="388">
        <f>SUMIFS('2023'!$I:$I,'2023'!$E:$E,Category!$B$134,'2023'!$N:$N,Category!BM$1,'2023'!$D:$D,Category!$C214)</f>
        <v>0</v>
      </c>
      <c r="BN214" s="389">
        <f t="shared" si="69"/>
        <v>6250360</v>
      </c>
    </row>
    <row r="215" spans="1:66" ht="39.75" x14ac:dyDescent="0.3">
      <c r="A215" s="392"/>
      <c r="B215" s="387"/>
      <c r="C215" s="387" t="s">
        <v>2205</v>
      </c>
      <c r="D215" s="524">
        <f>IFERROR(VLOOKUP($C215,'2019'!$D:$G,4,0),0)</f>
        <v>0</v>
      </c>
      <c r="E215" s="388">
        <f>SUMIFS('2019'!$I:$I,'2019'!$E:$E,Category!$B$134,'2019'!$N:$N,Category!E$1,'2019'!$D:$D,Category!$C215)</f>
        <v>0</v>
      </c>
      <c r="F215" s="388">
        <f>SUMIFS('2019'!$I:$I,'2019'!$E:$E,Category!$B$134,'2019'!$N:$N,Category!F$1,'2019'!$D:$D,Category!$C215)</f>
        <v>0</v>
      </c>
      <c r="G215" s="388">
        <f>SUMIFS('2019'!$I:$I,'2019'!$E:$E,Category!$B$134,'2019'!$N:$N,Category!G$1,'2019'!$D:$D,Category!$C215)</f>
        <v>0</v>
      </c>
      <c r="H215" s="388">
        <f>SUMIFS('2019'!$I:$I,'2019'!$E:$E,Category!$B$134,'2019'!$N:$N,Category!H$1,'2019'!$D:$D,Category!$C215)</f>
        <v>0</v>
      </c>
      <c r="I215" s="388">
        <f>SUMIFS('2019'!$I:$I,'2019'!$E:$E,Category!$B$134,'2019'!$N:$N,Category!I$1,'2019'!$D:$D,Category!$C215)</f>
        <v>0</v>
      </c>
      <c r="J215" s="389">
        <f>SUM(E215:I215)</f>
        <v>0</v>
      </c>
      <c r="K215" s="506">
        <f>IFERROR(VLOOKUP($C215,'2020'!$D:$G,4,0),0)</f>
        <v>0</v>
      </c>
      <c r="L215" s="388">
        <f>SUMIFS('2020'!$I:$I,'2020'!$E:$E,Category!$B$134,'2020'!$N:$N,Category!L$1,'2020'!$D:$D,Category!$C215)</f>
        <v>0</v>
      </c>
      <c r="M215" s="388">
        <f>SUMIFS('2020'!$I:$I,'2020'!$E:$E,Category!$B$134,'2020'!$N:$N,Category!M$1,'2020'!$D:$D,Category!$C215)</f>
        <v>0</v>
      </c>
      <c r="N215" s="388">
        <f>SUMIFS('2020'!$I:$I,'2020'!$E:$E,Category!$B$134,'2020'!$N:$N,Category!N$1,'2020'!$D:$D,Category!$C215)</f>
        <v>0</v>
      </c>
      <c r="O215" s="388">
        <f>SUMIFS('2020'!$I:$I,'2020'!$E:$E,Category!$B$134,'2020'!$N:$N,Category!O$1,'2020'!$D:$D,Category!$C215)</f>
        <v>0</v>
      </c>
      <c r="P215" s="388">
        <f>SUMIFS('2020'!$I:$I,'2020'!$E:$E,Category!$B$134,'2020'!$N:$N,Category!P$1,'2020'!$D:$D,Category!$C215)</f>
        <v>0</v>
      </c>
      <c r="Q215" s="388">
        <f>SUMIFS('2020'!$I:$I,'2020'!$E:$E,Category!$B$134,'2020'!$N:$N,Category!Q$1,'2020'!$D:$D,Category!$C215)</f>
        <v>0</v>
      </c>
      <c r="R215" s="388">
        <f>SUMIFS('2020'!$I:$I,'2020'!$E:$E,Category!$B$134,'2020'!$N:$N,Category!R$1,'2020'!$D:$D,Category!$C215)</f>
        <v>0</v>
      </c>
      <c r="S215" s="388">
        <f>SUMIFS('2020'!$I:$I,'2020'!$E:$E,Category!$B$134,'2020'!$N:$N,Category!S$1,'2020'!$D:$D,Category!$C215)</f>
        <v>0</v>
      </c>
      <c r="T215" s="388">
        <f>SUMIFS('2020'!$I:$I,'2020'!$E:$E,Category!$B$134,'2020'!$N:$N,Category!T$1,'2020'!$D:$D,Category!$C215)</f>
        <v>0</v>
      </c>
      <c r="U215" s="388">
        <f>SUMIFS('2020'!$I:$I,'2020'!$E:$E,Category!$B$134,'2020'!$N:$N,Category!U$1,'2020'!$D:$D,Category!$C215)</f>
        <v>0</v>
      </c>
      <c r="V215" s="388">
        <f>SUMIFS('2020'!$I:$I,'2020'!$E:$E,Category!$B$134,'2020'!$N:$N,Category!V$1,'2020'!$D:$D,Category!$C215)</f>
        <v>0</v>
      </c>
      <c r="W215" s="388">
        <f>SUMIFS('2020'!$I:$I,'2020'!$E:$E,Category!$B$134,'2020'!$N:$N,Category!W$1,'2020'!$D:$D,Category!$C215)</f>
        <v>0</v>
      </c>
      <c r="X215" s="389">
        <f>SUM(L215:W215)</f>
        <v>0</v>
      </c>
      <c r="Y215" s="506">
        <f>IFERROR(VLOOKUP(C215,'2021'!$D:$G,4,0),0)</f>
        <v>0</v>
      </c>
      <c r="Z215" s="388">
        <f>SUMIFS('2021'!$I:$I,'2021'!$E:$E,Category!$B$134,'2021'!$N:$N,Category!Z$1,'2021'!$D:$D,Category!$C215)</f>
        <v>0</v>
      </c>
      <c r="AA215" s="388">
        <f>SUMIFS('2021'!$I:$I,'2021'!$E:$E,Category!$B$134,'2021'!$N:$N,Category!AA$1,'2021'!$D:$D,Category!$C215)</f>
        <v>0</v>
      </c>
      <c r="AB215" s="388">
        <f>SUMIFS('2021'!$I:$I,'2021'!$E:$E,Category!$B$134,'2021'!$N:$N,Category!AB$1,'2021'!$D:$D,Category!$C215)</f>
        <v>0</v>
      </c>
      <c r="AC215" s="388">
        <f>SUMIFS('2021'!$I:$I,'2021'!$E:$E,Category!$B$134,'2021'!$N:$N,Category!AC$1,'2021'!$D:$D,Category!$C215)</f>
        <v>0</v>
      </c>
      <c r="AD215" s="388">
        <f>SUMIFS('2021'!$I:$I,'2021'!$E:$E,Category!$B$134,'2021'!$N:$N,Category!AD$1,'2021'!$D:$D,Category!$C215)</f>
        <v>0</v>
      </c>
      <c r="AE215" s="388">
        <f>SUMIFS('2021'!$I:$I,'2021'!$E:$E,Category!$B$134,'2021'!$N:$N,Category!AE$1,'2021'!$D:$D,Category!$C215)</f>
        <v>0</v>
      </c>
      <c r="AF215" s="388">
        <f>SUMIFS('2021'!$I:$I,'2021'!$E:$E,Category!$B$134,'2021'!$N:$N,Category!AF$1,'2021'!$D:$D,Category!$C215)</f>
        <v>0</v>
      </c>
      <c r="AG215" s="388">
        <f>SUMIFS('2021'!$I:$I,'2021'!$E:$E,Category!$B$134,'2021'!$N:$N,Category!AG$1,'2021'!$D:$D,Category!$C215)</f>
        <v>0</v>
      </c>
      <c r="AH215" s="388">
        <f>SUMIFS('2021'!$I:$I,'2021'!$E:$E,Category!$B$134,'2021'!$N:$N,Category!AH$1,'2021'!$D:$D,Category!$C215)</f>
        <v>0</v>
      </c>
      <c r="AI215" s="388">
        <f>SUMIFS('2021'!$I:$I,'2021'!$E:$E,Category!$B$134,'2021'!$N:$N,Category!AI$1,'2021'!$D:$D,Category!$C215)</f>
        <v>0</v>
      </c>
      <c r="AJ215" s="388">
        <f>SUMIFS('2021'!$I:$I,'2021'!$E:$E,Category!$B$134,'2021'!$N:$N,Category!AJ$1,'2021'!$D:$D,Category!$C215)</f>
        <v>0</v>
      </c>
      <c r="AK215" s="388">
        <f>SUMIFS('2021'!$I:$I,'2021'!$E:$E,Category!$B$134,'2021'!$N:$N,Category!AK$1,'2021'!$D:$D,Category!$C215)</f>
        <v>0</v>
      </c>
      <c r="AL215" s="389">
        <f>SUM(Z215:AK215)</f>
        <v>0</v>
      </c>
      <c r="AM215" s="506">
        <f>IFERROR(VLOOKUP(C215,'2022'!$D:$G,4,0),0)</f>
        <v>0</v>
      </c>
      <c r="AN215" s="388">
        <f>SUMIFS('2022'!$I:$I,'2022'!$E:$E,Category!$B$134,'2022'!$N:$N,Category!AN$1,'2022'!$D:$D,Category!$C215)</f>
        <v>0</v>
      </c>
      <c r="AO215" s="388">
        <f>SUMIFS('2022'!$I:$I,'2022'!$E:$E,Category!$B$134,'2022'!$N:$N,Category!AO$1,'2022'!$D:$D,Category!$C215)</f>
        <v>0</v>
      </c>
      <c r="AP215" s="388">
        <f>SUMIFS('2022'!$I:$I,'2022'!$E:$E,Category!$B$134,'2022'!$N:$N,Category!AP$1,'2022'!$D:$D,Category!$C215)</f>
        <v>0</v>
      </c>
      <c r="AQ215" s="388">
        <f>SUMIFS('2022'!$I:$I,'2022'!$E:$E,Category!$B$134,'2022'!$N:$N,Category!AQ$1,'2022'!$D:$D,Category!$C215)</f>
        <v>0</v>
      </c>
      <c r="AR215" s="388">
        <f>SUMIFS('2022'!$I:$I,'2022'!$E:$E,Category!$B$134,'2022'!$N:$N,Category!AR$1,'2022'!$D:$D,Category!$C215)</f>
        <v>0</v>
      </c>
      <c r="AS215" s="388">
        <f>SUMIFS('2022'!$I:$I,'2022'!$E:$E,Category!$B$134,'2022'!$N:$N,Category!AS$1,'2022'!$D:$D,Category!$C215)</f>
        <v>0</v>
      </c>
      <c r="AT215" s="388">
        <f>SUMIFS('2022'!$I:$I,'2022'!$E:$E,Category!$B$134,'2022'!$N:$N,Category!AT$1,'2022'!$D:$D,Category!$C215)</f>
        <v>0</v>
      </c>
      <c r="AU215" s="388">
        <f>SUMIFS('2022'!$I:$I,'2022'!$E:$E,Category!$B$134,'2022'!$N:$N,Category!AU$1,'2022'!$D:$D,Category!$C215)</f>
        <v>0</v>
      </c>
      <c r="AV215" s="388">
        <f>SUMIFS('2022'!$I:$I,'2022'!$E:$E,Category!$B$134,'2022'!$N:$N,Category!AV$1,'2022'!$D:$D,Category!$C215)</f>
        <v>0</v>
      </c>
      <c r="AW215" s="388">
        <f>SUMIFS('2022'!$I:$I,'2022'!$E:$E,Category!$B$134,'2022'!$N:$N,Category!AW$1,'2022'!$D:$D,Category!$C215)</f>
        <v>0</v>
      </c>
      <c r="AX215" s="388">
        <f>SUMIFS('2022'!$I:$I,'2022'!$E:$E,Category!$B$134,'2022'!$N:$N,Category!AX$1,'2022'!$D:$D,Category!$C215)</f>
        <v>0</v>
      </c>
      <c r="AY215" s="388">
        <f>SUMIFS('2022'!$I:$I,'2022'!$E:$E,Category!$B$134,'2022'!$N:$N,Category!AY$1,'2022'!$D:$D,Category!$C215)</f>
        <v>0</v>
      </c>
      <c r="AZ215" s="389">
        <f>SUM(AN215:AY215)</f>
        <v>0</v>
      </c>
      <c r="BA215" s="506">
        <f>IFERROR(VLOOKUP(C215,'2023'!$D:$G,4,0),0)</f>
        <v>0</v>
      </c>
      <c r="BB215" s="388">
        <f>SUMIFS('2023'!$I:$I,'2023'!$E:$E,Category!$B$134,'2023'!$N:$N,Category!BB$1,'2023'!$D:$D,Category!$C215)</f>
        <v>0</v>
      </c>
      <c r="BC215" s="388">
        <f>SUMIFS('2023'!$I:$I,'2023'!$E:$E,Category!$B$134,'2023'!$N:$N,Category!BC$1,'2023'!$D:$D,Category!$C215)</f>
        <v>30000000</v>
      </c>
      <c r="BD215" s="388">
        <f>SUMIFS('2023'!$I:$I,'2023'!$E:$E,Category!$B$134,'2023'!$N:$N,Category!BD$1,'2023'!$D:$D,Category!$C215)</f>
        <v>0</v>
      </c>
      <c r="BE215" s="388">
        <f>SUMIFS('2023'!$I:$I,'2023'!$E:$E,Category!$B$134,'2023'!$N:$N,Category!BE$1,'2023'!$D:$D,Category!$C215)</f>
        <v>0</v>
      </c>
      <c r="BF215" s="388">
        <f>SUMIFS('2023'!$I:$I,'2023'!$E:$E,Category!$B$134,'2023'!$N:$N,Category!BF$1,'2023'!$D:$D,Category!$C215)</f>
        <v>0</v>
      </c>
      <c r="BG215" s="388">
        <f>SUMIFS('2023'!$I:$I,'2023'!$E:$E,Category!$B$134,'2023'!$N:$N,Category!BG$1,'2023'!$D:$D,Category!$C215)</f>
        <v>0</v>
      </c>
      <c r="BH215" s="388">
        <f>SUMIFS('2023'!$I:$I,'2023'!$E:$E,Category!$B$134,'2023'!$N:$N,Category!BH$1,'2023'!$D:$D,Category!$C215)</f>
        <v>0</v>
      </c>
      <c r="BI215" s="388">
        <f>SUMIFS('2023'!$I:$I,'2023'!$E:$E,Category!$B$134,'2023'!$N:$N,Category!BI$1,'2023'!$D:$D,Category!$C215)</f>
        <v>0</v>
      </c>
      <c r="BJ215" s="388">
        <f>SUMIFS('2023'!$I:$I,'2023'!$E:$E,Category!$B$134,'2023'!$N:$N,Category!BJ$1,'2023'!$D:$D,Category!$C215)</f>
        <v>0</v>
      </c>
      <c r="BK215" s="388">
        <f>SUMIFS('2023'!$I:$I,'2023'!$E:$E,Category!$B$134,'2023'!$N:$N,Category!BK$1,'2023'!$D:$D,Category!$C215)</f>
        <v>0</v>
      </c>
      <c r="BL215" s="388">
        <f>SUMIFS('2023'!$I:$I,'2023'!$E:$E,Category!$B$134,'2023'!$N:$N,Category!BL$1,'2023'!$D:$D,Category!$C215)</f>
        <v>0</v>
      </c>
      <c r="BM215" s="388">
        <f>SUMIFS('2023'!$I:$I,'2023'!$E:$E,Category!$B$134,'2023'!$N:$N,Category!BM$1,'2023'!$D:$D,Category!$C215)</f>
        <v>0</v>
      </c>
      <c r="BN215" s="389">
        <f t="shared" si="69"/>
        <v>30000000</v>
      </c>
    </row>
    <row r="216" spans="1:66" x14ac:dyDescent="0.3">
      <c r="A216" s="392"/>
      <c r="B216" s="387"/>
      <c r="C216" s="387" t="s">
        <v>2206</v>
      </c>
      <c r="D216" s="524">
        <f>IFERROR(VLOOKUP($C216,'2019'!$D:$G,4,0),0)</f>
        <v>0</v>
      </c>
      <c r="E216" s="388">
        <f>SUMIFS('2019'!$I:$I,'2019'!$E:$E,Category!$B$134,'2019'!$N:$N,Category!E$1,'2019'!$D:$D,Category!$C216)</f>
        <v>0</v>
      </c>
      <c r="F216" s="388">
        <f>SUMIFS('2019'!$I:$I,'2019'!$E:$E,Category!$B$134,'2019'!$N:$N,Category!F$1,'2019'!$D:$D,Category!$C216)</f>
        <v>0</v>
      </c>
      <c r="G216" s="388">
        <f>SUMIFS('2019'!$I:$I,'2019'!$E:$E,Category!$B$134,'2019'!$N:$N,Category!G$1,'2019'!$D:$D,Category!$C216)</f>
        <v>0</v>
      </c>
      <c r="H216" s="388">
        <f>SUMIFS('2019'!$I:$I,'2019'!$E:$E,Category!$B$134,'2019'!$N:$N,Category!H$1,'2019'!$D:$D,Category!$C216)</f>
        <v>0</v>
      </c>
      <c r="I216" s="388">
        <f>SUMIFS('2019'!$I:$I,'2019'!$E:$E,Category!$B$134,'2019'!$N:$N,Category!I$1,'2019'!$D:$D,Category!$C216)</f>
        <v>0</v>
      </c>
      <c r="J216" s="389">
        <f t="shared" si="71"/>
        <v>0</v>
      </c>
      <c r="K216" s="506">
        <f>IFERROR(VLOOKUP($C216,'2020'!$D:$G,4,0),0)</f>
        <v>0</v>
      </c>
      <c r="L216" s="388">
        <f>SUMIFS('2020'!$I:$I,'2020'!$E:$E,Category!$B$134,'2020'!$N:$N,Category!L$1,'2020'!$D:$D,Category!$C216)</f>
        <v>0</v>
      </c>
      <c r="M216" s="388">
        <f>SUMIFS('2020'!$I:$I,'2020'!$E:$E,Category!$B$134,'2020'!$N:$N,Category!M$1,'2020'!$D:$D,Category!$C216)</f>
        <v>0</v>
      </c>
      <c r="N216" s="388">
        <f>SUMIFS('2020'!$I:$I,'2020'!$E:$E,Category!$B$134,'2020'!$N:$N,Category!N$1,'2020'!$D:$D,Category!$C216)</f>
        <v>0</v>
      </c>
      <c r="O216" s="388">
        <f>SUMIFS('2020'!$I:$I,'2020'!$E:$E,Category!$B$134,'2020'!$N:$N,Category!O$1,'2020'!$D:$D,Category!$C216)</f>
        <v>0</v>
      </c>
      <c r="P216" s="388">
        <f>SUMIFS('2020'!$I:$I,'2020'!$E:$E,Category!$B$134,'2020'!$N:$N,Category!P$1,'2020'!$D:$D,Category!$C216)</f>
        <v>0</v>
      </c>
      <c r="Q216" s="388">
        <f>SUMIFS('2020'!$I:$I,'2020'!$E:$E,Category!$B$134,'2020'!$N:$N,Category!Q$1,'2020'!$D:$D,Category!$C216)</f>
        <v>0</v>
      </c>
      <c r="R216" s="388">
        <f>SUMIFS('2020'!$I:$I,'2020'!$E:$E,Category!$B$134,'2020'!$N:$N,Category!R$1,'2020'!$D:$D,Category!$C216)</f>
        <v>0</v>
      </c>
      <c r="S216" s="388">
        <f>SUMIFS('2020'!$I:$I,'2020'!$E:$E,Category!$B$134,'2020'!$N:$N,Category!S$1,'2020'!$D:$D,Category!$C216)</f>
        <v>0</v>
      </c>
      <c r="T216" s="388">
        <f>SUMIFS('2020'!$I:$I,'2020'!$E:$E,Category!$B$134,'2020'!$N:$N,Category!T$1,'2020'!$D:$D,Category!$C216)</f>
        <v>0</v>
      </c>
      <c r="U216" s="388">
        <f>SUMIFS('2020'!$I:$I,'2020'!$E:$E,Category!$B$134,'2020'!$N:$N,Category!U$1,'2020'!$D:$D,Category!$C216)</f>
        <v>0</v>
      </c>
      <c r="V216" s="388">
        <f>SUMIFS('2020'!$I:$I,'2020'!$E:$E,Category!$B$134,'2020'!$N:$N,Category!V$1,'2020'!$D:$D,Category!$C216)</f>
        <v>0</v>
      </c>
      <c r="W216" s="388">
        <f>SUMIFS('2020'!$I:$I,'2020'!$E:$E,Category!$B$134,'2020'!$N:$N,Category!W$1,'2020'!$D:$D,Category!$C216)</f>
        <v>0</v>
      </c>
      <c r="X216" s="389">
        <f t="shared" si="78"/>
        <v>0</v>
      </c>
      <c r="Y216" s="506">
        <f>IFERROR(VLOOKUP(C216,'2021'!$D:$G,4,0),0)</f>
        <v>0</v>
      </c>
      <c r="Z216" s="388">
        <f>SUMIFS('2021'!$I:$I,'2021'!$E:$E,Category!$B$134,'2021'!$N:$N,Category!Z$1,'2021'!$D:$D,Category!$C216)</f>
        <v>0</v>
      </c>
      <c r="AA216" s="388">
        <f>SUMIFS('2021'!$I:$I,'2021'!$E:$E,Category!$B$134,'2021'!$N:$N,Category!AA$1,'2021'!$D:$D,Category!$C216)</f>
        <v>0</v>
      </c>
      <c r="AB216" s="388">
        <f>SUMIFS('2021'!$I:$I,'2021'!$E:$E,Category!$B$134,'2021'!$N:$N,Category!AB$1,'2021'!$D:$D,Category!$C216)</f>
        <v>0</v>
      </c>
      <c r="AC216" s="388">
        <f>SUMIFS('2021'!$I:$I,'2021'!$E:$E,Category!$B$134,'2021'!$N:$N,Category!AC$1,'2021'!$D:$D,Category!$C216)</f>
        <v>0</v>
      </c>
      <c r="AD216" s="388">
        <f>SUMIFS('2021'!$I:$I,'2021'!$E:$E,Category!$B$134,'2021'!$N:$N,Category!AD$1,'2021'!$D:$D,Category!$C216)</f>
        <v>0</v>
      </c>
      <c r="AE216" s="388">
        <f>SUMIFS('2021'!$I:$I,'2021'!$E:$E,Category!$B$134,'2021'!$N:$N,Category!AE$1,'2021'!$D:$D,Category!$C216)</f>
        <v>0</v>
      </c>
      <c r="AF216" s="388">
        <f>SUMIFS('2021'!$I:$I,'2021'!$E:$E,Category!$B$134,'2021'!$N:$N,Category!AF$1,'2021'!$D:$D,Category!$C216)</f>
        <v>0</v>
      </c>
      <c r="AG216" s="388">
        <f>SUMIFS('2021'!$I:$I,'2021'!$E:$E,Category!$B$134,'2021'!$N:$N,Category!AG$1,'2021'!$D:$D,Category!$C216)</f>
        <v>0</v>
      </c>
      <c r="AH216" s="388">
        <f>SUMIFS('2021'!$I:$I,'2021'!$E:$E,Category!$B$134,'2021'!$N:$N,Category!AH$1,'2021'!$D:$D,Category!$C216)</f>
        <v>0</v>
      </c>
      <c r="AI216" s="388">
        <f>SUMIFS('2021'!$I:$I,'2021'!$E:$E,Category!$B$134,'2021'!$N:$N,Category!AI$1,'2021'!$D:$D,Category!$C216)</f>
        <v>0</v>
      </c>
      <c r="AJ216" s="388">
        <f>SUMIFS('2021'!$I:$I,'2021'!$E:$E,Category!$B$134,'2021'!$N:$N,Category!AJ$1,'2021'!$D:$D,Category!$C216)</f>
        <v>0</v>
      </c>
      <c r="AK216" s="388">
        <f>SUMIFS('2021'!$I:$I,'2021'!$E:$E,Category!$B$134,'2021'!$N:$N,Category!AK$1,'2021'!$D:$D,Category!$C216)</f>
        <v>0</v>
      </c>
      <c r="AL216" s="389">
        <f t="shared" si="79"/>
        <v>0</v>
      </c>
      <c r="AM216" s="506">
        <f>IFERROR(VLOOKUP(C216,'2022'!$D:$G,4,0),0)</f>
        <v>0</v>
      </c>
      <c r="AN216" s="388">
        <f>SUMIFS('2022'!$I:$I,'2022'!$E:$E,Category!$B$134,'2022'!$N:$N,Category!AN$1,'2022'!$D:$D,Category!$C216)</f>
        <v>0</v>
      </c>
      <c r="AO216" s="388">
        <f>SUMIFS('2022'!$I:$I,'2022'!$E:$E,Category!$B$134,'2022'!$N:$N,Category!AO$1,'2022'!$D:$D,Category!$C216)</f>
        <v>0</v>
      </c>
      <c r="AP216" s="388">
        <f>SUMIFS('2022'!$I:$I,'2022'!$E:$E,Category!$B$134,'2022'!$N:$N,Category!AP$1,'2022'!$D:$D,Category!$C216)</f>
        <v>0</v>
      </c>
      <c r="AQ216" s="388">
        <f>SUMIFS('2022'!$I:$I,'2022'!$E:$E,Category!$B$134,'2022'!$N:$N,Category!AQ$1,'2022'!$D:$D,Category!$C216)</f>
        <v>0</v>
      </c>
      <c r="AR216" s="388">
        <f>SUMIFS('2022'!$I:$I,'2022'!$E:$E,Category!$B$134,'2022'!$N:$N,Category!AR$1,'2022'!$D:$D,Category!$C216)</f>
        <v>0</v>
      </c>
      <c r="AS216" s="388">
        <f>SUMIFS('2022'!$I:$I,'2022'!$E:$E,Category!$B$134,'2022'!$N:$N,Category!AS$1,'2022'!$D:$D,Category!$C216)</f>
        <v>0</v>
      </c>
      <c r="AT216" s="388">
        <f>SUMIFS('2022'!$I:$I,'2022'!$E:$E,Category!$B$134,'2022'!$N:$N,Category!AT$1,'2022'!$D:$D,Category!$C216)</f>
        <v>0</v>
      </c>
      <c r="AU216" s="388">
        <f>SUMIFS('2022'!$I:$I,'2022'!$E:$E,Category!$B$134,'2022'!$N:$N,Category!AU$1,'2022'!$D:$D,Category!$C216)</f>
        <v>0</v>
      </c>
      <c r="AV216" s="388">
        <f>SUMIFS('2022'!$I:$I,'2022'!$E:$E,Category!$B$134,'2022'!$N:$N,Category!AV$1,'2022'!$D:$D,Category!$C216)</f>
        <v>0</v>
      </c>
      <c r="AW216" s="388">
        <f>SUMIFS('2022'!$I:$I,'2022'!$E:$E,Category!$B$134,'2022'!$N:$N,Category!AW$1,'2022'!$D:$D,Category!$C216)</f>
        <v>0</v>
      </c>
      <c r="AX216" s="388">
        <f>SUMIFS('2022'!$I:$I,'2022'!$E:$E,Category!$B$134,'2022'!$N:$N,Category!AX$1,'2022'!$D:$D,Category!$C216)</f>
        <v>0</v>
      </c>
      <c r="AY216" s="388">
        <f>SUMIFS('2022'!$I:$I,'2022'!$E:$E,Category!$B$134,'2022'!$N:$N,Category!AY$1,'2022'!$D:$D,Category!$C216)</f>
        <v>0</v>
      </c>
      <c r="AZ216" s="389">
        <f t="shared" si="80"/>
        <v>0</v>
      </c>
      <c r="BA216" s="506">
        <f>IFERROR(VLOOKUP(C216,'2023'!$D:$G,4,0),0)</f>
        <v>0</v>
      </c>
      <c r="BB216" s="388">
        <f>SUMIFS('2023'!$I:$I,'2023'!$E:$E,Category!$B$134,'2023'!$N:$N,Category!BB$1,'2023'!$D:$D,Category!$C216)</f>
        <v>0</v>
      </c>
      <c r="BC216" s="388">
        <f>SUMIFS('2023'!$I:$I,'2023'!$E:$E,Category!$B$134,'2023'!$N:$N,Category!BC$1,'2023'!$D:$D,Category!$C216)</f>
        <v>63900072</v>
      </c>
      <c r="BD216" s="388">
        <f>SUMIFS('2023'!$I:$I,'2023'!$E:$E,Category!$B$134,'2023'!$N:$N,Category!BD$1,'2023'!$D:$D,Category!$C216)</f>
        <v>0</v>
      </c>
      <c r="BE216" s="388">
        <f>SUMIFS('2023'!$I:$I,'2023'!$E:$E,Category!$B$134,'2023'!$N:$N,Category!BE$1,'2023'!$D:$D,Category!$C216)</f>
        <v>0</v>
      </c>
      <c r="BF216" s="388">
        <f>SUMIFS('2023'!$I:$I,'2023'!$E:$E,Category!$B$134,'2023'!$N:$N,Category!BF$1,'2023'!$D:$D,Category!$C216)</f>
        <v>0</v>
      </c>
      <c r="BG216" s="388">
        <f>SUMIFS('2023'!$I:$I,'2023'!$E:$E,Category!$B$134,'2023'!$N:$N,Category!BG$1,'2023'!$D:$D,Category!$C216)</f>
        <v>0</v>
      </c>
      <c r="BH216" s="388">
        <f>SUMIFS('2023'!$I:$I,'2023'!$E:$E,Category!$B$134,'2023'!$N:$N,Category!BH$1,'2023'!$D:$D,Category!$C216)</f>
        <v>0</v>
      </c>
      <c r="BI216" s="388">
        <f>SUMIFS('2023'!$I:$I,'2023'!$E:$E,Category!$B$134,'2023'!$N:$N,Category!BI$1,'2023'!$D:$D,Category!$C216)</f>
        <v>0</v>
      </c>
      <c r="BJ216" s="388">
        <f>SUMIFS('2023'!$I:$I,'2023'!$E:$E,Category!$B$134,'2023'!$N:$N,Category!BJ$1,'2023'!$D:$D,Category!$C216)</f>
        <v>0</v>
      </c>
      <c r="BK216" s="388">
        <f>SUMIFS('2023'!$I:$I,'2023'!$E:$E,Category!$B$134,'2023'!$N:$N,Category!BK$1,'2023'!$D:$D,Category!$C216)</f>
        <v>0</v>
      </c>
      <c r="BL216" s="388">
        <f>SUMIFS('2023'!$I:$I,'2023'!$E:$E,Category!$B$134,'2023'!$N:$N,Category!BL$1,'2023'!$D:$D,Category!$C216)</f>
        <v>0</v>
      </c>
      <c r="BM216" s="388">
        <f>SUMIFS('2023'!$I:$I,'2023'!$E:$E,Category!$B$134,'2023'!$N:$N,Category!BM$1,'2023'!$D:$D,Category!$C216)</f>
        <v>0</v>
      </c>
      <c r="BN216" s="389">
        <f t="shared" si="69"/>
        <v>63900072</v>
      </c>
    </row>
    <row r="217" spans="1:66" x14ac:dyDescent="0.3">
      <c r="A217" s="392"/>
      <c r="B217" s="387"/>
      <c r="C217" s="387"/>
      <c r="D217" s="524">
        <f>IFERROR(VLOOKUP($C217,'2019'!$D:$G,4,0),0)</f>
        <v>0</v>
      </c>
      <c r="E217" s="388">
        <f>SUMIFS('2019'!$I:$I,'2019'!$E:$E,Category!$B$134,'2019'!$N:$N,Category!E$1,'2019'!$D:$D,Category!$C217)</f>
        <v>0</v>
      </c>
      <c r="F217" s="388">
        <f>SUMIFS('2019'!$I:$I,'2019'!$E:$E,Category!$B$134,'2019'!$N:$N,Category!F$1,'2019'!$D:$D,Category!$C217)</f>
        <v>0</v>
      </c>
      <c r="G217" s="388">
        <f>SUMIFS('2019'!$I:$I,'2019'!$E:$E,Category!$B$134,'2019'!$N:$N,Category!G$1,'2019'!$D:$D,Category!$C217)</f>
        <v>0</v>
      </c>
      <c r="H217" s="388">
        <f>SUMIFS('2019'!$I:$I,'2019'!$E:$E,Category!$B$134,'2019'!$N:$N,Category!H$1,'2019'!$D:$D,Category!$C217)</f>
        <v>0</v>
      </c>
      <c r="I217" s="388">
        <f>SUMIFS('2019'!$I:$I,'2019'!$E:$E,Category!$B$134,'2019'!$N:$N,Category!I$1,'2019'!$D:$D,Category!$C217)</f>
        <v>0</v>
      </c>
      <c r="J217" s="389">
        <f t="shared" ref="J217" si="81">SUM(E217:I217)</f>
        <v>0</v>
      </c>
      <c r="K217" s="506">
        <f>IFERROR(VLOOKUP($C217,'2020'!$D:$G,4,0),0)</f>
        <v>0</v>
      </c>
      <c r="L217" s="388">
        <f>SUMIFS('2020'!$I:$I,'2020'!$E:$E,Category!$B$134,'2020'!$N:$N,Category!L$1,'2020'!$D:$D,Category!$C217)</f>
        <v>0</v>
      </c>
      <c r="M217" s="388">
        <f>SUMIFS('2020'!$I:$I,'2020'!$E:$E,Category!$B$134,'2020'!$N:$N,Category!M$1,'2020'!$D:$D,Category!$C217)</f>
        <v>0</v>
      </c>
      <c r="N217" s="388">
        <f>SUMIFS('2020'!$I:$I,'2020'!$E:$E,Category!$B$134,'2020'!$N:$N,Category!N$1,'2020'!$D:$D,Category!$C217)</f>
        <v>0</v>
      </c>
      <c r="O217" s="388">
        <f>SUMIFS('2020'!$I:$I,'2020'!$E:$E,Category!$B$134,'2020'!$N:$N,Category!O$1,'2020'!$D:$D,Category!$C217)</f>
        <v>0</v>
      </c>
      <c r="P217" s="388">
        <f>SUMIFS('2020'!$I:$I,'2020'!$E:$E,Category!$B$134,'2020'!$N:$N,Category!P$1,'2020'!$D:$D,Category!$C217)</f>
        <v>0</v>
      </c>
      <c r="Q217" s="388">
        <f>SUMIFS('2020'!$I:$I,'2020'!$E:$E,Category!$B$134,'2020'!$N:$N,Category!Q$1,'2020'!$D:$D,Category!$C217)</f>
        <v>0</v>
      </c>
      <c r="R217" s="388">
        <f>SUMIFS('2020'!$I:$I,'2020'!$E:$E,Category!$B$134,'2020'!$N:$N,Category!R$1,'2020'!$D:$D,Category!$C217)</f>
        <v>0</v>
      </c>
      <c r="S217" s="388">
        <f>SUMIFS('2020'!$I:$I,'2020'!$E:$E,Category!$B$134,'2020'!$N:$N,Category!S$1,'2020'!$D:$D,Category!$C217)</f>
        <v>0</v>
      </c>
      <c r="T217" s="388">
        <f>SUMIFS('2020'!$I:$I,'2020'!$E:$E,Category!$B$134,'2020'!$N:$N,Category!T$1,'2020'!$D:$D,Category!$C217)</f>
        <v>0</v>
      </c>
      <c r="U217" s="388">
        <f>SUMIFS('2020'!$I:$I,'2020'!$E:$E,Category!$B$134,'2020'!$N:$N,Category!U$1,'2020'!$D:$D,Category!$C217)</f>
        <v>0</v>
      </c>
      <c r="V217" s="388">
        <f>SUMIFS('2020'!$I:$I,'2020'!$E:$E,Category!$B$134,'2020'!$N:$N,Category!V$1,'2020'!$D:$D,Category!$C217)</f>
        <v>0</v>
      </c>
      <c r="W217" s="388">
        <f>SUMIFS('2020'!$I:$I,'2020'!$E:$E,Category!$B$134,'2020'!$N:$N,Category!W$1,'2020'!$D:$D,Category!$C217)</f>
        <v>0</v>
      </c>
      <c r="X217" s="389">
        <f t="shared" ref="X217" si="82">SUM(L217:W217)</f>
        <v>0</v>
      </c>
      <c r="Y217" s="506">
        <f>IFERROR(VLOOKUP(C217,'2021'!$D:$G,4,0),0)</f>
        <v>0</v>
      </c>
      <c r="Z217" s="388">
        <f>SUMIFS('2021'!$I:$I,'2021'!$E:$E,Category!$B$134,'2021'!$N:$N,Category!Z$1,'2021'!$D:$D,Category!$C217)</f>
        <v>0</v>
      </c>
      <c r="AA217" s="388">
        <f>SUMIFS('2021'!$I:$I,'2021'!$E:$E,Category!$B$134,'2021'!$N:$N,Category!AA$1,'2021'!$D:$D,Category!$C217)</f>
        <v>0</v>
      </c>
      <c r="AB217" s="388">
        <f>SUMIFS('2021'!$I:$I,'2021'!$E:$E,Category!$B$134,'2021'!$N:$N,Category!AB$1,'2021'!$D:$D,Category!$C217)</f>
        <v>0</v>
      </c>
      <c r="AC217" s="388">
        <f>SUMIFS('2021'!$I:$I,'2021'!$E:$E,Category!$B$134,'2021'!$N:$N,Category!AC$1,'2021'!$D:$D,Category!$C217)</f>
        <v>0</v>
      </c>
      <c r="AD217" s="388">
        <f>SUMIFS('2021'!$I:$I,'2021'!$E:$E,Category!$B$134,'2021'!$N:$N,Category!AD$1,'2021'!$D:$D,Category!$C217)</f>
        <v>0</v>
      </c>
      <c r="AE217" s="388">
        <f>SUMIFS('2021'!$I:$I,'2021'!$E:$E,Category!$B$134,'2021'!$N:$N,Category!AE$1,'2021'!$D:$D,Category!$C217)</f>
        <v>0</v>
      </c>
      <c r="AF217" s="388">
        <f>SUMIFS('2021'!$I:$I,'2021'!$E:$E,Category!$B$134,'2021'!$N:$N,Category!AF$1,'2021'!$D:$D,Category!$C217)</f>
        <v>0</v>
      </c>
      <c r="AG217" s="388">
        <f>SUMIFS('2021'!$I:$I,'2021'!$E:$E,Category!$B$134,'2021'!$N:$N,Category!AG$1,'2021'!$D:$D,Category!$C217)</f>
        <v>0</v>
      </c>
      <c r="AH217" s="388">
        <f>SUMIFS('2021'!$I:$I,'2021'!$E:$E,Category!$B$134,'2021'!$N:$N,Category!AH$1,'2021'!$D:$D,Category!$C217)</f>
        <v>0</v>
      </c>
      <c r="AI217" s="388">
        <f>SUMIFS('2021'!$I:$I,'2021'!$E:$E,Category!$B$134,'2021'!$N:$N,Category!AI$1,'2021'!$D:$D,Category!$C217)</f>
        <v>0</v>
      </c>
      <c r="AJ217" s="388">
        <f>SUMIFS('2021'!$I:$I,'2021'!$E:$E,Category!$B$134,'2021'!$N:$N,Category!AJ$1,'2021'!$D:$D,Category!$C217)</f>
        <v>0</v>
      </c>
      <c r="AK217" s="388">
        <f>SUMIFS('2021'!$I:$I,'2021'!$E:$E,Category!$B$134,'2021'!$N:$N,Category!AK$1,'2021'!$D:$D,Category!$C217)</f>
        <v>0</v>
      </c>
      <c r="AL217" s="389">
        <f t="shared" ref="AL217" si="83">SUM(Z217:AK217)</f>
        <v>0</v>
      </c>
      <c r="AM217" s="506">
        <f>IFERROR(VLOOKUP(C217,'2022'!$D:$G,4,0),0)</f>
        <v>0</v>
      </c>
      <c r="AN217" s="388">
        <f>SUMIFS('2022'!$I:$I,'2022'!$E:$E,Category!$B$134,'2022'!$N:$N,Category!AN$1,'2022'!$D:$D,Category!$C217)</f>
        <v>0</v>
      </c>
      <c r="AO217" s="388">
        <f>SUMIFS('2022'!$I:$I,'2022'!$E:$E,Category!$B$134,'2022'!$N:$N,Category!AO$1,'2022'!$D:$D,Category!$C217)</f>
        <v>0</v>
      </c>
      <c r="AP217" s="388">
        <f>SUMIFS('2022'!$I:$I,'2022'!$E:$E,Category!$B$134,'2022'!$N:$N,Category!AP$1,'2022'!$D:$D,Category!$C217)</f>
        <v>0</v>
      </c>
      <c r="AQ217" s="388">
        <f>SUMIFS('2022'!$I:$I,'2022'!$E:$E,Category!$B$134,'2022'!$N:$N,Category!AQ$1,'2022'!$D:$D,Category!$C217)</f>
        <v>0</v>
      </c>
      <c r="AR217" s="388">
        <f>SUMIFS('2022'!$I:$I,'2022'!$E:$E,Category!$B$134,'2022'!$N:$N,Category!AR$1,'2022'!$D:$D,Category!$C217)</f>
        <v>0</v>
      </c>
      <c r="AS217" s="388">
        <f>SUMIFS('2022'!$I:$I,'2022'!$E:$E,Category!$B$134,'2022'!$N:$N,Category!AS$1,'2022'!$D:$D,Category!$C217)</f>
        <v>0</v>
      </c>
      <c r="AT217" s="388">
        <f>SUMIFS('2022'!$I:$I,'2022'!$E:$E,Category!$B$134,'2022'!$N:$N,Category!AT$1,'2022'!$D:$D,Category!$C217)</f>
        <v>0</v>
      </c>
      <c r="AU217" s="388">
        <f>SUMIFS('2022'!$I:$I,'2022'!$E:$E,Category!$B$134,'2022'!$N:$N,Category!AU$1,'2022'!$D:$D,Category!$C217)</f>
        <v>0</v>
      </c>
      <c r="AV217" s="388">
        <f>SUMIFS('2022'!$I:$I,'2022'!$E:$E,Category!$B$134,'2022'!$N:$N,Category!AV$1,'2022'!$D:$D,Category!$C217)</f>
        <v>0</v>
      </c>
      <c r="AW217" s="388">
        <f>SUMIFS('2022'!$I:$I,'2022'!$E:$E,Category!$B$134,'2022'!$N:$N,Category!AW$1,'2022'!$D:$D,Category!$C217)</f>
        <v>0</v>
      </c>
      <c r="AX217" s="388">
        <f>SUMIFS('2022'!$I:$I,'2022'!$E:$E,Category!$B$134,'2022'!$N:$N,Category!AX$1,'2022'!$D:$D,Category!$C217)</f>
        <v>0</v>
      </c>
      <c r="AY217" s="388">
        <f>SUMIFS('2022'!$I:$I,'2022'!$E:$E,Category!$B$134,'2022'!$N:$N,Category!AY$1,'2022'!$D:$D,Category!$C217)</f>
        <v>0</v>
      </c>
      <c r="AZ217" s="389">
        <f t="shared" ref="AZ217" si="84">SUM(AN217:AY217)</f>
        <v>0</v>
      </c>
      <c r="BA217" s="506">
        <f>IFERROR(VLOOKUP(C217,'2023'!$D:$G,4,0),0)</f>
        <v>0</v>
      </c>
      <c r="BB217" s="388">
        <f>SUMIFS('2023'!$I:$I,'2023'!$E:$E,Category!$B$134,'2023'!$N:$N,Category!BB$1,'2023'!$D:$D,Category!$C217)</f>
        <v>0</v>
      </c>
      <c r="BC217" s="388">
        <f>SUMIFS('2023'!$I:$I,'2023'!$E:$E,Category!$B$134,'2023'!$N:$N,Category!BC$1,'2023'!$D:$D,Category!$C217)</f>
        <v>0</v>
      </c>
      <c r="BD217" s="388">
        <f>SUMIFS('2023'!$I:$I,'2023'!$E:$E,Category!$B$134,'2023'!$N:$N,Category!BD$1,'2023'!$D:$D,Category!$C217)</f>
        <v>0</v>
      </c>
      <c r="BE217" s="388">
        <f>SUMIFS('2023'!$I:$I,'2023'!$E:$E,Category!$B$134,'2023'!$N:$N,Category!BE$1,'2023'!$D:$D,Category!$C217)</f>
        <v>0</v>
      </c>
      <c r="BF217" s="388">
        <f>SUMIFS('2023'!$I:$I,'2023'!$E:$E,Category!$B$134,'2023'!$N:$N,Category!BF$1,'2023'!$D:$D,Category!$C217)</f>
        <v>0</v>
      </c>
      <c r="BG217" s="388">
        <f>SUMIFS('2023'!$I:$I,'2023'!$E:$E,Category!$B$134,'2023'!$N:$N,Category!BG$1,'2023'!$D:$D,Category!$C217)</f>
        <v>0</v>
      </c>
      <c r="BH217" s="388">
        <f>SUMIFS('2023'!$I:$I,'2023'!$E:$E,Category!$B$134,'2023'!$N:$N,Category!BH$1,'2023'!$D:$D,Category!$C217)</f>
        <v>0</v>
      </c>
      <c r="BI217" s="388">
        <f>SUMIFS('2023'!$I:$I,'2023'!$E:$E,Category!$B$134,'2023'!$N:$N,Category!BI$1,'2023'!$D:$D,Category!$C217)</f>
        <v>0</v>
      </c>
      <c r="BJ217" s="388">
        <f>SUMIFS('2023'!$I:$I,'2023'!$E:$E,Category!$B$134,'2023'!$N:$N,Category!BJ$1,'2023'!$D:$D,Category!$C217)</f>
        <v>0</v>
      </c>
      <c r="BK217" s="388">
        <f>SUMIFS('2023'!$I:$I,'2023'!$E:$E,Category!$B$134,'2023'!$N:$N,Category!BK$1,'2023'!$D:$D,Category!$C217)</f>
        <v>0</v>
      </c>
      <c r="BL217" s="388">
        <f>SUMIFS('2023'!$I:$I,'2023'!$E:$E,Category!$B$134,'2023'!$N:$N,Category!BL$1,'2023'!$D:$D,Category!$C217)</f>
        <v>0</v>
      </c>
      <c r="BM217" s="388">
        <f>SUMIFS('2023'!$I:$I,'2023'!$E:$E,Category!$B$134,'2023'!$N:$N,Category!BM$1,'2023'!$D:$D,Category!$C217)</f>
        <v>0</v>
      </c>
      <c r="BN217" s="389">
        <f t="shared" ref="BN217" si="85">SUM(BB217:BM217)</f>
        <v>0</v>
      </c>
    </row>
    <row r="218" spans="1:66" x14ac:dyDescent="0.3">
      <c r="A218" s="392"/>
      <c r="B218" s="387"/>
      <c r="C218" s="387"/>
      <c r="D218" s="524">
        <f>IFERROR(VLOOKUP($C218,'2019'!$D:$G,4,0),0)</f>
        <v>0</v>
      </c>
      <c r="E218" s="388">
        <f>SUMIFS('2019'!$I:$I,'2019'!$E:$E,Category!$B$134,'2019'!$N:$N,Category!E$1,'2019'!$D:$D,Category!$C218)</f>
        <v>0</v>
      </c>
      <c r="F218" s="388">
        <f>SUMIFS('2019'!$I:$I,'2019'!$E:$E,Category!$B$134,'2019'!$N:$N,Category!F$1,'2019'!$D:$D,Category!$C218)</f>
        <v>0</v>
      </c>
      <c r="G218" s="388">
        <f>SUMIFS('2019'!$I:$I,'2019'!$E:$E,Category!$B$134,'2019'!$N:$N,Category!G$1,'2019'!$D:$D,Category!$C218)</f>
        <v>0</v>
      </c>
      <c r="H218" s="388">
        <f>SUMIFS('2019'!$I:$I,'2019'!$E:$E,Category!$B$134,'2019'!$N:$N,Category!H$1,'2019'!$D:$D,Category!$C218)</f>
        <v>0</v>
      </c>
      <c r="I218" s="388">
        <f>SUMIFS('2019'!$I:$I,'2019'!$E:$E,Category!$B$134,'2019'!$N:$N,Category!I$1,'2019'!$D:$D,Category!$C218)</f>
        <v>0</v>
      </c>
      <c r="J218" s="389">
        <f t="shared" ref="J218:J225" si="86">SUM(E218:I218)</f>
        <v>0</v>
      </c>
      <c r="K218" s="506">
        <f>IFERROR(VLOOKUP($C218,'2020'!$D:$G,4,0),0)</f>
        <v>0</v>
      </c>
      <c r="L218" s="388">
        <f>SUMIFS('2020'!$I:$I,'2020'!$E:$E,Category!$B$134,'2020'!$N:$N,Category!L$1,'2020'!$D:$D,Category!$C218)</f>
        <v>0</v>
      </c>
      <c r="M218" s="388">
        <f>SUMIFS('2020'!$I:$I,'2020'!$E:$E,Category!$B$134,'2020'!$N:$N,Category!M$1,'2020'!$D:$D,Category!$C218)</f>
        <v>0</v>
      </c>
      <c r="N218" s="388">
        <f>SUMIFS('2020'!$I:$I,'2020'!$E:$E,Category!$B$134,'2020'!$N:$N,Category!N$1,'2020'!$D:$D,Category!$C218)</f>
        <v>0</v>
      </c>
      <c r="O218" s="388">
        <f>SUMIFS('2020'!$I:$I,'2020'!$E:$E,Category!$B$134,'2020'!$N:$N,Category!O$1,'2020'!$D:$D,Category!$C218)</f>
        <v>0</v>
      </c>
      <c r="P218" s="388">
        <f>SUMIFS('2020'!$I:$I,'2020'!$E:$E,Category!$B$134,'2020'!$N:$N,Category!P$1,'2020'!$D:$D,Category!$C218)</f>
        <v>0</v>
      </c>
      <c r="Q218" s="388">
        <f>SUMIFS('2020'!$I:$I,'2020'!$E:$E,Category!$B$134,'2020'!$N:$N,Category!Q$1,'2020'!$D:$D,Category!$C218)</f>
        <v>0</v>
      </c>
      <c r="R218" s="388">
        <f>SUMIFS('2020'!$I:$I,'2020'!$E:$E,Category!$B$134,'2020'!$N:$N,Category!R$1,'2020'!$D:$D,Category!$C218)</f>
        <v>0</v>
      </c>
      <c r="S218" s="388">
        <f>SUMIFS('2020'!$I:$I,'2020'!$E:$E,Category!$B$134,'2020'!$N:$N,Category!S$1,'2020'!$D:$D,Category!$C218)</f>
        <v>0</v>
      </c>
      <c r="T218" s="388">
        <f>SUMIFS('2020'!$I:$I,'2020'!$E:$E,Category!$B$134,'2020'!$N:$N,Category!T$1,'2020'!$D:$D,Category!$C218)</f>
        <v>0</v>
      </c>
      <c r="U218" s="388">
        <f>SUMIFS('2020'!$I:$I,'2020'!$E:$E,Category!$B$134,'2020'!$N:$N,Category!U$1,'2020'!$D:$D,Category!$C218)</f>
        <v>0</v>
      </c>
      <c r="V218" s="388">
        <f>SUMIFS('2020'!$I:$I,'2020'!$E:$E,Category!$B$134,'2020'!$N:$N,Category!V$1,'2020'!$D:$D,Category!$C218)</f>
        <v>0</v>
      </c>
      <c r="W218" s="388">
        <f>SUMIFS('2020'!$I:$I,'2020'!$E:$E,Category!$B$134,'2020'!$N:$N,Category!W$1,'2020'!$D:$D,Category!$C218)</f>
        <v>0</v>
      </c>
      <c r="X218" s="389">
        <f t="shared" ref="X218:X225" si="87">SUM(L218:W218)</f>
        <v>0</v>
      </c>
      <c r="Y218" s="506">
        <f>IFERROR(VLOOKUP(C218,'2021'!$D:$G,4,0),0)</f>
        <v>0</v>
      </c>
      <c r="Z218" s="388">
        <f>SUMIFS('2021'!$I:$I,'2021'!$E:$E,Category!$B$134,'2021'!$N:$N,Category!Z$1,'2021'!$D:$D,Category!$C218)</f>
        <v>0</v>
      </c>
      <c r="AA218" s="388">
        <f>SUMIFS('2021'!$I:$I,'2021'!$E:$E,Category!$B$134,'2021'!$N:$N,Category!AA$1,'2021'!$D:$D,Category!$C218)</f>
        <v>0</v>
      </c>
      <c r="AB218" s="388">
        <f>SUMIFS('2021'!$I:$I,'2021'!$E:$E,Category!$B$134,'2021'!$N:$N,Category!AB$1,'2021'!$D:$D,Category!$C218)</f>
        <v>0</v>
      </c>
      <c r="AC218" s="388">
        <f>SUMIFS('2021'!$I:$I,'2021'!$E:$E,Category!$B$134,'2021'!$N:$N,Category!AC$1,'2021'!$D:$D,Category!$C218)</f>
        <v>0</v>
      </c>
      <c r="AD218" s="388">
        <f>SUMIFS('2021'!$I:$I,'2021'!$E:$E,Category!$B$134,'2021'!$N:$N,Category!AD$1,'2021'!$D:$D,Category!$C218)</f>
        <v>0</v>
      </c>
      <c r="AE218" s="388">
        <f>SUMIFS('2021'!$I:$I,'2021'!$E:$E,Category!$B$134,'2021'!$N:$N,Category!AE$1,'2021'!$D:$D,Category!$C218)</f>
        <v>0</v>
      </c>
      <c r="AF218" s="388">
        <f>SUMIFS('2021'!$I:$I,'2021'!$E:$E,Category!$B$134,'2021'!$N:$N,Category!AF$1,'2021'!$D:$D,Category!$C218)</f>
        <v>0</v>
      </c>
      <c r="AG218" s="388">
        <f>SUMIFS('2021'!$I:$I,'2021'!$E:$E,Category!$B$134,'2021'!$N:$N,Category!AG$1,'2021'!$D:$D,Category!$C218)</f>
        <v>0</v>
      </c>
      <c r="AH218" s="388">
        <f>SUMIFS('2021'!$I:$I,'2021'!$E:$E,Category!$B$134,'2021'!$N:$N,Category!AH$1,'2021'!$D:$D,Category!$C218)</f>
        <v>0</v>
      </c>
      <c r="AI218" s="388">
        <f>SUMIFS('2021'!$I:$I,'2021'!$E:$E,Category!$B$134,'2021'!$N:$N,Category!AI$1,'2021'!$D:$D,Category!$C218)</f>
        <v>0</v>
      </c>
      <c r="AJ218" s="388">
        <f>SUMIFS('2021'!$I:$I,'2021'!$E:$E,Category!$B$134,'2021'!$N:$N,Category!AJ$1,'2021'!$D:$D,Category!$C218)</f>
        <v>0</v>
      </c>
      <c r="AK218" s="388">
        <f>SUMIFS('2021'!$I:$I,'2021'!$E:$E,Category!$B$134,'2021'!$N:$N,Category!AK$1,'2021'!$D:$D,Category!$C218)</f>
        <v>0</v>
      </c>
      <c r="AL218" s="389">
        <f t="shared" ref="AL218:AL225" si="88">SUM(Z218:AK218)</f>
        <v>0</v>
      </c>
      <c r="AM218" s="506">
        <f>IFERROR(VLOOKUP(C218,'2022'!$D:$G,4,0),0)</f>
        <v>0</v>
      </c>
      <c r="AN218" s="388">
        <f>SUMIFS('2022'!$I:$I,'2022'!$E:$E,Category!$B$134,'2022'!$N:$N,Category!AN$1,'2022'!$D:$D,Category!$C218)</f>
        <v>0</v>
      </c>
      <c r="AO218" s="388">
        <f>SUMIFS('2022'!$I:$I,'2022'!$E:$E,Category!$B$134,'2022'!$N:$N,Category!AO$1,'2022'!$D:$D,Category!$C218)</f>
        <v>0</v>
      </c>
      <c r="AP218" s="388">
        <f>SUMIFS('2022'!$I:$I,'2022'!$E:$E,Category!$B$134,'2022'!$N:$N,Category!AP$1,'2022'!$D:$D,Category!$C218)</f>
        <v>0</v>
      </c>
      <c r="AQ218" s="388">
        <f>SUMIFS('2022'!$I:$I,'2022'!$E:$E,Category!$B$134,'2022'!$N:$N,Category!AQ$1,'2022'!$D:$D,Category!$C218)</f>
        <v>0</v>
      </c>
      <c r="AR218" s="388">
        <f>SUMIFS('2022'!$I:$I,'2022'!$E:$E,Category!$B$134,'2022'!$N:$N,Category!AR$1,'2022'!$D:$D,Category!$C218)</f>
        <v>0</v>
      </c>
      <c r="AS218" s="388">
        <f>SUMIFS('2022'!$I:$I,'2022'!$E:$E,Category!$B$134,'2022'!$N:$N,Category!AS$1,'2022'!$D:$D,Category!$C218)</f>
        <v>0</v>
      </c>
      <c r="AT218" s="388">
        <f>SUMIFS('2022'!$I:$I,'2022'!$E:$E,Category!$B$134,'2022'!$N:$N,Category!AT$1,'2022'!$D:$D,Category!$C218)</f>
        <v>0</v>
      </c>
      <c r="AU218" s="388">
        <f>SUMIFS('2022'!$I:$I,'2022'!$E:$E,Category!$B$134,'2022'!$N:$N,Category!AU$1,'2022'!$D:$D,Category!$C218)</f>
        <v>0</v>
      </c>
      <c r="AV218" s="388">
        <f>SUMIFS('2022'!$I:$I,'2022'!$E:$E,Category!$B$134,'2022'!$N:$N,Category!AV$1,'2022'!$D:$D,Category!$C218)</f>
        <v>0</v>
      </c>
      <c r="AW218" s="388">
        <f>SUMIFS('2022'!$I:$I,'2022'!$E:$E,Category!$B$134,'2022'!$N:$N,Category!AW$1,'2022'!$D:$D,Category!$C218)</f>
        <v>0</v>
      </c>
      <c r="AX218" s="388">
        <f>SUMIFS('2022'!$I:$I,'2022'!$E:$E,Category!$B$134,'2022'!$N:$N,Category!AX$1,'2022'!$D:$D,Category!$C218)</f>
        <v>0</v>
      </c>
      <c r="AY218" s="388">
        <f>SUMIFS('2022'!$I:$I,'2022'!$E:$E,Category!$B$134,'2022'!$N:$N,Category!AY$1,'2022'!$D:$D,Category!$C218)</f>
        <v>0</v>
      </c>
      <c r="AZ218" s="389">
        <f t="shared" ref="AZ218:AZ225" si="89">SUM(AN218:AY218)</f>
        <v>0</v>
      </c>
      <c r="BA218" s="506">
        <f>IFERROR(VLOOKUP(C218,'2023'!$D:$G,4,0),0)</f>
        <v>0</v>
      </c>
      <c r="BB218" s="388">
        <f>SUMIFS('2023'!$I:$I,'2023'!$E:$E,Category!$B$134,'2023'!$N:$N,Category!BB$1,'2023'!$D:$D,Category!$C218)</f>
        <v>0</v>
      </c>
      <c r="BC218" s="388">
        <f>SUMIFS('2023'!$I:$I,'2023'!$E:$E,Category!$B$134,'2023'!$N:$N,Category!BC$1,'2023'!$D:$D,Category!$C218)</f>
        <v>0</v>
      </c>
      <c r="BD218" s="388">
        <f>SUMIFS('2023'!$I:$I,'2023'!$E:$E,Category!$B$134,'2023'!$N:$N,Category!BD$1,'2023'!$D:$D,Category!$C218)</f>
        <v>0</v>
      </c>
      <c r="BE218" s="388">
        <f>SUMIFS('2023'!$I:$I,'2023'!$E:$E,Category!$B$134,'2023'!$N:$N,Category!BE$1,'2023'!$D:$D,Category!$C218)</f>
        <v>0</v>
      </c>
      <c r="BF218" s="388">
        <f>SUMIFS('2023'!$I:$I,'2023'!$E:$E,Category!$B$134,'2023'!$N:$N,Category!BF$1,'2023'!$D:$D,Category!$C218)</f>
        <v>0</v>
      </c>
      <c r="BG218" s="388">
        <f>SUMIFS('2023'!$I:$I,'2023'!$E:$E,Category!$B$134,'2023'!$N:$N,Category!BG$1,'2023'!$D:$D,Category!$C218)</f>
        <v>0</v>
      </c>
      <c r="BH218" s="388">
        <f>SUMIFS('2023'!$I:$I,'2023'!$E:$E,Category!$B$134,'2023'!$N:$N,Category!BH$1,'2023'!$D:$D,Category!$C218)</f>
        <v>0</v>
      </c>
      <c r="BI218" s="388">
        <f>SUMIFS('2023'!$I:$I,'2023'!$E:$E,Category!$B$134,'2023'!$N:$N,Category!BI$1,'2023'!$D:$D,Category!$C218)</f>
        <v>0</v>
      </c>
      <c r="BJ218" s="388">
        <f>SUMIFS('2023'!$I:$I,'2023'!$E:$E,Category!$B$134,'2023'!$N:$N,Category!BJ$1,'2023'!$D:$D,Category!$C218)</f>
        <v>0</v>
      </c>
      <c r="BK218" s="388">
        <f>SUMIFS('2023'!$I:$I,'2023'!$E:$E,Category!$B$134,'2023'!$N:$N,Category!BK$1,'2023'!$D:$D,Category!$C218)</f>
        <v>0</v>
      </c>
      <c r="BL218" s="388">
        <f>SUMIFS('2023'!$I:$I,'2023'!$E:$E,Category!$B$134,'2023'!$N:$N,Category!BL$1,'2023'!$D:$D,Category!$C218)</f>
        <v>0</v>
      </c>
      <c r="BM218" s="388">
        <f>SUMIFS('2023'!$I:$I,'2023'!$E:$E,Category!$B$134,'2023'!$N:$N,Category!BM$1,'2023'!$D:$D,Category!$C218)</f>
        <v>0</v>
      </c>
      <c r="BN218" s="389">
        <f t="shared" ref="BN218:BN225" si="90">SUM(BB218:BM218)</f>
        <v>0</v>
      </c>
    </row>
    <row r="219" spans="1:66" x14ac:dyDescent="0.3">
      <c r="A219" s="392"/>
      <c r="B219" s="387"/>
      <c r="C219" s="387"/>
      <c r="D219" s="524">
        <f>IFERROR(VLOOKUP($C219,'2019'!$D:$G,4,0),0)</f>
        <v>0</v>
      </c>
      <c r="E219" s="388">
        <f>SUMIFS('2019'!$I:$I,'2019'!$E:$E,Category!$B$134,'2019'!$N:$N,Category!E$1,'2019'!$D:$D,Category!$C219)</f>
        <v>0</v>
      </c>
      <c r="F219" s="388">
        <f>SUMIFS('2019'!$I:$I,'2019'!$E:$E,Category!$B$134,'2019'!$N:$N,Category!F$1,'2019'!$D:$D,Category!$C219)</f>
        <v>0</v>
      </c>
      <c r="G219" s="388">
        <f>SUMIFS('2019'!$I:$I,'2019'!$E:$E,Category!$B$134,'2019'!$N:$N,Category!G$1,'2019'!$D:$D,Category!$C219)</f>
        <v>0</v>
      </c>
      <c r="H219" s="388">
        <f>SUMIFS('2019'!$I:$I,'2019'!$E:$E,Category!$B$134,'2019'!$N:$N,Category!H$1,'2019'!$D:$D,Category!$C219)</f>
        <v>0</v>
      </c>
      <c r="I219" s="388">
        <f>SUMIFS('2019'!$I:$I,'2019'!$E:$E,Category!$B$134,'2019'!$N:$N,Category!I$1,'2019'!$D:$D,Category!$C219)</f>
        <v>0</v>
      </c>
      <c r="J219" s="389">
        <f t="shared" si="86"/>
        <v>0</v>
      </c>
      <c r="K219" s="506">
        <f>IFERROR(VLOOKUP($C219,'2020'!$D:$G,4,0),0)</f>
        <v>0</v>
      </c>
      <c r="L219" s="388">
        <f>SUMIFS('2020'!$I:$I,'2020'!$E:$E,Category!$B$134,'2020'!$N:$N,Category!L$1,'2020'!$D:$D,Category!$C219)</f>
        <v>0</v>
      </c>
      <c r="M219" s="388">
        <f>SUMIFS('2020'!$I:$I,'2020'!$E:$E,Category!$B$134,'2020'!$N:$N,Category!M$1,'2020'!$D:$D,Category!$C219)</f>
        <v>0</v>
      </c>
      <c r="N219" s="388">
        <f>SUMIFS('2020'!$I:$I,'2020'!$E:$E,Category!$B$134,'2020'!$N:$N,Category!N$1,'2020'!$D:$D,Category!$C219)</f>
        <v>0</v>
      </c>
      <c r="O219" s="388">
        <f>SUMIFS('2020'!$I:$I,'2020'!$E:$E,Category!$B$134,'2020'!$N:$N,Category!O$1,'2020'!$D:$D,Category!$C219)</f>
        <v>0</v>
      </c>
      <c r="P219" s="388">
        <f>SUMIFS('2020'!$I:$I,'2020'!$E:$E,Category!$B$134,'2020'!$N:$N,Category!P$1,'2020'!$D:$D,Category!$C219)</f>
        <v>0</v>
      </c>
      <c r="Q219" s="388">
        <f>SUMIFS('2020'!$I:$I,'2020'!$E:$E,Category!$B$134,'2020'!$N:$N,Category!Q$1,'2020'!$D:$D,Category!$C219)</f>
        <v>0</v>
      </c>
      <c r="R219" s="388">
        <f>SUMIFS('2020'!$I:$I,'2020'!$E:$E,Category!$B$134,'2020'!$N:$N,Category!R$1,'2020'!$D:$D,Category!$C219)</f>
        <v>0</v>
      </c>
      <c r="S219" s="388">
        <f>SUMIFS('2020'!$I:$I,'2020'!$E:$E,Category!$B$134,'2020'!$N:$N,Category!S$1,'2020'!$D:$D,Category!$C219)</f>
        <v>0</v>
      </c>
      <c r="T219" s="388">
        <f>SUMIFS('2020'!$I:$I,'2020'!$E:$E,Category!$B$134,'2020'!$N:$N,Category!T$1,'2020'!$D:$D,Category!$C219)</f>
        <v>0</v>
      </c>
      <c r="U219" s="388">
        <f>SUMIFS('2020'!$I:$I,'2020'!$E:$E,Category!$B$134,'2020'!$N:$N,Category!U$1,'2020'!$D:$D,Category!$C219)</f>
        <v>0</v>
      </c>
      <c r="V219" s="388">
        <f>SUMIFS('2020'!$I:$I,'2020'!$E:$E,Category!$B$134,'2020'!$N:$N,Category!V$1,'2020'!$D:$D,Category!$C219)</f>
        <v>0</v>
      </c>
      <c r="W219" s="388">
        <f>SUMIFS('2020'!$I:$I,'2020'!$E:$E,Category!$B$134,'2020'!$N:$N,Category!W$1,'2020'!$D:$D,Category!$C219)</f>
        <v>0</v>
      </c>
      <c r="X219" s="389">
        <f t="shared" si="87"/>
        <v>0</v>
      </c>
      <c r="Y219" s="506">
        <f>IFERROR(VLOOKUP(C219,'2021'!$D:$G,4,0),0)</f>
        <v>0</v>
      </c>
      <c r="Z219" s="388">
        <f>SUMIFS('2021'!$I:$I,'2021'!$E:$E,Category!$B$134,'2021'!$N:$N,Category!Z$1,'2021'!$D:$D,Category!$C219)</f>
        <v>0</v>
      </c>
      <c r="AA219" s="388">
        <f>SUMIFS('2021'!$I:$I,'2021'!$E:$E,Category!$B$134,'2021'!$N:$N,Category!AA$1,'2021'!$D:$D,Category!$C219)</f>
        <v>0</v>
      </c>
      <c r="AB219" s="388">
        <f>SUMIFS('2021'!$I:$I,'2021'!$E:$E,Category!$B$134,'2021'!$N:$N,Category!AB$1,'2021'!$D:$D,Category!$C219)</f>
        <v>0</v>
      </c>
      <c r="AC219" s="388">
        <f>SUMIFS('2021'!$I:$I,'2021'!$E:$E,Category!$B$134,'2021'!$N:$N,Category!AC$1,'2021'!$D:$D,Category!$C219)</f>
        <v>0</v>
      </c>
      <c r="AD219" s="388">
        <f>SUMIFS('2021'!$I:$I,'2021'!$E:$E,Category!$B$134,'2021'!$N:$N,Category!AD$1,'2021'!$D:$D,Category!$C219)</f>
        <v>0</v>
      </c>
      <c r="AE219" s="388">
        <f>SUMIFS('2021'!$I:$I,'2021'!$E:$E,Category!$B$134,'2021'!$N:$N,Category!AE$1,'2021'!$D:$D,Category!$C219)</f>
        <v>0</v>
      </c>
      <c r="AF219" s="388">
        <f>SUMIFS('2021'!$I:$I,'2021'!$E:$E,Category!$B$134,'2021'!$N:$N,Category!AF$1,'2021'!$D:$D,Category!$C219)</f>
        <v>0</v>
      </c>
      <c r="AG219" s="388">
        <f>SUMIFS('2021'!$I:$I,'2021'!$E:$E,Category!$B$134,'2021'!$N:$N,Category!AG$1,'2021'!$D:$D,Category!$C219)</f>
        <v>0</v>
      </c>
      <c r="AH219" s="388">
        <f>SUMIFS('2021'!$I:$I,'2021'!$E:$E,Category!$B$134,'2021'!$N:$N,Category!AH$1,'2021'!$D:$D,Category!$C219)</f>
        <v>0</v>
      </c>
      <c r="AI219" s="388">
        <f>SUMIFS('2021'!$I:$I,'2021'!$E:$E,Category!$B$134,'2021'!$N:$N,Category!AI$1,'2021'!$D:$D,Category!$C219)</f>
        <v>0</v>
      </c>
      <c r="AJ219" s="388">
        <f>SUMIFS('2021'!$I:$I,'2021'!$E:$E,Category!$B$134,'2021'!$N:$N,Category!AJ$1,'2021'!$D:$D,Category!$C219)</f>
        <v>0</v>
      </c>
      <c r="AK219" s="388">
        <f>SUMIFS('2021'!$I:$I,'2021'!$E:$E,Category!$B$134,'2021'!$N:$N,Category!AK$1,'2021'!$D:$D,Category!$C219)</f>
        <v>0</v>
      </c>
      <c r="AL219" s="389">
        <f t="shared" si="88"/>
        <v>0</v>
      </c>
      <c r="AM219" s="506">
        <f>IFERROR(VLOOKUP(C219,'2022'!$D:$G,4,0),0)</f>
        <v>0</v>
      </c>
      <c r="AN219" s="388">
        <f>SUMIFS('2022'!$I:$I,'2022'!$E:$E,Category!$B$134,'2022'!$N:$N,Category!AN$1,'2022'!$D:$D,Category!$C219)</f>
        <v>0</v>
      </c>
      <c r="AO219" s="388">
        <f>SUMIFS('2022'!$I:$I,'2022'!$E:$E,Category!$B$134,'2022'!$N:$N,Category!AO$1,'2022'!$D:$D,Category!$C219)</f>
        <v>0</v>
      </c>
      <c r="AP219" s="388">
        <f>SUMIFS('2022'!$I:$I,'2022'!$E:$E,Category!$B$134,'2022'!$N:$N,Category!AP$1,'2022'!$D:$D,Category!$C219)</f>
        <v>0</v>
      </c>
      <c r="AQ219" s="388">
        <f>SUMIFS('2022'!$I:$I,'2022'!$E:$E,Category!$B$134,'2022'!$N:$N,Category!AQ$1,'2022'!$D:$D,Category!$C219)</f>
        <v>0</v>
      </c>
      <c r="AR219" s="388">
        <f>SUMIFS('2022'!$I:$I,'2022'!$E:$E,Category!$B$134,'2022'!$N:$N,Category!AR$1,'2022'!$D:$D,Category!$C219)</f>
        <v>0</v>
      </c>
      <c r="AS219" s="388">
        <f>SUMIFS('2022'!$I:$I,'2022'!$E:$E,Category!$B$134,'2022'!$N:$N,Category!AS$1,'2022'!$D:$D,Category!$C219)</f>
        <v>0</v>
      </c>
      <c r="AT219" s="388">
        <f>SUMIFS('2022'!$I:$I,'2022'!$E:$E,Category!$B$134,'2022'!$N:$N,Category!AT$1,'2022'!$D:$D,Category!$C219)</f>
        <v>0</v>
      </c>
      <c r="AU219" s="388">
        <f>SUMIFS('2022'!$I:$I,'2022'!$E:$E,Category!$B$134,'2022'!$N:$N,Category!AU$1,'2022'!$D:$D,Category!$C219)</f>
        <v>0</v>
      </c>
      <c r="AV219" s="388">
        <f>SUMIFS('2022'!$I:$I,'2022'!$E:$E,Category!$B$134,'2022'!$N:$N,Category!AV$1,'2022'!$D:$D,Category!$C219)</f>
        <v>0</v>
      </c>
      <c r="AW219" s="388">
        <f>SUMIFS('2022'!$I:$I,'2022'!$E:$E,Category!$B$134,'2022'!$N:$N,Category!AW$1,'2022'!$D:$D,Category!$C219)</f>
        <v>0</v>
      </c>
      <c r="AX219" s="388">
        <f>SUMIFS('2022'!$I:$I,'2022'!$E:$E,Category!$B$134,'2022'!$N:$N,Category!AX$1,'2022'!$D:$D,Category!$C219)</f>
        <v>0</v>
      </c>
      <c r="AY219" s="388">
        <f>SUMIFS('2022'!$I:$I,'2022'!$E:$E,Category!$B$134,'2022'!$N:$N,Category!AY$1,'2022'!$D:$D,Category!$C219)</f>
        <v>0</v>
      </c>
      <c r="AZ219" s="389">
        <f t="shared" si="89"/>
        <v>0</v>
      </c>
      <c r="BA219" s="506">
        <f>IFERROR(VLOOKUP(C219,'2023'!$D:$G,4,0),0)</f>
        <v>0</v>
      </c>
      <c r="BB219" s="388">
        <f>SUMIFS('2023'!$I:$I,'2023'!$E:$E,Category!$B$134,'2023'!$N:$N,Category!BB$1,'2023'!$D:$D,Category!$C219)</f>
        <v>0</v>
      </c>
      <c r="BC219" s="388">
        <f>SUMIFS('2023'!$I:$I,'2023'!$E:$E,Category!$B$134,'2023'!$N:$N,Category!BC$1,'2023'!$D:$D,Category!$C219)</f>
        <v>0</v>
      </c>
      <c r="BD219" s="388">
        <f>SUMIFS('2023'!$I:$I,'2023'!$E:$E,Category!$B$134,'2023'!$N:$N,Category!BD$1,'2023'!$D:$D,Category!$C219)</f>
        <v>0</v>
      </c>
      <c r="BE219" s="388">
        <f>SUMIFS('2023'!$I:$I,'2023'!$E:$E,Category!$B$134,'2023'!$N:$N,Category!BE$1,'2023'!$D:$D,Category!$C219)</f>
        <v>0</v>
      </c>
      <c r="BF219" s="388">
        <f>SUMIFS('2023'!$I:$I,'2023'!$E:$E,Category!$B$134,'2023'!$N:$N,Category!BF$1,'2023'!$D:$D,Category!$C219)</f>
        <v>0</v>
      </c>
      <c r="BG219" s="388">
        <f>SUMIFS('2023'!$I:$I,'2023'!$E:$E,Category!$B$134,'2023'!$N:$N,Category!BG$1,'2023'!$D:$D,Category!$C219)</f>
        <v>0</v>
      </c>
      <c r="BH219" s="388">
        <f>SUMIFS('2023'!$I:$I,'2023'!$E:$E,Category!$B$134,'2023'!$N:$N,Category!BH$1,'2023'!$D:$D,Category!$C219)</f>
        <v>0</v>
      </c>
      <c r="BI219" s="388">
        <f>SUMIFS('2023'!$I:$I,'2023'!$E:$E,Category!$B$134,'2023'!$N:$N,Category!BI$1,'2023'!$D:$D,Category!$C219)</f>
        <v>0</v>
      </c>
      <c r="BJ219" s="388">
        <f>SUMIFS('2023'!$I:$I,'2023'!$E:$E,Category!$B$134,'2023'!$N:$N,Category!BJ$1,'2023'!$D:$D,Category!$C219)</f>
        <v>0</v>
      </c>
      <c r="BK219" s="388">
        <f>SUMIFS('2023'!$I:$I,'2023'!$E:$E,Category!$B$134,'2023'!$N:$N,Category!BK$1,'2023'!$D:$D,Category!$C219)</f>
        <v>0</v>
      </c>
      <c r="BL219" s="388">
        <f>SUMIFS('2023'!$I:$I,'2023'!$E:$E,Category!$B$134,'2023'!$N:$N,Category!BL$1,'2023'!$D:$D,Category!$C219)</f>
        <v>0</v>
      </c>
      <c r="BM219" s="388">
        <f>SUMIFS('2023'!$I:$I,'2023'!$E:$E,Category!$B$134,'2023'!$N:$N,Category!BM$1,'2023'!$D:$D,Category!$C219)</f>
        <v>0</v>
      </c>
      <c r="BN219" s="389">
        <f t="shared" si="90"/>
        <v>0</v>
      </c>
    </row>
    <row r="220" spans="1:66" x14ac:dyDescent="0.3">
      <c r="A220" s="392"/>
      <c r="B220" s="387"/>
      <c r="C220" s="387"/>
      <c r="D220" s="524">
        <f>IFERROR(VLOOKUP($C220,'2019'!$D:$G,4,0),0)</f>
        <v>0</v>
      </c>
      <c r="E220" s="388">
        <f>SUMIFS('2019'!$I:$I,'2019'!$E:$E,Category!$B$134,'2019'!$N:$N,Category!E$1,'2019'!$D:$D,Category!$C220)</f>
        <v>0</v>
      </c>
      <c r="F220" s="388">
        <f>SUMIFS('2019'!$I:$I,'2019'!$E:$E,Category!$B$134,'2019'!$N:$N,Category!F$1,'2019'!$D:$D,Category!$C220)</f>
        <v>0</v>
      </c>
      <c r="G220" s="388">
        <f>SUMIFS('2019'!$I:$I,'2019'!$E:$E,Category!$B$134,'2019'!$N:$N,Category!G$1,'2019'!$D:$D,Category!$C220)</f>
        <v>0</v>
      </c>
      <c r="H220" s="388">
        <f>SUMIFS('2019'!$I:$I,'2019'!$E:$E,Category!$B$134,'2019'!$N:$N,Category!H$1,'2019'!$D:$D,Category!$C220)</f>
        <v>0</v>
      </c>
      <c r="I220" s="388">
        <f>SUMIFS('2019'!$I:$I,'2019'!$E:$E,Category!$B$134,'2019'!$N:$N,Category!I$1,'2019'!$D:$D,Category!$C220)</f>
        <v>0</v>
      </c>
      <c r="J220" s="389">
        <f t="shared" si="86"/>
        <v>0</v>
      </c>
      <c r="K220" s="506">
        <f>IFERROR(VLOOKUP($C220,'2020'!$D:$G,4,0),0)</f>
        <v>0</v>
      </c>
      <c r="L220" s="388">
        <f>SUMIFS('2020'!$I:$I,'2020'!$E:$E,Category!$B$134,'2020'!$N:$N,Category!L$1,'2020'!$D:$D,Category!$C220)</f>
        <v>0</v>
      </c>
      <c r="M220" s="388">
        <f>SUMIFS('2020'!$I:$I,'2020'!$E:$E,Category!$B$134,'2020'!$N:$N,Category!M$1,'2020'!$D:$D,Category!$C220)</f>
        <v>0</v>
      </c>
      <c r="N220" s="388">
        <f>SUMIFS('2020'!$I:$I,'2020'!$E:$E,Category!$B$134,'2020'!$N:$N,Category!N$1,'2020'!$D:$D,Category!$C220)</f>
        <v>0</v>
      </c>
      <c r="O220" s="388">
        <f>SUMIFS('2020'!$I:$I,'2020'!$E:$E,Category!$B$134,'2020'!$N:$N,Category!O$1,'2020'!$D:$D,Category!$C220)</f>
        <v>0</v>
      </c>
      <c r="P220" s="388">
        <f>SUMIFS('2020'!$I:$I,'2020'!$E:$E,Category!$B$134,'2020'!$N:$N,Category!P$1,'2020'!$D:$D,Category!$C220)</f>
        <v>0</v>
      </c>
      <c r="Q220" s="388">
        <f>SUMIFS('2020'!$I:$I,'2020'!$E:$E,Category!$B$134,'2020'!$N:$N,Category!Q$1,'2020'!$D:$D,Category!$C220)</f>
        <v>0</v>
      </c>
      <c r="R220" s="388">
        <f>SUMIFS('2020'!$I:$I,'2020'!$E:$E,Category!$B$134,'2020'!$N:$N,Category!R$1,'2020'!$D:$D,Category!$C220)</f>
        <v>0</v>
      </c>
      <c r="S220" s="388">
        <f>SUMIFS('2020'!$I:$I,'2020'!$E:$E,Category!$B$134,'2020'!$N:$N,Category!S$1,'2020'!$D:$D,Category!$C220)</f>
        <v>0</v>
      </c>
      <c r="T220" s="388">
        <f>SUMIFS('2020'!$I:$I,'2020'!$E:$E,Category!$B$134,'2020'!$N:$N,Category!T$1,'2020'!$D:$D,Category!$C220)</f>
        <v>0</v>
      </c>
      <c r="U220" s="388">
        <f>SUMIFS('2020'!$I:$I,'2020'!$E:$E,Category!$B$134,'2020'!$N:$N,Category!U$1,'2020'!$D:$D,Category!$C220)</f>
        <v>0</v>
      </c>
      <c r="V220" s="388">
        <f>SUMIFS('2020'!$I:$I,'2020'!$E:$E,Category!$B$134,'2020'!$N:$N,Category!V$1,'2020'!$D:$D,Category!$C220)</f>
        <v>0</v>
      </c>
      <c r="W220" s="388">
        <f>SUMIFS('2020'!$I:$I,'2020'!$E:$E,Category!$B$134,'2020'!$N:$N,Category!W$1,'2020'!$D:$D,Category!$C220)</f>
        <v>0</v>
      </c>
      <c r="X220" s="389">
        <f t="shared" si="87"/>
        <v>0</v>
      </c>
      <c r="Y220" s="506">
        <f>IFERROR(VLOOKUP(C220,'2021'!$D:$G,4,0),0)</f>
        <v>0</v>
      </c>
      <c r="Z220" s="388">
        <f>SUMIFS('2021'!$I:$I,'2021'!$E:$E,Category!$B$134,'2021'!$N:$N,Category!Z$1,'2021'!$D:$D,Category!$C220)</f>
        <v>0</v>
      </c>
      <c r="AA220" s="388">
        <f>SUMIFS('2021'!$I:$I,'2021'!$E:$E,Category!$B$134,'2021'!$N:$N,Category!AA$1,'2021'!$D:$D,Category!$C220)</f>
        <v>0</v>
      </c>
      <c r="AB220" s="388">
        <f>SUMIFS('2021'!$I:$I,'2021'!$E:$E,Category!$B$134,'2021'!$N:$N,Category!AB$1,'2021'!$D:$D,Category!$C220)</f>
        <v>0</v>
      </c>
      <c r="AC220" s="388">
        <f>SUMIFS('2021'!$I:$I,'2021'!$E:$E,Category!$B$134,'2021'!$N:$N,Category!AC$1,'2021'!$D:$D,Category!$C220)</f>
        <v>0</v>
      </c>
      <c r="AD220" s="388">
        <f>SUMIFS('2021'!$I:$I,'2021'!$E:$E,Category!$B$134,'2021'!$N:$N,Category!AD$1,'2021'!$D:$D,Category!$C220)</f>
        <v>0</v>
      </c>
      <c r="AE220" s="388">
        <f>SUMIFS('2021'!$I:$I,'2021'!$E:$E,Category!$B$134,'2021'!$N:$N,Category!AE$1,'2021'!$D:$D,Category!$C220)</f>
        <v>0</v>
      </c>
      <c r="AF220" s="388">
        <f>SUMIFS('2021'!$I:$I,'2021'!$E:$E,Category!$B$134,'2021'!$N:$N,Category!AF$1,'2021'!$D:$D,Category!$C220)</f>
        <v>0</v>
      </c>
      <c r="AG220" s="388">
        <f>SUMIFS('2021'!$I:$I,'2021'!$E:$E,Category!$B$134,'2021'!$N:$N,Category!AG$1,'2021'!$D:$D,Category!$C220)</f>
        <v>0</v>
      </c>
      <c r="AH220" s="388">
        <f>SUMIFS('2021'!$I:$I,'2021'!$E:$E,Category!$B$134,'2021'!$N:$N,Category!AH$1,'2021'!$D:$D,Category!$C220)</f>
        <v>0</v>
      </c>
      <c r="AI220" s="388">
        <f>SUMIFS('2021'!$I:$I,'2021'!$E:$E,Category!$B$134,'2021'!$N:$N,Category!AI$1,'2021'!$D:$D,Category!$C220)</f>
        <v>0</v>
      </c>
      <c r="AJ220" s="388">
        <f>SUMIFS('2021'!$I:$I,'2021'!$E:$E,Category!$B$134,'2021'!$N:$N,Category!AJ$1,'2021'!$D:$D,Category!$C220)</f>
        <v>0</v>
      </c>
      <c r="AK220" s="388">
        <f>SUMIFS('2021'!$I:$I,'2021'!$E:$E,Category!$B$134,'2021'!$N:$N,Category!AK$1,'2021'!$D:$D,Category!$C220)</f>
        <v>0</v>
      </c>
      <c r="AL220" s="389">
        <f t="shared" si="88"/>
        <v>0</v>
      </c>
      <c r="AM220" s="506">
        <f>IFERROR(VLOOKUP(C220,'2022'!$D:$G,4,0),0)</f>
        <v>0</v>
      </c>
      <c r="AN220" s="388">
        <f>SUMIFS('2022'!$I:$I,'2022'!$E:$E,Category!$B$134,'2022'!$N:$N,Category!AN$1,'2022'!$D:$D,Category!$C220)</f>
        <v>0</v>
      </c>
      <c r="AO220" s="388">
        <f>SUMIFS('2022'!$I:$I,'2022'!$E:$E,Category!$B$134,'2022'!$N:$N,Category!AO$1,'2022'!$D:$D,Category!$C220)</f>
        <v>0</v>
      </c>
      <c r="AP220" s="388">
        <f>SUMIFS('2022'!$I:$I,'2022'!$E:$E,Category!$B$134,'2022'!$N:$N,Category!AP$1,'2022'!$D:$D,Category!$C220)</f>
        <v>0</v>
      </c>
      <c r="AQ220" s="388">
        <f>SUMIFS('2022'!$I:$I,'2022'!$E:$E,Category!$B$134,'2022'!$N:$N,Category!AQ$1,'2022'!$D:$D,Category!$C220)</f>
        <v>0</v>
      </c>
      <c r="AR220" s="388">
        <f>SUMIFS('2022'!$I:$I,'2022'!$E:$E,Category!$B$134,'2022'!$N:$N,Category!AR$1,'2022'!$D:$D,Category!$C220)</f>
        <v>0</v>
      </c>
      <c r="AS220" s="388">
        <f>SUMIFS('2022'!$I:$I,'2022'!$E:$E,Category!$B$134,'2022'!$N:$N,Category!AS$1,'2022'!$D:$D,Category!$C220)</f>
        <v>0</v>
      </c>
      <c r="AT220" s="388">
        <f>SUMIFS('2022'!$I:$I,'2022'!$E:$E,Category!$B$134,'2022'!$N:$N,Category!AT$1,'2022'!$D:$D,Category!$C220)</f>
        <v>0</v>
      </c>
      <c r="AU220" s="388">
        <f>SUMIFS('2022'!$I:$I,'2022'!$E:$E,Category!$B$134,'2022'!$N:$N,Category!AU$1,'2022'!$D:$D,Category!$C220)</f>
        <v>0</v>
      </c>
      <c r="AV220" s="388">
        <f>SUMIFS('2022'!$I:$I,'2022'!$E:$E,Category!$B$134,'2022'!$N:$N,Category!AV$1,'2022'!$D:$D,Category!$C220)</f>
        <v>0</v>
      </c>
      <c r="AW220" s="388">
        <f>SUMIFS('2022'!$I:$I,'2022'!$E:$E,Category!$B$134,'2022'!$N:$N,Category!AW$1,'2022'!$D:$D,Category!$C220)</f>
        <v>0</v>
      </c>
      <c r="AX220" s="388">
        <f>SUMIFS('2022'!$I:$I,'2022'!$E:$E,Category!$B$134,'2022'!$N:$N,Category!AX$1,'2022'!$D:$D,Category!$C220)</f>
        <v>0</v>
      </c>
      <c r="AY220" s="388">
        <f>SUMIFS('2022'!$I:$I,'2022'!$E:$E,Category!$B$134,'2022'!$N:$N,Category!AY$1,'2022'!$D:$D,Category!$C220)</f>
        <v>0</v>
      </c>
      <c r="AZ220" s="389">
        <f t="shared" si="89"/>
        <v>0</v>
      </c>
      <c r="BA220" s="506">
        <f>IFERROR(VLOOKUP(C220,'2023'!$D:$G,4,0),0)</f>
        <v>0</v>
      </c>
      <c r="BB220" s="388">
        <f>SUMIFS('2023'!$I:$I,'2023'!$E:$E,Category!$B$134,'2023'!$N:$N,Category!BB$1,'2023'!$D:$D,Category!$C220)</f>
        <v>0</v>
      </c>
      <c r="BC220" s="388">
        <f>SUMIFS('2023'!$I:$I,'2023'!$E:$E,Category!$B$134,'2023'!$N:$N,Category!BC$1,'2023'!$D:$D,Category!$C220)</f>
        <v>0</v>
      </c>
      <c r="BD220" s="388">
        <f>SUMIFS('2023'!$I:$I,'2023'!$E:$E,Category!$B$134,'2023'!$N:$N,Category!BD$1,'2023'!$D:$D,Category!$C220)</f>
        <v>0</v>
      </c>
      <c r="BE220" s="388">
        <f>SUMIFS('2023'!$I:$I,'2023'!$E:$E,Category!$B$134,'2023'!$N:$N,Category!BE$1,'2023'!$D:$D,Category!$C220)</f>
        <v>0</v>
      </c>
      <c r="BF220" s="388">
        <f>SUMIFS('2023'!$I:$I,'2023'!$E:$E,Category!$B$134,'2023'!$N:$N,Category!BF$1,'2023'!$D:$D,Category!$C220)</f>
        <v>0</v>
      </c>
      <c r="BG220" s="388">
        <f>SUMIFS('2023'!$I:$I,'2023'!$E:$E,Category!$B$134,'2023'!$N:$N,Category!BG$1,'2023'!$D:$D,Category!$C220)</f>
        <v>0</v>
      </c>
      <c r="BH220" s="388">
        <f>SUMIFS('2023'!$I:$I,'2023'!$E:$E,Category!$B$134,'2023'!$N:$N,Category!BH$1,'2023'!$D:$D,Category!$C220)</f>
        <v>0</v>
      </c>
      <c r="BI220" s="388">
        <f>SUMIFS('2023'!$I:$I,'2023'!$E:$E,Category!$B$134,'2023'!$N:$N,Category!BI$1,'2023'!$D:$D,Category!$C220)</f>
        <v>0</v>
      </c>
      <c r="BJ220" s="388">
        <f>SUMIFS('2023'!$I:$I,'2023'!$E:$E,Category!$B$134,'2023'!$N:$N,Category!BJ$1,'2023'!$D:$D,Category!$C220)</f>
        <v>0</v>
      </c>
      <c r="BK220" s="388">
        <f>SUMIFS('2023'!$I:$I,'2023'!$E:$E,Category!$B$134,'2023'!$N:$N,Category!BK$1,'2023'!$D:$D,Category!$C220)</f>
        <v>0</v>
      </c>
      <c r="BL220" s="388">
        <f>SUMIFS('2023'!$I:$I,'2023'!$E:$E,Category!$B$134,'2023'!$N:$N,Category!BL$1,'2023'!$D:$D,Category!$C220)</f>
        <v>0</v>
      </c>
      <c r="BM220" s="388">
        <f>SUMIFS('2023'!$I:$I,'2023'!$E:$E,Category!$B$134,'2023'!$N:$N,Category!BM$1,'2023'!$D:$D,Category!$C220)</f>
        <v>0</v>
      </c>
      <c r="BN220" s="389">
        <f t="shared" si="90"/>
        <v>0</v>
      </c>
    </row>
    <row r="221" spans="1:66" x14ac:dyDescent="0.3">
      <c r="A221" s="392"/>
      <c r="B221" s="387"/>
      <c r="C221" s="387"/>
      <c r="D221" s="524">
        <f>IFERROR(VLOOKUP($C221,'2019'!$D:$G,4,0),0)</f>
        <v>0</v>
      </c>
      <c r="E221" s="388">
        <f>SUMIFS('2019'!$I:$I,'2019'!$E:$E,Category!$B$134,'2019'!$N:$N,Category!E$1,'2019'!$D:$D,Category!$C221)</f>
        <v>0</v>
      </c>
      <c r="F221" s="388">
        <f>SUMIFS('2019'!$I:$I,'2019'!$E:$E,Category!$B$134,'2019'!$N:$N,Category!F$1,'2019'!$D:$D,Category!$C221)</f>
        <v>0</v>
      </c>
      <c r="G221" s="388">
        <f>SUMIFS('2019'!$I:$I,'2019'!$E:$E,Category!$B$134,'2019'!$N:$N,Category!G$1,'2019'!$D:$D,Category!$C221)</f>
        <v>0</v>
      </c>
      <c r="H221" s="388">
        <f>SUMIFS('2019'!$I:$I,'2019'!$E:$E,Category!$B$134,'2019'!$N:$N,Category!H$1,'2019'!$D:$D,Category!$C221)</f>
        <v>0</v>
      </c>
      <c r="I221" s="388">
        <f>SUMIFS('2019'!$I:$I,'2019'!$E:$E,Category!$B$134,'2019'!$N:$N,Category!I$1,'2019'!$D:$D,Category!$C221)</f>
        <v>0</v>
      </c>
      <c r="J221" s="389">
        <f t="shared" si="86"/>
        <v>0</v>
      </c>
      <c r="K221" s="506">
        <f>IFERROR(VLOOKUP($C221,'2020'!$D:$G,4,0),0)</f>
        <v>0</v>
      </c>
      <c r="L221" s="388">
        <f>SUMIFS('2020'!$I:$I,'2020'!$E:$E,Category!$B$134,'2020'!$N:$N,Category!L$1,'2020'!$D:$D,Category!$C221)</f>
        <v>0</v>
      </c>
      <c r="M221" s="388">
        <f>SUMIFS('2020'!$I:$I,'2020'!$E:$E,Category!$B$134,'2020'!$N:$N,Category!M$1,'2020'!$D:$D,Category!$C221)</f>
        <v>0</v>
      </c>
      <c r="N221" s="388">
        <f>SUMIFS('2020'!$I:$I,'2020'!$E:$E,Category!$B$134,'2020'!$N:$N,Category!N$1,'2020'!$D:$D,Category!$C221)</f>
        <v>0</v>
      </c>
      <c r="O221" s="388">
        <f>SUMIFS('2020'!$I:$I,'2020'!$E:$E,Category!$B$134,'2020'!$N:$N,Category!O$1,'2020'!$D:$D,Category!$C221)</f>
        <v>0</v>
      </c>
      <c r="P221" s="388">
        <f>SUMIFS('2020'!$I:$I,'2020'!$E:$E,Category!$B$134,'2020'!$N:$N,Category!P$1,'2020'!$D:$D,Category!$C221)</f>
        <v>0</v>
      </c>
      <c r="Q221" s="388">
        <f>SUMIFS('2020'!$I:$I,'2020'!$E:$E,Category!$B$134,'2020'!$N:$N,Category!Q$1,'2020'!$D:$D,Category!$C221)</f>
        <v>0</v>
      </c>
      <c r="R221" s="388">
        <f>SUMIFS('2020'!$I:$I,'2020'!$E:$E,Category!$B$134,'2020'!$N:$N,Category!R$1,'2020'!$D:$D,Category!$C221)</f>
        <v>0</v>
      </c>
      <c r="S221" s="388">
        <f>SUMIFS('2020'!$I:$I,'2020'!$E:$E,Category!$B$134,'2020'!$N:$N,Category!S$1,'2020'!$D:$D,Category!$C221)</f>
        <v>0</v>
      </c>
      <c r="T221" s="388">
        <f>SUMIFS('2020'!$I:$I,'2020'!$E:$E,Category!$B$134,'2020'!$N:$N,Category!T$1,'2020'!$D:$D,Category!$C221)</f>
        <v>0</v>
      </c>
      <c r="U221" s="388">
        <f>SUMIFS('2020'!$I:$I,'2020'!$E:$E,Category!$B$134,'2020'!$N:$N,Category!U$1,'2020'!$D:$D,Category!$C221)</f>
        <v>0</v>
      </c>
      <c r="V221" s="388">
        <f>SUMIFS('2020'!$I:$I,'2020'!$E:$E,Category!$B$134,'2020'!$N:$N,Category!V$1,'2020'!$D:$D,Category!$C221)</f>
        <v>0</v>
      </c>
      <c r="W221" s="388">
        <f>SUMIFS('2020'!$I:$I,'2020'!$E:$E,Category!$B$134,'2020'!$N:$N,Category!W$1,'2020'!$D:$D,Category!$C221)</f>
        <v>0</v>
      </c>
      <c r="X221" s="389">
        <f t="shared" si="87"/>
        <v>0</v>
      </c>
      <c r="Y221" s="506">
        <f>IFERROR(VLOOKUP(C221,'2021'!$D:$G,4,0),0)</f>
        <v>0</v>
      </c>
      <c r="Z221" s="388">
        <f>SUMIFS('2021'!$I:$I,'2021'!$E:$E,Category!$B$134,'2021'!$N:$N,Category!Z$1,'2021'!$D:$D,Category!$C221)</f>
        <v>0</v>
      </c>
      <c r="AA221" s="388">
        <f>SUMIFS('2021'!$I:$I,'2021'!$E:$E,Category!$B$134,'2021'!$N:$N,Category!AA$1,'2021'!$D:$D,Category!$C221)</f>
        <v>0</v>
      </c>
      <c r="AB221" s="388">
        <f>SUMIFS('2021'!$I:$I,'2021'!$E:$E,Category!$B$134,'2021'!$N:$N,Category!AB$1,'2021'!$D:$D,Category!$C221)</f>
        <v>0</v>
      </c>
      <c r="AC221" s="388">
        <f>SUMIFS('2021'!$I:$I,'2021'!$E:$E,Category!$B$134,'2021'!$N:$N,Category!AC$1,'2021'!$D:$D,Category!$C221)</f>
        <v>0</v>
      </c>
      <c r="AD221" s="388">
        <f>SUMIFS('2021'!$I:$I,'2021'!$E:$E,Category!$B$134,'2021'!$N:$N,Category!AD$1,'2021'!$D:$D,Category!$C221)</f>
        <v>0</v>
      </c>
      <c r="AE221" s="388">
        <f>SUMIFS('2021'!$I:$I,'2021'!$E:$E,Category!$B$134,'2021'!$N:$N,Category!AE$1,'2021'!$D:$D,Category!$C221)</f>
        <v>0</v>
      </c>
      <c r="AF221" s="388">
        <f>SUMIFS('2021'!$I:$I,'2021'!$E:$E,Category!$B$134,'2021'!$N:$N,Category!AF$1,'2021'!$D:$D,Category!$C221)</f>
        <v>0</v>
      </c>
      <c r="AG221" s="388">
        <f>SUMIFS('2021'!$I:$I,'2021'!$E:$E,Category!$B$134,'2021'!$N:$N,Category!AG$1,'2021'!$D:$D,Category!$C221)</f>
        <v>0</v>
      </c>
      <c r="AH221" s="388">
        <f>SUMIFS('2021'!$I:$I,'2021'!$E:$E,Category!$B$134,'2021'!$N:$N,Category!AH$1,'2021'!$D:$D,Category!$C221)</f>
        <v>0</v>
      </c>
      <c r="AI221" s="388">
        <f>SUMIFS('2021'!$I:$I,'2021'!$E:$E,Category!$B$134,'2021'!$N:$N,Category!AI$1,'2021'!$D:$D,Category!$C221)</f>
        <v>0</v>
      </c>
      <c r="AJ221" s="388">
        <f>SUMIFS('2021'!$I:$I,'2021'!$E:$E,Category!$B$134,'2021'!$N:$N,Category!AJ$1,'2021'!$D:$D,Category!$C221)</f>
        <v>0</v>
      </c>
      <c r="AK221" s="388">
        <f>SUMIFS('2021'!$I:$I,'2021'!$E:$E,Category!$B$134,'2021'!$N:$N,Category!AK$1,'2021'!$D:$D,Category!$C221)</f>
        <v>0</v>
      </c>
      <c r="AL221" s="389">
        <f t="shared" si="88"/>
        <v>0</v>
      </c>
      <c r="AM221" s="506">
        <f>IFERROR(VLOOKUP(C221,'2022'!$D:$G,4,0),0)</f>
        <v>0</v>
      </c>
      <c r="AN221" s="388">
        <f>SUMIFS('2022'!$I:$I,'2022'!$E:$E,Category!$B$134,'2022'!$N:$N,Category!AN$1,'2022'!$D:$D,Category!$C221)</f>
        <v>0</v>
      </c>
      <c r="AO221" s="388">
        <f>SUMIFS('2022'!$I:$I,'2022'!$E:$E,Category!$B$134,'2022'!$N:$N,Category!AO$1,'2022'!$D:$D,Category!$C221)</f>
        <v>0</v>
      </c>
      <c r="AP221" s="388">
        <f>SUMIFS('2022'!$I:$I,'2022'!$E:$E,Category!$B$134,'2022'!$N:$N,Category!AP$1,'2022'!$D:$D,Category!$C221)</f>
        <v>0</v>
      </c>
      <c r="AQ221" s="388">
        <f>SUMIFS('2022'!$I:$I,'2022'!$E:$E,Category!$B$134,'2022'!$N:$N,Category!AQ$1,'2022'!$D:$D,Category!$C221)</f>
        <v>0</v>
      </c>
      <c r="AR221" s="388">
        <f>SUMIFS('2022'!$I:$I,'2022'!$E:$E,Category!$B$134,'2022'!$N:$N,Category!AR$1,'2022'!$D:$D,Category!$C221)</f>
        <v>0</v>
      </c>
      <c r="AS221" s="388">
        <f>SUMIFS('2022'!$I:$I,'2022'!$E:$E,Category!$B$134,'2022'!$N:$N,Category!AS$1,'2022'!$D:$D,Category!$C221)</f>
        <v>0</v>
      </c>
      <c r="AT221" s="388">
        <f>SUMIFS('2022'!$I:$I,'2022'!$E:$E,Category!$B$134,'2022'!$N:$N,Category!AT$1,'2022'!$D:$D,Category!$C221)</f>
        <v>0</v>
      </c>
      <c r="AU221" s="388">
        <f>SUMIFS('2022'!$I:$I,'2022'!$E:$E,Category!$B$134,'2022'!$N:$N,Category!AU$1,'2022'!$D:$D,Category!$C221)</f>
        <v>0</v>
      </c>
      <c r="AV221" s="388">
        <f>SUMIFS('2022'!$I:$I,'2022'!$E:$E,Category!$B$134,'2022'!$N:$N,Category!AV$1,'2022'!$D:$D,Category!$C221)</f>
        <v>0</v>
      </c>
      <c r="AW221" s="388">
        <f>SUMIFS('2022'!$I:$I,'2022'!$E:$E,Category!$B$134,'2022'!$N:$N,Category!AW$1,'2022'!$D:$D,Category!$C221)</f>
        <v>0</v>
      </c>
      <c r="AX221" s="388">
        <f>SUMIFS('2022'!$I:$I,'2022'!$E:$E,Category!$B$134,'2022'!$N:$N,Category!AX$1,'2022'!$D:$D,Category!$C221)</f>
        <v>0</v>
      </c>
      <c r="AY221" s="388">
        <f>SUMIFS('2022'!$I:$I,'2022'!$E:$E,Category!$B$134,'2022'!$N:$N,Category!AY$1,'2022'!$D:$D,Category!$C221)</f>
        <v>0</v>
      </c>
      <c r="AZ221" s="389">
        <f t="shared" si="89"/>
        <v>0</v>
      </c>
      <c r="BA221" s="506">
        <f>IFERROR(VLOOKUP(C221,'2023'!$D:$G,4,0),0)</f>
        <v>0</v>
      </c>
      <c r="BB221" s="388">
        <f>SUMIFS('2023'!$I:$I,'2023'!$E:$E,Category!$B$134,'2023'!$N:$N,Category!BB$1,'2023'!$D:$D,Category!$C221)</f>
        <v>0</v>
      </c>
      <c r="BC221" s="388">
        <f>SUMIFS('2023'!$I:$I,'2023'!$E:$E,Category!$B$134,'2023'!$N:$N,Category!BC$1,'2023'!$D:$D,Category!$C221)</f>
        <v>0</v>
      </c>
      <c r="BD221" s="388">
        <f>SUMIFS('2023'!$I:$I,'2023'!$E:$E,Category!$B$134,'2023'!$N:$N,Category!BD$1,'2023'!$D:$D,Category!$C221)</f>
        <v>0</v>
      </c>
      <c r="BE221" s="388">
        <f>SUMIFS('2023'!$I:$I,'2023'!$E:$E,Category!$B$134,'2023'!$N:$N,Category!BE$1,'2023'!$D:$D,Category!$C221)</f>
        <v>0</v>
      </c>
      <c r="BF221" s="388">
        <f>SUMIFS('2023'!$I:$I,'2023'!$E:$E,Category!$B$134,'2023'!$N:$N,Category!BF$1,'2023'!$D:$D,Category!$C221)</f>
        <v>0</v>
      </c>
      <c r="BG221" s="388">
        <f>SUMIFS('2023'!$I:$I,'2023'!$E:$E,Category!$B$134,'2023'!$N:$N,Category!BG$1,'2023'!$D:$D,Category!$C221)</f>
        <v>0</v>
      </c>
      <c r="BH221" s="388">
        <f>SUMIFS('2023'!$I:$I,'2023'!$E:$E,Category!$B$134,'2023'!$N:$N,Category!BH$1,'2023'!$D:$D,Category!$C221)</f>
        <v>0</v>
      </c>
      <c r="BI221" s="388">
        <f>SUMIFS('2023'!$I:$I,'2023'!$E:$E,Category!$B$134,'2023'!$N:$N,Category!BI$1,'2023'!$D:$D,Category!$C221)</f>
        <v>0</v>
      </c>
      <c r="BJ221" s="388">
        <f>SUMIFS('2023'!$I:$I,'2023'!$E:$E,Category!$B$134,'2023'!$N:$N,Category!BJ$1,'2023'!$D:$D,Category!$C221)</f>
        <v>0</v>
      </c>
      <c r="BK221" s="388">
        <f>SUMIFS('2023'!$I:$I,'2023'!$E:$E,Category!$B$134,'2023'!$N:$N,Category!BK$1,'2023'!$D:$D,Category!$C221)</f>
        <v>0</v>
      </c>
      <c r="BL221" s="388">
        <f>SUMIFS('2023'!$I:$I,'2023'!$E:$E,Category!$B$134,'2023'!$N:$N,Category!BL$1,'2023'!$D:$D,Category!$C221)</f>
        <v>0</v>
      </c>
      <c r="BM221" s="388">
        <f>SUMIFS('2023'!$I:$I,'2023'!$E:$E,Category!$B$134,'2023'!$N:$N,Category!BM$1,'2023'!$D:$D,Category!$C221)</f>
        <v>0</v>
      </c>
      <c r="BN221" s="389">
        <f t="shared" si="90"/>
        <v>0</v>
      </c>
    </row>
    <row r="222" spans="1:66" x14ac:dyDescent="0.3">
      <c r="A222" s="392"/>
      <c r="B222" s="387"/>
      <c r="C222" s="387"/>
      <c r="D222" s="524">
        <f>IFERROR(VLOOKUP($C222,'2019'!$D:$G,4,0),0)</f>
        <v>0</v>
      </c>
      <c r="E222" s="388">
        <f>SUMIFS('2019'!$I:$I,'2019'!$E:$E,Category!$B$134,'2019'!$N:$N,Category!E$1,'2019'!$D:$D,Category!$C222)</f>
        <v>0</v>
      </c>
      <c r="F222" s="388">
        <f>SUMIFS('2019'!$I:$I,'2019'!$E:$E,Category!$B$134,'2019'!$N:$N,Category!F$1,'2019'!$D:$D,Category!$C222)</f>
        <v>0</v>
      </c>
      <c r="G222" s="388">
        <f>SUMIFS('2019'!$I:$I,'2019'!$E:$E,Category!$B$134,'2019'!$N:$N,Category!G$1,'2019'!$D:$D,Category!$C222)</f>
        <v>0</v>
      </c>
      <c r="H222" s="388">
        <f>SUMIFS('2019'!$I:$I,'2019'!$E:$E,Category!$B$134,'2019'!$N:$N,Category!H$1,'2019'!$D:$D,Category!$C222)</f>
        <v>0</v>
      </c>
      <c r="I222" s="388">
        <f>SUMIFS('2019'!$I:$I,'2019'!$E:$E,Category!$B$134,'2019'!$N:$N,Category!I$1,'2019'!$D:$D,Category!$C222)</f>
        <v>0</v>
      </c>
      <c r="J222" s="389">
        <f t="shared" si="86"/>
        <v>0</v>
      </c>
      <c r="K222" s="506">
        <f>IFERROR(VLOOKUP($C222,'2020'!$D:$G,4,0),0)</f>
        <v>0</v>
      </c>
      <c r="L222" s="388">
        <f>SUMIFS('2020'!$I:$I,'2020'!$E:$E,Category!$B$134,'2020'!$N:$N,Category!L$1,'2020'!$D:$D,Category!$C222)</f>
        <v>0</v>
      </c>
      <c r="M222" s="388">
        <f>SUMIFS('2020'!$I:$I,'2020'!$E:$E,Category!$B$134,'2020'!$N:$N,Category!M$1,'2020'!$D:$D,Category!$C222)</f>
        <v>0</v>
      </c>
      <c r="N222" s="388">
        <f>SUMIFS('2020'!$I:$I,'2020'!$E:$E,Category!$B$134,'2020'!$N:$N,Category!N$1,'2020'!$D:$D,Category!$C222)</f>
        <v>0</v>
      </c>
      <c r="O222" s="388">
        <f>SUMIFS('2020'!$I:$I,'2020'!$E:$E,Category!$B$134,'2020'!$N:$N,Category!O$1,'2020'!$D:$D,Category!$C222)</f>
        <v>0</v>
      </c>
      <c r="P222" s="388">
        <f>SUMIFS('2020'!$I:$I,'2020'!$E:$E,Category!$B$134,'2020'!$N:$N,Category!P$1,'2020'!$D:$D,Category!$C222)</f>
        <v>0</v>
      </c>
      <c r="Q222" s="388">
        <f>SUMIFS('2020'!$I:$I,'2020'!$E:$E,Category!$B$134,'2020'!$N:$N,Category!Q$1,'2020'!$D:$D,Category!$C222)</f>
        <v>0</v>
      </c>
      <c r="R222" s="388">
        <f>SUMIFS('2020'!$I:$I,'2020'!$E:$E,Category!$B$134,'2020'!$N:$N,Category!R$1,'2020'!$D:$D,Category!$C222)</f>
        <v>0</v>
      </c>
      <c r="S222" s="388">
        <f>SUMIFS('2020'!$I:$I,'2020'!$E:$E,Category!$B$134,'2020'!$N:$N,Category!S$1,'2020'!$D:$D,Category!$C222)</f>
        <v>0</v>
      </c>
      <c r="T222" s="388">
        <f>SUMIFS('2020'!$I:$I,'2020'!$E:$E,Category!$B$134,'2020'!$N:$N,Category!T$1,'2020'!$D:$D,Category!$C222)</f>
        <v>0</v>
      </c>
      <c r="U222" s="388">
        <f>SUMIFS('2020'!$I:$I,'2020'!$E:$E,Category!$B$134,'2020'!$N:$N,Category!U$1,'2020'!$D:$D,Category!$C222)</f>
        <v>0</v>
      </c>
      <c r="V222" s="388">
        <f>SUMIFS('2020'!$I:$I,'2020'!$E:$E,Category!$B$134,'2020'!$N:$N,Category!V$1,'2020'!$D:$D,Category!$C222)</f>
        <v>0</v>
      </c>
      <c r="W222" s="388">
        <f>SUMIFS('2020'!$I:$I,'2020'!$E:$E,Category!$B$134,'2020'!$N:$N,Category!W$1,'2020'!$D:$D,Category!$C222)</f>
        <v>0</v>
      </c>
      <c r="X222" s="389">
        <f t="shared" si="87"/>
        <v>0</v>
      </c>
      <c r="Y222" s="506">
        <f>IFERROR(VLOOKUP(C222,'2021'!$D:$G,4,0),0)</f>
        <v>0</v>
      </c>
      <c r="Z222" s="388">
        <f>SUMIFS('2021'!$I:$I,'2021'!$E:$E,Category!$B$134,'2021'!$N:$N,Category!Z$1,'2021'!$D:$D,Category!$C222)</f>
        <v>0</v>
      </c>
      <c r="AA222" s="388">
        <f>SUMIFS('2021'!$I:$I,'2021'!$E:$E,Category!$B$134,'2021'!$N:$N,Category!AA$1,'2021'!$D:$D,Category!$C222)</f>
        <v>0</v>
      </c>
      <c r="AB222" s="388">
        <f>SUMIFS('2021'!$I:$I,'2021'!$E:$E,Category!$B$134,'2021'!$N:$N,Category!AB$1,'2021'!$D:$D,Category!$C222)</f>
        <v>0</v>
      </c>
      <c r="AC222" s="388">
        <f>SUMIFS('2021'!$I:$I,'2021'!$E:$E,Category!$B$134,'2021'!$N:$N,Category!AC$1,'2021'!$D:$D,Category!$C222)</f>
        <v>0</v>
      </c>
      <c r="AD222" s="388">
        <f>SUMIFS('2021'!$I:$I,'2021'!$E:$E,Category!$B$134,'2021'!$N:$N,Category!AD$1,'2021'!$D:$D,Category!$C222)</f>
        <v>0</v>
      </c>
      <c r="AE222" s="388">
        <f>SUMIFS('2021'!$I:$I,'2021'!$E:$E,Category!$B$134,'2021'!$N:$N,Category!AE$1,'2021'!$D:$D,Category!$C222)</f>
        <v>0</v>
      </c>
      <c r="AF222" s="388">
        <f>SUMIFS('2021'!$I:$I,'2021'!$E:$E,Category!$B$134,'2021'!$N:$N,Category!AF$1,'2021'!$D:$D,Category!$C222)</f>
        <v>0</v>
      </c>
      <c r="AG222" s="388">
        <f>SUMIFS('2021'!$I:$I,'2021'!$E:$E,Category!$B$134,'2021'!$N:$N,Category!AG$1,'2021'!$D:$D,Category!$C222)</f>
        <v>0</v>
      </c>
      <c r="AH222" s="388">
        <f>SUMIFS('2021'!$I:$I,'2021'!$E:$E,Category!$B$134,'2021'!$N:$N,Category!AH$1,'2021'!$D:$D,Category!$C222)</f>
        <v>0</v>
      </c>
      <c r="AI222" s="388">
        <f>SUMIFS('2021'!$I:$I,'2021'!$E:$E,Category!$B$134,'2021'!$N:$N,Category!AI$1,'2021'!$D:$D,Category!$C222)</f>
        <v>0</v>
      </c>
      <c r="AJ222" s="388">
        <f>SUMIFS('2021'!$I:$I,'2021'!$E:$E,Category!$B$134,'2021'!$N:$N,Category!AJ$1,'2021'!$D:$D,Category!$C222)</f>
        <v>0</v>
      </c>
      <c r="AK222" s="388">
        <f>SUMIFS('2021'!$I:$I,'2021'!$E:$E,Category!$B$134,'2021'!$N:$N,Category!AK$1,'2021'!$D:$D,Category!$C222)</f>
        <v>0</v>
      </c>
      <c r="AL222" s="389">
        <f t="shared" si="88"/>
        <v>0</v>
      </c>
      <c r="AM222" s="506">
        <f>IFERROR(VLOOKUP(C222,'2022'!$D:$G,4,0),0)</f>
        <v>0</v>
      </c>
      <c r="AN222" s="388">
        <f>SUMIFS('2022'!$I:$I,'2022'!$E:$E,Category!$B$134,'2022'!$N:$N,Category!AN$1,'2022'!$D:$D,Category!$C222)</f>
        <v>0</v>
      </c>
      <c r="AO222" s="388">
        <f>SUMIFS('2022'!$I:$I,'2022'!$E:$E,Category!$B$134,'2022'!$N:$N,Category!AO$1,'2022'!$D:$D,Category!$C222)</f>
        <v>0</v>
      </c>
      <c r="AP222" s="388">
        <f>SUMIFS('2022'!$I:$I,'2022'!$E:$E,Category!$B$134,'2022'!$N:$N,Category!AP$1,'2022'!$D:$D,Category!$C222)</f>
        <v>0</v>
      </c>
      <c r="AQ222" s="388">
        <f>SUMIFS('2022'!$I:$I,'2022'!$E:$E,Category!$B$134,'2022'!$N:$N,Category!AQ$1,'2022'!$D:$D,Category!$C222)</f>
        <v>0</v>
      </c>
      <c r="AR222" s="388">
        <f>SUMIFS('2022'!$I:$I,'2022'!$E:$E,Category!$B$134,'2022'!$N:$N,Category!AR$1,'2022'!$D:$D,Category!$C222)</f>
        <v>0</v>
      </c>
      <c r="AS222" s="388">
        <f>SUMIFS('2022'!$I:$I,'2022'!$E:$E,Category!$B$134,'2022'!$N:$N,Category!AS$1,'2022'!$D:$D,Category!$C222)</f>
        <v>0</v>
      </c>
      <c r="AT222" s="388">
        <f>SUMIFS('2022'!$I:$I,'2022'!$E:$E,Category!$B$134,'2022'!$N:$N,Category!AT$1,'2022'!$D:$D,Category!$C222)</f>
        <v>0</v>
      </c>
      <c r="AU222" s="388">
        <f>SUMIFS('2022'!$I:$I,'2022'!$E:$E,Category!$B$134,'2022'!$N:$N,Category!AU$1,'2022'!$D:$D,Category!$C222)</f>
        <v>0</v>
      </c>
      <c r="AV222" s="388">
        <f>SUMIFS('2022'!$I:$I,'2022'!$E:$E,Category!$B$134,'2022'!$N:$N,Category!AV$1,'2022'!$D:$D,Category!$C222)</f>
        <v>0</v>
      </c>
      <c r="AW222" s="388">
        <f>SUMIFS('2022'!$I:$I,'2022'!$E:$E,Category!$B$134,'2022'!$N:$N,Category!AW$1,'2022'!$D:$D,Category!$C222)</f>
        <v>0</v>
      </c>
      <c r="AX222" s="388">
        <f>SUMIFS('2022'!$I:$I,'2022'!$E:$E,Category!$B$134,'2022'!$N:$N,Category!AX$1,'2022'!$D:$D,Category!$C222)</f>
        <v>0</v>
      </c>
      <c r="AY222" s="388">
        <f>SUMIFS('2022'!$I:$I,'2022'!$E:$E,Category!$B$134,'2022'!$N:$N,Category!AY$1,'2022'!$D:$D,Category!$C222)</f>
        <v>0</v>
      </c>
      <c r="AZ222" s="389">
        <f t="shared" si="89"/>
        <v>0</v>
      </c>
      <c r="BA222" s="506">
        <f>IFERROR(VLOOKUP(C222,'2023'!$D:$G,4,0),0)</f>
        <v>0</v>
      </c>
      <c r="BB222" s="388">
        <f>SUMIFS('2023'!$I:$I,'2023'!$E:$E,Category!$B$134,'2023'!$N:$N,Category!BB$1,'2023'!$D:$D,Category!$C222)</f>
        <v>0</v>
      </c>
      <c r="BC222" s="388">
        <f>SUMIFS('2023'!$I:$I,'2023'!$E:$E,Category!$B$134,'2023'!$N:$N,Category!BC$1,'2023'!$D:$D,Category!$C222)</f>
        <v>0</v>
      </c>
      <c r="BD222" s="388">
        <f>SUMIFS('2023'!$I:$I,'2023'!$E:$E,Category!$B$134,'2023'!$N:$N,Category!BD$1,'2023'!$D:$D,Category!$C222)</f>
        <v>0</v>
      </c>
      <c r="BE222" s="388">
        <f>SUMIFS('2023'!$I:$I,'2023'!$E:$E,Category!$B$134,'2023'!$N:$N,Category!BE$1,'2023'!$D:$D,Category!$C222)</f>
        <v>0</v>
      </c>
      <c r="BF222" s="388">
        <f>SUMIFS('2023'!$I:$I,'2023'!$E:$E,Category!$B$134,'2023'!$N:$N,Category!BF$1,'2023'!$D:$D,Category!$C222)</f>
        <v>0</v>
      </c>
      <c r="BG222" s="388">
        <f>SUMIFS('2023'!$I:$I,'2023'!$E:$E,Category!$B$134,'2023'!$N:$N,Category!BG$1,'2023'!$D:$D,Category!$C222)</f>
        <v>0</v>
      </c>
      <c r="BH222" s="388">
        <f>SUMIFS('2023'!$I:$I,'2023'!$E:$E,Category!$B$134,'2023'!$N:$N,Category!BH$1,'2023'!$D:$D,Category!$C222)</f>
        <v>0</v>
      </c>
      <c r="BI222" s="388">
        <f>SUMIFS('2023'!$I:$I,'2023'!$E:$E,Category!$B$134,'2023'!$N:$N,Category!BI$1,'2023'!$D:$D,Category!$C222)</f>
        <v>0</v>
      </c>
      <c r="BJ222" s="388">
        <f>SUMIFS('2023'!$I:$I,'2023'!$E:$E,Category!$B$134,'2023'!$N:$N,Category!BJ$1,'2023'!$D:$D,Category!$C222)</f>
        <v>0</v>
      </c>
      <c r="BK222" s="388">
        <f>SUMIFS('2023'!$I:$I,'2023'!$E:$E,Category!$B$134,'2023'!$N:$N,Category!BK$1,'2023'!$D:$D,Category!$C222)</f>
        <v>0</v>
      </c>
      <c r="BL222" s="388">
        <f>SUMIFS('2023'!$I:$I,'2023'!$E:$E,Category!$B$134,'2023'!$N:$N,Category!BL$1,'2023'!$D:$D,Category!$C222)</f>
        <v>0</v>
      </c>
      <c r="BM222" s="388">
        <f>SUMIFS('2023'!$I:$I,'2023'!$E:$E,Category!$B$134,'2023'!$N:$N,Category!BM$1,'2023'!$D:$D,Category!$C222)</f>
        <v>0</v>
      </c>
      <c r="BN222" s="389">
        <f t="shared" si="90"/>
        <v>0</v>
      </c>
    </row>
    <row r="223" spans="1:66" x14ac:dyDescent="0.3">
      <c r="A223" s="392"/>
      <c r="B223" s="387"/>
      <c r="C223" s="387"/>
      <c r="D223" s="524">
        <f>IFERROR(VLOOKUP($C223,'2019'!$D:$G,4,0),0)</f>
        <v>0</v>
      </c>
      <c r="E223" s="388">
        <f>SUMIFS('2019'!$I:$I,'2019'!$E:$E,Category!$B$134,'2019'!$N:$N,Category!E$1,'2019'!$D:$D,Category!$C223)</f>
        <v>0</v>
      </c>
      <c r="F223" s="388">
        <f>SUMIFS('2019'!$I:$I,'2019'!$E:$E,Category!$B$134,'2019'!$N:$N,Category!F$1,'2019'!$D:$D,Category!$C223)</f>
        <v>0</v>
      </c>
      <c r="G223" s="388">
        <f>SUMIFS('2019'!$I:$I,'2019'!$E:$E,Category!$B$134,'2019'!$N:$N,Category!G$1,'2019'!$D:$D,Category!$C223)</f>
        <v>0</v>
      </c>
      <c r="H223" s="388">
        <f>SUMIFS('2019'!$I:$I,'2019'!$E:$E,Category!$B$134,'2019'!$N:$N,Category!H$1,'2019'!$D:$D,Category!$C223)</f>
        <v>0</v>
      </c>
      <c r="I223" s="388">
        <f>SUMIFS('2019'!$I:$I,'2019'!$E:$E,Category!$B$134,'2019'!$N:$N,Category!I$1,'2019'!$D:$D,Category!$C223)</f>
        <v>0</v>
      </c>
      <c r="J223" s="389">
        <f t="shared" si="86"/>
        <v>0</v>
      </c>
      <c r="K223" s="506">
        <f>IFERROR(VLOOKUP($C223,'2020'!$D:$G,4,0),0)</f>
        <v>0</v>
      </c>
      <c r="L223" s="388">
        <f>SUMIFS('2020'!$I:$I,'2020'!$E:$E,Category!$B$134,'2020'!$N:$N,Category!L$1,'2020'!$D:$D,Category!$C223)</f>
        <v>0</v>
      </c>
      <c r="M223" s="388">
        <f>SUMIFS('2020'!$I:$I,'2020'!$E:$E,Category!$B$134,'2020'!$N:$N,Category!M$1,'2020'!$D:$D,Category!$C223)</f>
        <v>0</v>
      </c>
      <c r="N223" s="388">
        <f>SUMIFS('2020'!$I:$I,'2020'!$E:$E,Category!$B$134,'2020'!$N:$N,Category!N$1,'2020'!$D:$D,Category!$C223)</f>
        <v>0</v>
      </c>
      <c r="O223" s="388">
        <f>SUMIFS('2020'!$I:$I,'2020'!$E:$E,Category!$B$134,'2020'!$N:$N,Category!O$1,'2020'!$D:$D,Category!$C223)</f>
        <v>0</v>
      </c>
      <c r="P223" s="388">
        <f>SUMIFS('2020'!$I:$I,'2020'!$E:$E,Category!$B$134,'2020'!$N:$N,Category!P$1,'2020'!$D:$D,Category!$C223)</f>
        <v>0</v>
      </c>
      <c r="Q223" s="388">
        <f>SUMIFS('2020'!$I:$I,'2020'!$E:$E,Category!$B$134,'2020'!$N:$N,Category!Q$1,'2020'!$D:$D,Category!$C223)</f>
        <v>0</v>
      </c>
      <c r="R223" s="388">
        <f>SUMIFS('2020'!$I:$I,'2020'!$E:$E,Category!$B$134,'2020'!$N:$N,Category!R$1,'2020'!$D:$D,Category!$C223)</f>
        <v>0</v>
      </c>
      <c r="S223" s="388">
        <f>SUMIFS('2020'!$I:$I,'2020'!$E:$E,Category!$B$134,'2020'!$N:$N,Category!S$1,'2020'!$D:$D,Category!$C223)</f>
        <v>0</v>
      </c>
      <c r="T223" s="388">
        <f>SUMIFS('2020'!$I:$I,'2020'!$E:$E,Category!$B$134,'2020'!$N:$N,Category!T$1,'2020'!$D:$D,Category!$C223)</f>
        <v>0</v>
      </c>
      <c r="U223" s="388">
        <f>SUMIFS('2020'!$I:$I,'2020'!$E:$E,Category!$B$134,'2020'!$N:$N,Category!U$1,'2020'!$D:$D,Category!$C223)</f>
        <v>0</v>
      </c>
      <c r="V223" s="388">
        <f>SUMIFS('2020'!$I:$I,'2020'!$E:$E,Category!$B$134,'2020'!$N:$N,Category!V$1,'2020'!$D:$D,Category!$C223)</f>
        <v>0</v>
      </c>
      <c r="W223" s="388">
        <f>SUMIFS('2020'!$I:$I,'2020'!$E:$E,Category!$B$134,'2020'!$N:$N,Category!W$1,'2020'!$D:$D,Category!$C223)</f>
        <v>0</v>
      </c>
      <c r="X223" s="389">
        <f t="shared" si="87"/>
        <v>0</v>
      </c>
      <c r="Y223" s="506">
        <f>IFERROR(VLOOKUP(C223,'2021'!$D:$G,4,0),0)</f>
        <v>0</v>
      </c>
      <c r="Z223" s="388">
        <f>SUMIFS('2021'!$I:$I,'2021'!$E:$E,Category!$B$134,'2021'!$N:$N,Category!Z$1,'2021'!$D:$D,Category!$C223)</f>
        <v>0</v>
      </c>
      <c r="AA223" s="388">
        <f>SUMIFS('2021'!$I:$I,'2021'!$E:$E,Category!$B$134,'2021'!$N:$N,Category!AA$1,'2021'!$D:$D,Category!$C223)</f>
        <v>0</v>
      </c>
      <c r="AB223" s="388">
        <f>SUMIFS('2021'!$I:$I,'2021'!$E:$E,Category!$B$134,'2021'!$N:$N,Category!AB$1,'2021'!$D:$D,Category!$C223)</f>
        <v>0</v>
      </c>
      <c r="AC223" s="388">
        <f>SUMIFS('2021'!$I:$I,'2021'!$E:$E,Category!$B$134,'2021'!$N:$N,Category!AC$1,'2021'!$D:$D,Category!$C223)</f>
        <v>0</v>
      </c>
      <c r="AD223" s="388">
        <f>SUMIFS('2021'!$I:$I,'2021'!$E:$E,Category!$B$134,'2021'!$N:$N,Category!AD$1,'2021'!$D:$D,Category!$C223)</f>
        <v>0</v>
      </c>
      <c r="AE223" s="388">
        <f>SUMIFS('2021'!$I:$I,'2021'!$E:$E,Category!$B$134,'2021'!$N:$N,Category!AE$1,'2021'!$D:$D,Category!$C223)</f>
        <v>0</v>
      </c>
      <c r="AF223" s="388">
        <f>SUMIFS('2021'!$I:$I,'2021'!$E:$E,Category!$B$134,'2021'!$N:$N,Category!AF$1,'2021'!$D:$D,Category!$C223)</f>
        <v>0</v>
      </c>
      <c r="AG223" s="388">
        <f>SUMIFS('2021'!$I:$I,'2021'!$E:$E,Category!$B$134,'2021'!$N:$N,Category!AG$1,'2021'!$D:$D,Category!$C223)</f>
        <v>0</v>
      </c>
      <c r="AH223" s="388">
        <f>SUMIFS('2021'!$I:$I,'2021'!$E:$E,Category!$B$134,'2021'!$N:$N,Category!AH$1,'2021'!$D:$D,Category!$C223)</f>
        <v>0</v>
      </c>
      <c r="AI223" s="388">
        <f>SUMIFS('2021'!$I:$I,'2021'!$E:$E,Category!$B$134,'2021'!$N:$N,Category!AI$1,'2021'!$D:$D,Category!$C223)</f>
        <v>0</v>
      </c>
      <c r="AJ223" s="388">
        <f>SUMIFS('2021'!$I:$I,'2021'!$E:$E,Category!$B$134,'2021'!$N:$N,Category!AJ$1,'2021'!$D:$D,Category!$C223)</f>
        <v>0</v>
      </c>
      <c r="AK223" s="388">
        <f>SUMIFS('2021'!$I:$I,'2021'!$E:$E,Category!$B$134,'2021'!$N:$N,Category!AK$1,'2021'!$D:$D,Category!$C223)</f>
        <v>0</v>
      </c>
      <c r="AL223" s="389">
        <f t="shared" si="88"/>
        <v>0</v>
      </c>
      <c r="AM223" s="506">
        <f>IFERROR(VLOOKUP(C223,'2022'!$D:$G,4,0),0)</f>
        <v>0</v>
      </c>
      <c r="AN223" s="388">
        <f>SUMIFS('2022'!$I:$I,'2022'!$E:$E,Category!$B$134,'2022'!$N:$N,Category!AN$1,'2022'!$D:$D,Category!$C223)</f>
        <v>0</v>
      </c>
      <c r="AO223" s="388">
        <f>SUMIFS('2022'!$I:$I,'2022'!$E:$E,Category!$B$134,'2022'!$N:$N,Category!AO$1,'2022'!$D:$D,Category!$C223)</f>
        <v>0</v>
      </c>
      <c r="AP223" s="388">
        <f>SUMIFS('2022'!$I:$I,'2022'!$E:$E,Category!$B$134,'2022'!$N:$N,Category!AP$1,'2022'!$D:$D,Category!$C223)</f>
        <v>0</v>
      </c>
      <c r="AQ223" s="388">
        <f>SUMIFS('2022'!$I:$I,'2022'!$E:$E,Category!$B$134,'2022'!$N:$N,Category!AQ$1,'2022'!$D:$D,Category!$C223)</f>
        <v>0</v>
      </c>
      <c r="AR223" s="388">
        <f>SUMIFS('2022'!$I:$I,'2022'!$E:$E,Category!$B$134,'2022'!$N:$N,Category!AR$1,'2022'!$D:$D,Category!$C223)</f>
        <v>0</v>
      </c>
      <c r="AS223" s="388">
        <f>SUMIFS('2022'!$I:$I,'2022'!$E:$E,Category!$B$134,'2022'!$N:$N,Category!AS$1,'2022'!$D:$D,Category!$C223)</f>
        <v>0</v>
      </c>
      <c r="AT223" s="388">
        <f>SUMIFS('2022'!$I:$I,'2022'!$E:$E,Category!$B$134,'2022'!$N:$N,Category!AT$1,'2022'!$D:$D,Category!$C223)</f>
        <v>0</v>
      </c>
      <c r="AU223" s="388">
        <f>SUMIFS('2022'!$I:$I,'2022'!$E:$E,Category!$B$134,'2022'!$N:$N,Category!AU$1,'2022'!$D:$D,Category!$C223)</f>
        <v>0</v>
      </c>
      <c r="AV223" s="388">
        <f>SUMIFS('2022'!$I:$I,'2022'!$E:$E,Category!$B$134,'2022'!$N:$N,Category!AV$1,'2022'!$D:$D,Category!$C223)</f>
        <v>0</v>
      </c>
      <c r="AW223" s="388">
        <f>SUMIFS('2022'!$I:$I,'2022'!$E:$E,Category!$B$134,'2022'!$N:$N,Category!AW$1,'2022'!$D:$D,Category!$C223)</f>
        <v>0</v>
      </c>
      <c r="AX223" s="388">
        <f>SUMIFS('2022'!$I:$I,'2022'!$E:$E,Category!$B$134,'2022'!$N:$N,Category!AX$1,'2022'!$D:$D,Category!$C223)</f>
        <v>0</v>
      </c>
      <c r="AY223" s="388">
        <f>SUMIFS('2022'!$I:$I,'2022'!$E:$E,Category!$B$134,'2022'!$N:$N,Category!AY$1,'2022'!$D:$D,Category!$C223)</f>
        <v>0</v>
      </c>
      <c r="AZ223" s="389">
        <f t="shared" si="89"/>
        <v>0</v>
      </c>
      <c r="BA223" s="506">
        <f>IFERROR(VLOOKUP(C223,'2023'!$D:$G,4,0),0)</f>
        <v>0</v>
      </c>
      <c r="BB223" s="388">
        <f>SUMIFS('2023'!$I:$I,'2023'!$E:$E,Category!$B$134,'2023'!$N:$N,Category!BB$1,'2023'!$D:$D,Category!$C223)</f>
        <v>0</v>
      </c>
      <c r="BC223" s="388">
        <f>SUMIFS('2023'!$I:$I,'2023'!$E:$E,Category!$B$134,'2023'!$N:$N,Category!BC$1,'2023'!$D:$D,Category!$C223)</f>
        <v>0</v>
      </c>
      <c r="BD223" s="388">
        <f>SUMIFS('2023'!$I:$I,'2023'!$E:$E,Category!$B$134,'2023'!$N:$N,Category!BD$1,'2023'!$D:$D,Category!$C223)</f>
        <v>0</v>
      </c>
      <c r="BE223" s="388">
        <f>SUMIFS('2023'!$I:$I,'2023'!$E:$E,Category!$B$134,'2023'!$N:$N,Category!BE$1,'2023'!$D:$D,Category!$C223)</f>
        <v>0</v>
      </c>
      <c r="BF223" s="388">
        <f>SUMIFS('2023'!$I:$I,'2023'!$E:$E,Category!$B$134,'2023'!$N:$N,Category!BF$1,'2023'!$D:$D,Category!$C223)</f>
        <v>0</v>
      </c>
      <c r="BG223" s="388">
        <f>SUMIFS('2023'!$I:$I,'2023'!$E:$E,Category!$B$134,'2023'!$N:$N,Category!BG$1,'2023'!$D:$D,Category!$C223)</f>
        <v>0</v>
      </c>
      <c r="BH223" s="388">
        <f>SUMIFS('2023'!$I:$I,'2023'!$E:$E,Category!$B$134,'2023'!$N:$N,Category!BH$1,'2023'!$D:$D,Category!$C223)</f>
        <v>0</v>
      </c>
      <c r="BI223" s="388">
        <f>SUMIFS('2023'!$I:$I,'2023'!$E:$E,Category!$B$134,'2023'!$N:$N,Category!BI$1,'2023'!$D:$D,Category!$C223)</f>
        <v>0</v>
      </c>
      <c r="BJ223" s="388">
        <f>SUMIFS('2023'!$I:$I,'2023'!$E:$E,Category!$B$134,'2023'!$N:$N,Category!BJ$1,'2023'!$D:$D,Category!$C223)</f>
        <v>0</v>
      </c>
      <c r="BK223" s="388">
        <f>SUMIFS('2023'!$I:$I,'2023'!$E:$E,Category!$B$134,'2023'!$N:$N,Category!BK$1,'2023'!$D:$D,Category!$C223)</f>
        <v>0</v>
      </c>
      <c r="BL223" s="388">
        <f>SUMIFS('2023'!$I:$I,'2023'!$E:$E,Category!$B$134,'2023'!$N:$N,Category!BL$1,'2023'!$D:$D,Category!$C223)</f>
        <v>0</v>
      </c>
      <c r="BM223" s="388">
        <f>SUMIFS('2023'!$I:$I,'2023'!$E:$E,Category!$B$134,'2023'!$N:$N,Category!BM$1,'2023'!$D:$D,Category!$C223)</f>
        <v>0</v>
      </c>
      <c r="BN223" s="389">
        <f t="shared" si="90"/>
        <v>0</v>
      </c>
    </row>
    <row r="224" spans="1:66" x14ac:dyDescent="0.3">
      <c r="A224" s="392"/>
      <c r="B224" s="387"/>
      <c r="C224" s="387"/>
      <c r="D224" s="524">
        <f>IFERROR(VLOOKUP($C224,'2019'!$D:$G,4,0),0)</f>
        <v>0</v>
      </c>
      <c r="E224" s="388">
        <f>SUMIFS('2019'!$I:$I,'2019'!$E:$E,Category!$B$134,'2019'!$N:$N,Category!E$1,'2019'!$D:$D,Category!$C224)</f>
        <v>0</v>
      </c>
      <c r="F224" s="388">
        <f>SUMIFS('2019'!$I:$I,'2019'!$E:$E,Category!$B$134,'2019'!$N:$N,Category!F$1,'2019'!$D:$D,Category!$C224)</f>
        <v>0</v>
      </c>
      <c r="G224" s="388">
        <f>SUMIFS('2019'!$I:$I,'2019'!$E:$E,Category!$B$134,'2019'!$N:$N,Category!G$1,'2019'!$D:$D,Category!$C224)</f>
        <v>0</v>
      </c>
      <c r="H224" s="388">
        <f>SUMIFS('2019'!$I:$I,'2019'!$E:$E,Category!$B$134,'2019'!$N:$N,Category!H$1,'2019'!$D:$D,Category!$C224)</f>
        <v>0</v>
      </c>
      <c r="I224" s="388">
        <f>SUMIFS('2019'!$I:$I,'2019'!$E:$E,Category!$B$134,'2019'!$N:$N,Category!I$1,'2019'!$D:$D,Category!$C224)</f>
        <v>0</v>
      </c>
      <c r="J224" s="389">
        <f t="shared" si="86"/>
        <v>0</v>
      </c>
      <c r="K224" s="506">
        <f>IFERROR(VLOOKUP($C224,'2020'!$D:$G,4,0),0)</f>
        <v>0</v>
      </c>
      <c r="L224" s="388">
        <f>SUMIFS('2020'!$I:$I,'2020'!$E:$E,Category!$B$134,'2020'!$N:$N,Category!L$1,'2020'!$D:$D,Category!$C224)</f>
        <v>0</v>
      </c>
      <c r="M224" s="388">
        <f>SUMIFS('2020'!$I:$I,'2020'!$E:$E,Category!$B$134,'2020'!$N:$N,Category!M$1,'2020'!$D:$D,Category!$C224)</f>
        <v>0</v>
      </c>
      <c r="N224" s="388">
        <f>SUMIFS('2020'!$I:$I,'2020'!$E:$E,Category!$B$134,'2020'!$N:$N,Category!N$1,'2020'!$D:$D,Category!$C224)</f>
        <v>0</v>
      </c>
      <c r="O224" s="388">
        <f>SUMIFS('2020'!$I:$I,'2020'!$E:$E,Category!$B$134,'2020'!$N:$N,Category!O$1,'2020'!$D:$D,Category!$C224)</f>
        <v>0</v>
      </c>
      <c r="P224" s="388">
        <f>SUMIFS('2020'!$I:$I,'2020'!$E:$E,Category!$B$134,'2020'!$N:$N,Category!P$1,'2020'!$D:$D,Category!$C224)</f>
        <v>0</v>
      </c>
      <c r="Q224" s="388">
        <f>SUMIFS('2020'!$I:$I,'2020'!$E:$E,Category!$B$134,'2020'!$N:$N,Category!Q$1,'2020'!$D:$D,Category!$C224)</f>
        <v>0</v>
      </c>
      <c r="R224" s="388">
        <f>SUMIFS('2020'!$I:$I,'2020'!$E:$E,Category!$B$134,'2020'!$N:$N,Category!R$1,'2020'!$D:$D,Category!$C224)</f>
        <v>0</v>
      </c>
      <c r="S224" s="388">
        <f>SUMIFS('2020'!$I:$I,'2020'!$E:$E,Category!$B$134,'2020'!$N:$N,Category!S$1,'2020'!$D:$D,Category!$C224)</f>
        <v>0</v>
      </c>
      <c r="T224" s="388">
        <f>SUMIFS('2020'!$I:$I,'2020'!$E:$E,Category!$B$134,'2020'!$N:$N,Category!T$1,'2020'!$D:$D,Category!$C224)</f>
        <v>0</v>
      </c>
      <c r="U224" s="388">
        <f>SUMIFS('2020'!$I:$I,'2020'!$E:$E,Category!$B$134,'2020'!$N:$N,Category!U$1,'2020'!$D:$D,Category!$C224)</f>
        <v>0</v>
      </c>
      <c r="V224" s="388">
        <f>SUMIFS('2020'!$I:$I,'2020'!$E:$E,Category!$B$134,'2020'!$N:$N,Category!V$1,'2020'!$D:$D,Category!$C224)</f>
        <v>0</v>
      </c>
      <c r="W224" s="388">
        <f>SUMIFS('2020'!$I:$I,'2020'!$E:$E,Category!$B$134,'2020'!$N:$N,Category!W$1,'2020'!$D:$D,Category!$C224)</f>
        <v>0</v>
      </c>
      <c r="X224" s="389">
        <f t="shared" si="87"/>
        <v>0</v>
      </c>
      <c r="Y224" s="506">
        <f>IFERROR(VLOOKUP(C224,'2021'!$D:$G,4,0),0)</f>
        <v>0</v>
      </c>
      <c r="Z224" s="388">
        <f>SUMIFS('2021'!$I:$I,'2021'!$E:$E,Category!$B$134,'2021'!$N:$N,Category!Z$1,'2021'!$D:$D,Category!$C224)</f>
        <v>0</v>
      </c>
      <c r="AA224" s="388">
        <f>SUMIFS('2021'!$I:$I,'2021'!$E:$E,Category!$B$134,'2021'!$N:$N,Category!AA$1,'2021'!$D:$D,Category!$C224)</f>
        <v>0</v>
      </c>
      <c r="AB224" s="388">
        <f>SUMIFS('2021'!$I:$I,'2021'!$E:$E,Category!$B$134,'2021'!$N:$N,Category!AB$1,'2021'!$D:$D,Category!$C224)</f>
        <v>0</v>
      </c>
      <c r="AC224" s="388">
        <f>SUMIFS('2021'!$I:$I,'2021'!$E:$E,Category!$B$134,'2021'!$N:$N,Category!AC$1,'2021'!$D:$D,Category!$C224)</f>
        <v>0</v>
      </c>
      <c r="AD224" s="388">
        <f>SUMIFS('2021'!$I:$I,'2021'!$E:$E,Category!$B$134,'2021'!$N:$N,Category!AD$1,'2021'!$D:$D,Category!$C224)</f>
        <v>0</v>
      </c>
      <c r="AE224" s="388">
        <f>SUMIFS('2021'!$I:$I,'2021'!$E:$E,Category!$B$134,'2021'!$N:$N,Category!AE$1,'2021'!$D:$D,Category!$C224)</f>
        <v>0</v>
      </c>
      <c r="AF224" s="388">
        <f>SUMIFS('2021'!$I:$I,'2021'!$E:$E,Category!$B$134,'2021'!$N:$N,Category!AF$1,'2021'!$D:$D,Category!$C224)</f>
        <v>0</v>
      </c>
      <c r="AG224" s="388">
        <f>SUMIFS('2021'!$I:$I,'2021'!$E:$E,Category!$B$134,'2021'!$N:$N,Category!AG$1,'2021'!$D:$D,Category!$C224)</f>
        <v>0</v>
      </c>
      <c r="AH224" s="388">
        <f>SUMIFS('2021'!$I:$I,'2021'!$E:$E,Category!$B$134,'2021'!$N:$N,Category!AH$1,'2021'!$D:$D,Category!$C224)</f>
        <v>0</v>
      </c>
      <c r="AI224" s="388">
        <f>SUMIFS('2021'!$I:$I,'2021'!$E:$E,Category!$B$134,'2021'!$N:$N,Category!AI$1,'2021'!$D:$D,Category!$C224)</f>
        <v>0</v>
      </c>
      <c r="AJ224" s="388">
        <f>SUMIFS('2021'!$I:$I,'2021'!$E:$E,Category!$B$134,'2021'!$N:$N,Category!AJ$1,'2021'!$D:$D,Category!$C224)</f>
        <v>0</v>
      </c>
      <c r="AK224" s="388">
        <f>SUMIFS('2021'!$I:$I,'2021'!$E:$E,Category!$B$134,'2021'!$N:$N,Category!AK$1,'2021'!$D:$D,Category!$C224)</f>
        <v>0</v>
      </c>
      <c r="AL224" s="389">
        <f t="shared" si="88"/>
        <v>0</v>
      </c>
      <c r="AM224" s="506">
        <f>IFERROR(VLOOKUP(C224,'2022'!$D:$G,4,0),0)</f>
        <v>0</v>
      </c>
      <c r="AN224" s="388">
        <f>SUMIFS('2022'!$I:$I,'2022'!$E:$E,Category!$B$134,'2022'!$N:$N,Category!AN$1,'2022'!$D:$D,Category!$C224)</f>
        <v>0</v>
      </c>
      <c r="AO224" s="388">
        <f>SUMIFS('2022'!$I:$I,'2022'!$E:$E,Category!$B$134,'2022'!$N:$N,Category!AO$1,'2022'!$D:$D,Category!$C224)</f>
        <v>0</v>
      </c>
      <c r="AP224" s="388">
        <f>SUMIFS('2022'!$I:$I,'2022'!$E:$E,Category!$B$134,'2022'!$N:$N,Category!AP$1,'2022'!$D:$D,Category!$C224)</f>
        <v>0</v>
      </c>
      <c r="AQ224" s="388">
        <f>SUMIFS('2022'!$I:$I,'2022'!$E:$E,Category!$B$134,'2022'!$N:$N,Category!AQ$1,'2022'!$D:$D,Category!$C224)</f>
        <v>0</v>
      </c>
      <c r="AR224" s="388">
        <f>SUMIFS('2022'!$I:$I,'2022'!$E:$E,Category!$B$134,'2022'!$N:$N,Category!AR$1,'2022'!$D:$D,Category!$C224)</f>
        <v>0</v>
      </c>
      <c r="AS224" s="388">
        <f>SUMIFS('2022'!$I:$I,'2022'!$E:$E,Category!$B$134,'2022'!$N:$N,Category!AS$1,'2022'!$D:$D,Category!$C224)</f>
        <v>0</v>
      </c>
      <c r="AT224" s="388">
        <f>SUMIFS('2022'!$I:$I,'2022'!$E:$E,Category!$B$134,'2022'!$N:$N,Category!AT$1,'2022'!$D:$D,Category!$C224)</f>
        <v>0</v>
      </c>
      <c r="AU224" s="388">
        <f>SUMIFS('2022'!$I:$I,'2022'!$E:$E,Category!$B$134,'2022'!$N:$N,Category!AU$1,'2022'!$D:$D,Category!$C224)</f>
        <v>0</v>
      </c>
      <c r="AV224" s="388">
        <f>SUMIFS('2022'!$I:$I,'2022'!$E:$E,Category!$B$134,'2022'!$N:$N,Category!AV$1,'2022'!$D:$D,Category!$C224)</f>
        <v>0</v>
      </c>
      <c r="AW224" s="388">
        <f>SUMIFS('2022'!$I:$I,'2022'!$E:$E,Category!$B$134,'2022'!$N:$N,Category!AW$1,'2022'!$D:$D,Category!$C224)</f>
        <v>0</v>
      </c>
      <c r="AX224" s="388">
        <f>SUMIFS('2022'!$I:$I,'2022'!$E:$E,Category!$B$134,'2022'!$N:$N,Category!AX$1,'2022'!$D:$D,Category!$C224)</f>
        <v>0</v>
      </c>
      <c r="AY224" s="388">
        <f>SUMIFS('2022'!$I:$I,'2022'!$E:$E,Category!$B$134,'2022'!$N:$N,Category!AY$1,'2022'!$D:$D,Category!$C224)</f>
        <v>0</v>
      </c>
      <c r="AZ224" s="389">
        <f t="shared" si="89"/>
        <v>0</v>
      </c>
      <c r="BA224" s="506">
        <f>IFERROR(VLOOKUP(C224,'2023'!$D:$G,4,0),0)</f>
        <v>0</v>
      </c>
      <c r="BB224" s="388">
        <f>SUMIFS('2023'!$I:$I,'2023'!$E:$E,Category!$B$134,'2023'!$N:$N,Category!BB$1,'2023'!$D:$D,Category!$C224)</f>
        <v>0</v>
      </c>
      <c r="BC224" s="388">
        <f>SUMIFS('2023'!$I:$I,'2023'!$E:$E,Category!$B$134,'2023'!$N:$N,Category!BC$1,'2023'!$D:$D,Category!$C224)</f>
        <v>0</v>
      </c>
      <c r="BD224" s="388">
        <f>SUMIFS('2023'!$I:$I,'2023'!$E:$E,Category!$B$134,'2023'!$N:$N,Category!BD$1,'2023'!$D:$D,Category!$C224)</f>
        <v>0</v>
      </c>
      <c r="BE224" s="388">
        <f>SUMIFS('2023'!$I:$I,'2023'!$E:$E,Category!$B$134,'2023'!$N:$N,Category!BE$1,'2023'!$D:$D,Category!$C224)</f>
        <v>0</v>
      </c>
      <c r="BF224" s="388">
        <f>SUMIFS('2023'!$I:$I,'2023'!$E:$E,Category!$B$134,'2023'!$N:$N,Category!BF$1,'2023'!$D:$D,Category!$C224)</f>
        <v>0</v>
      </c>
      <c r="BG224" s="388">
        <f>SUMIFS('2023'!$I:$I,'2023'!$E:$E,Category!$B$134,'2023'!$N:$N,Category!BG$1,'2023'!$D:$D,Category!$C224)</f>
        <v>0</v>
      </c>
      <c r="BH224" s="388">
        <f>SUMIFS('2023'!$I:$I,'2023'!$E:$E,Category!$B$134,'2023'!$N:$N,Category!BH$1,'2023'!$D:$D,Category!$C224)</f>
        <v>0</v>
      </c>
      <c r="BI224" s="388">
        <f>SUMIFS('2023'!$I:$I,'2023'!$E:$E,Category!$B$134,'2023'!$N:$N,Category!BI$1,'2023'!$D:$D,Category!$C224)</f>
        <v>0</v>
      </c>
      <c r="BJ224" s="388">
        <f>SUMIFS('2023'!$I:$I,'2023'!$E:$E,Category!$B$134,'2023'!$N:$N,Category!BJ$1,'2023'!$D:$D,Category!$C224)</f>
        <v>0</v>
      </c>
      <c r="BK224" s="388">
        <f>SUMIFS('2023'!$I:$I,'2023'!$E:$E,Category!$B$134,'2023'!$N:$N,Category!BK$1,'2023'!$D:$D,Category!$C224)</f>
        <v>0</v>
      </c>
      <c r="BL224" s="388">
        <f>SUMIFS('2023'!$I:$I,'2023'!$E:$E,Category!$B$134,'2023'!$N:$N,Category!BL$1,'2023'!$D:$D,Category!$C224)</f>
        <v>0</v>
      </c>
      <c r="BM224" s="388">
        <f>SUMIFS('2023'!$I:$I,'2023'!$E:$E,Category!$B$134,'2023'!$N:$N,Category!BM$1,'2023'!$D:$D,Category!$C224)</f>
        <v>0</v>
      </c>
      <c r="BN224" s="389">
        <f t="shared" si="90"/>
        <v>0</v>
      </c>
    </row>
    <row r="225" spans="1:66" x14ac:dyDescent="0.3">
      <c r="A225" s="392"/>
      <c r="B225" s="387"/>
      <c r="C225" s="387"/>
      <c r="D225" s="524">
        <f>IFERROR(VLOOKUP($C225,'2019'!$D:$G,4,0),0)</f>
        <v>0</v>
      </c>
      <c r="E225" s="388">
        <f>SUMIFS('2019'!$I:$I,'2019'!$E:$E,Category!$B$134,'2019'!$N:$N,Category!E$1,'2019'!$D:$D,Category!$C225)</f>
        <v>0</v>
      </c>
      <c r="F225" s="388">
        <f>SUMIFS('2019'!$I:$I,'2019'!$E:$E,Category!$B$134,'2019'!$N:$N,Category!F$1,'2019'!$D:$D,Category!$C225)</f>
        <v>0</v>
      </c>
      <c r="G225" s="388">
        <f>SUMIFS('2019'!$I:$I,'2019'!$E:$E,Category!$B$134,'2019'!$N:$N,Category!G$1,'2019'!$D:$D,Category!$C225)</f>
        <v>0</v>
      </c>
      <c r="H225" s="388">
        <f>SUMIFS('2019'!$I:$I,'2019'!$E:$E,Category!$B$134,'2019'!$N:$N,Category!H$1,'2019'!$D:$D,Category!$C225)</f>
        <v>0</v>
      </c>
      <c r="I225" s="388">
        <f>SUMIFS('2019'!$I:$I,'2019'!$E:$E,Category!$B$134,'2019'!$N:$N,Category!I$1,'2019'!$D:$D,Category!$C225)</f>
        <v>0</v>
      </c>
      <c r="J225" s="389">
        <f t="shared" si="86"/>
        <v>0</v>
      </c>
      <c r="K225" s="506">
        <f>IFERROR(VLOOKUP($C225,'2020'!$D:$G,4,0),0)</f>
        <v>0</v>
      </c>
      <c r="L225" s="388">
        <f>SUMIFS('2020'!$I:$I,'2020'!$E:$E,Category!$B$134,'2020'!$N:$N,Category!L$1,'2020'!$D:$D,Category!$C225)</f>
        <v>0</v>
      </c>
      <c r="M225" s="388">
        <f>SUMIFS('2020'!$I:$I,'2020'!$E:$E,Category!$B$134,'2020'!$N:$N,Category!M$1,'2020'!$D:$D,Category!$C225)</f>
        <v>0</v>
      </c>
      <c r="N225" s="388">
        <f>SUMIFS('2020'!$I:$I,'2020'!$E:$E,Category!$B$134,'2020'!$N:$N,Category!N$1,'2020'!$D:$D,Category!$C225)</f>
        <v>0</v>
      </c>
      <c r="O225" s="388">
        <f>SUMIFS('2020'!$I:$I,'2020'!$E:$E,Category!$B$134,'2020'!$N:$N,Category!O$1,'2020'!$D:$D,Category!$C225)</f>
        <v>0</v>
      </c>
      <c r="P225" s="388">
        <f>SUMIFS('2020'!$I:$I,'2020'!$E:$E,Category!$B$134,'2020'!$N:$N,Category!P$1,'2020'!$D:$D,Category!$C225)</f>
        <v>0</v>
      </c>
      <c r="Q225" s="388">
        <f>SUMIFS('2020'!$I:$I,'2020'!$E:$E,Category!$B$134,'2020'!$N:$N,Category!Q$1,'2020'!$D:$D,Category!$C225)</f>
        <v>0</v>
      </c>
      <c r="R225" s="388">
        <f>SUMIFS('2020'!$I:$I,'2020'!$E:$E,Category!$B$134,'2020'!$N:$N,Category!R$1,'2020'!$D:$D,Category!$C225)</f>
        <v>0</v>
      </c>
      <c r="S225" s="388">
        <f>SUMIFS('2020'!$I:$I,'2020'!$E:$E,Category!$B$134,'2020'!$N:$N,Category!S$1,'2020'!$D:$D,Category!$C225)</f>
        <v>0</v>
      </c>
      <c r="T225" s="388">
        <f>SUMIFS('2020'!$I:$I,'2020'!$E:$E,Category!$B$134,'2020'!$N:$N,Category!T$1,'2020'!$D:$D,Category!$C225)</f>
        <v>0</v>
      </c>
      <c r="U225" s="388">
        <f>SUMIFS('2020'!$I:$I,'2020'!$E:$E,Category!$B$134,'2020'!$N:$N,Category!U$1,'2020'!$D:$D,Category!$C225)</f>
        <v>0</v>
      </c>
      <c r="V225" s="388">
        <f>SUMIFS('2020'!$I:$I,'2020'!$E:$E,Category!$B$134,'2020'!$N:$N,Category!V$1,'2020'!$D:$D,Category!$C225)</f>
        <v>0</v>
      </c>
      <c r="W225" s="388">
        <f>SUMIFS('2020'!$I:$I,'2020'!$E:$E,Category!$B$134,'2020'!$N:$N,Category!W$1,'2020'!$D:$D,Category!$C225)</f>
        <v>0</v>
      </c>
      <c r="X225" s="389">
        <f t="shared" si="87"/>
        <v>0</v>
      </c>
      <c r="Y225" s="506">
        <f>IFERROR(VLOOKUP(C225,'2021'!$D:$G,4,0),0)</f>
        <v>0</v>
      </c>
      <c r="Z225" s="388">
        <f>SUMIFS('2021'!$I:$I,'2021'!$E:$E,Category!$B$134,'2021'!$N:$N,Category!Z$1,'2021'!$D:$D,Category!$C225)</f>
        <v>0</v>
      </c>
      <c r="AA225" s="388">
        <f>SUMIFS('2021'!$I:$I,'2021'!$E:$E,Category!$B$134,'2021'!$N:$N,Category!AA$1,'2021'!$D:$D,Category!$C225)</f>
        <v>0</v>
      </c>
      <c r="AB225" s="388">
        <f>SUMIFS('2021'!$I:$I,'2021'!$E:$E,Category!$B$134,'2021'!$N:$N,Category!AB$1,'2021'!$D:$D,Category!$C225)</f>
        <v>0</v>
      </c>
      <c r="AC225" s="388">
        <f>SUMIFS('2021'!$I:$I,'2021'!$E:$E,Category!$B$134,'2021'!$N:$N,Category!AC$1,'2021'!$D:$D,Category!$C225)</f>
        <v>0</v>
      </c>
      <c r="AD225" s="388">
        <f>SUMIFS('2021'!$I:$I,'2021'!$E:$E,Category!$B$134,'2021'!$N:$N,Category!AD$1,'2021'!$D:$D,Category!$C225)</f>
        <v>0</v>
      </c>
      <c r="AE225" s="388">
        <f>SUMIFS('2021'!$I:$I,'2021'!$E:$E,Category!$B$134,'2021'!$N:$N,Category!AE$1,'2021'!$D:$D,Category!$C225)</f>
        <v>0</v>
      </c>
      <c r="AF225" s="388">
        <f>SUMIFS('2021'!$I:$I,'2021'!$E:$E,Category!$B$134,'2021'!$N:$N,Category!AF$1,'2021'!$D:$D,Category!$C225)</f>
        <v>0</v>
      </c>
      <c r="AG225" s="388">
        <f>SUMIFS('2021'!$I:$I,'2021'!$E:$E,Category!$B$134,'2021'!$N:$N,Category!AG$1,'2021'!$D:$D,Category!$C225)</f>
        <v>0</v>
      </c>
      <c r="AH225" s="388">
        <f>SUMIFS('2021'!$I:$I,'2021'!$E:$E,Category!$B$134,'2021'!$N:$N,Category!AH$1,'2021'!$D:$D,Category!$C225)</f>
        <v>0</v>
      </c>
      <c r="AI225" s="388">
        <f>SUMIFS('2021'!$I:$I,'2021'!$E:$E,Category!$B$134,'2021'!$N:$N,Category!AI$1,'2021'!$D:$D,Category!$C225)</f>
        <v>0</v>
      </c>
      <c r="AJ225" s="388">
        <f>SUMIFS('2021'!$I:$I,'2021'!$E:$E,Category!$B$134,'2021'!$N:$N,Category!AJ$1,'2021'!$D:$D,Category!$C225)</f>
        <v>0</v>
      </c>
      <c r="AK225" s="388">
        <f>SUMIFS('2021'!$I:$I,'2021'!$E:$E,Category!$B$134,'2021'!$N:$N,Category!AK$1,'2021'!$D:$D,Category!$C225)</f>
        <v>0</v>
      </c>
      <c r="AL225" s="389">
        <f t="shared" si="88"/>
        <v>0</v>
      </c>
      <c r="AM225" s="506">
        <f>IFERROR(VLOOKUP(C225,'2022'!$D:$G,4,0),0)</f>
        <v>0</v>
      </c>
      <c r="AN225" s="388">
        <f>SUMIFS('2022'!$I:$I,'2022'!$E:$E,Category!$B$134,'2022'!$N:$N,Category!AN$1,'2022'!$D:$D,Category!$C225)</f>
        <v>0</v>
      </c>
      <c r="AO225" s="388">
        <f>SUMIFS('2022'!$I:$I,'2022'!$E:$E,Category!$B$134,'2022'!$N:$N,Category!AO$1,'2022'!$D:$D,Category!$C225)</f>
        <v>0</v>
      </c>
      <c r="AP225" s="388">
        <f>SUMIFS('2022'!$I:$I,'2022'!$E:$E,Category!$B$134,'2022'!$N:$N,Category!AP$1,'2022'!$D:$D,Category!$C225)</f>
        <v>0</v>
      </c>
      <c r="AQ225" s="388">
        <f>SUMIFS('2022'!$I:$I,'2022'!$E:$E,Category!$B$134,'2022'!$N:$N,Category!AQ$1,'2022'!$D:$D,Category!$C225)</f>
        <v>0</v>
      </c>
      <c r="AR225" s="388">
        <f>SUMIFS('2022'!$I:$I,'2022'!$E:$E,Category!$B$134,'2022'!$N:$N,Category!AR$1,'2022'!$D:$D,Category!$C225)</f>
        <v>0</v>
      </c>
      <c r="AS225" s="388">
        <f>SUMIFS('2022'!$I:$I,'2022'!$E:$E,Category!$B$134,'2022'!$N:$N,Category!AS$1,'2022'!$D:$D,Category!$C225)</f>
        <v>0</v>
      </c>
      <c r="AT225" s="388">
        <f>SUMIFS('2022'!$I:$I,'2022'!$E:$E,Category!$B$134,'2022'!$N:$N,Category!AT$1,'2022'!$D:$D,Category!$C225)</f>
        <v>0</v>
      </c>
      <c r="AU225" s="388">
        <f>SUMIFS('2022'!$I:$I,'2022'!$E:$E,Category!$B$134,'2022'!$N:$N,Category!AU$1,'2022'!$D:$D,Category!$C225)</f>
        <v>0</v>
      </c>
      <c r="AV225" s="388">
        <f>SUMIFS('2022'!$I:$I,'2022'!$E:$E,Category!$B$134,'2022'!$N:$N,Category!AV$1,'2022'!$D:$D,Category!$C225)</f>
        <v>0</v>
      </c>
      <c r="AW225" s="388">
        <f>SUMIFS('2022'!$I:$I,'2022'!$E:$E,Category!$B$134,'2022'!$N:$N,Category!AW$1,'2022'!$D:$D,Category!$C225)</f>
        <v>0</v>
      </c>
      <c r="AX225" s="388">
        <f>SUMIFS('2022'!$I:$I,'2022'!$E:$E,Category!$B$134,'2022'!$N:$N,Category!AX$1,'2022'!$D:$D,Category!$C225)</f>
        <v>0</v>
      </c>
      <c r="AY225" s="388">
        <f>SUMIFS('2022'!$I:$I,'2022'!$E:$E,Category!$B$134,'2022'!$N:$N,Category!AY$1,'2022'!$D:$D,Category!$C225)</f>
        <v>0</v>
      </c>
      <c r="AZ225" s="389">
        <f t="shared" si="89"/>
        <v>0</v>
      </c>
      <c r="BA225" s="506">
        <f>IFERROR(VLOOKUP(C225,'2023'!$D:$G,4,0),0)</f>
        <v>0</v>
      </c>
      <c r="BB225" s="388">
        <f>SUMIFS('2023'!$I:$I,'2023'!$E:$E,Category!$B$134,'2023'!$N:$N,Category!BB$1,'2023'!$D:$D,Category!$C225)</f>
        <v>0</v>
      </c>
      <c r="BC225" s="388">
        <f>SUMIFS('2023'!$I:$I,'2023'!$E:$E,Category!$B$134,'2023'!$N:$N,Category!BC$1,'2023'!$D:$D,Category!$C225)</f>
        <v>0</v>
      </c>
      <c r="BD225" s="388">
        <f>SUMIFS('2023'!$I:$I,'2023'!$E:$E,Category!$B$134,'2023'!$N:$N,Category!BD$1,'2023'!$D:$D,Category!$C225)</f>
        <v>0</v>
      </c>
      <c r="BE225" s="388">
        <f>SUMIFS('2023'!$I:$I,'2023'!$E:$E,Category!$B$134,'2023'!$N:$N,Category!BE$1,'2023'!$D:$D,Category!$C225)</f>
        <v>0</v>
      </c>
      <c r="BF225" s="388">
        <f>SUMIFS('2023'!$I:$I,'2023'!$E:$E,Category!$B$134,'2023'!$N:$N,Category!BF$1,'2023'!$D:$D,Category!$C225)</f>
        <v>0</v>
      </c>
      <c r="BG225" s="388">
        <f>SUMIFS('2023'!$I:$I,'2023'!$E:$E,Category!$B$134,'2023'!$N:$N,Category!BG$1,'2023'!$D:$D,Category!$C225)</f>
        <v>0</v>
      </c>
      <c r="BH225" s="388">
        <f>SUMIFS('2023'!$I:$I,'2023'!$E:$E,Category!$B$134,'2023'!$N:$N,Category!BH$1,'2023'!$D:$D,Category!$C225)</f>
        <v>0</v>
      </c>
      <c r="BI225" s="388">
        <f>SUMIFS('2023'!$I:$I,'2023'!$E:$E,Category!$B$134,'2023'!$N:$N,Category!BI$1,'2023'!$D:$D,Category!$C225)</f>
        <v>0</v>
      </c>
      <c r="BJ225" s="388">
        <f>SUMIFS('2023'!$I:$I,'2023'!$E:$E,Category!$B$134,'2023'!$N:$N,Category!BJ$1,'2023'!$D:$D,Category!$C225)</f>
        <v>0</v>
      </c>
      <c r="BK225" s="388">
        <f>SUMIFS('2023'!$I:$I,'2023'!$E:$E,Category!$B$134,'2023'!$N:$N,Category!BK$1,'2023'!$D:$D,Category!$C225)</f>
        <v>0</v>
      </c>
      <c r="BL225" s="388">
        <f>SUMIFS('2023'!$I:$I,'2023'!$E:$E,Category!$B$134,'2023'!$N:$N,Category!BL$1,'2023'!$D:$D,Category!$C225)</f>
        <v>0</v>
      </c>
      <c r="BM225" s="388">
        <f>SUMIFS('2023'!$I:$I,'2023'!$E:$E,Category!$B$134,'2023'!$N:$N,Category!BM$1,'2023'!$D:$D,Category!$C225)</f>
        <v>0</v>
      </c>
      <c r="BN225" s="389">
        <f t="shared" si="90"/>
        <v>0</v>
      </c>
    </row>
    <row r="226" spans="1:66" ht="21" hidden="1" customHeight="1" x14ac:dyDescent="0.3">
      <c r="A226" s="249"/>
      <c r="B226" s="235"/>
      <c r="C226" s="235"/>
      <c r="D226" s="235">
        <f>IFERROR(VLOOKUP($C226,'2019'!$D:$G,4,0),0)</f>
        <v>0</v>
      </c>
      <c r="E226" s="234">
        <f>SUMIFS('2019'!$I:$I,'2019'!$E:$E,Category!$B$134,'2019'!$N:$N,Category!E$1,'2019'!$D:$D,Category!$C226)</f>
        <v>0</v>
      </c>
      <c r="F226" s="234">
        <f>SUMIFS('2019'!$I:$I,'2019'!$E:$E,Category!$B$134,'2019'!$N:$N,Category!F$1,'2019'!$D:$D,Category!$C226)</f>
        <v>0</v>
      </c>
      <c r="G226" s="234">
        <f>SUMIFS('2019'!$I:$I,'2019'!$E:$E,Category!$B$134,'2019'!$N:$N,Category!G$1,'2019'!$D:$D,Category!$C226)</f>
        <v>0</v>
      </c>
      <c r="H226" s="234">
        <f>SUMIFS('2019'!$I:$I,'2019'!$E:$E,Category!$B$134,'2019'!$N:$N,Category!H$1,'2019'!$D:$D,Category!$C226)</f>
        <v>0</v>
      </c>
      <c r="I226" s="234">
        <f>SUMIFS('2019'!$I:$I,'2019'!$E:$E,Category!$B$134,'2019'!$N:$N,Category!I$1,'2019'!$D:$D,Category!$C226)</f>
        <v>0</v>
      </c>
      <c r="J226" s="250" t="e">
        <f>SUM(#REF!)</f>
        <v>#REF!</v>
      </c>
      <c r="K226" s="507">
        <f>IFERROR(VLOOKUP($C226,'2020'!$D:$G,4,0),0)</f>
        <v>0</v>
      </c>
      <c r="L226" s="234">
        <f>SUMIFS('2020'!$I:$I,'2020'!$E:$E,Category!$B$134,'2020'!$N:$N,Category!L$1,'2020'!$D:$D,Category!$C226)</f>
        <v>0</v>
      </c>
      <c r="M226" s="234">
        <f>SUMIFS('2020'!$I:$I,'2020'!$E:$E,Category!$B$134,'2020'!$N:$N,Category!M$1,'2020'!$D:$D,Category!$C226)</f>
        <v>0</v>
      </c>
      <c r="N226" s="234">
        <f>SUMIFS('2020'!$I:$I,'2020'!$E:$E,Category!$B$134,'2020'!$N:$N,Category!N$1,'2020'!$D:$D,Category!$C226)</f>
        <v>0</v>
      </c>
      <c r="O226" s="234">
        <f>SUMIFS('2020'!$I:$I,'2020'!$E:$E,Category!$B$134,'2020'!$N:$N,Category!O$1,'2020'!$D:$D,Category!$C226)</f>
        <v>0</v>
      </c>
      <c r="P226" s="234">
        <f>SUMIFS('2020'!$I:$I,'2020'!$E:$E,Category!$B$134,'2020'!$N:$N,Category!P$1,'2020'!$D:$D,Category!$C226)</f>
        <v>0</v>
      </c>
      <c r="Q226" s="234">
        <f>SUMIFS('2020'!$I:$I,'2020'!$E:$E,Category!$B$134,'2020'!$N:$N,Category!Q$1,'2020'!$D:$D,Category!$C226)</f>
        <v>0</v>
      </c>
      <c r="R226" s="234">
        <f>SUMIFS('2020'!$I:$I,'2020'!$E:$E,Category!$B$134,'2020'!$N:$N,Category!R$1,'2020'!$D:$D,Category!$C226)</f>
        <v>0</v>
      </c>
      <c r="S226" s="234">
        <f>SUMIFS('2020'!$I:$I,'2020'!$E:$E,Category!$B$134,'2020'!$N:$N,Category!S$1,'2020'!$D:$D,Category!$C226)</f>
        <v>0</v>
      </c>
      <c r="T226" s="234">
        <f>SUMIFS('2020'!$I:$I,'2020'!$E:$E,Category!$B$134,'2020'!$N:$N,Category!T$1,'2020'!$D:$D,Category!$C226)</f>
        <v>0</v>
      </c>
      <c r="U226" s="234">
        <f>SUMIFS('2020'!$I:$I,'2020'!$E:$E,Category!$B$134,'2020'!$N:$N,Category!U$1,'2020'!$D:$D,Category!$C226)</f>
        <v>0</v>
      </c>
      <c r="V226" s="234">
        <f>SUMIFS('2020'!$I:$I,'2020'!$E:$E,Category!$B$134,'2020'!$N:$N,Category!V$1,'2020'!$D:$D,Category!$C226)</f>
        <v>0</v>
      </c>
      <c r="W226" s="234">
        <f>SUMIFS('2020'!$I:$I,'2020'!$E:$E,Category!$B$134,'2020'!$N:$N,Category!W$1,'2020'!$D:$D,Category!$C226)</f>
        <v>0</v>
      </c>
      <c r="X226" s="250">
        <f>SUM(L226:W226)</f>
        <v>0</v>
      </c>
      <c r="Y226" s="507">
        <f>IFERROR(VLOOKUP(C226,'2021'!$D:$G,4,0),0)</f>
        <v>0</v>
      </c>
      <c r="Z226" s="234">
        <f>SUMIFS('2021'!$I:$I,'2021'!$E:$E,Category!$B$134,'2021'!$N:$N,Category!Z$1,'2021'!$D:$D,Category!$C226)</f>
        <v>0</v>
      </c>
      <c r="AA226" s="234">
        <f>SUMIFS('2021'!$I:$I,'2021'!$E:$E,Category!$B$134,'2021'!$N:$N,Category!AA$1,'2021'!$D:$D,Category!$C226)</f>
        <v>0</v>
      </c>
      <c r="AB226" s="234">
        <f>SUMIFS('2021'!$I:$I,'2021'!$E:$E,Category!$B$134,'2021'!$N:$N,Category!AB$1,'2021'!$D:$D,Category!$C226)</f>
        <v>0</v>
      </c>
      <c r="AC226" s="234">
        <f>SUMIFS('2021'!$I:$I,'2021'!$E:$E,Category!$B$134,'2021'!$N:$N,Category!AC$1,'2021'!$D:$D,Category!$C226)</f>
        <v>0</v>
      </c>
      <c r="AD226" s="234">
        <f>SUMIFS('2021'!$I:$I,'2021'!$E:$E,Category!$B$134,'2021'!$N:$N,Category!AD$1,'2021'!$D:$D,Category!$C226)</f>
        <v>0</v>
      </c>
      <c r="AE226" s="234">
        <f>SUMIFS('2021'!$I:$I,'2021'!$E:$E,Category!$B$134,'2021'!$N:$N,Category!AE$1,'2021'!$D:$D,Category!$C226)</f>
        <v>0</v>
      </c>
      <c r="AF226" s="234">
        <f>SUMIFS('2021'!$I:$I,'2021'!$E:$E,Category!$B$134,'2021'!$N:$N,Category!AF$1,'2021'!$D:$D,Category!$C226)</f>
        <v>0</v>
      </c>
      <c r="AG226" s="234">
        <f>SUMIFS('2021'!$I:$I,'2021'!$E:$E,Category!$B$134,'2021'!$N:$N,Category!AG$1,'2021'!$D:$D,Category!$C226)</f>
        <v>0</v>
      </c>
      <c r="AH226" s="234">
        <f>SUMIFS('2021'!$I:$I,'2021'!$E:$E,Category!$B$134,'2021'!$N:$N,Category!AH$1,'2021'!$D:$D,Category!$C226)</f>
        <v>0</v>
      </c>
      <c r="AI226" s="234">
        <f>SUMIFS('2021'!$I:$I,'2021'!$E:$E,Category!$B$134,'2021'!$N:$N,Category!AI$1,'2021'!$D:$D,Category!$C226)</f>
        <v>0</v>
      </c>
      <c r="AJ226" s="234">
        <f>SUMIFS('2021'!$I:$I,'2021'!$E:$E,Category!$B$134,'2021'!$N:$N,Category!AJ$1,'2021'!$D:$D,Category!$C226)</f>
        <v>0</v>
      </c>
      <c r="AK226" s="234">
        <f>SUMIFS('2021'!$I:$I,'2021'!$E:$E,Category!$B$134,'2021'!$N:$N,Category!AK$1,'2021'!$D:$D,Category!$C226)</f>
        <v>0</v>
      </c>
      <c r="AL226" s="250">
        <f>SUM(Z226:AK226)</f>
        <v>0</v>
      </c>
      <c r="AM226" s="507">
        <f>IFERROR(VLOOKUP(C226,'2022'!$D:$G,4,0),0)</f>
        <v>0</v>
      </c>
      <c r="AN226" s="234">
        <f>SUMIFS('2022'!$I:$I,'2022'!$E:$E,Category!$B$134,'2022'!$N:$N,Category!AN$1,'2022'!$D:$D,Category!$C226)</f>
        <v>0</v>
      </c>
      <c r="AO226" s="234">
        <f>SUMIFS('2022'!$I:$I,'2022'!$E:$E,Category!$B$134,'2022'!$N:$N,Category!AO$1,'2022'!$D:$D,Category!$C226)</f>
        <v>0</v>
      </c>
      <c r="AP226" s="234">
        <f>SUMIFS('2022'!$I:$I,'2022'!$E:$E,Category!$B$134,'2022'!$N:$N,Category!AP$1,'2022'!$D:$D,Category!$C226)</f>
        <v>0</v>
      </c>
      <c r="AQ226" s="234">
        <f>SUMIFS('2022'!$I:$I,'2022'!$E:$E,Category!$B$134,'2022'!$N:$N,Category!AQ$1,'2022'!$D:$D,Category!$C226)</f>
        <v>0</v>
      </c>
      <c r="AR226" s="234">
        <f>SUMIFS('2022'!$I:$I,'2022'!$E:$E,Category!$B$134,'2022'!$N:$N,Category!AR$1,'2022'!$D:$D,Category!$C226)</f>
        <v>0</v>
      </c>
      <c r="AS226" s="234">
        <f>SUMIFS('2022'!$I:$I,'2022'!$E:$E,Category!$B$134,'2022'!$N:$N,Category!AS$1,'2022'!$D:$D,Category!$C226)</f>
        <v>0</v>
      </c>
      <c r="AT226" s="234">
        <f>SUMIFS('2022'!$I:$I,'2022'!$E:$E,Category!$B$134,'2022'!$N:$N,Category!AT$1,'2022'!$D:$D,Category!$C226)</f>
        <v>0</v>
      </c>
      <c r="AU226" s="234">
        <f>SUMIFS('2022'!$I:$I,'2022'!$E:$E,Category!$B$134,'2022'!$N:$N,Category!AU$1,'2022'!$D:$D,Category!$C226)</f>
        <v>0</v>
      </c>
      <c r="AV226" s="234">
        <f>SUMIFS('2022'!$I:$I,'2022'!$E:$E,Category!$B$134,'2022'!$N:$N,Category!AV$1,'2022'!$D:$D,Category!$C226)</f>
        <v>0</v>
      </c>
      <c r="AW226" s="234">
        <f>SUMIFS('2022'!$I:$I,'2022'!$E:$E,Category!$B$134,'2022'!$N:$N,Category!AW$1,'2022'!$D:$D,Category!$C226)</f>
        <v>0</v>
      </c>
      <c r="AX226" s="234">
        <f>SUMIFS('2022'!$I:$I,'2022'!$E:$E,Category!$B$134,'2022'!$N:$N,Category!AX$1,'2022'!$D:$D,Category!$C226)</f>
        <v>0</v>
      </c>
      <c r="AY226" s="234">
        <f>SUMIFS('2022'!$I:$I,'2022'!$E:$E,Category!$B$134,'2022'!$N:$N,Category!AY$1,'2022'!$D:$D,Category!$C226)</f>
        <v>0</v>
      </c>
      <c r="AZ226" s="250">
        <f>SUM(AN226:AY226)</f>
        <v>0</v>
      </c>
      <c r="BA226" s="507">
        <f>IFERROR(VLOOKUP(AE226,'2023'!$D:$G,4,0),0)</f>
        <v>0</v>
      </c>
      <c r="BB226" s="234">
        <f>SUMIFS('2023'!$I:$I,'2023'!$E:$E,Category!$B$134,'2023'!$N:$N,Category!BB$1,'2023'!$D:$D,Category!$C226)</f>
        <v>0</v>
      </c>
      <c r="BC226" s="234">
        <f>SUMIFS('2023'!$I:$I,'2023'!$E:$E,Category!$B$134,'2023'!$N:$N,Category!BC$1,'2023'!$D:$D,Category!$C226)</f>
        <v>0</v>
      </c>
      <c r="BD226" s="234">
        <f>SUMIFS('2023'!$I:$I,'2023'!$E:$E,Category!$B$134,'2023'!$N:$N,Category!BD$1,'2023'!$D:$D,Category!$C226)</f>
        <v>0</v>
      </c>
      <c r="BE226" s="234">
        <f>SUMIFS('2023'!$I:$I,'2023'!$E:$E,Category!$B$134,'2023'!$N:$N,Category!BE$1,'2023'!$D:$D,Category!$C226)</f>
        <v>0</v>
      </c>
      <c r="BF226" s="234">
        <f>SUMIFS('2023'!$I:$I,'2023'!$E:$E,Category!$B$134,'2023'!$N:$N,Category!BF$1,'2023'!$D:$D,Category!$C226)</f>
        <v>0</v>
      </c>
      <c r="BG226" s="234">
        <f>SUMIFS('2023'!$I:$I,'2023'!$E:$E,Category!$B$134,'2023'!$N:$N,Category!BG$1,'2023'!$D:$D,Category!$C226)</f>
        <v>0</v>
      </c>
      <c r="BH226" s="234">
        <f>SUMIFS('2023'!$I:$I,'2023'!$E:$E,Category!$B$134,'2023'!$N:$N,Category!BH$1,'2023'!$D:$D,Category!$C226)</f>
        <v>0</v>
      </c>
      <c r="BI226" s="234">
        <f>SUMIFS('2023'!$I:$I,'2023'!$E:$E,Category!$B$134,'2023'!$N:$N,Category!BI$1,'2023'!$D:$D,Category!$C226)</f>
        <v>0</v>
      </c>
      <c r="BJ226" s="234">
        <f>SUMIFS('2023'!$I:$I,'2023'!$E:$E,Category!$B$134,'2023'!$N:$N,Category!BJ$1,'2023'!$D:$D,Category!$C226)</f>
        <v>0</v>
      </c>
      <c r="BK226" s="234">
        <f>SUMIFS('2023'!$I:$I,'2023'!$E:$E,Category!$B$134,'2023'!$N:$N,Category!BK$1,'2023'!$D:$D,Category!$C226)</f>
        <v>0</v>
      </c>
      <c r="BL226" s="234">
        <f>SUMIFS('2023'!$I:$I,'2023'!$E:$E,Category!$B$134,'2023'!$N:$N,Category!BL$1,'2023'!$D:$D,Category!$C226)</f>
        <v>0</v>
      </c>
      <c r="BM226" s="234">
        <f>SUMIFS('2023'!$I:$I,'2023'!$E:$E,Category!$B$134,'2023'!$N:$N,Category!BM$1,'2023'!$D:$D,Category!$C226)</f>
        <v>0</v>
      </c>
      <c r="BN226" s="250">
        <f t="shared" si="69"/>
        <v>0</v>
      </c>
    </row>
    <row r="227" spans="1:66" ht="21" hidden="1" customHeight="1" x14ac:dyDescent="0.3">
      <c r="A227" s="249"/>
      <c r="B227" s="235"/>
      <c r="C227" s="235"/>
      <c r="D227" s="235">
        <f>IFERROR(VLOOKUP($C227,'2019'!$D:$G,4,0),0)</f>
        <v>0</v>
      </c>
      <c r="E227" s="234">
        <f>SUMIFS('2019'!$I:$I,'2019'!$E:$E,Category!$B$134,'2019'!$N:$N,Category!E$1,'2019'!$D:$D,Category!$C227)</f>
        <v>0</v>
      </c>
      <c r="F227" s="234">
        <f>SUMIFS('2019'!$I:$I,'2019'!$E:$E,Category!$B$134,'2019'!$N:$N,Category!F$1,'2019'!$D:$D,Category!$C227)</f>
        <v>0</v>
      </c>
      <c r="G227" s="234">
        <f>SUMIFS('2019'!$I:$I,'2019'!$E:$E,Category!$B$134,'2019'!$N:$N,Category!G$1,'2019'!$D:$D,Category!$C227)</f>
        <v>0</v>
      </c>
      <c r="H227" s="234">
        <f>SUMIFS('2019'!$I:$I,'2019'!$E:$E,Category!$B$134,'2019'!$N:$N,Category!H$1,'2019'!$D:$D,Category!$C227)</f>
        <v>0</v>
      </c>
      <c r="I227" s="234">
        <f>SUMIFS('2019'!$I:$I,'2019'!$E:$E,Category!$B$134,'2019'!$N:$N,Category!I$1,'2019'!$D:$D,Category!$C227)</f>
        <v>0</v>
      </c>
      <c r="J227" s="250" t="e">
        <f>SUM(#REF!)</f>
        <v>#REF!</v>
      </c>
      <c r="K227" s="507">
        <f>IFERROR(VLOOKUP($C227,'2020'!$D:$G,4,0),0)</f>
        <v>0</v>
      </c>
      <c r="L227" s="234">
        <f>SUMIFS('2020'!$I:$I,'2020'!$E:$E,Category!$B$134,'2020'!$N:$N,Category!L$1,'2020'!$D:$D,Category!$C227)</f>
        <v>0</v>
      </c>
      <c r="M227" s="234">
        <f>SUMIFS('2020'!$I:$I,'2020'!$E:$E,Category!$B$134,'2020'!$N:$N,Category!M$1,'2020'!$D:$D,Category!$C227)</f>
        <v>0</v>
      </c>
      <c r="N227" s="234">
        <f>SUMIFS('2020'!$I:$I,'2020'!$E:$E,Category!$B$134,'2020'!$N:$N,Category!N$1,'2020'!$D:$D,Category!$C227)</f>
        <v>0</v>
      </c>
      <c r="O227" s="234">
        <f>SUMIFS('2020'!$I:$I,'2020'!$E:$E,Category!$B$134,'2020'!$N:$N,Category!O$1,'2020'!$D:$D,Category!$C227)</f>
        <v>0</v>
      </c>
      <c r="P227" s="234">
        <f>SUMIFS('2020'!$I:$I,'2020'!$E:$E,Category!$B$134,'2020'!$N:$N,Category!P$1,'2020'!$D:$D,Category!$C227)</f>
        <v>0</v>
      </c>
      <c r="Q227" s="234">
        <f>SUMIFS('2020'!$I:$I,'2020'!$E:$E,Category!$B$134,'2020'!$N:$N,Category!Q$1,'2020'!$D:$D,Category!$C227)</f>
        <v>0</v>
      </c>
      <c r="R227" s="234">
        <f>SUMIFS('2020'!$I:$I,'2020'!$E:$E,Category!$B$134,'2020'!$N:$N,Category!R$1,'2020'!$D:$D,Category!$C227)</f>
        <v>0</v>
      </c>
      <c r="S227" s="234">
        <f>SUMIFS('2020'!$I:$I,'2020'!$E:$E,Category!$B$134,'2020'!$N:$N,Category!S$1,'2020'!$D:$D,Category!$C227)</f>
        <v>0</v>
      </c>
      <c r="T227" s="234">
        <f>SUMIFS('2020'!$I:$I,'2020'!$E:$E,Category!$B$134,'2020'!$N:$N,Category!T$1,'2020'!$D:$D,Category!$C227)</f>
        <v>0</v>
      </c>
      <c r="U227" s="234">
        <f>SUMIFS('2020'!$I:$I,'2020'!$E:$E,Category!$B$134,'2020'!$N:$N,Category!U$1,'2020'!$D:$D,Category!$C227)</f>
        <v>0</v>
      </c>
      <c r="V227" s="234">
        <f>SUMIFS('2020'!$I:$I,'2020'!$E:$E,Category!$B$134,'2020'!$N:$N,Category!V$1,'2020'!$D:$D,Category!$C227)</f>
        <v>0</v>
      </c>
      <c r="W227" s="234">
        <f>SUMIFS('2020'!$I:$I,'2020'!$E:$E,Category!$B$134,'2020'!$N:$N,Category!W$1,'2020'!$D:$D,Category!$C227)</f>
        <v>0</v>
      </c>
      <c r="X227" s="250">
        <f>SUM(L227:W227)</f>
        <v>0</v>
      </c>
      <c r="Y227" s="507">
        <f>IFERROR(VLOOKUP(C227,'2021'!$D:$G,4,0),0)</f>
        <v>0</v>
      </c>
      <c r="Z227" s="234">
        <f>SUMIFS('2021'!$I:$I,'2021'!$E:$E,Category!$B$134,'2021'!$N:$N,Category!Z$1,'2021'!$D:$D,Category!$C227)</f>
        <v>0</v>
      </c>
      <c r="AA227" s="234">
        <f>SUMIFS('2021'!$I:$I,'2021'!$E:$E,Category!$B$134,'2021'!$N:$N,Category!AA$1,'2021'!$D:$D,Category!$C227)</f>
        <v>0</v>
      </c>
      <c r="AB227" s="234">
        <f>SUMIFS('2021'!$I:$I,'2021'!$E:$E,Category!$B$134,'2021'!$N:$N,Category!AB$1,'2021'!$D:$D,Category!$C227)</f>
        <v>0</v>
      </c>
      <c r="AC227" s="234">
        <f>SUMIFS('2021'!$I:$I,'2021'!$E:$E,Category!$B$134,'2021'!$N:$N,Category!AC$1,'2021'!$D:$D,Category!$C227)</f>
        <v>0</v>
      </c>
      <c r="AD227" s="234">
        <f>SUMIFS('2021'!$I:$I,'2021'!$E:$E,Category!$B$134,'2021'!$N:$N,Category!AD$1,'2021'!$D:$D,Category!$C227)</f>
        <v>0</v>
      </c>
      <c r="AE227" s="234">
        <f>SUMIFS('2021'!$I:$I,'2021'!$E:$E,Category!$B$134,'2021'!$N:$N,Category!AE$1,'2021'!$D:$D,Category!$C227)</f>
        <v>0</v>
      </c>
      <c r="AF227" s="234">
        <f>SUMIFS('2021'!$I:$I,'2021'!$E:$E,Category!$B$134,'2021'!$N:$N,Category!AF$1,'2021'!$D:$D,Category!$C227)</f>
        <v>0</v>
      </c>
      <c r="AG227" s="234">
        <f>SUMIFS('2021'!$I:$I,'2021'!$E:$E,Category!$B$134,'2021'!$N:$N,Category!AG$1,'2021'!$D:$D,Category!$C227)</f>
        <v>0</v>
      </c>
      <c r="AH227" s="234">
        <f>SUMIFS('2021'!$I:$I,'2021'!$E:$E,Category!$B$134,'2021'!$N:$N,Category!AH$1,'2021'!$D:$D,Category!$C227)</f>
        <v>0</v>
      </c>
      <c r="AI227" s="234">
        <f>SUMIFS('2021'!$I:$I,'2021'!$E:$E,Category!$B$134,'2021'!$N:$N,Category!AI$1,'2021'!$D:$D,Category!$C227)</f>
        <v>0</v>
      </c>
      <c r="AJ227" s="234">
        <f>SUMIFS('2021'!$I:$I,'2021'!$E:$E,Category!$B$134,'2021'!$N:$N,Category!AJ$1,'2021'!$D:$D,Category!$C227)</f>
        <v>0</v>
      </c>
      <c r="AK227" s="234">
        <f>SUMIFS('2021'!$I:$I,'2021'!$E:$E,Category!$B$134,'2021'!$N:$N,Category!AK$1,'2021'!$D:$D,Category!$C227)</f>
        <v>0</v>
      </c>
      <c r="AL227" s="250">
        <f>SUM(Z227:AK227)</f>
        <v>0</v>
      </c>
      <c r="AM227" s="507">
        <f>IFERROR(VLOOKUP(C227,'2022'!$D:$G,4,0),0)</f>
        <v>0</v>
      </c>
      <c r="AN227" s="234">
        <f>SUMIFS('2022'!$I:$I,'2022'!$E:$E,Category!$B$134,'2022'!$N:$N,Category!AN$1,'2022'!$D:$D,Category!$C227)</f>
        <v>0</v>
      </c>
      <c r="AO227" s="234">
        <f>SUMIFS('2022'!$I:$I,'2022'!$E:$E,Category!$B$134,'2022'!$N:$N,Category!AO$1,'2022'!$D:$D,Category!$C227)</f>
        <v>0</v>
      </c>
      <c r="AP227" s="234">
        <f>SUMIFS('2022'!$I:$I,'2022'!$E:$E,Category!$B$134,'2022'!$N:$N,Category!AP$1,'2022'!$D:$D,Category!$C227)</f>
        <v>0</v>
      </c>
      <c r="AQ227" s="234">
        <f>SUMIFS('2022'!$I:$I,'2022'!$E:$E,Category!$B$134,'2022'!$N:$N,Category!AQ$1,'2022'!$D:$D,Category!$C227)</f>
        <v>0</v>
      </c>
      <c r="AR227" s="234">
        <f>SUMIFS('2022'!$I:$I,'2022'!$E:$E,Category!$B$134,'2022'!$N:$N,Category!AR$1,'2022'!$D:$D,Category!$C227)</f>
        <v>0</v>
      </c>
      <c r="AS227" s="234">
        <f>SUMIFS('2022'!$I:$I,'2022'!$E:$E,Category!$B$134,'2022'!$N:$N,Category!AS$1,'2022'!$D:$D,Category!$C227)</f>
        <v>0</v>
      </c>
      <c r="AT227" s="234">
        <f>SUMIFS('2022'!$I:$I,'2022'!$E:$E,Category!$B$134,'2022'!$N:$N,Category!AT$1,'2022'!$D:$D,Category!$C227)</f>
        <v>0</v>
      </c>
      <c r="AU227" s="234">
        <f>SUMIFS('2022'!$I:$I,'2022'!$E:$E,Category!$B$134,'2022'!$N:$N,Category!AU$1,'2022'!$D:$D,Category!$C227)</f>
        <v>0</v>
      </c>
      <c r="AV227" s="234">
        <f>SUMIFS('2022'!$I:$I,'2022'!$E:$E,Category!$B$134,'2022'!$N:$N,Category!AV$1,'2022'!$D:$D,Category!$C227)</f>
        <v>0</v>
      </c>
      <c r="AW227" s="234">
        <f>SUMIFS('2022'!$I:$I,'2022'!$E:$E,Category!$B$134,'2022'!$N:$N,Category!AW$1,'2022'!$D:$D,Category!$C227)</f>
        <v>0</v>
      </c>
      <c r="AX227" s="234">
        <f>SUMIFS('2022'!$I:$I,'2022'!$E:$E,Category!$B$134,'2022'!$N:$N,Category!AX$1,'2022'!$D:$D,Category!$C227)</f>
        <v>0</v>
      </c>
      <c r="AY227" s="234">
        <f>SUMIFS('2022'!$I:$I,'2022'!$E:$E,Category!$B$134,'2022'!$N:$N,Category!AY$1,'2022'!$D:$D,Category!$C227)</f>
        <v>0</v>
      </c>
      <c r="AZ227" s="250">
        <f>SUM(AN227:AY227)</f>
        <v>0</v>
      </c>
      <c r="BA227" s="507">
        <f>IFERROR(VLOOKUP(AE227,'2023'!$D:$G,4,0),0)</f>
        <v>0</v>
      </c>
      <c r="BB227" s="234">
        <f>SUMIFS('2023'!$I:$I,'2023'!$E:$E,Category!$B$134,'2023'!$N:$N,Category!BB$1,'2023'!$D:$D,Category!$C227)</f>
        <v>0</v>
      </c>
      <c r="BC227" s="234">
        <f>SUMIFS('2023'!$I:$I,'2023'!$E:$E,Category!$B$134,'2023'!$N:$N,Category!BC$1,'2023'!$D:$D,Category!$C227)</f>
        <v>0</v>
      </c>
      <c r="BD227" s="234">
        <f>SUMIFS('2023'!$I:$I,'2023'!$E:$E,Category!$B$134,'2023'!$N:$N,Category!BD$1,'2023'!$D:$D,Category!$C227)</f>
        <v>0</v>
      </c>
      <c r="BE227" s="234">
        <f>SUMIFS('2023'!$I:$I,'2023'!$E:$E,Category!$B$134,'2023'!$N:$N,Category!BE$1,'2023'!$D:$D,Category!$C227)</f>
        <v>0</v>
      </c>
      <c r="BF227" s="234">
        <f>SUMIFS('2023'!$I:$I,'2023'!$E:$E,Category!$B$134,'2023'!$N:$N,Category!BF$1,'2023'!$D:$D,Category!$C227)</f>
        <v>0</v>
      </c>
      <c r="BG227" s="234">
        <f>SUMIFS('2023'!$I:$I,'2023'!$E:$E,Category!$B$134,'2023'!$N:$N,Category!BG$1,'2023'!$D:$D,Category!$C227)</f>
        <v>0</v>
      </c>
      <c r="BH227" s="234">
        <f>SUMIFS('2023'!$I:$I,'2023'!$E:$E,Category!$B$134,'2023'!$N:$N,Category!BH$1,'2023'!$D:$D,Category!$C227)</f>
        <v>0</v>
      </c>
      <c r="BI227" s="234">
        <f>SUMIFS('2023'!$I:$I,'2023'!$E:$E,Category!$B$134,'2023'!$N:$N,Category!BI$1,'2023'!$D:$D,Category!$C227)</f>
        <v>0</v>
      </c>
      <c r="BJ227" s="234">
        <f>SUMIFS('2023'!$I:$I,'2023'!$E:$E,Category!$B$134,'2023'!$N:$N,Category!BJ$1,'2023'!$D:$D,Category!$C227)</f>
        <v>0</v>
      </c>
      <c r="BK227" s="234">
        <f>SUMIFS('2023'!$I:$I,'2023'!$E:$E,Category!$B$134,'2023'!$N:$N,Category!BK$1,'2023'!$D:$D,Category!$C227)</f>
        <v>0</v>
      </c>
      <c r="BL227" s="234">
        <f>SUMIFS('2023'!$I:$I,'2023'!$E:$E,Category!$B$134,'2023'!$N:$N,Category!BL$1,'2023'!$D:$D,Category!$C227)</f>
        <v>0</v>
      </c>
      <c r="BM227" s="234">
        <f>SUMIFS('2023'!$I:$I,'2023'!$E:$E,Category!$B$134,'2023'!$N:$N,Category!BM$1,'2023'!$D:$D,Category!$C227)</f>
        <v>0</v>
      </c>
      <c r="BN227" s="250">
        <f t="shared" si="69"/>
        <v>0</v>
      </c>
    </row>
    <row r="228" spans="1:66" ht="21" hidden="1" customHeight="1" x14ac:dyDescent="0.3">
      <c r="A228" s="249"/>
      <c r="B228" s="235"/>
      <c r="C228" s="235"/>
      <c r="D228" s="235">
        <f>IFERROR(VLOOKUP($C228,'2019'!$D:$G,4,0),0)</f>
        <v>0</v>
      </c>
      <c r="E228" s="234">
        <f>SUMIFS('2019'!$I:$I,'2019'!$E:$E,Category!$B$134,'2019'!$N:$N,Category!E$1,'2019'!$D:$D,Category!$C228)</f>
        <v>0</v>
      </c>
      <c r="F228" s="234">
        <f>SUMIFS('2019'!$I:$I,'2019'!$E:$E,Category!$B$134,'2019'!$N:$N,Category!F$1,'2019'!$D:$D,Category!$C228)</f>
        <v>0</v>
      </c>
      <c r="G228" s="234">
        <f>SUMIFS('2019'!$I:$I,'2019'!$E:$E,Category!$B$134,'2019'!$N:$N,Category!G$1,'2019'!$D:$D,Category!$C228)</f>
        <v>0</v>
      </c>
      <c r="H228" s="234">
        <f>SUMIFS('2019'!$I:$I,'2019'!$E:$E,Category!$B$134,'2019'!$N:$N,Category!H$1,'2019'!$D:$D,Category!$C228)</f>
        <v>0</v>
      </c>
      <c r="I228" s="234">
        <f>SUMIFS('2019'!$I:$I,'2019'!$E:$E,Category!$B$134,'2019'!$N:$N,Category!I$1,'2019'!$D:$D,Category!$C228)</f>
        <v>0</v>
      </c>
      <c r="J228" s="250" t="e">
        <f>SUM(#REF!)</f>
        <v>#REF!</v>
      </c>
      <c r="K228" s="507">
        <f>IFERROR(VLOOKUP($C228,'2020'!$D:$G,4,0),0)</f>
        <v>0</v>
      </c>
      <c r="L228" s="234">
        <f>SUMIFS('2020'!$I:$I,'2020'!$E:$E,Category!$B$134,'2020'!$N:$N,Category!L$1,'2020'!$D:$D,Category!$C228)</f>
        <v>0</v>
      </c>
      <c r="M228" s="234">
        <f>SUMIFS('2020'!$I:$I,'2020'!$E:$E,Category!$B$134,'2020'!$N:$N,Category!M$1,'2020'!$D:$D,Category!$C228)</f>
        <v>0</v>
      </c>
      <c r="N228" s="234">
        <f>SUMIFS('2020'!$I:$I,'2020'!$E:$E,Category!$B$134,'2020'!$N:$N,Category!N$1,'2020'!$D:$D,Category!$C228)</f>
        <v>0</v>
      </c>
      <c r="O228" s="234">
        <f>SUMIFS('2020'!$I:$I,'2020'!$E:$E,Category!$B$134,'2020'!$N:$N,Category!O$1,'2020'!$D:$D,Category!$C228)</f>
        <v>0</v>
      </c>
      <c r="P228" s="234">
        <f>SUMIFS('2020'!$I:$I,'2020'!$E:$E,Category!$B$134,'2020'!$N:$N,Category!P$1,'2020'!$D:$D,Category!$C228)</f>
        <v>0</v>
      </c>
      <c r="Q228" s="234">
        <f>SUMIFS('2020'!$I:$I,'2020'!$E:$E,Category!$B$134,'2020'!$N:$N,Category!Q$1,'2020'!$D:$D,Category!$C228)</f>
        <v>0</v>
      </c>
      <c r="R228" s="234">
        <f>SUMIFS('2020'!$I:$I,'2020'!$E:$E,Category!$B$134,'2020'!$N:$N,Category!R$1,'2020'!$D:$D,Category!$C228)</f>
        <v>0</v>
      </c>
      <c r="S228" s="234">
        <f>SUMIFS('2020'!$I:$I,'2020'!$E:$E,Category!$B$134,'2020'!$N:$N,Category!S$1,'2020'!$D:$D,Category!$C228)</f>
        <v>0</v>
      </c>
      <c r="T228" s="234">
        <f>SUMIFS('2020'!$I:$I,'2020'!$E:$E,Category!$B$134,'2020'!$N:$N,Category!T$1,'2020'!$D:$D,Category!$C228)</f>
        <v>0</v>
      </c>
      <c r="U228" s="234">
        <f>SUMIFS('2020'!$I:$I,'2020'!$E:$E,Category!$B$134,'2020'!$N:$N,Category!U$1,'2020'!$D:$D,Category!$C228)</f>
        <v>0</v>
      </c>
      <c r="V228" s="234">
        <f>SUMIFS('2020'!$I:$I,'2020'!$E:$E,Category!$B$134,'2020'!$N:$N,Category!V$1,'2020'!$D:$D,Category!$C228)</f>
        <v>0</v>
      </c>
      <c r="W228" s="234">
        <f>SUMIFS('2020'!$I:$I,'2020'!$E:$E,Category!$B$134,'2020'!$N:$N,Category!W$1,'2020'!$D:$D,Category!$C228)</f>
        <v>0</v>
      </c>
      <c r="X228" s="250">
        <f>SUM(L228:W228)</f>
        <v>0</v>
      </c>
      <c r="Y228" s="507">
        <f>IFERROR(VLOOKUP(C228,'2021'!$D:$G,4,0),0)</f>
        <v>0</v>
      </c>
      <c r="Z228" s="234">
        <f>SUMIFS('2021'!$I:$I,'2021'!$E:$E,Category!$B$134,'2021'!$N:$N,Category!Z$1,'2021'!$D:$D,Category!$C228)</f>
        <v>0</v>
      </c>
      <c r="AA228" s="234">
        <f>SUMIFS('2021'!$I:$I,'2021'!$E:$E,Category!$B$134,'2021'!$N:$N,Category!AA$1,'2021'!$D:$D,Category!$C228)</f>
        <v>0</v>
      </c>
      <c r="AB228" s="234">
        <f>SUMIFS('2021'!$I:$I,'2021'!$E:$E,Category!$B$134,'2021'!$N:$N,Category!AB$1,'2021'!$D:$D,Category!$C228)</f>
        <v>0</v>
      </c>
      <c r="AC228" s="234">
        <f>SUMIFS('2021'!$I:$I,'2021'!$E:$E,Category!$B$134,'2021'!$N:$N,Category!AC$1,'2021'!$D:$D,Category!$C228)</f>
        <v>0</v>
      </c>
      <c r="AD228" s="234">
        <f>SUMIFS('2021'!$I:$I,'2021'!$E:$E,Category!$B$134,'2021'!$N:$N,Category!AD$1,'2021'!$D:$D,Category!$C228)</f>
        <v>0</v>
      </c>
      <c r="AE228" s="234">
        <f>SUMIFS('2021'!$I:$I,'2021'!$E:$E,Category!$B$134,'2021'!$N:$N,Category!AE$1,'2021'!$D:$D,Category!$C228)</f>
        <v>0</v>
      </c>
      <c r="AF228" s="234">
        <f>SUMIFS('2021'!$I:$I,'2021'!$E:$E,Category!$B$134,'2021'!$N:$N,Category!AF$1,'2021'!$D:$D,Category!$C228)</f>
        <v>0</v>
      </c>
      <c r="AG228" s="234">
        <f>SUMIFS('2021'!$I:$I,'2021'!$E:$E,Category!$B$134,'2021'!$N:$N,Category!AG$1,'2021'!$D:$D,Category!$C228)</f>
        <v>0</v>
      </c>
      <c r="AH228" s="234">
        <f>SUMIFS('2021'!$I:$I,'2021'!$E:$E,Category!$B$134,'2021'!$N:$N,Category!AH$1,'2021'!$D:$D,Category!$C228)</f>
        <v>0</v>
      </c>
      <c r="AI228" s="234">
        <f>SUMIFS('2021'!$I:$I,'2021'!$E:$E,Category!$B$134,'2021'!$N:$N,Category!AI$1,'2021'!$D:$D,Category!$C228)</f>
        <v>0</v>
      </c>
      <c r="AJ228" s="234">
        <f>SUMIFS('2021'!$I:$I,'2021'!$E:$E,Category!$B$134,'2021'!$N:$N,Category!AJ$1,'2021'!$D:$D,Category!$C228)</f>
        <v>0</v>
      </c>
      <c r="AK228" s="234">
        <f>SUMIFS('2021'!$I:$I,'2021'!$E:$E,Category!$B$134,'2021'!$N:$N,Category!AK$1,'2021'!$D:$D,Category!$C228)</f>
        <v>0</v>
      </c>
      <c r="AL228" s="250">
        <f>SUM(Z228:AK228)</f>
        <v>0</v>
      </c>
      <c r="AM228" s="507">
        <f>IFERROR(VLOOKUP(C228,'2022'!$D:$G,4,0),0)</f>
        <v>0</v>
      </c>
      <c r="AN228" s="234">
        <f>SUMIFS('2022'!$I:$I,'2022'!$E:$E,Category!$B$134,'2022'!$N:$N,Category!AN$1,'2022'!$D:$D,Category!$C228)</f>
        <v>0</v>
      </c>
      <c r="AO228" s="234">
        <f>SUMIFS('2022'!$I:$I,'2022'!$E:$E,Category!$B$134,'2022'!$N:$N,Category!AO$1,'2022'!$D:$D,Category!$C228)</f>
        <v>0</v>
      </c>
      <c r="AP228" s="234">
        <f>SUMIFS('2022'!$I:$I,'2022'!$E:$E,Category!$B$134,'2022'!$N:$N,Category!AP$1,'2022'!$D:$D,Category!$C228)</f>
        <v>0</v>
      </c>
      <c r="AQ228" s="234">
        <f>SUMIFS('2022'!$I:$I,'2022'!$E:$E,Category!$B$134,'2022'!$N:$N,Category!AQ$1,'2022'!$D:$D,Category!$C228)</f>
        <v>0</v>
      </c>
      <c r="AR228" s="234">
        <f>SUMIFS('2022'!$I:$I,'2022'!$E:$E,Category!$B$134,'2022'!$N:$N,Category!AR$1,'2022'!$D:$D,Category!$C228)</f>
        <v>0</v>
      </c>
      <c r="AS228" s="234">
        <f>SUMIFS('2022'!$I:$I,'2022'!$E:$E,Category!$B$134,'2022'!$N:$N,Category!AS$1,'2022'!$D:$D,Category!$C228)</f>
        <v>0</v>
      </c>
      <c r="AT228" s="234">
        <f>SUMIFS('2022'!$I:$I,'2022'!$E:$E,Category!$B$134,'2022'!$N:$N,Category!AT$1,'2022'!$D:$D,Category!$C228)</f>
        <v>0</v>
      </c>
      <c r="AU228" s="234">
        <f>SUMIFS('2022'!$I:$I,'2022'!$E:$E,Category!$B$134,'2022'!$N:$N,Category!AU$1,'2022'!$D:$D,Category!$C228)</f>
        <v>0</v>
      </c>
      <c r="AV228" s="234">
        <f>SUMIFS('2022'!$I:$I,'2022'!$E:$E,Category!$B$134,'2022'!$N:$N,Category!AV$1,'2022'!$D:$D,Category!$C228)</f>
        <v>0</v>
      </c>
      <c r="AW228" s="234">
        <f>SUMIFS('2022'!$I:$I,'2022'!$E:$E,Category!$B$134,'2022'!$N:$N,Category!AW$1,'2022'!$D:$D,Category!$C228)</f>
        <v>0</v>
      </c>
      <c r="AX228" s="234">
        <f>SUMIFS('2022'!$I:$I,'2022'!$E:$E,Category!$B$134,'2022'!$N:$N,Category!AX$1,'2022'!$D:$D,Category!$C228)</f>
        <v>0</v>
      </c>
      <c r="AY228" s="234">
        <f>SUMIFS('2022'!$I:$I,'2022'!$E:$E,Category!$B$134,'2022'!$N:$N,Category!AY$1,'2022'!$D:$D,Category!$C228)</f>
        <v>0</v>
      </c>
      <c r="AZ228" s="250">
        <f>SUM(AN228:AY228)</f>
        <v>0</v>
      </c>
      <c r="BA228" s="507">
        <f>IFERROR(VLOOKUP(AE228,'2023'!$D:$G,4,0),0)</f>
        <v>0</v>
      </c>
      <c r="BB228" s="234">
        <f>SUMIFS('2023'!$I:$I,'2023'!$E:$E,Category!$B$134,'2023'!$N:$N,Category!BB$1,'2023'!$D:$D,Category!$C228)</f>
        <v>0</v>
      </c>
      <c r="BC228" s="234">
        <f>SUMIFS('2023'!$I:$I,'2023'!$E:$E,Category!$B$134,'2023'!$N:$N,Category!BC$1,'2023'!$D:$D,Category!$C228)</f>
        <v>0</v>
      </c>
      <c r="BD228" s="234">
        <f>SUMIFS('2023'!$I:$I,'2023'!$E:$E,Category!$B$134,'2023'!$N:$N,Category!BD$1,'2023'!$D:$D,Category!$C228)</f>
        <v>0</v>
      </c>
      <c r="BE228" s="234">
        <f>SUMIFS('2023'!$I:$I,'2023'!$E:$E,Category!$B$134,'2023'!$N:$N,Category!BE$1,'2023'!$D:$D,Category!$C228)</f>
        <v>0</v>
      </c>
      <c r="BF228" s="234">
        <f>SUMIFS('2023'!$I:$I,'2023'!$E:$E,Category!$B$134,'2023'!$N:$N,Category!BF$1,'2023'!$D:$D,Category!$C228)</f>
        <v>0</v>
      </c>
      <c r="BG228" s="234">
        <f>SUMIFS('2023'!$I:$I,'2023'!$E:$E,Category!$B$134,'2023'!$N:$N,Category!BG$1,'2023'!$D:$D,Category!$C228)</f>
        <v>0</v>
      </c>
      <c r="BH228" s="234">
        <f>SUMIFS('2023'!$I:$I,'2023'!$E:$E,Category!$B$134,'2023'!$N:$N,Category!BH$1,'2023'!$D:$D,Category!$C228)</f>
        <v>0</v>
      </c>
      <c r="BI228" s="234">
        <f>SUMIFS('2023'!$I:$I,'2023'!$E:$E,Category!$B$134,'2023'!$N:$N,Category!BI$1,'2023'!$D:$D,Category!$C228)</f>
        <v>0</v>
      </c>
      <c r="BJ228" s="234">
        <f>SUMIFS('2023'!$I:$I,'2023'!$E:$E,Category!$B$134,'2023'!$N:$N,Category!BJ$1,'2023'!$D:$D,Category!$C228)</f>
        <v>0</v>
      </c>
      <c r="BK228" s="234">
        <f>SUMIFS('2023'!$I:$I,'2023'!$E:$E,Category!$B$134,'2023'!$N:$N,Category!BK$1,'2023'!$D:$D,Category!$C228)</f>
        <v>0</v>
      </c>
      <c r="BL228" s="234">
        <f>SUMIFS('2023'!$I:$I,'2023'!$E:$E,Category!$B$134,'2023'!$N:$N,Category!BL$1,'2023'!$D:$D,Category!$C228)</f>
        <v>0</v>
      </c>
      <c r="BM228" s="234">
        <f>SUMIFS('2023'!$I:$I,'2023'!$E:$E,Category!$B$134,'2023'!$N:$N,Category!BM$1,'2023'!$D:$D,Category!$C228)</f>
        <v>0</v>
      </c>
      <c r="BN228" s="250">
        <f t="shared" si="69"/>
        <v>0</v>
      </c>
    </row>
    <row r="229" spans="1:66" ht="21" hidden="1" customHeight="1" x14ac:dyDescent="0.3">
      <c r="A229" s="249"/>
      <c r="B229" s="235"/>
      <c r="C229" s="235"/>
      <c r="D229" s="235">
        <f>IFERROR(VLOOKUP($C229,'2019'!$D:$G,4,0),0)</f>
        <v>0</v>
      </c>
      <c r="E229" s="234">
        <f>SUMIFS('2019'!$I:$I,'2019'!$E:$E,Category!$B$134,'2019'!$N:$N,Category!E$1,'2019'!$D:$D,Category!$C229)</f>
        <v>0</v>
      </c>
      <c r="F229" s="234">
        <f>SUMIFS('2019'!$I:$I,'2019'!$E:$E,Category!$B$134,'2019'!$N:$N,Category!F$1,'2019'!$D:$D,Category!$C229)</f>
        <v>0</v>
      </c>
      <c r="G229" s="234">
        <f>SUMIFS('2019'!$I:$I,'2019'!$E:$E,Category!$B$134,'2019'!$N:$N,Category!G$1,'2019'!$D:$D,Category!$C229)</f>
        <v>0</v>
      </c>
      <c r="H229" s="234">
        <f>SUMIFS('2019'!$I:$I,'2019'!$E:$E,Category!$B$134,'2019'!$N:$N,Category!H$1,'2019'!$D:$D,Category!$C229)</f>
        <v>0</v>
      </c>
      <c r="I229" s="234">
        <f>SUMIFS('2019'!$I:$I,'2019'!$E:$E,Category!$B$134,'2019'!$N:$N,Category!I$1,'2019'!$D:$D,Category!$C229)</f>
        <v>0</v>
      </c>
      <c r="J229" s="250" t="e">
        <f>SUM(#REF!)</f>
        <v>#REF!</v>
      </c>
      <c r="K229" s="507">
        <f>IFERROR(VLOOKUP($C229,'2020'!$D:$G,4,0),0)</f>
        <v>0</v>
      </c>
      <c r="L229" s="234">
        <f>SUMIFS('2020'!$I:$I,'2020'!$E:$E,Category!$B$134,'2020'!$N:$N,Category!L$1,'2020'!$D:$D,Category!$C229)</f>
        <v>0</v>
      </c>
      <c r="M229" s="234">
        <f>SUMIFS('2020'!$I:$I,'2020'!$E:$E,Category!$B$134,'2020'!$N:$N,Category!M$1,'2020'!$D:$D,Category!$C229)</f>
        <v>0</v>
      </c>
      <c r="N229" s="234">
        <f>SUMIFS('2020'!$I:$I,'2020'!$E:$E,Category!$B$134,'2020'!$N:$N,Category!N$1,'2020'!$D:$D,Category!$C229)</f>
        <v>0</v>
      </c>
      <c r="O229" s="234">
        <f>SUMIFS('2020'!$I:$I,'2020'!$E:$E,Category!$B$134,'2020'!$N:$N,Category!O$1,'2020'!$D:$D,Category!$C229)</f>
        <v>0</v>
      </c>
      <c r="P229" s="234">
        <f>SUMIFS('2020'!$I:$I,'2020'!$E:$E,Category!$B$134,'2020'!$N:$N,Category!P$1,'2020'!$D:$D,Category!$C229)</f>
        <v>0</v>
      </c>
      <c r="Q229" s="234">
        <f>SUMIFS('2020'!$I:$I,'2020'!$E:$E,Category!$B$134,'2020'!$N:$N,Category!Q$1,'2020'!$D:$D,Category!$C229)</f>
        <v>0</v>
      </c>
      <c r="R229" s="234">
        <f>SUMIFS('2020'!$I:$I,'2020'!$E:$E,Category!$B$134,'2020'!$N:$N,Category!R$1,'2020'!$D:$D,Category!$C229)</f>
        <v>0</v>
      </c>
      <c r="S229" s="234">
        <f>SUMIFS('2020'!$I:$I,'2020'!$E:$E,Category!$B$134,'2020'!$N:$N,Category!S$1,'2020'!$D:$D,Category!$C229)</f>
        <v>0</v>
      </c>
      <c r="T229" s="234">
        <f>SUMIFS('2020'!$I:$I,'2020'!$E:$E,Category!$B$134,'2020'!$N:$N,Category!T$1,'2020'!$D:$D,Category!$C229)</f>
        <v>0</v>
      </c>
      <c r="U229" s="234">
        <f>SUMIFS('2020'!$I:$I,'2020'!$E:$E,Category!$B$134,'2020'!$N:$N,Category!U$1,'2020'!$D:$D,Category!$C229)</f>
        <v>0</v>
      </c>
      <c r="V229" s="234">
        <f>SUMIFS('2020'!$I:$I,'2020'!$E:$E,Category!$B$134,'2020'!$N:$N,Category!V$1,'2020'!$D:$D,Category!$C229)</f>
        <v>0</v>
      </c>
      <c r="W229" s="234">
        <f>SUMIFS('2020'!$I:$I,'2020'!$E:$E,Category!$B$134,'2020'!$N:$N,Category!W$1,'2020'!$D:$D,Category!$C229)</f>
        <v>0</v>
      </c>
      <c r="X229" s="250">
        <f t="shared" ref="X229:X241" si="91">SUM(L229:W229)</f>
        <v>0</v>
      </c>
      <c r="Y229" s="507">
        <f>IFERROR(VLOOKUP(C229,'2021'!$D:$G,4,0),0)</f>
        <v>0</v>
      </c>
      <c r="Z229" s="234">
        <f>SUMIFS('2021'!$I:$I,'2021'!$E:$E,Category!$B$134,'2021'!$N:$N,Category!Z$1,'2021'!$D:$D,Category!$C229)</f>
        <v>0</v>
      </c>
      <c r="AA229" s="234">
        <f>SUMIFS('2021'!$I:$I,'2021'!$E:$E,Category!$B$134,'2021'!$N:$N,Category!AA$1,'2021'!$D:$D,Category!$C229)</f>
        <v>0</v>
      </c>
      <c r="AB229" s="234">
        <f>SUMIFS('2021'!$I:$I,'2021'!$E:$E,Category!$B$134,'2021'!$N:$N,Category!AB$1,'2021'!$D:$D,Category!$C229)</f>
        <v>0</v>
      </c>
      <c r="AC229" s="234">
        <f>SUMIFS('2021'!$I:$I,'2021'!$E:$E,Category!$B$134,'2021'!$N:$N,Category!AC$1,'2021'!$D:$D,Category!$C229)</f>
        <v>0</v>
      </c>
      <c r="AD229" s="234">
        <f>SUMIFS('2021'!$I:$I,'2021'!$E:$E,Category!$B$134,'2021'!$N:$N,Category!AD$1,'2021'!$D:$D,Category!$C229)</f>
        <v>0</v>
      </c>
      <c r="AE229" s="234">
        <f>SUMIFS('2021'!$I:$I,'2021'!$E:$E,Category!$B$134,'2021'!$N:$N,Category!AE$1,'2021'!$D:$D,Category!$C229)</f>
        <v>0</v>
      </c>
      <c r="AF229" s="234">
        <f>SUMIFS('2021'!$I:$I,'2021'!$E:$E,Category!$B$134,'2021'!$N:$N,Category!AF$1,'2021'!$D:$D,Category!$C229)</f>
        <v>0</v>
      </c>
      <c r="AG229" s="234">
        <f>SUMIFS('2021'!$I:$I,'2021'!$E:$E,Category!$B$134,'2021'!$N:$N,Category!AG$1,'2021'!$D:$D,Category!$C229)</f>
        <v>0</v>
      </c>
      <c r="AH229" s="234">
        <f>SUMIFS('2021'!$I:$I,'2021'!$E:$E,Category!$B$134,'2021'!$N:$N,Category!AH$1,'2021'!$D:$D,Category!$C229)</f>
        <v>0</v>
      </c>
      <c r="AI229" s="234">
        <f>SUMIFS('2021'!$I:$I,'2021'!$E:$E,Category!$B$134,'2021'!$N:$N,Category!AI$1,'2021'!$D:$D,Category!$C229)</f>
        <v>0</v>
      </c>
      <c r="AJ229" s="234">
        <f>SUMIFS('2021'!$I:$I,'2021'!$E:$E,Category!$B$134,'2021'!$N:$N,Category!AJ$1,'2021'!$D:$D,Category!$C229)</f>
        <v>0</v>
      </c>
      <c r="AK229" s="234">
        <f>SUMIFS('2021'!$I:$I,'2021'!$E:$E,Category!$B$134,'2021'!$N:$N,Category!AK$1,'2021'!$D:$D,Category!$C229)</f>
        <v>0</v>
      </c>
      <c r="AL229" s="250">
        <f t="shared" ref="AL229:AL241" si="92">SUM(Z229:AK229)</f>
        <v>0</v>
      </c>
      <c r="AM229" s="507">
        <f>IFERROR(VLOOKUP(C229,'2022'!$D:$G,4,0),0)</f>
        <v>0</v>
      </c>
      <c r="AN229" s="234">
        <f>SUMIFS('2022'!$I:$I,'2022'!$E:$E,Category!$B$134,'2022'!$N:$N,Category!AN$1,'2022'!$D:$D,Category!$C229)</f>
        <v>0</v>
      </c>
      <c r="AO229" s="234">
        <f>SUMIFS('2022'!$I:$I,'2022'!$E:$E,Category!$B$134,'2022'!$N:$N,Category!AO$1,'2022'!$D:$D,Category!$C229)</f>
        <v>0</v>
      </c>
      <c r="AP229" s="234">
        <f>SUMIFS('2022'!$I:$I,'2022'!$E:$E,Category!$B$134,'2022'!$N:$N,Category!AP$1,'2022'!$D:$D,Category!$C229)</f>
        <v>0</v>
      </c>
      <c r="AQ229" s="234">
        <f>SUMIFS('2022'!$I:$I,'2022'!$E:$E,Category!$B$134,'2022'!$N:$N,Category!AQ$1,'2022'!$D:$D,Category!$C229)</f>
        <v>0</v>
      </c>
      <c r="AR229" s="234">
        <f>SUMIFS('2022'!$I:$I,'2022'!$E:$E,Category!$B$134,'2022'!$N:$N,Category!AR$1,'2022'!$D:$D,Category!$C229)</f>
        <v>0</v>
      </c>
      <c r="AS229" s="234">
        <f>SUMIFS('2022'!$I:$I,'2022'!$E:$E,Category!$B$134,'2022'!$N:$N,Category!AS$1,'2022'!$D:$D,Category!$C229)</f>
        <v>0</v>
      </c>
      <c r="AT229" s="234">
        <f>SUMIFS('2022'!$I:$I,'2022'!$E:$E,Category!$B$134,'2022'!$N:$N,Category!AT$1,'2022'!$D:$D,Category!$C229)</f>
        <v>0</v>
      </c>
      <c r="AU229" s="234">
        <f>SUMIFS('2022'!$I:$I,'2022'!$E:$E,Category!$B$134,'2022'!$N:$N,Category!AU$1,'2022'!$D:$D,Category!$C229)</f>
        <v>0</v>
      </c>
      <c r="AV229" s="234">
        <f>SUMIFS('2022'!$I:$I,'2022'!$E:$E,Category!$B$134,'2022'!$N:$N,Category!AV$1,'2022'!$D:$D,Category!$C229)</f>
        <v>0</v>
      </c>
      <c r="AW229" s="234">
        <f>SUMIFS('2022'!$I:$I,'2022'!$E:$E,Category!$B$134,'2022'!$N:$N,Category!AW$1,'2022'!$D:$D,Category!$C229)</f>
        <v>0</v>
      </c>
      <c r="AX229" s="234">
        <f>SUMIFS('2022'!$I:$I,'2022'!$E:$E,Category!$B$134,'2022'!$N:$N,Category!AX$1,'2022'!$D:$D,Category!$C229)</f>
        <v>0</v>
      </c>
      <c r="AY229" s="234">
        <f>SUMIFS('2022'!$I:$I,'2022'!$E:$E,Category!$B$134,'2022'!$N:$N,Category!AY$1,'2022'!$D:$D,Category!$C229)</f>
        <v>0</v>
      </c>
      <c r="AZ229" s="250">
        <f t="shared" ref="AZ229:AZ241" si="93">SUM(AN229:AY229)</f>
        <v>0</v>
      </c>
      <c r="BA229" s="507">
        <f>IFERROR(VLOOKUP(AE229,'2023'!$D:$G,4,0),0)</f>
        <v>0</v>
      </c>
      <c r="BB229" s="234">
        <f>SUMIFS('2023'!$I:$I,'2023'!$E:$E,Category!$B$134,'2023'!$N:$N,Category!BB$1,'2023'!$D:$D,Category!$C229)</f>
        <v>0</v>
      </c>
      <c r="BC229" s="234">
        <f>SUMIFS('2023'!$I:$I,'2023'!$E:$E,Category!$B$134,'2023'!$N:$N,Category!BC$1,'2023'!$D:$D,Category!$C229)</f>
        <v>0</v>
      </c>
      <c r="BD229" s="234">
        <f>SUMIFS('2023'!$I:$I,'2023'!$E:$E,Category!$B$134,'2023'!$N:$N,Category!BD$1,'2023'!$D:$D,Category!$C229)</f>
        <v>0</v>
      </c>
      <c r="BE229" s="234">
        <f>SUMIFS('2023'!$I:$I,'2023'!$E:$E,Category!$B$134,'2023'!$N:$N,Category!BE$1,'2023'!$D:$D,Category!$C229)</f>
        <v>0</v>
      </c>
      <c r="BF229" s="234">
        <f>SUMIFS('2023'!$I:$I,'2023'!$E:$E,Category!$B$134,'2023'!$N:$N,Category!BF$1,'2023'!$D:$D,Category!$C229)</f>
        <v>0</v>
      </c>
      <c r="BG229" s="234">
        <f>SUMIFS('2023'!$I:$I,'2023'!$E:$E,Category!$B$134,'2023'!$N:$N,Category!BG$1,'2023'!$D:$D,Category!$C229)</f>
        <v>0</v>
      </c>
      <c r="BH229" s="234">
        <f>SUMIFS('2023'!$I:$I,'2023'!$E:$E,Category!$B$134,'2023'!$N:$N,Category!BH$1,'2023'!$D:$D,Category!$C229)</f>
        <v>0</v>
      </c>
      <c r="BI229" s="234">
        <f>SUMIFS('2023'!$I:$I,'2023'!$E:$E,Category!$B$134,'2023'!$N:$N,Category!BI$1,'2023'!$D:$D,Category!$C229)</f>
        <v>0</v>
      </c>
      <c r="BJ229" s="234">
        <f>SUMIFS('2023'!$I:$I,'2023'!$E:$E,Category!$B$134,'2023'!$N:$N,Category!BJ$1,'2023'!$D:$D,Category!$C229)</f>
        <v>0</v>
      </c>
      <c r="BK229" s="234">
        <f>SUMIFS('2023'!$I:$I,'2023'!$E:$E,Category!$B$134,'2023'!$N:$N,Category!BK$1,'2023'!$D:$D,Category!$C229)</f>
        <v>0</v>
      </c>
      <c r="BL229" s="234">
        <f>SUMIFS('2023'!$I:$I,'2023'!$E:$E,Category!$B$134,'2023'!$N:$N,Category!BL$1,'2023'!$D:$D,Category!$C229)</f>
        <v>0</v>
      </c>
      <c r="BM229" s="234">
        <f>SUMIFS('2023'!$I:$I,'2023'!$E:$E,Category!$B$134,'2023'!$N:$N,Category!BM$1,'2023'!$D:$D,Category!$C229)</f>
        <v>0</v>
      </c>
      <c r="BN229" s="250">
        <f t="shared" si="69"/>
        <v>0</v>
      </c>
    </row>
    <row r="230" spans="1:66" ht="21" hidden="1" customHeight="1" x14ac:dyDescent="0.3">
      <c r="A230" s="249"/>
      <c r="B230" s="235"/>
      <c r="C230" s="235"/>
      <c r="D230" s="235">
        <f>IFERROR(VLOOKUP($C230,'2019'!$D:$G,4,0),0)</f>
        <v>0</v>
      </c>
      <c r="E230" s="234">
        <f>SUMIFS('2019'!$I:$I,'2019'!$E:$E,Category!$B$134,'2019'!$N:$N,Category!E$1,'2019'!$D:$D,Category!$C230)</f>
        <v>0</v>
      </c>
      <c r="F230" s="234">
        <f>SUMIFS('2019'!$I:$I,'2019'!$E:$E,Category!$B$134,'2019'!$N:$N,Category!F$1,'2019'!$D:$D,Category!$C230)</f>
        <v>0</v>
      </c>
      <c r="G230" s="234">
        <f>SUMIFS('2019'!$I:$I,'2019'!$E:$E,Category!$B$134,'2019'!$N:$N,Category!G$1,'2019'!$D:$D,Category!$C230)</f>
        <v>0</v>
      </c>
      <c r="H230" s="234">
        <f>SUMIFS('2019'!$I:$I,'2019'!$E:$E,Category!$B$134,'2019'!$N:$N,Category!H$1,'2019'!$D:$D,Category!$C230)</f>
        <v>0</v>
      </c>
      <c r="I230" s="234">
        <f>SUMIFS('2019'!$I:$I,'2019'!$E:$E,Category!$B$134,'2019'!$N:$N,Category!I$1,'2019'!$D:$D,Category!$C230)</f>
        <v>0</v>
      </c>
      <c r="J230" s="250" t="e">
        <f>SUM(#REF!)</f>
        <v>#REF!</v>
      </c>
      <c r="K230" s="507">
        <f>IFERROR(VLOOKUP($C230,'2020'!$D:$G,4,0),0)</f>
        <v>0</v>
      </c>
      <c r="L230" s="234">
        <f>SUMIFS('2020'!$I:$I,'2020'!$E:$E,Category!$B$134,'2020'!$N:$N,Category!L$1,'2020'!$D:$D,Category!$C230)</f>
        <v>0</v>
      </c>
      <c r="M230" s="234">
        <f>SUMIFS('2020'!$I:$I,'2020'!$E:$E,Category!$B$134,'2020'!$N:$N,Category!M$1,'2020'!$D:$D,Category!$C230)</f>
        <v>0</v>
      </c>
      <c r="N230" s="234">
        <f>SUMIFS('2020'!$I:$I,'2020'!$E:$E,Category!$B$134,'2020'!$N:$N,Category!N$1,'2020'!$D:$D,Category!$C230)</f>
        <v>0</v>
      </c>
      <c r="O230" s="234">
        <f>SUMIFS('2020'!$I:$I,'2020'!$E:$E,Category!$B$134,'2020'!$N:$N,Category!O$1,'2020'!$D:$D,Category!$C230)</f>
        <v>0</v>
      </c>
      <c r="P230" s="234">
        <f>SUMIFS('2020'!$I:$I,'2020'!$E:$E,Category!$B$134,'2020'!$N:$N,Category!P$1,'2020'!$D:$D,Category!$C230)</f>
        <v>0</v>
      </c>
      <c r="Q230" s="234">
        <f>SUMIFS('2020'!$I:$I,'2020'!$E:$E,Category!$B$134,'2020'!$N:$N,Category!Q$1,'2020'!$D:$D,Category!$C230)</f>
        <v>0</v>
      </c>
      <c r="R230" s="234">
        <f>SUMIFS('2020'!$I:$I,'2020'!$E:$E,Category!$B$134,'2020'!$N:$N,Category!R$1,'2020'!$D:$D,Category!$C230)</f>
        <v>0</v>
      </c>
      <c r="S230" s="234">
        <f>SUMIFS('2020'!$I:$I,'2020'!$E:$E,Category!$B$134,'2020'!$N:$N,Category!S$1,'2020'!$D:$D,Category!$C230)</f>
        <v>0</v>
      </c>
      <c r="T230" s="234">
        <f>SUMIFS('2020'!$I:$I,'2020'!$E:$E,Category!$B$134,'2020'!$N:$N,Category!T$1,'2020'!$D:$D,Category!$C230)</f>
        <v>0</v>
      </c>
      <c r="U230" s="234">
        <f>SUMIFS('2020'!$I:$I,'2020'!$E:$E,Category!$B$134,'2020'!$N:$N,Category!U$1,'2020'!$D:$D,Category!$C230)</f>
        <v>0</v>
      </c>
      <c r="V230" s="234">
        <f>SUMIFS('2020'!$I:$I,'2020'!$E:$E,Category!$B$134,'2020'!$N:$N,Category!V$1,'2020'!$D:$D,Category!$C230)</f>
        <v>0</v>
      </c>
      <c r="W230" s="234">
        <f>SUMIFS('2020'!$I:$I,'2020'!$E:$E,Category!$B$134,'2020'!$N:$N,Category!W$1,'2020'!$D:$D,Category!$C230)</f>
        <v>0</v>
      </c>
      <c r="X230" s="250">
        <f t="shared" si="91"/>
        <v>0</v>
      </c>
      <c r="Y230" s="507">
        <f>IFERROR(VLOOKUP(C230,'2021'!$D:$G,4,0),0)</f>
        <v>0</v>
      </c>
      <c r="Z230" s="234">
        <f>SUMIFS('2021'!$I:$I,'2021'!$E:$E,Category!$B$134,'2021'!$N:$N,Category!Z$1,'2021'!$D:$D,Category!$C230)</f>
        <v>0</v>
      </c>
      <c r="AA230" s="234">
        <f>SUMIFS('2021'!$I:$I,'2021'!$E:$E,Category!$B$134,'2021'!$N:$N,Category!AA$1,'2021'!$D:$D,Category!$C230)</f>
        <v>0</v>
      </c>
      <c r="AB230" s="234">
        <f>SUMIFS('2021'!$I:$I,'2021'!$E:$E,Category!$B$134,'2021'!$N:$N,Category!AB$1,'2021'!$D:$D,Category!$C230)</f>
        <v>0</v>
      </c>
      <c r="AC230" s="234">
        <f>SUMIFS('2021'!$I:$I,'2021'!$E:$E,Category!$B$134,'2021'!$N:$N,Category!AC$1,'2021'!$D:$D,Category!$C230)</f>
        <v>0</v>
      </c>
      <c r="AD230" s="234">
        <f>SUMIFS('2021'!$I:$I,'2021'!$E:$E,Category!$B$134,'2021'!$N:$N,Category!AD$1,'2021'!$D:$D,Category!$C230)</f>
        <v>0</v>
      </c>
      <c r="AE230" s="234">
        <f>SUMIFS('2021'!$I:$I,'2021'!$E:$E,Category!$B$134,'2021'!$N:$N,Category!AE$1,'2021'!$D:$D,Category!$C230)</f>
        <v>0</v>
      </c>
      <c r="AF230" s="234">
        <f>SUMIFS('2021'!$I:$I,'2021'!$E:$E,Category!$B$134,'2021'!$N:$N,Category!AF$1,'2021'!$D:$D,Category!$C230)</f>
        <v>0</v>
      </c>
      <c r="AG230" s="234">
        <f>SUMIFS('2021'!$I:$I,'2021'!$E:$E,Category!$B$134,'2021'!$N:$N,Category!AG$1,'2021'!$D:$D,Category!$C230)</f>
        <v>0</v>
      </c>
      <c r="AH230" s="234">
        <f>SUMIFS('2021'!$I:$I,'2021'!$E:$E,Category!$B$134,'2021'!$N:$N,Category!AH$1,'2021'!$D:$D,Category!$C230)</f>
        <v>0</v>
      </c>
      <c r="AI230" s="234">
        <f>SUMIFS('2021'!$I:$I,'2021'!$E:$E,Category!$B$134,'2021'!$N:$N,Category!AI$1,'2021'!$D:$D,Category!$C230)</f>
        <v>0</v>
      </c>
      <c r="AJ230" s="234">
        <f>SUMIFS('2021'!$I:$I,'2021'!$E:$E,Category!$B$134,'2021'!$N:$N,Category!AJ$1,'2021'!$D:$D,Category!$C230)</f>
        <v>0</v>
      </c>
      <c r="AK230" s="234">
        <f>SUMIFS('2021'!$I:$I,'2021'!$E:$E,Category!$B$134,'2021'!$N:$N,Category!AK$1,'2021'!$D:$D,Category!$C230)</f>
        <v>0</v>
      </c>
      <c r="AL230" s="250">
        <f t="shared" si="92"/>
        <v>0</v>
      </c>
      <c r="AM230" s="507">
        <f>IFERROR(VLOOKUP(C230,'2022'!$D:$G,4,0),0)</f>
        <v>0</v>
      </c>
      <c r="AN230" s="234">
        <f>SUMIFS('2022'!$I:$I,'2022'!$E:$E,Category!$B$134,'2022'!$N:$N,Category!AN$1,'2022'!$D:$D,Category!$C230)</f>
        <v>0</v>
      </c>
      <c r="AO230" s="234">
        <f>SUMIFS('2022'!$I:$I,'2022'!$E:$E,Category!$B$134,'2022'!$N:$N,Category!AO$1,'2022'!$D:$D,Category!$C230)</f>
        <v>0</v>
      </c>
      <c r="AP230" s="234">
        <f>SUMIFS('2022'!$I:$I,'2022'!$E:$E,Category!$B$134,'2022'!$N:$N,Category!AP$1,'2022'!$D:$D,Category!$C230)</f>
        <v>0</v>
      </c>
      <c r="AQ230" s="234">
        <f>SUMIFS('2022'!$I:$I,'2022'!$E:$E,Category!$B$134,'2022'!$N:$N,Category!AQ$1,'2022'!$D:$D,Category!$C230)</f>
        <v>0</v>
      </c>
      <c r="AR230" s="234">
        <f>SUMIFS('2022'!$I:$I,'2022'!$E:$E,Category!$B$134,'2022'!$N:$N,Category!AR$1,'2022'!$D:$D,Category!$C230)</f>
        <v>0</v>
      </c>
      <c r="AS230" s="234">
        <f>SUMIFS('2022'!$I:$I,'2022'!$E:$E,Category!$B$134,'2022'!$N:$N,Category!AS$1,'2022'!$D:$D,Category!$C230)</f>
        <v>0</v>
      </c>
      <c r="AT230" s="234">
        <f>SUMIFS('2022'!$I:$I,'2022'!$E:$E,Category!$B$134,'2022'!$N:$N,Category!AT$1,'2022'!$D:$D,Category!$C230)</f>
        <v>0</v>
      </c>
      <c r="AU230" s="234">
        <f>SUMIFS('2022'!$I:$I,'2022'!$E:$E,Category!$B$134,'2022'!$N:$N,Category!AU$1,'2022'!$D:$D,Category!$C230)</f>
        <v>0</v>
      </c>
      <c r="AV230" s="234">
        <f>SUMIFS('2022'!$I:$I,'2022'!$E:$E,Category!$B$134,'2022'!$N:$N,Category!AV$1,'2022'!$D:$D,Category!$C230)</f>
        <v>0</v>
      </c>
      <c r="AW230" s="234">
        <f>SUMIFS('2022'!$I:$I,'2022'!$E:$E,Category!$B$134,'2022'!$N:$N,Category!AW$1,'2022'!$D:$D,Category!$C230)</f>
        <v>0</v>
      </c>
      <c r="AX230" s="234">
        <f>SUMIFS('2022'!$I:$I,'2022'!$E:$E,Category!$B$134,'2022'!$N:$N,Category!AX$1,'2022'!$D:$D,Category!$C230)</f>
        <v>0</v>
      </c>
      <c r="AY230" s="234">
        <f>SUMIFS('2022'!$I:$I,'2022'!$E:$E,Category!$B$134,'2022'!$N:$N,Category!AY$1,'2022'!$D:$D,Category!$C230)</f>
        <v>0</v>
      </c>
      <c r="AZ230" s="250">
        <f t="shared" si="93"/>
        <v>0</v>
      </c>
      <c r="BA230" s="507">
        <f>IFERROR(VLOOKUP(AE230,'2023'!$D:$G,4,0),0)</f>
        <v>0</v>
      </c>
      <c r="BB230" s="234">
        <f>SUMIFS('2023'!$I:$I,'2023'!$E:$E,Category!$B$134,'2023'!$N:$N,Category!BB$1,'2023'!$D:$D,Category!$C230)</f>
        <v>0</v>
      </c>
      <c r="BC230" s="234">
        <f>SUMIFS('2023'!$I:$I,'2023'!$E:$E,Category!$B$134,'2023'!$N:$N,Category!BC$1,'2023'!$D:$D,Category!$C230)</f>
        <v>0</v>
      </c>
      <c r="BD230" s="234">
        <f>SUMIFS('2023'!$I:$I,'2023'!$E:$E,Category!$B$134,'2023'!$N:$N,Category!BD$1,'2023'!$D:$D,Category!$C230)</f>
        <v>0</v>
      </c>
      <c r="BE230" s="234">
        <f>SUMIFS('2023'!$I:$I,'2023'!$E:$E,Category!$B$134,'2023'!$N:$N,Category!BE$1,'2023'!$D:$D,Category!$C230)</f>
        <v>0</v>
      </c>
      <c r="BF230" s="234">
        <f>SUMIFS('2023'!$I:$I,'2023'!$E:$E,Category!$B$134,'2023'!$N:$N,Category!BF$1,'2023'!$D:$D,Category!$C230)</f>
        <v>0</v>
      </c>
      <c r="BG230" s="234">
        <f>SUMIFS('2023'!$I:$I,'2023'!$E:$E,Category!$B$134,'2023'!$N:$N,Category!BG$1,'2023'!$D:$D,Category!$C230)</f>
        <v>0</v>
      </c>
      <c r="BH230" s="234">
        <f>SUMIFS('2023'!$I:$I,'2023'!$E:$E,Category!$B$134,'2023'!$N:$N,Category!BH$1,'2023'!$D:$D,Category!$C230)</f>
        <v>0</v>
      </c>
      <c r="BI230" s="234">
        <f>SUMIFS('2023'!$I:$I,'2023'!$E:$E,Category!$B$134,'2023'!$N:$N,Category!BI$1,'2023'!$D:$D,Category!$C230)</f>
        <v>0</v>
      </c>
      <c r="BJ230" s="234">
        <f>SUMIFS('2023'!$I:$I,'2023'!$E:$E,Category!$B$134,'2023'!$N:$N,Category!BJ$1,'2023'!$D:$D,Category!$C230)</f>
        <v>0</v>
      </c>
      <c r="BK230" s="234">
        <f>SUMIFS('2023'!$I:$I,'2023'!$E:$E,Category!$B$134,'2023'!$N:$N,Category!BK$1,'2023'!$D:$D,Category!$C230)</f>
        <v>0</v>
      </c>
      <c r="BL230" s="234">
        <f>SUMIFS('2023'!$I:$I,'2023'!$E:$E,Category!$B$134,'2023'!$N:$N,Category!BL$1,'2023'!$D:$D,Category!$C230)</f>
        <v>0</v>
      </c>
      <c r="BM230" s="234">
        <f>SUMIFS('2023'!$I:$I,'2023'!$E:$E,Category!$B$134,'2023'!$N:$N,Category!BM$1,'2023'!$D:$D,Category!$C230)</f>
        <v>0</v>
      </c>
      <c r="BN230" s="250">
        <f t="shared" si="69"/>
        <v>0</v>
      </c>
    </row>
    <row r="231" spans="1:66" ht="21" hidden="1" customHeight="1" x14ac:dyDescent="0.3">
      <c r="A231" s="249"/>
      <c r="B231" s="235"/>
      <c r="C231" s="235"/>
      <c r="D231" s="235">
        <f>IFERROR(VLOOKUP($C231,'2019'!$D:$G,4,0),0)</f>
        <v>0</v>
      </c>
      <c r="E231" s="234">
        <f>SUMIFS('2019'!$I:$I,'2019'!$E:$E,Category!$B$134,'2019'!$N:$N,Category!E$1,'2019'!$D:$D,Category!$C231)</f>
        <v>0</v>
      </c>
      <c r="F231" s="234">
        <f>SUMIFS('2019'!$I:$I,'2019'!$E:$E,Category!$B$134,'2019'!$N:$N,Category!F$1,'2019'!$D:$D,Category!$C231)</f>
        <v>0</v>
      </c>
      <c r="G231" s="234">
        <f>SUMIFS('2019'!$I:$I,'2019'!$E:$E,Category!$B$134,'2019'!$N:$N,Category!G$1,'2019'!$D:$D,Category!$C231)</f>
        <v>0</v>
      </c>
      <c r="H231" s="234">
        <f>SUMIFS('2019'!$I:$I,'2019'!$E:$E,Category!$B$134,'2019'!$N:$N,Category!H$1,'2019'!$D:$D,Category!$C231)</f>
        <v>0</v>
      </c>
      <c r="I231" s="234">
        <f>SUMIFS('2019'!$I:$I,'2019'!$E:$E,Category!$B$134,'2019'!$N:$N,Category!I$1,'2019'!$D:$D,Category!$C231)</f>
        <v>0</v>
      </c>
      <c r="J231" s="250" t="e">
        <f>SUM(#REF!)</f>
        <v>#REF!</v>
      </c>
      <c r="K231" s="507">
        <f>IFERROR(VLOOKUP($C231,'2020'!$D:$G,4,0),0)</f>
        <v>0</v>
      </c>
      <c r="L231" s="234">
        <f>SUMIFS('2020'!$I:$I,'2020'!$E:$E,Category!$B$134,'2020'!$N:$N,Category!L$1,'2020'!$D:$D,Category!$C231)</f>
        <v>0</v>
      </c>
      <c r="M231" s="234">
        <f>SUMIFS('2020'!$I:$I,'2020'!$E:$E,Category!$B$134,'2020'!$N:$N,Category!M$1,'2020'!$D:$D,Category!$C231)</f>
        <v>0</v>
      </c>
      <c r="N231" s="234">
        <f>SUMIFS('2020'!$I:$I,'2020'!$E:$E,Category!$B$134,'2020'!$N:$N,Category!N$1,'2020'!$D:$D,Category!$C231)</f>
        <v>0</v>
      </c>
      <c r="O231" s="234">
        <f>SUMIFS('2020'!$I:$I,'2020'!$E:$E,Category!$B$134,'2020'!$N:$N,Category!O$1,'2020'!$D:$D,Category!$C231)</f>
        <v>0</v>
      </c>
      <c r="P231" s="234">
        <f>SUMIFS('2020'!$I:$I,'2020'!$E:$E,Category!$B$134,'2020'!$N:$N,Category!P$1,'2020'!$D:$D,Category!$C231)</f>
        <v>0</v>
      </c>
      <c r="Q231" s="234">
        <f>SUMIFS('2020'!$I:$I,'2020'!$E:$E,Category!$B$134,'2020'!$N:$N,Category!Q$1,'2020'!$D:$D,Category!$C231)</f>
        <v>0</v>
      </c>
      <c r="R231" s="234">
        <f>SUMIFS('2020'!$I:$I,'2020'!$E:$E,Category!$B$134,'2020'!$N:$N,Category!R$1,'2020'!$D:$D,Category!$C231)</f>
        <v>0</v>
      </c>
      <c r="S231" s="234">
        <f>SUMIFS('2020'!$I:$I,'2020'!$E:$E,Category!$B$134,'2020'!$N:$N,Category!S$1,'2020'!$D:$D,Category!$C231)</f>
        <v>0</v>
      </c>
      <c r="T231" s="234">
        <f>SUMIFS('2020'!$I:$I,'2020'!$E:$E,Category!$B$134,'2020'!$N:$N,Category!T$1,'2020'!$D:$D,Category!$C231)</f>
        <v>0</v>
      </c>
      <c r="U231" s="234">
        <f>SUMIFS('2020'!$I:$I,'2020'!$E:$E,Category!$B$134,'2020'!$N:$N,Category!U$1,'2020'!$D:$D,Category!$C231)</f>
        <v>0</v>
      </c>
      <c r="V231" s="234">
        <f>SUMIFS('2020'!$I:$I,'2020'!$E:$E,Category!$B$134,'2020'!$N:$N,Category!V$1,'2020'!$D:$D,Category!$C231)</f>
        <v>0</v>
      </c>
      <c r="W231" s="234">
        <f>SUMIFS('2020'!$I:$I,'2020'!$E:$E,Category!$B$134,'2020'!$N:$N,Category!W$1,'2020'!$D:$D,Category!$C231)</f>
        <v>0</v>
      </c>
      <c r="X231" s="250">
        <f t="shared" si="91"/>
        <v>0</v>
      </c>
      <c r="Y231" s="507">
        <f>IFERROR(VLOOKUP(C231,'2021'!$D:$G,4,0),0)</f>
        <v>0</v>
      </c>
      <c r="Z231" s="234">
        <f>SUMIFS('2021'!$I:$I,'2021'!$E:$E,Category!$B$134,'2021'!$N:$N,Category!Z$1,'2021'!$D:$D,Category!$C231)</f>
        <v>0</v>
      </c>
      <c r="AA231" s="234">
        <f>SUMIFS('2021'!$I:$I,'2021'!$E:$E,Category!$B$134,'2021'!$N:$N,Category!AA$1,'2021'!$D:$D,Category!$C231)</f>
        <v>0</v>
      </c>
      <c r="AB231" s="234">
        <f>SUMIFS('2021'!$I:$I,'2021'!$E:$E,Category!$B$134,'2021'!$N:$N,Category!AB$1,'2021'!$D:$D,Category!$C231)</f>
        <v>0</v>
      </c>
      <c r="AC231" s="234">
        <f>SUMIFS('2021'!$I:$I,'2021'!$E:$E,Category!$B$134,'2021'!$N:$N,Category!AC$1,'2021'!$D:$D,Category!$C231)</f>
        <v>0</v>
      </c>
      <c r="AD231" s="234">
        <f>SUMIFS('2021'!$I:$I,'2021'!$E:$E,Category!$B$134,'2021'!$N:$N,Category!AD$1,'2021'!$D:$D,Category!$C231)</f>
        <v>0</v>
      </c>
      <c r="AE231" s="234">
        <f>SUMIFS('2021'!$I:$I,'2021'!$E:$E,Category!$B$134,'2021'!$N:$N,Category!AE$1,'2021'!$D:$D,Category!$C231)</f>
        <v>0</v>
      </c>
      <c r="AF231" s="234">
        <f>SUMIFS('2021'!$I:$I,'2021'!$E:$E,Category!$B$134,'2021'!$N:$N,Category!AF$1,'2021'!$D:$D,Category!$C231)</f>
        <v>0</v>
      </c>
      <c r="AG231" s="234">
        <f>SUMIFS('2021'!$I:$I,'2021'!$E:$E,Category!$B$134,'2021'!$N:$N,Category!AG$1,'2021'!$D:$D,Category!$C231)</f>
        <v>0</v>
      </c>
      <c r="AH231" s="234">
        <f>SUMIFS('2021'!$I:$I,'2021'!$E:$E,Category!$B$134,'2021'!$N:$N,Category!AH$1,'2021'!$D:$D,Category!$C231)</f>
        <v>0</v>
      </c>
      <c r="AI231" s="234">
        <f>SUMIFS('2021'!$I:$I,'2021'!$E:$E,Category!$B$134,'2021'!$N:$N,Category!AI$1,'2021'!$D:$D,Category!$C231)</f>
        <v>0</v>
      </c>
      <c r="AJ231" s="234">
        <f>SUMIFS('2021'!$I:$I,'2021'!$E:$E,Category!$B$134,'2021'!$N:$N,Category!AJ$1,'2021'!$D:$D,Category!$C231)</f>
        <v>0</v>
      </c>
      <c r="AK231" s="234">
        <f>SUMIFS('2021'!$I:$I,'2021'!$E:$E,Category!$B$134,'2021'!$N:$N,Category!AK$1,'2021'!$D:$D,Category!$C231)</f>
        <v>0</v>
      </c>
      <c r="AL231" s="250">
        <f t="shared" si="92"/>
        <v>0</v>
      </c>
      <c r="AM231" s="507">
        <f>IFERROR(VLOOKUP(C231,'2022'!$D:$G,4,0),0)</f>
        <v>0</v>
      </c>
      <c r="AN231" s="234">
        <f>SUMIFS('2022'!$I:$I,'2022'!$E:$E,Category!$B$134,'2022'!$N:$N,Category!AN$1,'2022'!$D:$D,Category!$C231)</f>
        <v>0</v>
      </c>
      <c r="AO231" s="234">
        <f>SUMIFS('2022'!$I:$I,'2022'!$E:$E,Category!$B$134,'2022'!$N:$N,Category!AO$1,'2022'!$D:$D,Category!$C231)</f>
        <v>0</v>
      </c>
      <c r="AP231" s="234">
        <f>SUMIFS('2022'!$I:$I,'2022'!$E:$E,Category!$B$134,'2022'!$N:$N,Category!AP$1,'2022'!$D:$D,Category!$C231)</f>
        <v>0</v>
      </c>
      <c r="AQ231" s="234">
        <f>SUMIFS('2022'!$I:$I,'2022'!$E:$E,Category!$B$134,'2022'!$N:$N,Category!AQ$1,'2022'!$D:$D,Category!$C231)</f>
        <v>0</v>
      </c>
      <c r="AR231" s="234">
        <f>SUMIFS('2022'!$I:$I,'2022'!$E:$E,Category!$B$134,'2022'!$N:$N,Category!AR$1,'2022'!$D:$D,Category!$C231)</f>
        <v>0</v>
      </c>
      <c r="AS231" s="234">
        <f>SUMIFS('2022'!$I:$I,'2022'!$E:$E,Category!$B$134,'2022'!$N:$N,Category!AS$1,'2022'!$D:$D,Category!$C231)</f>
        <v>0</v>
      </c>
      <c r="AT231" s="234">
        <f>SUMIFS('2022'!$I:$I,'2022'!$E:$E,Category!$B$134,'2022'!$N:$N,Category!AT$1,'2022'!$D:$D,Category!$C231)</f>
        <v>0</v>
      </c>
      <c r="AU231" s="234">
        <f>SUMIFS('2022'!$I:$I,'2022'!$E:$E,Category!$B$134,'2022'!$N:$N,Category!AU$1,'2022'!$D:$D,Category!$C231)</f>
        <v>0</v>
      </c>
      <c r="AV231" s="234">
        <f>SUMIFS('2022'!$I:$I,'2022'!$E:$E,Category!$B$134,'2022'!$N:$N,Category!AV$1,'2022'!$D:$D,Category!$C231)</f>
        <v>0</v>
      </c>
      <c r="AW231" s="234">
        <f>SUMIFS('2022'!$I:$I,'2022'!$E:$E,Category!$B$134,'2022'!$N:$N,Category!AW$1,'2022'!$D:$D,Category!$C231)</f>
        <v>0</v>
      </c>
      <c r="AX231" s="234">
        <f>SUMIFS('2022'!$I:$I,'2022'!$E:$E,Category!$B$134,'2022'!$N:$N,Category!AX$1,'2022'!$D:$D,Category!$C231)</f>
        <v>0</v>
      </c>
      <c r="AY231" s="234">
        <f>SUMIFS('2022'!$I:$I,'2022'!$E:$E,Category!$B$134,'2022'!$N:$N,Category!AY$1,'2022'!$D:$D,Category!$C231)</f>
        <v>0</v>
      </c>
      <c r="AZ231" s="250">
        <f t="shared" si="93"/>
        <v>0</v>
      </c>
      <c r="BA231" s="507">
        <f>IFERROR(VLOOKUP(AE231,'2023'!$D:$G,4,0),0)</f>
        <v>0</v>
      </c>
      <c r="BB231" s="234">
        <f>SUMIFS('2023'!$I:$I,'2023'!$E:$E,Category!$B$134,'2023'!$N:$N,Category!BB$1,'2023'!$D:$D,Category!$C231)</f>
        <v>0</v>
      </c>
      <c r="BC231" s="234">
        <f>SUMIFS('2023'!$I:$I,'2023'!$E:$E,Category!$B$134,'2023'!$N:$N,Category!BC$1,'2023'!$D:$D,Category!$C231)</f>
        <v>0</v>
      </c>
      <c r="BD231" s="234">
        <f>SUMIFS('2023'!$I:$I,'2023'!$E:$E,Category!$B$134,'2023'!$N:$N,Category!BD$1,'2023'!$D:$D,Category!$C231)</f>
        <v>0</v>
      </c>
      <c r="BE231" s="234">
        <f>SUMIFS('2023'!$I:$I,'2023'!$E:$E,Category!$B$134,'2023'!$N:$N,Category!BE$1,'2023'!$D:$D,Category!$C231)</f>
        <v>0</v>
      </c>
      <c r="BF231" s="234">
        <f>SUMIFS('2023'!$I:$I,'2023'!$E:$E,Category!$B$134,'2023'!$N:$N,Category!BF$1,'2023'!$D:$D,Category!$C231)</f>
        <v>0</v>
      </c>
      <c r="BG231" s="234">
        <f>SUMIFS('2023'!$I:$I,'2023'!$E:$E,Category!$B$134,'2023'!$N:$N,Category!BG$1,'2023'!$D:$D,Category!$C231)</f>
        <v>0</v>
      </c>
      <c r="BH231" s="234">
        <f>SUMIFS('2023'!$I:$I,'2023'!$E:$E,Category!$B$134,'2023'!$N:$N,Category!BH$1,'2023'!$D:$D,Category!$C231)</f>
        <v>0</v>
      </c>
      <c r="BI231" s="234">
        <f>SUMIFS('2023'!$I:$I,'2023'!$E:$E,Category!$B$134,'2023'!$N:$N,Category!BI$1,'2023'!$D:$D,Category!$C231)</f>
        <v>0</v>
      </c>
      <c r="BJ231" s="234">
        <f>SUMIFS('2023'!$I:$I,'2023'!$E:$E,Category!$B$134,'2023'!$N:$N,Category!BJ$1,'2023'!$D:$D,Category!$C231)</f>
        <v>0</v>
      </c>
      <c r="BK231" s="234">
        <f>SUMIFS('2023'!$I:$I,'2023'!$E:$E,Category!$B$134,'2023'!$N:$N,Category!BK$1,'2023'!$D:$D,Category!$C231)</f>
        <v>0</v>
      </c>
      <c r="BL231" s="234">
        <f>SUMIFS('2023'!$I:$I,'2023'!$E:$E,Category!$B$134,'2023'!$N:$N,Category!BL$1,'2023'!$D:$D,Category!$C231)</f>
        <v>0</v>
      </c>
      <c r="BM231" s="234">
        <f>SUMIFS('2023'!$I:$I,'2023'!$E:$E,Category!$B$134,'2023'!$N:$N,Category!BM$1,'2023'!$D:$D,Category!$C231)</f>
        <v>0</v>
      </c>
      <c r="BN231" s="250">
        <f t="shared" si="69"/>
        <v>0</v>
      </c>
    </row>
    <row r="232" spans="1:66" ht="21" hidden="1" customHeight="1" x14ac:dyDescent="0.3">
      <c r="A232" s="249"/>
      <c r="B232" s="235"/>
      <c r="C232" s="235"/>
      <c r="D232" s="235">
        <f>IFERROR(VLOOKUP($C232,'2019'!$D:$G,4,0),0)</f>
        <v>0</v>
      </c>
      <c r="E232" s="234">
        <f>SUMIFS('2019'!$I:$I,'2019'!$E:$E,Category!$B$134,'2019'!$N:$N,Category!E$1,'2019'!$D:$D,Category!$C232)</f>
        <v>0</v>
      </c>
      <c r="F232" s="234">
        <f>SUMIFS('2019'!$I:$I,'2019'!$E:$E,Category!$B$134,'2019'!$N:$N,Category!F$1,'2019'!$D:$D,Category!$C232)</f>
        <v>0</v>
      </c>
      <c r="G232" s="234">
        <f>SUMIFS('2019'!$I:$I,'2019'!$E:$E,Category!$B$134,'2019'!$N:$N,Category!G$1,'2019'!$D:$D,Category!$C232)</f>
        <v>0</v>
      </c>
      <c r="H232" s="234">
        <f>SUMIFS('2019'!$I:$I,'2019'!$E:$E,Category!$B$134,'2019'!$N:$N,Category!H$1,'2019'!$D:$D,Category!$C232)</f>
        <v>0</v>
      </c>
      <c r="I232" s="234">
        <f>SUMIFS('2019'!$I:$I,'2019'!$E:$E,Category!$B$134,'2019'!$N:$N,Category!I$1,'2019'!$D:$D,Category!$C232)</f>
        <v>0</v>
      </c>
      <c r="J232" s="250" t="e">
        <f>SUM(#REF!)</f>
        <v>#REF!</v>
      </c>
      <c r="K232" s="507">
        <f>IFERROR(VLOOKUP($C232,'2020'!$D:$G,4,0),0)</f>
        <v>0</v>
      </c>
      <c r="L232" s="234">
        <f>SUMIFS('2020'!$I:$I,'2020'!$E:$E,Category!$B$134,'2020'!$N:$N,Category!L$1,'2020'!$D:$D,Category!$C232)</f>
        <v>0</v>
      </c>
      <c r="M232" s="234">
        <f>SUMIFS('2020'!$I:$I,'2020'!$E:$E,Category!$B$134,'2020'!$N:$N,Category!M$1,'2020'!$D:$D,Category!$C232)</f>
        <v>0</v>
      </c>
      <c r="N232" s="234">
        <f>SUMIFS('2020'!$I:$I,'2020'!$E:$E,Category!$B$134,'2020'!$N:$N,Category!N$1,'2020'!$D:$D,Category!$C232)</f>
        <v>0</v>
      </c>
      <c r="O232" s="234">
        <f>SUMIFS('2020'!$I:$I,'2020'!$E:$E,Category!$B$134,'2020'!$N:$N,Category!O$1,'2020'!$D:$D,Category!$C232)</f>
        <v>0</v>
      </c>
      <c r="P232" s="234">
        <f>SUMIFS('2020'!$I:$I,'2020'!$E:$E,Category!$B$134,'2020'!$N:$N,Category!P$1,'2020'!$D:$D,Category!$C232)</f>
        <v>0</v>
      </c>
      <c r="Q232" s="234">
        <f>SUMIFS('2020'!$I:$I,'2020'!$E:$E,Category!$B$134,'2020'!$N:$N,Category!Q$1,'2020'!$D:$D,Category!$C232)</f>
        <v>0</v>
      </c>
      <c r="R232" s="234">
        <f>SUMIFS('2020'!$I:$I,'2020'!$E:$E,Category!$B$134,'2020'!$N:$N,Category!R$1,'2020'!$D:$D,Category!$C232)</f>
        <v>0</v>
      </c>
      <c r="S232" s="234">
        <f>SUMIFS('2020'!$I:$I,'2020'!$E:$E,Category!$B$134,'2020'!$N:$N,Category!S$1,'2020'!$D:$D,Category!$C232)</f>
        <v>0</v>
      </c>
      <c r="T232" s="234">
        <f>SUMIFS('2020'!$I:$I,'2020'!$E:$E,Category!$B$134,'2020'!$N:$N,Category!T$1,'2020'!$D:$D,Category!$C232)</f>
        <v>0</v>
      </c>
      <c r="U232" s="234">
        <f>SUMIFS('2020'!$I:$I,'2020'!$E:$E,Category!$B$134,'2020'!$N:$N,Category!U$1,'2020'!$D:$D,Category!$C232)</f>
        <v>0</v>
      </c>
      <c r="V232" s="234">
        <f>SUMIFS('2020'!$I:$I,'2020'!$E:$E,Category!$B$134,'2020'!$N:$N,Category!V$1,'2020'!$D:$D,Category!$C232)</f>
        <v>0</v>
      </c>
      <c r="W232" s="234">
        <f>SUMIFS('2020'!$I:$I,'2020'!$E:$E,Category!$B$134,'2020'!$N:$N,Category!W$1,'2020'!$D:$D,Category!$C232)</f>
        <v>0</v>
      </c>
      <c r="X232" s="250">
        <f t="shared" si="91"/>
        <v>0</v>
      </c>
      <c r="Y232" s="507">
        <f>IFERROR(VLOOKUP(C232,'2021'!$D:$G,4,0),0)</f>
        <v>0</v>
      </c>
      <c r="Z232" s="234">
        <f>SUMIFS('2021'!$I:$I,'2021'!$E:$E,Category!$B$134,'2021'!$N:$N,Category!Z$1,'2021'!$D:$D,Category!$C232)</f>
        <v>0</v>
      </c>
      <c r="AA232" s="234">
        <f>SUMIFS('2021'!$I:$I,'2021'!$E:$E,Category!$B$134,'2021'!$N:$N,Category!AA$1,'2021'!$D:$D,Category!$C232)</f>
        <v>0</v>
      </c>
      <c r="AB232" s="234">
        <f>SUMIFS('2021'!$I:$I,'2021'!$E:$E,Category!$B$134,'2021'!$N:$N,Category!AB$1,'2021'!$D:$D,Category!$C232)</f>
        <v>0</v>
      </c>
      <c r="AC232" s="234">
        <f>SUMIFS('2021'!$I:$I,'2021'!$E:$E,Category!$B$134,'2021'!$N:$N,Category!AC$1,'2021'!$D:$D,Category!$C232)</f>
        <v>0</v>
      </c>
      <c r="AD232" s="234">
        <f>SUMIFS('2021'!$I:$I,'2021'!$E:$E,Category!$B$134,'2021'!$N:$N,Category!AD$1,'2021'!$D:$D,Category!$C232)</f>
        <v>0</v>
      </c>
      <c r="AE232" s="234">
        <f>SUMIFS('2021'!$I:$I,'2021'!$E:$E,Category!$B$134,'2021'!$N:$N,Category!AE$1,'2021'!$D:$D,Category!$C232)</f>
        <v>0</v>
      </c>
      <c r="AF232" s="234">
        <f>SUMIFS('2021'!$I:$I,'2021'!$E:$E,Category!$B$134,'2021'!$N:$N,Category!AF$1,'2021'!$D:$D,Category!$C232)</f>
        <v>0</v>
      </c>
      <c r="AG232" s="234">
        <f>SUMIFS('2021'!$I:$I,'2021'!$E:$E,Category!$B$134,'2021'!$N:$N,Category!AG$1,'2021'!$D:$D,Category!$C232)</f>
        <v>0</v>
      </c>
      <c r="AH232" s="234">
        <f>SUMIFS('2021'!$I:$I,'2021'!$E:$E,Category!$B$134,'2021'!$N:$N,Category!AH$1,'2021'!$D:$D,Category!$C232)</f>
        <v>0</v>
      </c>
      <c r="AI232" s="234">
        <f>SUMIFS('2021'!$I:$I,'2021'!$E:$E,Category!$B$134,'2021'!$N:$N,Category!AI$1,'2021'!$D:$D,Category!$C232)</f>
        <v>0</v>
      </c>
      <c r="AJ232" s="234">
        <f>SUMIFS('2021'!$I:$I,'2021'!$E:$E,Category!$B$134,'2021'!$N:$N,Category!AJ$1,'2021'!$D:$D,Category!$C232)</f>
        <v>0</v>
      </c>
      <c r="AK232" s="234">
        <f>SUMIFS('2021'!$I:$I,'2021'!$E:$E,Category!$B$134,'2021'!$N:$N,Category!AK$1,'2021'!$D:$D,Category!$C232)</f>
        <v>0</v>
      </c>
      <c r="AL232" s="250">
        <f t="shared" si="92"/>
        <v>0</v>
      </c>
      <c r="AM232" s="507">
        <f>IFERROR(VLOOKUP(C232,'2022'!$D:$G,4,0),0)</f>
        <v>0</v>
      </c>
      <c r="AN232" s="234">
        <f>SUMIFS('2022'!$I:$I,'2022'!$E:$E,Category!$B$134,'2022'!$N:$N,Category!AN$1,'2022'!$D:$D,Category!$C232)</f>
        <v>0</v>
      </c>
      <c r="AO232" s="234">
        <f>SUMIFS('2022'!$I:$I,'2022'!$E:$E,Category!$B$134,'2022'!$N:$N,Category!AO$1,'2022'!$D:$D,Category!$C232)</f>
        <v>0</v>
      </c>
      <c r="AP232" s="234">
        <f>SUMIFS('2022'!$I:$I,'2022'!$E:$E,Category!$B$134,'2022'!$N:$N,Category!AP$1,'2022'!$D:$D,Category!$C232)</f>
        <v>0</v>
      </c>
      <c r="AQ232" s="234">
        <f>SUMIFS('2022'!$I:$I,'2022'!$E:$E,Category!$B$134,'2022'!$N:$N,Category!AQ$1,'2022'!$D:$D,Category!$C232)</f>
        <v>0</v>
      </c>
      <c r="AR232" s="234">
        <f>SUMIFS('2022'!$I:$I,'2022'!$E:$E,Category!$B$134,'2022'!$N:$N,Category!AR$1,'2022'!$D:$D,Category!$C232)</f>
        <v>0</v>
      </c>
      <c r="AS232" s="234">
        <f>SUMIFS('2022'!$I:$I,'2022'!$E:$E,Category!$B$134,'2022'!$N:$N,Category!AS$1,'2022'!$D:$D,Category!$C232)</f>
        <v>0</v>
      </c>
      <c r="AT232" s="234">
        <f>SUMIFS('2022'!$I:$I,'2022'!$E:$E,Category!$B$134,'2022'!$N:$N,Category!AT$1,'2022'!$D:$D,Category!$C232)</f>
        <v>0</v>
      </c>
      <c r="AU232" s="234">
        <f>SUMIFS('2022'!$I:$I,'2022'!$E:$E,Category!$B$134,'2022'!$N:$N,Category!AU$1,'2022'!$D:$D,Category!$C232)</f>
        <v>0</v>
      </c>
      <c r="AV232" s="234">
        <f>SUMIFS('2022'!$I:$I,'2022'!$E:$E,Category!$B$134,'2022'!$N:$N,Category!AV$1,'2022'!$D:$D,Category!$C232)</f>
        <v>0</v>
      </c>
      <c r="AW232" s="234">
        <f>SUMIFS('2022'!$I:$I,'2022'!$E:$E,Category!$B$134,'2022'!$N:$N,Category!AW$1,'2022'!$D:$D,Category!$C232)</f>
        <v>0</v>
      </c>
      <c r="AX232" s="234">
        <f>SUMIFS('2022'!$I:$I,'2022'!$E:$E,Category!$B$134,'2022'!$N:$N,Category!AX$1,'2022'!$D:$D,Category!$C232)</f>
        <v>0</v>
      </c>
      <c r="AY232" s="234">
        <f>SUMIFS('2022'!$I:$I,'2022'!$E:$E,Category!$B$134,'2022'!$N:$N,Category!AY$1,'2022'!$D:$D,Category!$C232)</f>
        <v>0</v>
      </c>
      <c r="AZ232" s="250">
        <f t="shared" si="93"/>
        <v>0</v>
      </c>
      <c r="BA232" s="507">
        <f>IFERROR(VLOOKUP(AE232,'2023'!$D:$G,4,0),0)</f>
        <v>0</v>
      </c>
      <c r="BB232" s="234">
        <f>SUMIFS('2023'!$I:$I,'2023'!$E:$E,Category!$B$134,'2023'!$N:$N,Category!BB$1,'2023'!$D:$D,Category!$C232)</f>
        <v>0</v>
      </c>
      <c r="BC232" s="234">
        <f>SUMIFS('2023'!$I:$I,'2023'!$E:$E,Category!$B$134,'2023'!$N:$N,Category!BC$1,'2023'!$D:$D,Category!$C232)</f>
        <v>0</v>
      </c>
      <c r="BD232" s="234">
        <f>SUMIFS('2023'!$I:$I,'2023'!$E:$E,Category!$B$134,'2023'!$N:$N,Category!BD$1,'2023'!$D:$D,Category!$C232)</f>
        <v>0</v>
      </c>
      <c r="BE232" s="234">
        <f>SUMIFS('2023'!$I:$I,'2023'!$E:$E,Category!$B$134,'2023'!$N:$N,Category!BE$1,'2023'!$D:$D,Category!$C232)</f>
        <v>0</v>
      </c>
      <c r="BF232" s="234">
        <f>SUMIFS('2023'!$I:$I,'2023'!$E:$E,Category!$B$134,'2023'!$N:$N,Category!BF$1,'2023'!$D:$D,Category!$C232)</f>
        <v>0</v>
      </c>
      <c r="BG232" s="234">
        <f>SUMIFS('2023'!$I:$I,'2023'!$E:$E,Category!$B$134,'2023'!$N:$N,Category!BG$1,'2023'!$D:$D,Category!$C232)</f>
        <v>0</v>
      </c>
      <c r="BH232" s="234">
        <f>SUMIFS('2023'!$I:$I,'2023'!$E:$E,Category!$B$134,'2023'!$N:$N,Category!BH$1,'2023'!$D:$D,Category!$C232)</f>
        <v>0</v>
      </c>
      <c r="BI232" s="234">
        <f>SUMIFS('2023'!$I:$I,'2023'!$E:$E,Category!$B$134,'2023'!$N:$N,Category!BI$1,'2023'!$D:$D,Category!$C232)</f>
        <v>0</v>
      </c>
      <c r="BJ232" s="234">
        <f>SUMIFS('2023'!$I:$I,'2023'!$E:$E,Category!$B$134,'2023'!$N:$N,Category!BJ$1,'2023'!$D:$D,Category!$C232)</f>
        <v>0</v>
      </c>
      <c r="BK232" s="234">
        <f>SUMIFS('2023'!$I:$I,'2023'!$E:$E,Category!$B$134,'2023'!$N:$N,Category!BK$1,'2023'!$D:$D,Category!$C232)</f>
        <v>0</v>
      </c>
      <c r="BL232" s="234">
        <f>SUMIFS('2023'!$I:$I,'2023'!$E:$E,Category!$B$134,'2023'!$N:$N,Category!BL$1,'2023'!$D:$D,Category!$C232)</f>
        <v>0</v>
      </c>
      <c r="BM232" s="234">
        <f>SUMIFS('2023'!$I:$I,'2023'!$E:$E,Category!$B$134,'2023'!$N:$N,Category!BM$1,'2023'!$D:$D,Category!$C232)</f>
        <v>0</v>
      </c>
      <c r="BN232" s="250">
        <f t="shared" si="69"/>
        <v>0</v>
      </c>
    </row>
    <row r="233" spans="1:66" ht="21" hidden="1" customHeight="1" x14ac:dyDescent="0.3">
      <c r="A233" s="249"/>
      <c r="B233" s="235"/>
      <c r="C233" s="235"/>
      <c r="D233" s="235">
        <f>IFERROR(VLOOKUP($C233,'2019'!$D:$G,4,0),0)</f>
        <v>0</v>
      </c>
      <c r="E233" s="234">
        <f>SUMIFS('2019'!$I:$I,'2019'!$E:$E,Category!$B$134,'2019'!$N:$N,Category!E$1,'2019'!$D:$D,Category!$C233)</f>
        <v>0</v>
      </c>
      <c r="F233" s="234">
        <f>SUMIFS('2019'!$I:$I,'2019'!$E:$E,Category!$B$134,'2019'!$N:$N,Category!F$1,'2019'!$D:$D,Category!$C233)</f>
        <v>0</v>
      </c>
      <c r="G233" s="234">
        <f>SUMIFS('2019'!$I:$I,'2019'!$E:$E,Category!$B$134,'2019'!$N:$N,Category!G$1,'2019'!$D:$D,Category!$C233)</f>
        <v>0</v>
      </c>
      <c r="H233" s="234">
        <f>SUMIFS('2019'!$I:$I,'2019'!$E:$E,Category!$B$134,'2019'!$N:$N,Category!H$1,'2019'!$D:$D,Category!$C233)</f>
        <v>0</v>
      </c>
      <c r="I233" s="234">
        <f>SUMIFS('2019'!$I:$I,'2019'!$E:$E,Category!$B$134,'2019'!$N:$N,Category!I$1,'2019'!$D:$D,Category!$C233)</f>
        <v>0</v>
      </c>
      <c r="J233" s="250" t="e">
        <f>SUM(#REF!)</f>
        <v>#REF!</v>
      </c>
      <c r="K233" s="507">
        <f>IFERROR(VLOOKUP($C233,'2020'!$D:$G,4,0),0)</f>
        <v>0</v>
      </c>
      <c r="L233" s="234">
        <f>SUMIFS('2020'!$I:$I,'2020'!$E:$E,Category!$B$134,'2020'!$N:$N,Category!L$1,'2020'!$D:$D,Category!$C233)</f>
        <v>0</v>
      </c>
      <c r="M233" s="234">
        <f>SUMIFS('2020'!$I:$I,'2020'!$E:$E,Category!$B$134,'2020'!$N:$N,Category!M$1,'2020'!$D:$D,Category!$C233)</f>
        <v>0</v>
      </c>
      <c r="N233" s="234">
        <f>SUMIFS('2020'!$I:$I,'2020'!$E:$E,Category!$B$134,'2020'!$N:$N,Category!N$1,'2020'!$D:$D,Category!$C233)</f>
        <v>0</v>
      </c>
      <c r="O233" s="234">
        <f>SUMIFS('2020'!$I:$I,'2020'!$E:$E,Category!$B$134,'2020'!$N:$N,Category!O$1,'2020'!$D:$D,Category!$C233)</f>
        <v>0</v>
      </c>
      <c r="P233" s="234">
        <f>SUMIFS('2020'!$I:$I,'2020'!$E:$E,Category!$B$134,'2020'!$N:$N,Category!P$1,'2020'!$D:$D,Category!$C233)</f>
        <v>0</v>
      </c>
      <c r="Q233" s="234">
        <f>SUMIFS('2020'!$I:$I,'2020'!$E:$E,Category!$B$134,'2020'!$N:$N,Category!Q$1,'2020'!$D:$D,Category!$C233)</f>
        <v>0</v>
      </c>
      <c r="R233" s="234">
        <f>SUMIFS('2020'!$I:$I,'2020'!$E:$E,Category!$B$134,'2020'!$N:$N,Category!R$1,'2020'!$D:$D,Category!$C233)</f>
        <v>0</v>
      </c>
      <c r="S233" s="234">
        <f>SUMIFS('2020'!$I:$I,'2020'!$E:$E,Category!$B$134,'2020'!$N:$N,Category!S$1,'2020'!$D:$D,Category!$C233)</f>
        <v>0</v>
      </c>
      <c r="T233" s="234">
        <f>SUMIFS('2020'!$I:$I,'2020'!$E:$E,Category!$B$134,'2020'!$N:$N,Category!T$1,'2020'!$D:$D,Category!$C233)</f>
        <v>0</v>
      </c>
      <c r="U233" s="234">
        <f>SUMIFS('2020'!$I:$I,'2020'!$E:$E,Category!$B$134,'2020'!$N:$N,Category!U$1,'2020'!$D:$D,Category!$C233)</f>
        <v>0</v>
      </c>
      <c r="V233" s="234">
        <f>SUMIFS('2020'!$I:$I,'2020'!$E:$E,Category!$B$134,'2020'!$N:$N,Category!V$1,'2020'!$D:$D,Category!$C233)</f>
        <v>0</v>
      </c>
      <c r="W233" s="234">
        <f>SUMIFS('2020'!$I:$I,'2020'!$E:$E,Category!$B$134,'2020'!$N:$N,Category!W$1,'2020'!$D:$D,Category!$C233)</f>
        <v>0</v>
      </c>
      <c r="X233" s="250">
        <f t="shared" si="91"/>
        <v>0</v>
      </c>
      <c r="Y233" s="507">
        <f>IFERROR(VLOOKUP(C233,'2021'!$D:$G,4,0),0)</f>
        <v>0</v>
      </c>
      <c r="Z233" s="234">
        <f>SUMIFS('2021'!$I:$I,'2021'!$E:$E,Category!$B$134,'2021'!$N:$N,Category!Z$1,'2021'!$D:$D,Category!$C233)</f>
        <v>0</v>
      </c>
      <c r="AA233" s="234">
        <f>SUMIFS('2021'!$I:$I,'2021'!$E:$E,Category!$B$134,'2021'!$N:$N,Category!AA$1,'2021'!$D:$D,Category!$C233)</f>
        <v>0</v>
      </c>
      <c r="AB233" s="234">
        <f>SUMIFS('2021'!$I:$I,'2021'!$E:$E,Category!$B$134,'2021'!$N:$N,Category!AB$1,'2021'!$D:$D,Category!$C233)</f>
        <v>0</v>
      </c>
      <c r="AC233" s="234">
        <f>SUMIFS('2021'!$I:$I,'2021'!$E:$E,Category!$B$134,'2021'!$N:$N,Category!AC$1,'2021'!$D:$D,Category!$C233)</f>
        <v>0</v>
      </c>
      <c r="AD233" s="234">
        <f>SUMIFS('2021'!$I:$I,'2021'!$E:$E,Category!$B$134,'2021'!$N:$N,Category!AD$1,'2021'!$D:$D,Category!$C233)</f>
        <v>0</v>
      </c>
      <c r="AE233" s="234">
        <f>SUMIFS('2021'!$I:$I,'2021'!$E:$E,Category!$B$134,'2021'!$N:$N,Category!AE$1,'2021'!$D:$D,Category!$C233)</f>
        <v>0</v>
      </c>
      <c r="AF233" s="234">
        <f>SUMIFS('2021'!$I:$I,'2021'!$E:$E,Category!$B$134,'2021'!$N:$N,Category!AF$1,'2021'!$D:$D,Category!$C233)</f>
        <v>0</v>
      </c>
      <c r="AG233" s="234">
        <f>SUMIFS('2021'!$I:$I,'2021'!$E:$E,Category!$B$134,'2021'!$N:$N,Category!AG$1,'2021'!$D:$D,Category!$C233)</f>
        <v>0</v>
      </c>
      <c r="AH233" s="234">
        <f>SUMIFS('2021'!$I:$I,'2021'!$E:$E,Category!$B$134,'2021'!$N:$N,Category!AH$1,'2021'!$D:$D,Category!$C233)</f>
        <v>0</v>
      </c>
      <c r="AI233" s="234">
        <f>SUMIFS('2021'!$I:$I,'2021'!$E:$E,Category!$B$134,'2021'!$N:$N,Category!AI$1,'2021'!$D:$D,Category!$C233)</f>
        <v>0</v>
      </c>
      <c r="AJ233" s="234">
        <f>SUMIFS('2021'!$I:$I,'2021'!$E:$E,Category!$B$134,'2021'!$N:$N,Category!AJ$1,'2021'!$D:$D,Category!$C233)</f>
        <v>0</v>
      </c>
      <c r="AK233" s="234">
        <f>SUMIFS('2021'!$I:$I,'2021'!$E:$E,Category!$B$134,'2021'!$N:$N,Category!AK$1,'2021'!$D:$D,Category!$C233)</f>
        <v>0</v>
      </c>
      <c r="AL233" s="250">
        <f t="shared" si="92"/>
        <v>0</v>
      </c>
      <c r="AM233" s="507">
        <f>IFERROR(VLOOKUP(C233,'2022'!$D:$G,4,0),0)</f>
        <v>0</v>
      </c>
      <c r="AN233" s="234">
        <f>SUMIFS('2022'!$I:$I,'2022'!$E:$E,Category!$B$134,'2022'!$N:$N,Category!AN$1,'2022'!$D:$D,Category!$C233)</f>
        <v>0</v>
      </c>
      <c r="AO233" s="234">
        <f>SUMIFS('2022'!$I:$I,'2022'!$E:$E,Category!$B$134,'2022'!$N:$N,Category!AO$1,'2022'!$D:$D,Category!$C233)</f>
        <v>0</v>
      </c>
      <c r="AP233" s="234">
        <f>SUMIFS('2022'!$I:$I,'2022'!$E:$E,Category!$B$134,'2022'!$N:$N,Category!AP$1,'2022'!$D:$D,Category!$C233)</f>
        <v>0</v>
      </c>
      <c r="AQ233" s="234">
        <f>SUMIFS('2022'!$I:$I,'2022'!$E:$E,Category!$B$134,'2022'!$N:$N,Category!AQ$1,'2022'!$D:$D,Category!$C233)</f>
        <v>0</v>
      </c>
      <c r="AR233" s="234">
        <f>SUMIFS('2022'!$I:$I,'2022'!$E:$E,Category!$B$134,'2022'!$N:$N,Category!AR$1,'2022'!$D:$D,Category!$C233)</f>
        <v>0</v>
      </c>
      <c r="AS233" s="234">
        <f>SUMIFS('2022'!$I:$I,'2022'!$E:$E,Category!$B$134,'2022'!$N:$N,Category!AS$1,'2022'!$D:$D,Category!$C233)</f>
        <v>0</v>
      </c>
      <c r="AT233" s="234">
        <f>SUMIFS('2022'!$I:$I,'2022'!$E:$E,Category!$B$134,'2022'!$N:$N,Category!AT$1,'2022'!$D:$D,Category!$C233)</f>
        <v>0</v>
      </c>
      <c r="AU233" s="234">
        <f>SUMIFS('2022'!$I:$I,'2022'!$E:$E,Category!$B$134,'2022'!$N:$N,Category!AU$1,'2022'!$D:$D,Category!$C233)</f>
        <v>0</v>
      </c>
      <c r="AV233" s="234">
        <f>SUMIFS('2022'!$I:$I,'2022'!$E:$E,Category!$B$134,'2022'!$N:$N,Category!AV$1,'2022'!$D:$D,Category!$C233)</f>
        <v>0</v>
      </c>
      <c r="AW233" s="234">
        <f>SUMIFS('2022'!$I:$I,'2022'!$E:$E,Category!$B$134,'2022'!$N:$N,Category!AW$1,'2022'!$D:$D,Category!$C233)</f>
        <v>0</v>
      </c>
      <c r="AX233" s="234">
        <f>SUMIFS('2022'!$I:$I,'2022'!$E:$E,Category!$B$134,'2022'!$N:$N,Category!AX$1,'2022'!$D:$D,Category!$C233)</f>
        <v>0</v>
      </c>
      <c r="AY233" s="234">
        <f>SUMIFS('2022'!$I:$I,'2022'!$E:$E,Category!$B$134,'2022'!$N:$N,Category!AY$1,'2022'!$D:$D,Category!$C233)</f>
        <v>0</v>
      </c>
      <c r="AZ233" s="250">
        <f t="shared" si="93"/>
        <v>0</v>
      </c>
      <c r="BA233" s="507">
        <f>IFERROR(VLOOKUP(AE233,'2023'!$D:$G,4,0),0)</f>
        <v>0</v>
      </c>
      <c r="BB233" s="234">
        <f>SUMIFS('2023'!$I:$I,'2023'!$E:$E,Category!$B$134,'2023'!$N:$N,Category!BB$1,'2023'!$D:$D,Category!$C233)</f>
        <v>0</v>
      </c>
      <c r="BC233" s="234">
        <f>SUMIFS('2023'!$I:$I,'2023'!$E:$E,Category!$B$134,'2023'!$N:$N,Category!BC$1,'2023'!$D:$D,Category!$C233)</f>
        <v>0</v>
      </c>
      <c r="BD233" s="234">
        <f>SUMIFS('2023'!$I:$I,'2023'!$E:$E,Category!$B$134,'2023'!$N:$N,Category!BD$1,'2023'!$D:$D,Category!$C233)</f>
        <v>0</v>
      </c>
      <c r="BE233" s="234">
        <f>SUMIFS('2023'!$I:$I,'2023'!$E:$E,Category!$B$134,'2023'!$N:$N,Category!BE$1,'2023'!$D:$D,Category!$C233)</f>
        <v>0</v>
      </c>
      <c r="BF233" s="234">
        <f>SUMIFS('2023'!$I:$I,'2023'!$E:$E,Category!$B$134,'2023'!$N:$N,Category!BF$1,'2023'!$D:$D,Category!$C233)</f>
        <v>0</v>
      </c>
      <c r="BG233" s="234">
        <f>SUMIFS('2023'!$I:$I,'2023'!$E:$E,Category!$B$134,'2023'!$N:$N,Category!BG$1,'2023'!$D:$D,Category!$C233)</f>
        <v>0</v>
      </c>
      <c r="BH233" s="234">
        <f>SUMIFS('2023'!$I:$I,'2023'!$E:$E,Category!$B$134,'2023'!$N:$N,Category!BH$1,'2023'!$D:$D,Category!$C233)</f>
        <v>0</v>
      </c>
      <c r="BI233" s="234">
        <f>SUMIFS('2023'!$I:$I,'2023'!$E:$E,Category!$B$134,'2023'!$N:$N,Category!BI$1,'2023'!$D:$D,Category!$C233)</f>
        <v>0</v>
      </c>
      <c r="BJ233" s="234">
        <f>SUMIFS('2023'!$I:$I,'2023'!$E:$E,Category!$B$134,'2023'!$N:$N,Category!BJ$1,'2023'!$D:$D,Category!$C233)</f>
        <v>0</v>
      </c>
      <c r="BK233" s="234">
        <f>SUMIFS('2023'!$I:$I,'2023'!$E:$E,Category!$B$134,'2023'!$N:$N,Category!BK$1,'2023'!$D:$D,Category!$C233)</f>
        <v>0</v>
      </c>
      <c r="BL233" s="234">
        <f>SUMIFS('2023'!$I:$I,'2023'!$E:$E,Category!$B$134,'2023'!$N:$N,Category!BL$1,'2023'!$D:$D,Category!$C233)</f>
        <v>0</v>
      </c>
      <c r="BM233" s="234">
        <f>SUMIFS('2023'!$I:$I,'2023'!$E:$E,Category!$B$134,'2023'!$N:$N,Category!BM$1,'2023'!$D:$D,Category!$C233)</f>
        <v>0</v>
      </c>
      <c r="BN233" s="250">
        <f t="shared" si="69"/>
        <v>0</v>
      </c>
    </row>
    <row r="234" spans="1:66" ht="21" hidden="1" customHeight="1" x14ac:dyDescent="0.3">
      <c r="A234" s="249"/>
      <c r="B234" s="235"/>
      <c r="C234" s="235"/>
      <c r="D234" s="235">
        <f>IFERROR(VLOOKUP($C234,'2019'!$D:$G,4,0),0)</f>
        <v>0</v>
      </c>
      <c r="E234" s="234">
        <f>SUMIFS('2019'!$I:$I,'2019'!$E:$E,Category!$B$134,'2019'!$N:$N,Category!E$1,'2019'!$D:$D,Category!$C234)</f>
        <v>0</v>
      </c>
      <c r="F234" s="234">
        <f>SUMIFS('2019'!$I:$I,'2019'!$E:$E,Category!$B$134,'2019'!$N:$N,Category!F$1,'2019'!$D:$D,Category!$C234)</f>
        <v>0</v>
      </c>
      <c r="G234" s="234">
        <f>SUMIFS('2019'!$I:$I,'2019'!$E:$E,Category!$B$134,'2019'!$N:$N,Category!G$1,'2019'!$D:$D,Category!$C234)</f>
        <v>0</v>
      </c>
      <c r="H234" s="234">
        <f>SUMIFS('2019'!$I:$I,'2019'!$E:$E,Category!$B$134,'2019'!$N:$N,Category!H$1,'2019'!$D:$D,Category!$C234)</f>
        <v>0</v>
      </c>
      <c r="I234" s="234">
        <f>SUMIFS('2019'!$I:$I,'2019'!$E:$E,Category!$B$134,'2019'!$N:$N,Category!I$1,'2019'!$D:$D,Category!$C234)</f>
        <v>0</v>
      </c>
      <c r="J234" s="250" t="e">
        <f>SUM(#REF!)</f>
        <v>#REF!</v>
      </c>
      <c r="K234" s="507">
        <f>IFERROR(VLOOKUP($C234,'2020'!$D:$G,4,0),0)</f>
        <v>0</v>
      </c>
      <c r="L234" s="234">
        <f>SUMIFS('2020'!$I:$I,'2020'!$E:$E,Category!$B$134,'2020'!$N:$N,Category!L$1,'2020'!$D:$D,Category!$C234)</f>
        <v>0</v>
      </c>
      <c r="M234" s="234">
        <f>SUMIFS('2020'!$I:$I,'2020'!$E:$E,Category!$B$134,'2020'!$N:$N,Category!M$1,'2020'!$D:$D,Category!$C234)</f>
        <v>0</v>
      </c>
      <c r="N234" s="234">
        <f>SUMIFS('2020'!$I:$I,'2020'!$E:$E,Category!$B$134,'2020'!$N:$N,Category!N$1,'2020'!$D:$D,Category!$C234)</f>
        <v>0</v>
      </c>
      <c r="O234" s="234">
        <f>SUMIFS('2020'!$I:$I,'2020'!$E:$E,Category!$B$134,'2020'!$N:$N,Category!O$1,'2020'!$D:$D,Category!$C234)</f>
        <v>0</v>
      </c>
      <c r="P234" s="234">
        <f>SUMIFS('2020'!$I:$I,'2020'!$E:$E,Category!$B$134,'2020'!$N:$N,Category!P$1,'2020'!$D:$D,Category!$C234)</f>
        <v>0</v>
      </c>
      <c r="Q234" s="234">
        <f>SUMIFS('2020'!$I:$I,'2020'!$E:$E,Category!$B$134,'2020'!$N:$N,Category!Q$1,'2020'!$D:$D,Category!$C234)</f>
        <v>0</v>
      </c>
      <c r="R234" s="234">
        <f>SUMIFS('2020'!$I:$I,'2020'!$E:$E,Category!$B$134,'2020'!$N:$N,Category!R$1,'2020'!$D:$D,Category!$C234)</f>
        <v>0</v>
      </c>
      <c r="S234" s="234">
        <f>SUMIFS('2020'!$I:$I,'2020'!$E:$E,Category!$B$134,'2020'!$N:$N,Category!S$1,'2020'!$D:$D,Category!$C234)</f>
        <v>0</v>
      </c>
      <c r="T234" s="234">
        <f>SUMIFS('2020'!$I:$I,'2020'!$E:$E,Category!$B$134,'2020'!$N:$N,Category!T$1,'2020'!$D:$D,Category!$C234)</f>
        <v>0</v>
      </c>
      <c r="U234" s="234">
        <f>SUMIFS('2020'!$I:$I,'2020'!$E:$E,Category!$B$134,'2020'!$N:$N,Category!U$1,'2020'!$D:$D,Category!$C234)</f>
        <v>0</v>
      </c>
      <c r="V234" s="234">
        <f>SUMIFS('2020'!$I:$I,'2020'!$E:$E,Category!$B$134,'2020'!$N:$N,Category!V$1,'2020'!$D:$D,Category!$C234)</f>
        <v>0</v>
      </c>
      <c r="W234" s="234">
        <f>SUMIFS('2020'!$I:$I,'2020'!$E:$E,Category!$B$134,'2020'!$N:$N,Category!W$1,'2020'!$D:$D,Category!$C234)</f>
        <v>0</v>
      </c>
      <c r="X234" s="250">
        <f t="shared" si="91"/>
        <v>0</v>
      </c>
      <c r="Y234" s="507">
        <f>IFERROR(VLOOKUP(C234,'2021'!$D:$G,4,0),0)</f>
        <v>0</v>
      </c>
      <c r="Z234" s="234">
        <f>SUMIFS('2021'!$I:$I,'2021'!$E:$E,Category!$B$134,'2021'!$N:$N,Category!Z$1,'2021'!$D:$D,Category!$C234)</f>
        <v>0</v>
      </c>
      <c r="AA234" s="234">
        <f>SUMIFS('2021'!$I:$I,'2021'!$E:$E,Category!$B$134,'2021'!$N:$N,Category!AA$1,'2021'!$D:$D,Category!$C234)</f>
        <v>0</v>
      </c>
      <c r="AB234" s="234">
        <f>SUMIFS('2021'!$I:$I,'2021'!$E:$E,Category!$B$134,'2021'!$N:$N,Category!AB$1,'2021'!$D:$D,Category!$C234)</f>
        <v>0</v>
      </c>
      <c r="AC234" s="234">
        <f>SUMIFS('2021'!$I:$I,'2021'!$E:$E,Category!$B$134,'2021'!$N:$N,Category!AC$1,'2021'!$D:$D,Category!$C234)</f>
        <v>0</v>
      </c>
      <c r="AD234" s="234">
        <f>SUMIFS('2021'!$I:$I,'2021'!$E:$E,Category!$B$134,'2021'!$N:$N,Category!AD$1,'2021'!$D:$D,Category!$C234)</f>
        <v>0</v>
      </c>
      <c r="AE234" s="234">
        <f>SUMIFS('2021'!$I:$I,'2021'!$E:$E,Category!$B$134,'2021'!$N:$N,Category!AE$1,'2021'!$D:$D,Category!$C234)</f>
        <v>0</v>
      </c>
      <c r="AF234" s="234">
        <f>SUMIFS('2021'!$I:$I,'2021'!$E:$E,Category!$B$134,'2021'!$N:$N,Category!AF$1,'2021'!$D:$D,Category!$C234)</f>
        <v>0</v>
      </c>
      <c r="AG234" s="234">
        <f>SUMIFS('2021'!$I:$I,'2021'!$E:$E,Category!$B$134,'2021'!$N:$N,Category!AG$1,'2021'!$D:$D,Category!$C234)</f>
        <v>0</v>
      </c>
      <c r="AH234" s="234">
        <f>SUMIFS('2021'!$I:$I,'2021'!$E:$E,Category!$B$134,'2021'!$N:$N,Category!AH$1,'2021'!$D:$D,Category!$C234)</f>
        <v>0</v>
      </c>
      <c r="AI234" s="234">
        <f>SUMIFS('2021'!$I:$I,'2021'!$E:$E,Category!$B$134,'2021'!$N:$N,Category!AI$1,'2021'!$D:$D,Category!$C234)</f>
        <v>0</v>
      </c>
      <c r="AJ234" s="234">
        <f>SUMIFS('2021'!$I:$I,'2021'!$E:$E,Category!$B$134,'2021'!$N:$N,Category!AJ$1,'2021'!$D:$D,Category!$C234)</f>
        <v>0</v>
      </c>
      <c r="AK234" s="234">
        <f>SUMIFS('2021'!$I:$I,'2021'!$E:$E,Category!$B$134,'2021'!$N:$N,Category!AK$1,'2021'!$D:$D,Category!$C234)</f>
        <v>0</v>
      </c>
      <c r="AL234" s="250">
        <f t="shared" si="92"/>
        <v>0</v>
      </c>
      <c r="AM234" s="507">
        <f>IFERROR(VLOOKUP(C234,'2022'!$D:$G,4,0),0)</f>
        <v>0</v>
      </c>
      <c r="AN234" s="234">
        <f>SUMIFS('2022'!$I:$I,'2022'!$E:$E,Category!$B$134,'2022'!$N:$N,Category!AN$1,'2022'!$D:$D,Category!$C234)</f>
        <v>0</v>
      </c>
      <c r="AO234" s="234">
        <f>SUMIFS('2022'!$I:$I,'2022'!$E:$E,Category!$B$134,'2022'!$N:$N,Category!AO$1,'2022'!$D:$D,Category!$C234)</f>
        <v>0</v>
      </c>
      <c r="AP234" s="234">
        <f>SUMIFS('2022'!$I:$I,'2022'!$E:$E,Category!$B$134,'2022'!$N:$N,Category!AP$1,'2022'!$D:$D,Category!$C234)</f>
        <v>0</v>
      </c>
      <c r="AQ234" s="234">
        <f>SUMIFS('2022'!$I:$I,'2022'!$E:$E,Category!$B$134,'2022'!$N:$N,Category!AQ$1,'2022'!$D:$D,Category!$C234)</f>
        <v>0</v>
      </c>
      <c r="AR234" s="234">
        <f>SUMIFS('2022'!$I:$I,'2022'!$E:$E,Category!$B$134,'2022'!$N:$N,Category!AR$1,'2022'!$D:$D,Category!$C234)</f>
        <v>0</v>
      </c>
      <c r="AS234" s="234">
        <f>SUMIFS('2022'!$I:$I,'2022'!$E:$E,Category!$B$134,'2022'!$N:$N,Category!AS$1,'2022'!$D:$D,Category!$C234)</f>
        <v>0</v>
      </c>
      <c r="AT234" s="234">
        <f>SUMIFS('2022'!$I:$I,'2022'!$E:$E,Category!$B$134,'2022'!$N:$N,Category!AT$1,'2022'!$D:$D,Category!$C234)</f>
        <v>0</v>
      </c>
      <c r="AU234" s="234">
        <f>SUMIFS('2022'!$I:$I,'2022'!$E:$E,Category!$B$134,'2022'!$N:$N,Category!AU$1,'2022'!$D:$D,Category!$C234)</f>
        <v>0</v>
      </c>
      <c r="AV234" s="234">
        <f>SUMIFS('2022'!$I:$I,'2022'!$E:$E,Category!$B$134,'2022'!$N:$N,Category!AV$1,'2022'!$D:$D,Category!$C234)</f>
        <v>0</v>
      </c>
      <c r="AW234" s="234">
        <f>SUMIFS('2022'!$I:$I,'2022'!$E:$E,Category!$B$134,'2022'!$N:$N,Category!AW$1,'2022'!$D:$D,Category!$C234)</f>
        <v>0</v>
      </c>
      <c r="AX234" s="234">
        <f>SUMIFS('2022'!$I:$I,'2022'!$E:$E,Category!$B$134,'2022'!$N:$N,Category!AX$1,'2022'!$D:$D,Category!$C234)</f>
        <v>0</v>
      </c>
      <c r="AY234" s="234">
        <f>SUMIFS('2022'!$I:$I,'2022'!$E:$E,Category!$B$134,'2022'!$N:$N,Category!AY$1,'2022'!$D:$D,Category!$C234)</f>
        <v>0</v>
      </c>
      <c r="AZ234" s="250">
        <f t="shared" si="93"/>
        <v>0</v>
      </c>
      <c r="BA234" s="507">
        <f>IFERROR(VLOOKUP(AE234,'2023'!$D:$G,4,0),0)</f>
        <v>0</v>
      </c>
      <c r="BB234" s="234">
        <f>SUMIFS('2023'!$I:$I,'2023'!$E:$E,Category!$B$134,'2023'!$N:$N,Category!BB$1,'2023'!$D:$D,Category!$C234)</f>
        <v>0</v>
      </c>
      <c r="BC234" s="234">
        <f>SUMIFS('2023'!$I:$I,'2023'!$E:$E,Category!$B$134,'2023'!$N:$N,Category!BC$1,'2023'!$D:$D,Category!$C234)</f>
        <v>0</v>
      </c>
      <c r="BD234" s="234">
        <f>SUMIFS('2023'!$I:$I,'2023'!$E:$E,Category!$B$134,'2023'!$N:$N,Category!BD$1,'2023'!$D:$D,Category!$C234)</f>
        <v>0</v>
      </c>
      <c r="BE234" s="234">
        <f>SUMIFS('2023'!$I:$I,'2023'!$E:$E,Category!$B$134,'2023'!$N:$N,Category!BE$1,'2023'!$D:$D,Category!$C234)</f>
        <v>0</v>
      </c>
      <c r="BF234" s="234">
        <f>SUMIFS('2023'!$I:$I,'2023'!$E:$E,Category!$B$134,'2023'!$N:$N,Category!BF$1,'2023'!$D:$D,Category!$C234)</f>
        <v>0</v>
      </c>
      <c r="BG234" s="234">
        <f>SUMIFS('2023'!$I:$I,'2023'!$E:$E,Category!$B$134,'2023'!$N:$N,Category!BG$1,'2023'!$D:$D,Category!$C234)</f>
        <v>0</v>
      </c>
      <c r="BH234" s="234">
        <f>SUMIFS('2023'!$I:$I,'2023'!$E:$E,Category!$B$134,'2023'!$N:$N,Category!BH$1,'2023'!$D:$D,Category!$C234)</f>
        <v>0</v>
      </c>
      <c r="BI234" s="234">
        <f>SUMIFS('2023'!$I:$I,'2023'!$E:$E,Category!$B$134,'2023'!$N:$N,Category!BI$1,'2023'!$D:$D,Category!$C234)</f>
        <v>0</v>
      </c>
      <c r="BJ234" s="234">
        <f>SUMIFS('2023'!$I:$I,'2023'!$E:$E,Category!$B$134,'2023'!$N:$N,Category!BJ$1,'2023'!$D:$D,Category!$C234)</f>
        <v>0</v>
      </c>
      <c r="BK234" s="234">
        <f>SUMIFS('2023'!$I:$I,'2023'!$E:$E,Category!$B$134,'2023'!$N:$N,Category!BK$1,'2023'!$D:$D,Category!$C234)</f>
        <v>0</v>
      </c>
      <c r="BL234" s="234">
        <f>SUMIFS('2023'!$I:$I,'2023'!$E:$E,Category!$B$134,'2023'!$N:$N,Category!BL$1,'2023'!$D:$D,Category!$C234)</f>
        <v>0</v>
      </c>
      <c r="BM234" s="234">
        <f>SUMIFS('2023'!$I:$I,'2023'!$E:$E,Category!$B$134,'2023'!$N:$N,Category!BM$1,'2023'!$D:$D,Category!$C234)</f>
        <v>0</v>
      </c>
      <c r="BN234" s="250">
        <f t="shared" si="69"/>
        <v>0</v>
      </c>
    </row>
    <row r="235" spans="1:66" ht="21" hidden="1" customHeight="1" x14ac:dyDescent="0.3">
      <c r="A235" s="249"/>
      <c r="B235" s="235"/>
      <c r="C235" s="235"/>
      <c r="D235" s="235">
        <f>IFERROR(VLOOKUP($C235,'2019'!$D:$G,4,0),0)</f>
        <v>0</v>
      </c>
      <c r="E235" s="234">
        <f>SUMIFS('2019'!$I:$I,'2019'!$E:$E,Category!$B$134,'2019'!$N:$N,Category!E$1,'2019'!$D:$D,Category!$C235)</f>
        <v>0</v>
      </c>
      <c r="F235" s="234">
        <f>SUMIFS('2019'!$I:$I,'2019'!$E:$E,Category!$B$134,'2019'!$N:$N,Category!F$1,'2019'!$D:$D,Category!$C235)</f>
        <v>0</v>
      </c>
      <c r="G235" s="234">
        <f>SUMIFS('2019'!$I:$I,'2019'!$E:$E,Category!$B$134,'2019'!$N:$N,Category!G$1,'2019'!$D:$D,Category!$C235)</f>
        <v>0</v>
      </c>
      <c r="H235" s="234">
        <f>SUMIFS('2019'!$I:$I,'2019'!$E:$E,Category!$B$134,'2019'!$N:$N,Category!H$1,'2019'!$D:$D,Category!$C235)</f>
        <v>0</v>
      </c>
      <c r="I235" s="234">
        <f>SUMIFS('2019'!$I:$I,'2019'!$E:$E,Category!$B$134,'2019'!$N:$N,Category!I$1,'2019'!$D:$D,Category!$C235)</f>
        <v>0</v>
      </c>
      <c r="J235" s="250" t="e">
        <f>SUM(#REF!)</f>
        <v>#REF!</v>
      </c>
      <c r="K235" s="507">
        <f>IFERROR(VLOOKUP($C235,'2020'!$D:$G,4,0),0)</f>
        <v>0</v>
      </c>
      <c r="L235" s="234">
        <f>SUMIFS('2020'!$I:$I,'2020'!$E:$E,Category!$B$134,'2020'!$N:$N,Category!L$1,'2020'!$D:$D,Category!$C235)</f>
        <v>0</v>
      </c>
      <c r="M235" s="234">
        <f>SUMIFS('2020'!$I:$I,'2020'!$E:$E,Category!$B$134,'2020'!$N:$N,Category!M$1,'2020'!$D:$D,Category!$C235)</f>
        <v>0</v>
      </c>
      <c r="N235" s="234">
        <f>SUMIFS('2020'!$I:$I,'2020'!$E:$E,Category!$B$134,'2020'!$N:$N,Category!N$1,'2020'!$D:$D,Category!$C235)</f>
        <v>0</v>
      </c>
      <c r="O235" s="234">
        <f>SUMIFS('2020'!$I:$I,'2020'!$E:$E,Category!$B$134,'2020'!$N:$N,Category!O$1,'2020'!$D:$D,Category!$C235)</f>
        <v>0</v>
      </c>
      <c r="P235" s="234">
        <f>SUMIFS('2020'!$I:$I,'2020'!$E:$E,Category!$B$134,'2020'!$N:$N,Category!P$1,'2020'!$D:$D,Category!$C235)</f>
        <v>0</v>
      </c>
      <c r="Q235" s="234">
        <f>SUMIFS('2020'!$I:$I,'2020'!$E:$E,Category!$B$134,'2020'!$N:$N,Category!Q$1,'2020'!$D:$D,Category!$C235)</f>
        <v>0</v>
      </c>
      <c r="R235" s="234">
        <f>SUMIFS('2020'!$I:$I,'2020'!$E:$E,Category!$B$134,'2020'!$N:$N,Category!R$1,'2020'!$D:$D,Category!$C235)</f>
        <v>0</v>
      </c>
      <c r="S235" s="234">
        <f>SUMIFS('2020'!$I:$I,'2020'!$E:$E,Category!$B$134,'2020'!$N:$N,Category!S$1,'2020'!$D:$D,Category!$C235)</f>
        <v>0</v>
      </c>
      <c r="T235" s="234">
        <f>SUMIFS('2020'!$I:$I,'2020'!$E:$E,Category!$B$134,'2020'!$N:$N,Category!T$1,'2020'!$D:$D,Category!$C235)</f>
        <v>0</v>
      </c>
      <c r="U235" s="234">
        <f>SUMIFS('2020'!$I:$I,'2020'!$E:$E,Category!$B$134,'2020'!$N:$N,Category!U$1,'2020'!$D:$D,Category!$C235)</f>
        <v>0</v>
      </c>
      <c r="V235" s="234">
        <f>SUMIFS('2020'!$I:$I,'2020'!$E:$E,Category!$B$134,'2020'!$N:$N,Category!V$1,'2020'!$D:$D,Category!$C235)</f>
        <v>0</v>
      </c>
      <c r="W235" s="234">
        <f>SUMIFS('2020'!$I:$I,'2020'!$E:$E,Category!$B$134,'2020'!$N:$N,Category!W$1,'2020'!$D:$D,Category!$C235)</f>
        <v>0</v>
      </c>
      <c r="X235" s="250">
        <f t="shared" si="91"/>
        <v>0</v>
      </c>
      <c r="Y235" s="507">
        <f>IFERROR(VLOOKUP(C235,'2021'!$D:$G,4,0),0)</f>
        <v>0</v>
      </c>
      <c r="Z235" s="234">
        <f>SUMIFS('2021'!$I:$I,'2021'!$E:$E,Category!$B$134,'2021'!$N:$N,Category!Z$1,'2021'!$D:$D,Category!$C235)</f>
        <v>0</v>
      </c>
      <c r="AA235" s="234">
        <f>SUMIFS('2021'!$I:$I,'2021'!$E:$E,Category!$B$134,'2021'!$N:$N,Category!AA$1,'2021'!$D:$D,Category!$C235)</f>
        <v>0</v>
      </c>
      <c r="AB235" s="234">
        <f>SUMIFS('2021'!$I:$I,'2021'!$E:$E,Category!$B$134,'2021'!$N:$N,Category!AB$1,'2021'!$D:$D,Category!$C235)</f>
        <v>0</v>
      </c>
      <c r="AC235" s="234">
        <f>SUMIFS('2021'!$I:$I,'2021'!$E:$E,Category!$B$134,'2021'!$N:$N,Category!AC$1,'2021'!$D:$D,Category!$C235)</f>
        <v>0</v>
      </c>
      <c r="AD235" s="234">
        <f>SUMIFS('2021'!$I:$I,'2021'!$E:$E,Category!$B$134,'2021'!$N:$N,Category!AD$1,'2021'!$D:$D,Category!$C235)</f>
        <v>0</v>
      </c>
      <c r="AE235" s="234">
        <f>SUMIFS('2021'!$I:$I,'2021'!$E:$E,Category!$B$134,'2021'!$N:$N,Category!AE$1,'2021'!$D:$D,Category!$C235)</f>
        <v>0</v>
      </c>
      <c r="AF235" s="234">
        <f>SUMIFS('2021'!$I:$I,'2021'!$E:$E,Category!$B$134,'2021'!$N:$N,Category!AF$1,'2021'!$D:$D,Category!$C235)</f>
        <v>0</v>
      </c>
      <c r="AG235" s="234">
        <f>SUMIFS('2021'!$I:$I,'2021'!$E:$E,Category!$B$134,'2021'!$N:$N,Category!AG$1,'2021'!$D:$D,Category!$C235)</f>
        <v>0</v>
      </c>
      <c r="AH235" s="234">
        <f>SUMIFS('2021'!$I:$I,'2021'!$E:$E,Category!$B$134,'2021'!$N:$N,Category!AH$1,'2021'!$D:$D,Category!$C235)</f>
        <v>0</v>
      </c>
      <c r="AI235" s="234">
        <f>SUMIFS('2021'!$I:$I,'2021'!$E:$E,Category!$B$134,'2021'!$N:$N,Category!AI$1,'2021'!$D:$D,Category!$C235)</f>
        <v>0</v>
      </c>
      <c r="AJ235" s="234">
        <f>SUMIFS('2021'!$I:$I,'2021'!$E:$E,Category!$B$134,'2021'!$N:$N,Category!AJ$1,'2021'!$D:$D,Category!$C235)</f>
        <v>0</v>
      </c>
      <c r="AK235" s="234">
        <f>SUMIFS('2021'!$I:$I,'2021'!$E:$E,Category!$B$134,'2021'!$N:$N,Category!AK$1,'2021'!$D:$D,Category!$C235)</f>
        <v>0</v>
      </c>
      <c r="AL235" s="250">
        <f t="shared" si="92"/>
        <v>0</v>
      </c>
      <c r="AM235" s="507">
        <f>IFERROR(VLOOKUP(C235,'2022'!$D:$G,4,0),0)</f>
        <v>0</v>
      </c>
      <c r="AN235" s="234">
        <f>SUMIFS('2022'!$I:$I,'2022'!$E:$E,Category!$B$134,'2022'!$N:$N,Category!AN$1,'2022'!$D:$D,Category!$C235)</f>
        <v>0</v>
      </c>
      <c r="AO235" s="234">
        <f>SUMIFS('2022'!$I:$I,'2022'!$E:$E,Category!$B$134,'2022'!$N:$N,Category!AO$1,'2022'!$D:$D,Category!$C235)</f>
        <v>0</v>
      </c>
      <c r="AP235" s="234">
        <f>SUMIFS('2022'!$I:$I,'2022'!$E:$E,Category!$B$134,'2022'!$N:$N,Category!AP$1,'2022'!$D:$D,Category!$C235)</f>
        <v>0</v>
      </c>
      <c r="AQ235" s="234">
        <f>SUMIFS('2022'!$I:$I,'2022'!$E:$E,Category!$B$134,'2022'!$N:$N,Category!AQ$1,'2022'!$D:$D,Category!$C235)</f>
        <v>0</v>
      </c>
      <c r="AR235" s="234">
        <f>SUMIFS('2022'!$I:$I,'2022'!$E:$E,Category!$B$134,'2022'!$N:$N,Category!AR$1,'2022'!$D:$D,Category!$C235)</f>
        <v>0</v>
      </c>
      <c r="AS235" s="234">
        <f>SUMIFS('2022'!$I:$I,'2022'!$E:$E,Category!$B$134,'2022'!$N:$N,Category!AS$1,'2022'!$D:$D,Category!$C235)</f>
        <v>0</v>
      </c>
      <c r="AT235" s="234">
        <f>SUMIFS('2022'!$I:$I,'2022'!$E:$E,Category!$B$134,'2022'!$N:$N,Category!AT$1,'2022'!$D:$D,Category!$C235)</f>
        <v>0</v>
      </c>
      <c r="AU235" s="234">
        <f>SUMIFS('2022'!$I:$I,'2022'!$E:$E,Category!$B$134,'2022'!$N:$N,Category!AU$1,'2022'!$D:$D,Category!$C235)</f>
        <v>0</v>
      </c>
      <c r="AV235" s="234">
        <f>SUMIFS('2022'!$I:$I,'2022'!$E:$E,Category!$B$134,'2022'!$N:$N,Category!AV$1,'2022'!$D:$D,Category!$C235)</f>
        <v>0</v>
      </c>
      <c r="AW235" s="234">
        <f>SUMIFS('2022'!$I:$I,'2022'!$E:$E,Category!$B$134,'2022'!$N:$N,Category!AW$1,'2022'!$D:$D,Category!$C235)</f>
        <v>0</v>
      </c>
      <c r="AX235" s="234">
        <f>SUMIFS('2022'!$I:$I,'2022'!$E:$E,Category!$B$134,'2022'!$N:$N,Category!AX$1,'2022'!$D:$D,Category!$C235)</f>
        <v>0</v>
      </c>
      <c r="AY235" s="234">
        <f>SUMIFS('2022'!$I:$I,'2022'!$E:$E,Category!$B$134,'2022'!$N:$N,Category!AY$1,'2022'!$D:$D,Category!$C235)</f>
        <v>0</v>
      </c>
      <c r="AZ235" s="250">
        <f t="shared" si="93"/>
        <v>0</v>
      </c>
      <c r="BA235" s="507">
        <f>IFERROR(VLOOKUP(AE235,'2023'!$D:$G,4,0),0)</f>
        <v>0</v>
      </c>
      <c r="BB235" s="234">
        <f>SUMIFS('2023'!$I:$I,'2023'!$E:$E,Category!$B$134,'2023'!$N:$N,Category!BB$1,'2023'!$D:$D,Category!$C235)</f>
        <v>0</v>
      </c>
      <c r="BC235" s="234">
        <f>SUMIFS('2023'!$I:$I,'2023'!$E:$E,Category!$B$134,'2023'!$N:$N,Category!BC$1,'2023'!$D:$D,Category!$C235)</f>
        <v>0</v>
      </c>
      <c r="BD235" s="234">
        <f>SUMIFS('2023'!$I:$I,'2023'!$E:$E,Category!$B$134,'2023'!$N:$N,Category!BD$1,'2023'!$D:$D,Category!$C235)</f>
        <v>0</v>
      </c>
      <c r="BE235" s="234">
        <f>SUMIFS('2023'!$I:$I,'2023'!$E:$E,Category!$B$134,'2023'!$N:$N,Category!BE$1,'2023'!$D:$D,Category!$C235)</f>
        <v>0</v>
      </c>
      <c r="BF235" s="234">
        <f>SUMIFS('2023'!$I:$I,'2023'!$E:$E,Category!$B$134,'2023'!$N:$N,Category!BF$1,'2023'!$D:$D,Category!$C235)</f>
        <v>0</v>
      </c>
      <c r="BG235" s="234">
        <f>SUMIFS('2023'!$I:$I,'2023'!$E:$E,Category!$B$134,'2023'!$N:$N,Category!BG$1,'2023'!$D:$D,Category!$C235)</f>
        <v>0</v>
      </c>
      <c r="BH235" s="234">
        <f>SUMIFS('2023'!$I:$I,'2023'!$E:$E,Category!$B$134,'2023'!$N:$N,Category!BH$1,'2023'!$D:$D,Category!$C235)</f>
        <v>0</v>
      </c>
      <c r="BI235" s="234">
        <f>SUMIFS('2023'!$I:$I,'2023'!$E:$E,Category!$B$134,'2023'!$N:$N,Category!BI$1,'2023'!$D:$D,Category!$C235)</f>
        <v>0</v>
      </c>
      <c r="BJ235" s="234">
        <f>SUMIFS('2023'!$I:$I,'2023'!$E:$E,Category!$B$134,'2023'!$N:$N,Category!BJ$1,'2023'!$D:$D,Category!$C235)</f>
        <v>0</v>
      </c>
      <c r="BK235" s="234">
        <f>SUMIFS('2023'!$I:$I,'2023'!$E:$E,Category!$B$134,'2023'!$N:$N,Category!BK$1,'2023'!$D:$D,Category!$C235)</f>
        <v>0</v>
      </c>
      <c r="BL235" s="234">
        <f>SUMIFS('2023'!$I:$I,'2023'!$E:$E,Category!$B$134,'2023'!$N:$N,Category!BL$1,'2023'!$D:$D,Category!$C235)</f>
        <v>0</v>
      </c>
      <c r="BM235" s="234">
        <f>SUMIFS('2023'!$I:$I,'2023'!$E:$E,Category!$B$134,'2023'!$N:$N,Category!BM$1,'2023'!$D:$D,Category!$C235)</f>
        <v>0</v>
      </c>
      <c r="BN235" s="250">
        <f t="shared" si="69"/>
        <v>0</v>
      </c>
    </row>
    <row r="236" spans="1:66" ht="21" hidden="1" customHeight="1" x14ac:dyDescent="0.3">
      <c r="A236" s="249"/>
      <c r="B236" s="235"/>
      <c r="C236" s="235"/>
      <c r="D236" s="235">
        <f>IFERROR(VLOOKUP($C236,'2019'!$D:$G,4,0),0)</f>
        <v>0</v>
      </c>
      <c r="E236" s="234">
        <f>SUMIFS('2019'!$I:$I,'2019'!$E:$E,Category!$B$134,'2019'!$N:$N,Category!E$1,'2019'!$D:$D,Category!$C236)</f>
        <v>0</v>
      </c>
      <c r="F236" s="234">
        <f>SUMIFS('2019'!$I:$I,'2019'!$E:$E,Category!$B$134,'2019'!$N:$N,Category!F$1,'2019'!$D:$D,Category!$C236)</f>
        <v>0</v>
      </c>
      <c r="G236" s="234">
        <f>SUMIFS('2019'!$I:$I,'2019'!$E:$E,Category!$B$134,'2019'!$N:$N,Category!G$1,'2019'!$D:$D,Category!$C236)</f>
        <v>0</v>
      </c>
      <c r="H236" s="234">
        <f>SUMIFS('2019'!$I:$I,'2019'!$E:$E,Category!$B$134,'2019'!$N:$N,Category!H$1,'2019'!$D:$D,Category!$C236)</f>
        <v>0</v>
      </c>
      <c r="I236" s="234">
        <f>SUMIFS('2019'!$I:$I,'2019'!$E:$E,Category!$B$134,'2019'!$N:$N,Category!I$1,'2019'!$D:$D,Category!$C236)</f>
        <v>0</v>
      </c>
      <c r="J236" s="250" t="e">
        <f>SUM(#REF!)</f>
        <v>#REF!</v>
      </c>
      <c r="K236" s="507">
        <f>IFERROR(VLOOKUP($C236,'2020'!$D:$G,4,0),0)</f>
        <v>0</v>
      </c>
      <c r="L236" s="234">
        <f>SUMIFS('2020'!$I:$I,'2020'!$E:$E,Category!$B$134,'2020'!$N:$N,Category!L$1,'2020'!$D:$D,Category!$C236)</f>
        <v>0</v>
      </c>
      <c r="M236" s="234">
        <f>SUMIFS('2020'!$I:$I,'2020'!$E:$E,Category!$B$134,'2020'!$N:$N,Category!M$1,'2020'!$D:$D,Category!$C236)</f>
        <v>0</v>
      </c>
      <c r="N236" s="234">
        <f>SUMIFS('2020'!$I:$I,'2020'!$E:$E,Category!$B$134,'2020'!$N:$N,Category!N$1,'2020'!$D:$D,Category!$C236)</f>
        <v>0</v>
      </c>
      <c r="O236" s="234">
        <f>SUMIFS('2020'!$I:$I,'2020'!$E:$E,Category!$B$134,'2020'!$N:$N,Category!O$1,'2020'!$D:$D,Category!$C236)</f>
        <v>0</v>
      </c>
      <c r="P236" s="234">
        <f>SUMIFS('2020'!$I:$I,'2020'!$E:$E,Category!$B$134,'2020'!$N:$N,Category!P$1,'2020'!$D:$D,Category!$C236)</f>
        <v>0</v>
      </c>
      <c r="Q236" s="234">
        <f>SUMIFS('2020'!$I:$I,'2020'!$E:$E,Category!$B$134,'2020'!$N:$N,Category!Q$1,'2020'!$D:$D,Category!$C236)</f>
        <v>0</v>
      </c>
      <c r="R236" s="234">
        <f>SUMIFS('2020'!$I:$I,'2020'!$E:$E,Category!$B$134,'2020'!$N:$N,Category!R$1,'2020'!$D:$D,Category!$C236)</f>
        <v>0</v>
      </c>
      <c r="S236" s="234">
        <f>SUMIFS('2020'!$I:$I,'2020'!$E:$E,Category!$B$134,'2020'!$N:$N,Category!S$1,'2020'!$D:$D,Category!$C236)</f>
        <v>0</v>
      </c>
      <c r="T236" s="234">
        <f>SUMIFS('2020'!$I:$I,'2020'!$E:$E,Category!$B$134,'2020'!$N:$N,Category!T$1,'2020'!$D:$D,Category!$C236)</f>
        <v>0</v>
      </c>
      <c r="U236" s="234">
        <f>SUMIFS('2020'!$I:$I,'2020'!$E:$E,Category!$B$134,'2020'!$N:$N,Category!U$1,'2020'!$D:$D,Category!$C236)</f>
        <v>0</v>
      </c>
      <c r="V236" s="234">
        <f>SUMIFS('2020'!$I:$I,'2020'!$E:$E,Category!$B$134,'2020'!$N:$N,Category!V$1,'2020'!$D:$D,Category!$C236)</f>
        <v>0</v>
      </c>
      <c r="W236" s="234">
        <f>SUMIFS('2020'!$I:$I,'2020'!$E:$E,Category!$B$134,'2020'!$N:$N,Category!W$1,'2020'!$D:$D,Category!$C236)</f>
        <v>0</v>
      </c>
      <c r="X236" s="250">
        <f t="shared" si="91"/>
        <v>0</v>
      </c>
      <c r="Y236" s="507">
        <f>IFERROR(VLOOKUP(C236,'2021'!$D:$G,4,0),0)</f>
        <v>0</v>
      </c>
      <c r="Z236" s="234">
        <f>SUMIFS('2021'!$I:$I,'2021'!$E:$E,Category!$B$134,'2021'!$N:$N,Category!Z$1,'2021'!$D:$D,Category!$C236)</f>
        <v>0</v>
      </c>
      <c r="AA236" s="234">
        <f>SUMIFS('2021'!$I:$I,'2021'!$E:$E,Category!$B$134,'2021'!$N:$N,Category!AA$1,'2021'!$D:$D,Category!$C236)</f>
        <v>0</v>
      </c>
      <c r="AB236" s="234">
        <f>SUMIFS('2021'!$I:$I,'2021'!$E:$E,Category!$B$134,'2021'!$N:$N,Category!AB$1,'2021'!$D:$D,Category!$C236)</f>
        <v>0</v>
      </c>
      <c r="AC236" s="234">
        <f>SUMIFS('2021'!$I:$I,'2021'!$E:$E,Category!$B$134,'2021'!$N:$N,Category!AC$1,'2021'!$D:$D,Category!$C236)</f>
        <v>0</v>
      </c>
      <c r="AD236" s="234">
        <f>SUMIFS('2021'!$I:$I,'2021'!$E:$E,Category!$B$134,'2021'!$N:$N,Category!AD$1,'2021'!$D:$D,Category!$C236)</f>
        <v>0</v>
      </c>
      <c r="AE236" s="234">
        <f>SUMIFS('2021'!$I:$I,'2021'!$E:$E,Category!$B$134,'2021'!$N:$N,Category!AE$1,'2021'!$D:$D,Category!$C236)</f>
        <v>0</v>
      </c>
      <c r="AF236" s="234">
        <f>SUMIFS('2021'!$I:$I,'2021'!$E:$E,Category!$B$134,'2021'!$N:$N,Category!AF$1,'2021'!$D:$D,Category!$C236)</f>
        <v>0</v>
      </c>
      <c r="AG236" s="234">
        <f>SUMIFS('2021'!$I:$I,'2021'!$E:$E,Category!$B$134,'2021'!$N:$N,Category!AG$1,'2021'!$D:$D,Category!$C236)</f>
        <v>0</v>
      </c>
      <c r="AH236" s="234">
        <f>SUMIFS('2021'!$I:$I,'2021'!$E:$E,Category!$B$134,'2021'!$N:$N,Category!AH$1,'2021'!$D:$D,Category!$C236)</f>
        <v>0</v>
      </c>
      <c r="AI236" s="234">
        <f>SUMIFS('2021'!$I:$I,'2021'!$E:$E,Category!$B$134,'2021'!$N:$N,Category!AI$1,'2021'!$D:$D,Category!$C236)</f>
        <v>0</v>
      </c>
      <c r="AJ236" s="234">
        <f>SUMIFS('2021'!$I:$I,'2021'!$E:$E,Category!$B$134,'2021'!$N:$N,Category!AJ$1,'2021'!$D:$D,Category!$C236)</f>
        <v>0</v>
      </c>
      <c r="AK236" s="234">
        <f>SUMIFS('2021'!$I:$I,'2021'!$E:$E,Category!$B$134,'2021'!$N:$N,Category!AK$1,'2021'!$D:$D,Category!$C236)</f>
        <v>0</v>
      </c>
      <c r="AL236" s="250">
        <f t="shared" si="92"/>
        <v>0</v>
      </c>
      <c r="AM236" s="507">
        <f>IFERROR(VLOOKUP(C236,'2022'!$D:$G,4,0),0)</f>
        <v>0</v>
      </c>
      <c r="AN236" s="234">
        <f>SUMIFS('2022'!$I:$I,'2022'!$E:$E,Category!$B$134,'2022'!$N:$N,Category!AN$1,'2022'!$D:$D,Category!$C236)</f>
        <v>0</v>
      </c>
      <c r="AO236" s="234">
        <f>SUMIFS('2022'!$I:$I,'2022'!$E:$E,Category!$B$134,'2022'!$N:$N,Category!AO$1,'2022'!$D:$D,Category!$C236)</f>
        <v>0</v>
      </c>
      <c r="AP236" s="234">
        <f>SUMIFS('2022'!$I:$I,'2022'!$E:$E,Category!$B$134,'2022'!$N:$N,Category!AP$1,'2022'!$D:$D,Category!$C236)</f>
        <v>0</v>
      </c>
      <c r="AQ236" s="234">
        <f>SUMIFS('2022'!$I:$I,'2022'!$E:$E,Category!$B$134,'2022'!$N:$N,Category!AQ$1,'2022'!$D:$D,Category!$C236)</f>
        <v>0</v>
      </c>
      <c r="AR236" s="234">
        <f>SUMIFS('2022'!$I:$I,'2022'!$E:$E,Category!$B$134,'2022'!$N:$N,Category!AR$1,'2022'!$D:$D,Category!$C236)</f>
        <v>0</v>
      </c>
      <c r="AS236" s="234">
        <f>SUMIFS('2022'!$I:$I,'2022'!$E:$E,Category!$B$134,'2022'!$N:$N,Category!AS$1,'2022'!$D:$D,Category!$C236)</f>
        <v>0</v>
      </c>
      <c r="AT236" s="234">
        <f>SUMIFS('2022'!$I:$I,'2022'!$E:$E,Category!$B$134,'2022'!$N:$N,Category!AT$1,'2022'!$D:$D,Category!$C236)</f>
        <v>0</v>
      </c>
      <c r="AU236" s="234">
        <f>SUMIFS('2022'!$I:$I,'2022'!$E:$E,Category!$B$134,'2022'!$N:$N,Category!AU$1,'2022'!$D:$D,Category!$C236)</f>
        <v>0</v>
      </c>
      <c r="AV236" s="234">
        <f>SUMIFS('2022'!$I:$I,'2022'!$E:$E,Category!$B$134,'2022'!$N:$N,Category!AV$1,'2022'!$D:$D,Category!$C236)</f>
        <v>0</v>
      </c>
      <c r="AW236" s="234">
        <f>SUMIFS('2022'!$I:$I,'2022'!$E:$E,Category!$B$134,'2022'!$N:$N,Category!AW$1,'2022'!$D:$D,Category!$C236)</f>
        <v>0</v>
      </c>
      <c r="AX236" s="234">
        <f>SUMIFS('2022'!$I:$I,'2022'!$E:$E,Category!$B$134,'2022'!$N:$N,Category!AX$1,'2022'!$D:$D,Category!$C236)</f>
        <v>0</v>
      </c>
      <c r="AY236" s="234">
        <f>SUMIFS('2022'!$I:$I,'2022'!$E:$E,Category!$B$134,'2022'!$N:$N,Category!AY$1,'2022'!$D:$D,Category!$C236)</f>
        <v>0</v>
      </c>
      <c r="AZ236" s="250">
        <f t="shared" si="93"/>
        <v>0</v>
      </c>
      <c r="BA236" s="507">
        <f>IFERROR(VLOOKUP(AE236,'2023'!$D:$G,4,0),0)</f>
        <v>0</v>
      </c>
      <c r="BB236" s="234">
        <f>SUMIFS('2023'!$I:$I,'2023'!$E:$E,Category!$B$134,'2023'!$N:$N,Category!BB$1,'2023'!$D:$D,Category!$C236)</f>
        <v>0</v>
      </c>
      <c r="BC236" s="234">
        <f>SUMIFS('2023'!$I:$I,'2023'!$E:$E,Category!$B$134,'2023'!$N:$N,Category!BC$1,'2023'!$D:$D,Category!$C236)</f>
        <v>0</v>
      </c>
      <c r="BD236" s="234">
        <f>SUMIFS('2023'!$I:$I,'2023'!$E:$E,Category!$B$134,'2023'!$N:$N,Category!BD$1,'2023'!$D:$D,Category!$C236)</f>
        <v>0</v>
      </c>
      <c r="BE236" s="234">
        <f>SUMIFS('2023'!$I:$I,'2023'!$E:$E,Category!$B$134,'2023'!$N:$N,Category!BE$1,'2023'!$D:$D,Category!$C236)</f>
        <v>0</v>
      </c>
      <c r="BF236" s="234">
        <f>SUMIFS('2023'!$I:$I,'2023'!$E:$E,Category!$B$134,'2023'!$N:$N,Category!BF$1,'2023'!$D:$D,Category!$C236)</f>
        <v>0</v>
      </c>
      <c r="BG236" s="234">
        <f>SUMIFS('2023'!$I:$I,'2023'!$E:$E,Category!$B$134,'2023'!$N:$N,Category!BG$1,'2023'!$D:$D,Category!$C236)</f>
        <v>0</v>
      </c>
      <c r="BH236" s="234">
        <f>SUMIFS('2023'!$I:$I,'2023'!$E:$E,Category!$B$134,'2023'!$N:$N,Category!BH$1,'2023'!$D:$D,Category!$C236)</f>
        <v>0</v>
      </c>
      <c r="BI236" s="234">
        <f>SUMIFS('2023'!$I:$I,'2023'!$E:$E,Category!$B$134,'2023'!$N:$N,Category!BI$1,'2023'!$D:$D,Category!$C236)</f>
        <v>0</v>
      </c>
      <c r="BJ236" s="234">
        <f>SUMIFS('2023'!$I:$I,'2023'!$E:$E,Category!$B$134,'2023'!$N:$N,Category!BJ$1,'2023'!$D:$D,Category!$C236)</f>
        <v>0</v>
      </c>
      <c r="BK236" s="234">
        <f>SUMIFS('2023'!$I:$I,'2023'!$E:$E,Category!$B$134,'2023'!$N:$N,Category!BK$1,'2023'!$D:$D,Category!$C236)</f>
        <v>0</v>
      </c>
      <c r="BL236" s="234">
        <f>SUMIFS('2023'!$I:$I,'2023'!$E:$E,Category!$B$134,'2023'!$N:$N,Category!BL$1,'2023'!$D:$D,Category!$C236)</f>
        <v>0</v>
      </c>
      <c r="BM236" s="234">
        <f>SUMIFS('2023'!$I:$I,'2023'!$E:$E,Category!$B$134,'2023'!$N:$N,Category!BM$1,'2023'!$D:$D,Category!$C236)</f>
        <v>0</v>
      </c>
      <c r="BN236" s="250">
        <f t="shared" ref="BN236:BN245" si="94">SUM(BB236:BM236)</f>
        <v>0</v>
      </c>
    </row>
    <row r="237" spans="1:66" ht="21" hidden="1" customHeight="1" x14ac:dyDescent="0.3">
      <c r="A237" s="249"/>
      <c r="B237" s="235"/>
      <c r="C237" s="235"/>
      <c r="D237" s="235">
        <f>IFERROR(VLOOKUP($C237,'2019'!$D:$G,4,0),0)</f>
        <v>0</v>
      </c>
      <c r="E237" s="234">
        <f>SUMIFS('2019'!$I:$I,'2019'!$E:$E,Category!$B$134,'2019'!$N:$N,Category!E$1,'2019'!$D:$D,Category!$C237)</f>
        <v>0</v>
      </c>
      <c r="F237" s="234">
        <f>SUMIFS('2019'!$I:$I,'2019'!$E:$E,Category!$B$134,'2019'!$N:$N,Category!F$1,'2019'!$D:$D,Category!$C237)</f>
        <v>0</v>
      </c>
      <c r="G237" s="234">
        <f>SUMIFS('2019'!$I:$I,'2019'!$E:$E,Category!$B$134,'2019'!$N:$N,Category!G$1,'2019'!$D:$D,Category!$C237)</f>
        <v>0</v>
      </c>
      <c r="H237" s="234">
        <f>SUMIFS('2019'!$I:$I,'2019'!$E:$E,Category!$B$134,'2019'!$N:$N,Category!H$1,'2019'!$D:$D,Category!$C237)</f>
        <v>0</v>
      </c>
      <c r="I237" s="234">
        <f>SUMIFS('2019'!$I:$I,'2019'!$E:$E,Category!$B$134,'2019'!$N:$N,Category!I$1,'2019'!$D:$D,Category!$C237)</f>
        <v>0</v>
      </c>
      <c r="J237" s="250" t="e">
        <f>SUM(#REF!)</f>
        <v>#REF!</v>
      </c>
      <c r="K237" s="507">
        <f>IFERROR(VLOOKUP($C237,'2020'!$D:$G,4,0),0)</f>
        <v>0</v>
      </c>
      <c r="L237" s="234">
        <f>SUMIFS('2020'!$I:$I,'2020'!$E:$E,Category!$B$134,'2020'!$N:$N,Category!L$1,'2020'!$D:$D,Category!$C237)</f>
        <v>0</v>
      </c>
      <c r="M237" s="234">
        <f>SUMIFS('2020'!$I:$I,'2020'!$E:$E,Category!$B$134,'2020'!$N:$N,Category!M$1,'2020'!$D:$D,Category!$C237)</f>
        <v>0</v>
      </c>
      <c r="N237" s="234">
        <f>SUMIFS('2020'!$I:$I,'2020'!$E:$E,Category!$B$134,'2020'!$N:$N,Category!N$1,'2020'!$D:$D,Category!$C237)</f>
        <v>0</v>
      </c>
      <c r="O237" s="234">
        <f>SUMIFS('2020'!$I:$I,'2020'!$E:$E,Category!$B$134,'2020'!$N:$N,Category!O$1,'2020'!$D:$D,Category!$C237)</f>
        <v>0</v>
      </c>
      <c r="P237" s="234">
        <f>SUMIFS('2020'!$I:$I,'2020'!$E:$E,Category!$B$134,'2020'!$N:$N,Category!P$1,'2020'!$D:$D,Category!$C237)</f>
        <v>0</v>
      </c>
      <c r="Q237" s="234">
        <f>SUMIFS('2020'!$I:$I,'2020'!$E:$E,Category!$B$134,'2020'!$N:$N,Category!Q$1,'2020'!$D:$D,Category!$C237)</f>
        <v>0</v>
      </c>
      <c r="R237" s="234">
        <f>SUMIFS('2020'!$I:$I,'2020'!$E:$E,Category!$B$134,'2020'!$N:$N,Category!R$1,'2020'!$D:$D,Category!$C237)</f>
        <v>0</v>
      </c>
      <c r="S237" s="234">
        <f>SUMIFS('2020'!$I:$I,'2020'!$E:$E,Category!$B$134,'2020'!$N:$N,Category!S$1,'2020'!$D:$D,Category!$C237)</f>
        <v>0</v>
      </c>
      <c r="T237" s="234">
        <f>SUMIFS('2020'!$I:$I,'2020'!$E:$E,Category!$B$134,'2020'!$N:$N,Category!T$1,'2020'!$D:$D,Category!$C237)</f>
        <v>0</v>
      </c>
      <c r="U237" s="234">
        <f>SUMIFS('2020'!$I:$I,'2020'!$E:$E,Category!$B$134,'2020'!$N:$N,Category!U$1,'2020'!$D:$D,Category!$C237)</f>
        <v>0</v>
      </c>
      <c r="V237" s="234">
        <f>SUMIFS('2020'!$I:$I,'2020'!$E:$E,Category!$B$134,'2020'!$N:$N,Category!V$1,'2020'!$D:$D,Category!$C237)</f>
        <v>0</v>
      </c>
      <c r="W237" s="234">
        <f>SUMIFS('2020'!$I:$I,'2020'!$E:$E,Category!$B$134,'2020'!$N:$N,Category!W$1,'2020'!$D:$D,Category!$C237)</f>
        <v>0</v>
      </c>
      <c r="X237" s="250">
        <f t="shared" si="91"/>
        <v>0</v>
      </c>
      <c r="Y237" s="507">
        <f>IFERROR(VLOOKUP(C237,'2021'!$D:$G,4,0),0)</f>
        <v>0</v>
      </c>
      <c r="Z237" s="234">
        <f>SUMIFS('2021'!$I:$I,'2021'!$E:$E,Category!$B$134,'2021'!$N:$N,Category!Z$1,'2021'!$D:$D,Category!$C237)</f>
        <v>0</v>
      </c>
      <c r="AA237" s="234">
        <f>SUMIFS('2021'!$I:$I,'2021'!$E:$E,Category!$B$134,'2021'!$N:$N,Category!AA$1,'2021'!$D:$D,Category!$C237)</f>
        <v>0</v>
      </c>
      <c r="AB237" s="234">
        <f>SUMIFS('2021'!$I:$I,'2021'!$E:$E,Category!$B$134,'2021'!$N:$N,Category!AB$1,'2021'!$D:$D,Category!$C237)</f>
        <v>0</v>
      </c>
      <c r="AC237" s="234">
        <f>SUMIFS('2021'!$I:$I,'2021'!$E:$E,Category!$B$134,'2021'!$N:$N,Category!AC$1,'2021'!$D:$D,Category!$C237)</f>
        <v>0</v>
      </c>
      <c r="AD237" s="234">
        <f>SUMIFS('2021'!$I:$I,'2021'!$E:$E,Category!$B$134,'2021'!$N:$N,Category!AD$1,'2021'!$D:$D,Category!$C237)</f>
        <v>0</v>
      </c>
      <c r="AE237" s="234">
        <f>SUMIFS('2021'!$I:$I,'2021'!$E:$E,Category!$B$134,'2021'!$N:$N,Category!AE$1,'2021'!$D:$D,Category!$C237)</f>
        <v>0</v>
      </c>
      <c r="AF237" s="234">
        <f>SUMIFS('2021'!$I:$I,'2021'!$E:$E,Category!$B$134,'2021'!$N:$N,Category!AF$1,'2021'!$D:$D,Category!$C237)</f>
        <v>0</v>
      </c>
      <c r="AG237" s="234">
        <f>SUMIFS('2021'!$I:$I,'2021'!$E:$E,Category!$B$134,'2021'!$N:$N,Category!AG$1,'2021'!$D:$D,Category!$C237)</f>
        <v>0</v>
      </c>
      <c r="AH237" s="234">
        <f>SUMIFS('2021'!$I:$I,'2021'!$E:$E,Category!$B$134,'2021'!$N:$N,Category!AH$1,'2021'!$D:$D,Category!$C237)</f>
        <v>0</v>
      </c>
      <c r="AI237" s="234">
        <f>SUMIFS('2021'!$I:$I,'2021'!$E:$E,Category!$B$134,'2021'!$N:$N,Category!AI$1,'2021'!$D:$D,Category!$C237)</f>
        <v>0</v>
      </c>
      <c r="AJ237" s="234">
        <f>SUMIFS('2021'!$I:$I,'2021'!$E:$E,Category!$B$134,'2021'!$N:$N,Category!AJ$1,'2021'!$D:$D,Category!$C237)</f>
        <v>0</v>
      </c>
      <c r="AK237" s="234">
        <f>SUMIFS('2021'!$I:$I,'2021'!$E:$E,Category!$B$134,'2021'!$N:$N,Category!AK$1,'2021'!$D:$D,Category!$C237)</f>
        <v>0</v>
      </c>
      <c r="AL237" s="250">
        <f t="shared" si="92"/>
        <v>0</v>
      </c>
      <c r="AM237" s="507">
        <f>IFERROR(VLOOKUP(C237,'2022'!$D:$G,4,0),0)</f>
        <v>0</v>
      </c>
      <c r="AN237" s="234">
        <f>SUMIFS('2022'!$I:$I,'2022'!$E:$E,Category!$B$134,'2022'!$N:$N,Category!AN$1,'2022'!$D:$D,Category!$C237)</f>
        <v>0</v>
      </c>
      <c r="AO237" s="234">
        <f>SUMIFS('2022'!$I:$I,'2022'!$E:$E,Category!$B$134,'2022'!$N:$N,Category!AO$1,'2022'!$D:$D,Category!$C237)</f>
        <v>0</v>
      </c>
      <c r="AP237" s="234">
        <f>SUMIFS('2022'!$I:$I,'2022'!$E:$E,Category!$B$134,'2022'!$N:$N,Category!AP$1,'2022'!$D:$D,Category!$C237)</f>
        <v>0</v>
      </c>
      <c r="AQ237" s="234">
        <f>SUMIFS('2022'!$I:$I,'2022'!$E:$E,Category!$B$134,'2022'!$N:$N,Category!AQ$1,'2022'!$D:$D,Category!$C237)</f>
        <v>0</v>
      </c>
      <c r="AR237" s="234">
        <f>SUMIFS('2022'!$I:$I,'2022'!$E:$E,Category!$B$134,'2022'!$N:$N,Category!AR$1,'2022'!$D:$D,Category!$C237)</f>
        <v>0</v>
      </c>
      <c r="AS237" s="234">
        <f>SUMIFS('2022'!$I:$I,'2022'!$E:$E,Category!$B$134,'2022'!$N:$N,Category!AS$1,'2022'!$D:$D,Category!$C237)</f>
        <v>0</v>
      </c>
      <c r="AT237" s="234">
        <f>SUMIFS('2022'!$I:$I,'2022'!$E:$E,Category!$B$134,'2022'!$N:$N,Category!AT$1,'2022'!$D:$D,Category!$C237)</f>
        <v>0</v>
      </c>
      <c r="AU237" s="234">
        <f>SUMIFS('2022'!$I:$I,'2022'!$E:$E,Category!$B$134,'2022'!$N:$N,Category!AU$1,'2022'!$D:$D,Category!$C237)</f>
        <v>0</v>
      </c>
      <c r="AV237" s="234">
        <f>SUMIFS('2022'!$I:$I,'2022'!$E:$E,Category!$B$134,'2022'!$N:$N,Category!AV$1,'2022'!$D:$D,Category!$C237)</f>
        <v>0</v>
      </c>
      <c r="AW237" s="234">
        <f>SUMIFS('2022'!$I:$I,'2022'!$E:$E,Category!$B$134,'2022'!$N:$N,Category!AW$1,'2022'!$D:$D,Category!$C237)</f>
        <v>0</v>
      </c>
      <c r="AX237" s="234">
        <f>SUMIFS('2022'!$I:$I,'2022'!$E:$E,Category!$B$134,'2022'!$N:$N,Category!AX$1,'2022'!$D:$D,Category!$C237)</f>
        <v>0</v>
      </c>
      <c r="AY237" s="234">
        <f>SUMIFS('2022'!$I:$I,'2022'!$E:$E,Category!$B$134,'2022'!$N:$N,Category!AY$1,'2022'!$D:$D,Category!$C237)</f>
        <v>0</v>
      </c>
      <c r="AZ237" s="250">
        <f t="shared" si="93"/>
        <v>0</v>
      </c>
      <c r="BA237" s="507">
        <f>IFERROR(VLOOKUP(AE237,'2023'!$D:$G,4,0),0)</f>
        <v>0</v>
      </c>
      <c r="BB237" s="234">
        <f>SUMIFS('2023'!$I:$I,'2023'!$E:$E,Category!$B$134,'2023'!$N:$N,Category!BB$1,'2023'!$D:$D,Category!$C237)</f>
        <v>0</v>
      </c>
      <c r="BC237" s="234">
        <f>SUMIFS('2023'!$I:$I,'2023'!$E:$E,Category!$B$134,'2023'!$N:$N,Category!BC$1,'2023'!$D:$D,Category!$C237)</f>
        <v>0</v>
      </c>
      <c r="BD237" s="234">
        <f>SUMIFS('2023'!$I:$I,'2023'!$E:$E,Category!$B$134,'2023'!$N:$N,Category!BD$1,'2023'!$D:$D,Category!$C237)</f>
        <v>0</v>
      </c>
      <c r="BE237" s="234">
        <f>SUMIFS('2023'!$I:$I,'2023'!$E:$E,Category!$B$134,'2023'!$N:$N,Category!BE$1,'2023'!$D:$D,Category!$C237)</f>
        <v>0</v>
      </c>
      <c r="BF237" s="234">
        <f>SUMIFS('2023'!$I:$I,'2023'!$E:$E,Category!$B$134,'2023'!$N:$N,Category!BF$1,'2023'!$D:$D,Category!$C237)</f>
        <v>0</v>
      </c>
      <c r="BG237" s="234">
        <f>SUMIFS('2023'!$I:$I,'2023'!$E:$E,Category!$B$134,'2023'!$N:$N,Category!BG$1,'2023'!$D:$D,Category!$C237)</f>
        <v>0</v>
      </c>
      <c r="BH237" s="234">
        <f>SUMIFS('2023'!$I:$I,'2023'!$E:$E,Category!$B$134,'2023'!$N:$N,Category!BH$1,'2023'!$D:$D,Category!$C237)</f>
        <v>0</v>
      </c>
      <c r="BI237" s="234">
        <f>SUMIFS('2023'!$I:$I,'2023'!$E:$E,Category!$B$134,'2023'!$N:$N,Category!BI$1,'2023'!$D:$D,Category!$C237)</f>
        <v>0</v>
      </c>
      <c r="BJ237" s="234">
        <f>SUMIFS('2023'!$I:$I,'2023'!$E:$E,Category!$B$134,'2023'!$N:$N,Category!BJ$1,'2023'!$D:$D,Category!$C237)</f>
        <v>0</v>
      </c>
      <c r="BK237" s="234">
        <f>SUMIFS('2023'!$I:$I,'2023'!$E:$E,Category!$B$134,'2023'!$N:$N,Category!BK$1,'2023'!$D:$D,Category!$C237)</f>
        <v>0</v>
      </c>
      <c r="BL237" s="234">
        <f>SUMIFS('2023'!$I:$I,'2023'!$E:$E,Category!$B$134,'2023'!$N:$N,Category!BL$1,'2023'!$D:$D,Category!$C237)</f>
        <v>0</v>
      </c>
      <c r="BM237" s="234">
        <f>SUMIFS('2023'!$I:$I,'2023'!$E:$E,Category!$B$134,'2023'!$N:$N,Category!BM$1,'2023'!$D:$D,Category!$C237)</f>
        <v>0</v>
      </c>
      <c r="BN237" s="250">
        <f t="shared" si="94"/>
        <v>0</v>
      </c>
    </row>
    <row r="238" spans="1:66" ht="21" hidden="1" customHeight="1" x14ac:dyDescent="0.3">
      <c r="A238" s="249"/>
      <c r="B238" s="235"/>
      <c r="C238" s="235"/>
      <c r="D238" s="235">
        <f>IFERROR(VLOOKUP($C238,'2019'!$D:$G,4,0),0)</f>
        <v>0</v>
      </c>
      <c r="E238" s="234">
        <f>SUMIFS('2019'!$I:$I,'2019'!$E:$E,Category!$B$134,'2019'!$N:$N,Category!E$1,'2019'!$D:$D,Category!$C238)</f>
        <v>0</v>
      </c>
      <c r="F238" s="234">
        <f>SUMIFS('2019'!$I:$I,'2019'!$E:$E,Category!$B$134,'2019'!$N:$N,Category!F$1,'2019'!$D:$D,Category!$C238)</f>
        <v>0</v>
      </c>
      <c r="G238" s="234">
        <f>SUMIFS('2019'!$I:$I,'2019'!$E:$E,Category!$B$134,'2019'!$N:$N,Category!G$1,'2019'!$D:$D,Category!$C238)</f>
        <v>0</v>
      </c>
      <c r="H238" s="234">
        <f>SUMIFS('2019'!$I:$I,'2019'!$E:$E,Category!$B$134,'2019'!$N:$N,Category!H$1,'2019'!$D:$D,Category!$C238)</f>
        <v>0</v>
      </c>
      <c r="I238" s="234">
        <f>SUMIFS('2019'!$I:$I,'2019'!$E:$E,Category!$B$134,'2019'!$N:$N,Category!I$1,'2019'!$D:$D,Category!$C238)</f>
        <v>0</v>
      </c>
      <c r="J238" s="250" t="e">
        <f>SUM(#REF!)</f>
        <v>#REF!</v>
      </c>
      <c r="K238" s="507">
        <f>IFERROR(VLOOKUP($C238,'2020'!$D:$G,4,0),0)</f>
        <v>0</v>
      </c>
      <c r="L238" s="234">
        <f>SUMIFS('2020'!$I:$I,'2020'!$E:$E,Category!$B$134,'2020'!$N:$N,Category!L$1,'2020'!$D:$D,Category!$C238)</f>
        <v>0</v>
      </c>
      <c r="M238" s="234">
        <f>SUMIFS('2020'!$I:$I,'2020'!$E:$E,Category!$B$134,'2020'!$N:$N,Category!M$1,'2020'!$D:$D,Category!$C238)</f>
        <v>0</v>
      </c>
      <c r="N238" s="234">
        <f>SUMIFS('2020'!$I:$I,'2020'!$E:$E,Category!$B$134,'2020'!$N:$N,Category!N$1,'2020'!$D:$D,Category!$C238)</f>
        <v>0</v>
      </c>
      <c r="O238" s="234">
        <f>SUMIFS('2020'!$I:$I,'2020'!$E:$E,Category!$B$134,'2020'!$N:$N,Category!O$1,'2020'!$D:$D,Category!$C238)</f>
        <v>0</v>
      </c>
      <c r="P238" s="234">
        <f>SUMIFS('2020'!$I:$I,'2020'!$E:$E,Category!$B$134,'2020'!$N:$N,Category!P$1,'2020'!$D:$D,Category!$C238)</f>
        <v>0</v>
      </c>
      <c r="Q238" s="234">
        <f>SUMIFS('2020'!$I:$I,'2020'!$E:$E,Category!$B$134,'2020'!$N:$N,Category!Q$1,'2020'!$D:$D,Category!$C238)</f>
        <v>0</v>
      </c>
      <c r="R238" s="234">
        <f>SUMIFS('2020'!$I:$I,'2020'!$E:$E,Category!$B$134,'2020'!$N:$N,Category!R$1,'2020'!$D:$D,Category!$C238)</f>
        <v>0</v>
      </c>
      <c r="S238" s="234">
        <f>SUMIFS('2020'!$I:$I,'2020'!$E:$E,Category!$B$134,'2020'!$N:$N,Category!S$1,'2020'!$D:$D,Category!$C238)</f>
        <v>0</v>
      </c>
      <c r="T238" s="234">
        <f>SUMIFS('2020'!$I:$I,'2020'!$E:$E,Category!$B$134,'2020'!$N:$N,Category!T$1,'2020'!$D:$D,Category!$C238)</f>
        <v>0</v>
      </c>
      <c r="U238" s="234">
        <f>SUMIFS('2020'!$I:$I,'2020'!$E:$E,Category!$B$134,'2020'!$N:$N,Category!U$1,'2020'!$D:$D,Category!$C238)</f>
        <v>0</v>
      </c>
      <c r="V238" s="234">
        <f>SUMIFS('2020'!$I:$I,'2020'!$E:$E,Category!$B$134,'2020'!$N:$N,Category!V$1,'2020'!$D:$D,Category!$C238)</f>
        <v>0</v>
      </c>
      <c r="W238" s="234">
        <f>SUMIFS('2020'!$I:$I,'2020'!$E:$E,Category!$B$134,'2020'!$N:$N,Category!W$1,'2020'!$D:$D,Category!$C238)</f>
        <v>0</v>
      </c>
      <c r="X238" s="250">
        <f t="shared" si="91"/>
        <v>0</v>
      </c>
      <c r="Y238" s="507">
        <f>IFERROR(VLOOKUP(C238,'2021'!$D:$G,4,0),0)</f>
        <v>0</v>
      </c>
      <c r="Z238" s="234">
        <f>SUMIFS('2021'!$I:$I,'2021'!$E:$E,Category!$B$134,'2021'!$N:$N,Category!Z$1,'2021'!$D:$D,Category!$C238)</f>
        <v>0</v>
      </c>
      <c r="AA238" s="234">
        <f>SUMIFS('2021'!$I:$I,'2021'!$E:$E,Category!$B$134,'2021'!$N:$N,Category!AA$1,'2021'!$D:$D,Category!$C238)</f>
        <v>0</v>
      </c>
      <c r="AB238" s="234">
        <f>SUMIFS('2021'!$I:$I,'2021'!$E:$E,Category!$B$134,'2021'!$N:$N,Category!AB$1,'2021'!$D:$D,Category!$C238)</f>
        <v>0</v>
      </c>
      <c r="AC238" s="234">
        <f>SUMIFS('2021'!$I:$I,'2021'!$E:$E,Category!$B$134,'2021'!$N:$N,Category!AC$1,'2021'!$D:$D,Category!$C238)</f>
        <v>0</v>
      </c>
      <c r="AD238" s="234">
        <f>SUMIFS('2021'!$I:$I,'2021'!$E:$E,Category!$B$134,'2021'!$N:$N,Category!AD$1,'2021'!$D:$D,Category!$C238)</f>
        <v>0</v>
      </c>
      <c r="AE238" s="234">
        <f>SUMIFS('2021'!$I:$I,'2021'!$E:$E,Category!$B$134,'2021'!$N:$N,Category!AE$1,'2021'!$D:$D,Category!$C238)</f>
        <v>0</v>
      </c>
      <c r="AF238" s="234">
        <f>SUMIFS('2021'!$I:$I,'2021'!$E:$E,Category!$B$134,'2021'!$N:$N,Category!AF$1,'2021'!$D:$D,Category!$C238)</f>
        <v>0</v>
      </c>
      <c r="AG238" s="234">
        <f>SUMIFS('2021'!$I:$I,'2021'!$E:$E,Category!$B$134,'2021'!$N:$N,Category!AG$1,'2021'!$D:$D,Category!$C238)</f>
        <v>0</v>
      </c>
      <c r="AH238" s="234">
        <f>SUMIFS('2021'!$I:$I,'2021'!$E:$E,Category!$B$134,'2021'!$N:$N,Category!AH$1,'2021'!$D:$D,Category!$C238)</f>
        <v>0</v>
      </c>
      <c r="AI238" s="234">
        <f>SUMIFS('2021'!$I:$I,'2021'!$E:$E,Category!$B$134,'2021'!$N:$N,Category!AI$1,'2021'!$D:$D,Category!$C238)</f>
        <v>0</v>
      </c>
      <c r="AJ238" s="234">
        <f>SUMIFS('2021'!$I:$I,'2021'!$E:$E,Category!$B$134,'2021'!$N:$N,Category!AJ$1,'2021'!$D:$D,Category!$C238)</f>
        <v>0</v>
      </c>
      <c r="AK238" s="234">
        <f>SUMIFS('2021'!$I:$I,'2021'!$E:$E,Category!$B$134,'2021'!$N:$N,Category!AK$1,'2021'!$D:$D,Category!$C238)</f>
        <v>0</v>
      </c>
      <c r="AL238" s="250">
        <f t="shared" si="92"/>
        <v>0</v>
      </c>
      <c r="AM238" s="507">
        <f>IFERROR(VLOOKUP(C238,'2022'!$D:$G,4,0),0)</f>
        <v>0</v>
      </c>
      <c r="AN238" s="234">
        <f>SUMIFS('2022'!$I:$I,'2022'!$E:$E,Category!$B$134,'2022'!$N:$N,Category!AN$1,'2022'!$D:$D,Category!$C238)</f>
        <v>0</v>
      </c>
      <c r="AO238" s="234">
        <f>SUMIFS('2022'!$I:$I,'2022'!$E:$E,Category!$B$134,'2022'!$N:$N,Category!AO$1,'2022'!$D:$D,Category!$C238)</f>
        <v>0</v>
      </c>
      <c r="AP238" s="234">
        <f>SUMIFS('2022'!$I:$I,'2022'!$E:$E,Category!$B$134,'2022'!$N:$N,Category!AP$1,'2022'!$D:$D,Category!$C238)</f>
        <v>0</v>
      </c>
      <c r="AQ238" s="234">
        <f>SUMIFS('2022'!$I:$I,'2022'!$E:$E,Category!$B$134,'2022'!$N:$N,Category!AQ$1,'2022'!$D:$D,Category!$C238)</f>
        <v>0</v>
      </c>
      <c r="AR238" s="234">
        <f>SUMIFS('2022'!$I:$I,'2022'!$E:$E,Category!$B$134,'2022'!$N:$N,Category!AR$1,'2022'!$D:$D,Category!$C238)</f>
        <v>0</v>
      </c>
      <c r="AS238" s="234">
        <f>SUMIFS('2022'!$I:$I,'2022'!$E:$E,Category!$B$134,'2022'!$N:$N,Category!AS$1,'2022'!$D:$D,Category!$C238)</f>
        <v>0</v>
      </c>
      <c r="AT238" s="234">
        <f>SUMIFS('2022'!$I:$I,'2022'!$E:$E,Category!$B$134,'2022'!$N:$N,Category!AT$1,'2022'!$D:$D,Category!$C238)</f>
        <v>0</v>
      </c>
      <c r="AU238" s="234">
        <f>SUMIFS('2022'!$I:$I,'2022'!$E:$E,Category!$B$134,'2022'!$N:$N,Category!AU$1,'2022'!$D:$D,Category!$C238)</f>
        <v>0</v>
      </c>
      <c r="AV238" s="234">
        <f>SUMIFS('2022'!$I:$I,'2022'!$E:$E,Category!$B$134,'2022'!$N:$N,Category!AV$1,'2022'!$D:$D,Category!$C238)</f>
        <v>0</v>
      </c>
      <c r="AW238" s="234">
        <f>SUMIFS('2022'!$I:$I,'2022'!$E:$E,Category!$B$134,'2022'!$N:$N,Category!AW$1,'2022'!$D:$D,Category!$C238)</f>
        <v>0</v>
      </c>
      <c r="AX238" s="234">
        <f>SUMIFS('2022'!$I:$I,'2022'!$E:$E,Category!$B$134,'2022'!$N:$N,Category!AX$1,'2022'!$D:$D,Category!$C238)</f>
        <v>0</v>
      </c>
      <c r="AY238" s="234">
        <f>SUMIFS('2022'!$I:$I,'2022'!$E:$E,Category!$B$134,'2022'!$N:$N,Category!AY$1,'2022'!$D:$D,Category!$C238)</f>
        <v>0</v>
      </c>
      <c r="AZ238" s="250">
        <f t="shared" si="93"/>
        <v>0</v>
      </c>
      <c r="BA238" s="507">
        <f>IFERROR(VLOOKUP(AE238,'2023'!$D:$G,4,0),0)</f>
        <v>0</v>
      </c>
      <c r="BB238" s="234">
        <f>SUMIFS('2023'!$I:$I,'2023'!$E:$E,Category!$B$134,'2023'!$N:$N,Category!BB$1,'2023'!$D:$D,Category!$C238)</f>
        <v>0</v>
      </c>
      <c r="BC238" s="234">
        <f>SUMIFS('2023'!$I:$I,'2023'!$E:$E,Category!$B$134,'2023'!$N:$N,Category!BC$1,'2023'!$D:$D,Category!$C238)</f>
        <v>0</v>
      </c>
      <c r="BD238" s="234">
        <f>SUMIFS('2023'!$I:$I,'2023'!$E:$E,Category!$B$134,'2023'!$N:$N,Category!BD$1,'2023'!$D:$D,Category!$C238)</f>
        <v>0</v>
      </c>
      <c r="BE238" s="234">
        <f>SUMIFS('2023'!$I:$I,'2023'!$E:$E,Category!$B$134,'2023'!$N:$N,Category!BE$1,'2023'!$D:$D,Category!$C238)</f>
        <v>0</v>
      </c>
      <c r="BF238" s="234">
        <f>SUMIFS('2023'!$I:$I,'2023'!$E:$E,Category!$B$134,'2023'!$N:$N,Category!BF$1,'2023'!$D:$D,Category!$C238)</f>
        <v>0</v>
      </c>
      <c r="BG238" s="234">
        <f>SUMIFS('2023'!$I:$I,'2023'!$E:$E,Category!$B$134,'2023'!$N:$N,Category!BG$1,'2023'!$D:$D,Category!$C238)</f>
        <v>0</v>
      </c>
      <c r="BH238" s="234">
        <f>SUMIFS('2023'!$I:$I,'2023'!$E:$E,Category!$B$134,'2023'!$N:$N,Category!BH$1,'2023'!$D:$D,Category!$C238)</f>
        <v>0</v>
      </c>
      <c r="BI238" s="234">
        <f>SUMIFS('2023'!$I:$I,'2023'!$E:$E,Category!$B$134,'2023'!$N:$N,Category!BI$1,'2023'!$D:$D,Category!$C238)</f>
        <v>0</v>
      </c>
      <c r="BJ238" s="234">
        <f>SUMIFS('2023'!$I:$I,'2023'!$E:$E,Category!$B$134,'2023'!$N:$N,Category!BJ$1,'2023'!$D:$D,Category!$C238)</f>
        <v>0</v>
      </c>
      <c r="BK238" s="234">
        <f>SUMIFS('2023'!$I:$I,'2023'!$E:$E,Category!$B$134,'2023'!$N:$N,Category!BK$1,'2023'!$D:$D,Category!$C238)</f>
        <v>0</v>
      </c>
      <c r="BL238" s="234">
        <f>SUMIFS('2023'!$I:$I,'2023'!$E:$E,Category!$B$134,'2023'!$N:$N,Category!BL$1,'2023'!$D:$D,Category!$C238)</f>
        <v>0</v>
      </c>
      <c r="BM238" s="234">
        <f>SUMIFS('2023'!$I:$I,'2023'!$E:$E,Category!$B$134,'2023'!$N:$N,Category!BM$1,'2023'!$D:$D,Category!$C238)</f>
        <v>0</v>
      </c>
      <c r="BN238" s="250">
        <f t="shared" si="94"/>
        <v>0</v>
      </c>
    </row>
    <row r="239" spans="1:66" ht="21" hidden="1" customHeight="1" x14ac:dyDescent="0.3">
      <c r="A239" s="249"/>
      <c r="B239" s="235"/>
      <c r="C239" s="235"/>
      <c r="D239" s="235">
        <f>IFERROR(VLOOKUP($C239,'2019'!$D:$G,4,0),0)</f>
        <v>0</v>
      </c>
      <c r="E239" s="234">
        <f>SUMIFS('2019'!$I:$I,'2019'!$E:$E,Category!$B$134,'2019'!$N:$N,Category!E$1,'2019'!$D:$D,Category!$C239)</f>
        <v>0</v>
      </c>
      <c r="F239" s="234">
        <f>SUMIFS('2019'!$I:$I,'2019'!$E:$E,Category!$B$134,'2019'!$N:$N,Category!F$1,'2019'!$D:$D,Category!$C239)</f>
        <v>0</v>
      </c>
      <c r="G239" s="234">
        <f>SUMIFS('2019'!$I:$I,'2019'!$E:$E,Category!$B$134,'2019'!$N:$N,Category!G$1,'2019'!$D:$D,Category!$C239)</f>
        <v>0</v>
      </c>
      <c r="H239" s="234">
        <f>SUMIFS('2019'!$I:$I,'2019'!$E:$E,Category!$B$134,'2019'!$N:$N,Category!H$1,'2019'!$D:$D,Category!$C239)</f>
        <v>0</v>
      </c>
      <c r="I239" s="234">
        <f>SUMIFS('2019'!$I:$I,'2019'!$E:$E,Category!$B$134,'2019'!$N:$N,Category!I$1,'2019'!$D:$D,Category!$C239)</f>
        <v>0</v>
      </c>
      <c r="J239" s="250" t="e">
        <f>SUM(#REF!)</f>
        <v>#REF!</v>
      </c>
      <c r="K239" s="507">
        <f>IFERROR(VLOOKUP($C239,'2020'!$D:$G,4,0),0)</f>
        <v>0</v>
      </c>
      <c r="L239" s="234">
        <f>SUMIFS('2020'!$I:$I,'2020'!$E:$E,Category!$B$134,'2020'!$N:$N,Category!L$1,'2020'!$D:$D,Category!$C239)</f>
        <v>0</v>
      </c>
      <c r="M239" s="234">
        <f>SUMIFS('2020'!$I:$I,'2020'!$E:$E,Category!$B$134,'2020'!$N:$N,Category!M$1,'2020'!$D:$D,Category!$C239)</f>
        <v>0</v>
      </c>
      <c r="N239" s="234">
        <f>SUMIFS('2020'!$I:$I,'2020'!$E:$E,Category!$B$134,'2020'!$N:$N,Category!N$1,'2020'!$D:$D,Category!$C239)</f>
        <v>0</v>
      </c>
      <c r="O239" s="234">
        <f>SUMIFS('2020'!$I:$I,'2020'!$E:$E,Category!$B$134,'2020'!$N:$N,Category!O$1,'2020'!$D:$D,Category!$C239)</f>
        <v>0</v>
      </c>
      <c r="P239" s="234">
        <f>SUMIFS('2020'!$I:$I,'2020'!$E:$E,Category!$B$134,'2020'!$N:$N,Category!P$1,'2020'!$D:$D,Category!$C239)</f>
        <v>0</v>
      </c>
      <c r="Q239" s="234">
        <f>SUMIFS('2020'!$I:$I,'2020'!$E:$E,Category!$B$134,'2020'!$N:$N,Category!Q$1,'2020'!$D:$D,Category!$C239)</f>
        <v>0</v>
      </c>
      <c r="R239" s="234">
        <f>SUMIFS('2020'!$I:$I,'2020'!$E:$E,Category!$B$134,'2020'!$N:$N,Category!R$1,'2020'!$D:$D,Category!$C239)</f>
        <v>0</v>
      </c>
      <c r="S239" s="234">
        <f>SUMIFS('2020'!$I:$I,'2020'!$E:$E,Category!$B$134,'2020'!$N:$N,Category!S$1,'2020'!$D:$D,Category!$C239)</f>
        <v>0</v>
      </c>
      <c r="T239" s="234">
        <f>SUMIFS('2020'!$I:$I,'2020'!$E:$E,Category!$B$134,'2020'!$N:$N,Category!T$1,'2020'!$D:$D,Category!$C239)</f>
        <v>0</v>
      </c>
      <c r="U239" s="234">
        <f>SUMIFS('2020'!$I:$I,'2020'!$E:$E,Category!$B$134,'2020'!$N:$N,Category!U$1,'2020'!$D:$D,Category!$C239)</f>
        <v>0</v>
      </c>
      <c r="V239" s="234">
        <f>SUMIFS('2020'!$I:$I,'2020'!$E:$E,Category!$B$134,'2020'!$N:$N,Category!V$1,'2020'!$D:$D,Category!$C239)</f>
        <v>0</v>
      </c>
      <c r="W239" s="234">
        <f>SUMIFS('2020'!$I:$I,'2020'!$E:$E,Category!$B$134,'2020'!$N:$N,Category!W$1,'2020'!$D:$D,Category!$C239)</f>
        <v>0</v>
      </c>
      <c r="X239" s="250">
        <f t="shared" si="91"/>
        <v>0</v>
      </c>
      <c r="Y239" s="507">
        <f>IFERROR(VLOOKUP(C239,'2021'!$D:$G,4,0),0)</f>
        <v>0</v>
      </c>
      <c r="Z239" s="234">
        <f>SUMIFS('2021'!$I:$I,'2021'!$E:$E,Category!$B$134,'2021'!$N:$N,Category!Z$1,'2021'!$D:$D,Category!$C239)</f>
        <v>0</v>
      </c>
      <c r="AA239" s="234">
        <f>SUMIFS('2021'!$I:$I,'2021'!$E:$E,Category!$B$134,'2021'!$N:$N,Category!AA$1,'2021'!$D:$D,Category!$C239)</f>
        <v>0</v>
      </c>
      <c r="AB239" s="234">
        <f>SUMIFS('2021'!$I:$I,'2021'!$E:$E,Category!$B$134,'2021'!$N:$N,Category!AB$1,'2021'!$D:$D,Category!$C239)</f>
        <v>0</v>
      </c>
      <c r="AC239" s="234">
        <f>SUMIFS('2021'!$I:$I,'2021'!$E:$E,Category!$B$134,'2021'!$N:$N,Category!AC$1,'2021'!$D:$D,Category!$C239)</f>
        <v>0</v>
      </c>
      <c r="AD239" s="234">
        <f>SUMIFS('2021'!$I:$I,'2021'!$E:$E,Category!$B$134,'2021'!$N:$N,Category!AD$1,'2021'!$D:$D,Category!$C239)</f>
        <v>0</v>
      </c>
      <c r="AE239" s="234">
        <f>SUMIFS('2021'!$I:$I,'2021'!$E:$E,Category!$B$134,'2021'!$N:$N,Category!AE$1,'2021'!$D:$D,Category!$C239)</f>
        <v>0</v>
      </c>
      <c r="AF239" s="234">
        <f>SUMIFS('2021'!$I:$I,'2021'!$E:$E,Category!$B$134,'2021'!$N:$N,Category!AF$1,'2021'!$D:$D,Category!$C239)</f>
        <v>0</v>
      </c>
      <c r="AG239" s="234">
        <f>SUMIFS('2021'!$I:$I,'2021'!$E:$E,Category!$B$134,'2021'!$N:$N,Category!AG$1,'2021'!$D:$D,Category!$C239)</f>
        <v>0</v>
      </c>
      <c r="AH239" s="234">
        <f>SUMIFS('2021'!$I:$I,'2021'!$E:$E,Category!$B$134,'2021'!$N:$N,Category!AH$1,'2021'!$D:$D,Category!$C239)</f>
        <v>0</v>
      </c>
      <c r="AI239" s="234">
        <f>SUMIFS('2021'!$I:$I,'2021'!$E:$E,Category!$B$134,'2021'!$N:$N,Category!AI$1,'2021'!$D:$D,Category!$C239)</f>
        <v>0</v>
      </c>
      <c r="AJ239" s="234">
        <f>SUMIFS('2021'!$I:$I,'2021'!$E:$E,Category!$B$134,'2021'!$N:$N,Category!AJ$1,'2021'!$D:$D,Category!$C239)</f>
        <v>0</v>
      </c>
      <c r="AK239" s="234">
        <f>SUMIFS('2021'!$I:$I,'2021'!$E:$E,Category!$B$134,'2021'!$N:$N,Category!AK$1,'2021'!$D:$D,Category!$C239)</f>
        <v>0</v>
      </c>
      <c r="AL239" s="250">
        <f t="shared" si="92"/>
        <v>0</v>
      </c>
      <c r="AM239" s="507">
        <f>IFERROR(VLOOKUP(C239,'2022'!$D:$G,4,0),0)</f>
        <v>0</v>
      </c>
      <c r="AN239" s="234">
        <f>SUMIFS('2022'!$I:$I,'2022'!$E:$E,Category!$B$134,'2022'!$N:$N,Category!AN$1,'2022'!$D:$D,Category!$C239)</f>
        <v>0</v>
      </c>
      <c r="AO239" s="234">
        <f>SUMIFS('2022'!$I:$I,'2022'!$E:$E,Category!$B$134,'2022'!$N:$N,Category!AO$1,'2022'!$D:$D,Category!$C239)</f>
        <v>0</v>
      </c>
      <c r="AP239" s="234">
        <f>SUMIFS('2022'!$I:$I,'2022'!$E:$E,Category!$B$134,'2022'!$N:$N,Category!AP$1,'2022'!$D:$D,Category!$C239)</f>
        <v>0</v>
      </c>
      <c r="AQ239" s="234">
        <f>SUMIFS('2022'!$I:$I,'2022'!$E:$E,Category!$B$134,'2022'!$N:$N,Category!AQ$1,'2022'!$D:$D,Category!$C239)</f>
        <v>0</v>
      </c>
      <c r="AR239" s="234">
        <f>SUMIFS('2022'!$I:$I,'2022'!$E:$E,Category!$B$134,'2022'!$N:$N,Category!AR$1,'2022'!$D:$D,Category!$C239)</f>
        <v>0</v>
      </c>
      <c r="AS239" s="234">
        <f>SUMIFS('2022'!$I:$I,'2022'!$E:$E,Category!$B$134,'2022'!$N:$N,Category!AS$1,'2022'!$D:$D,Category!$C239)</f>
        <v>0</v>
      </c>
      <c r="AT239" s="234">
        <f>SUMIFS('2022'!$I:$I,'2022'!$E:$E,Category!$B$134,'2022'!$N:$N,Category!AT$1,'2022'!$D:$D,Category!$C239)</f>
        <v>0</v>
      </c>
      <c r="AU239" s="234">
        <f>SUMIFS('2022'!$I:$I,'2022'!$E:$E,Category!$B$134,'2022'!$N:$N,Category!AU$1,'2022'!$D:$D,Category!$C239)</f>
        <v>0</v>
      </c>
      <c r="AV239" s="234">
        <f>SUMIFS('2022'!$I:$I,'2022'!$E:$E,Category!$B$134,'2022'!$N:$N,Category!AV$1,'2022'!$D:$D,Category!$C239)</f>
        <v>0</v>
      </c>
      <c r="AW239" s="234">
        <f>SUMIFS('2022'!$I:$I,'2022'!$E:$E,Category!$B$134,'2022'!$N:$N,Category!AW$1,'2022'!$D:$D,Category!$C239)</f>
        <v>0</v>
      </c>
      <c r="AX239" s="234">
        <f>SUMIFS('2022'!$I:$I,'2022'!$E:$E,Category!$B$134,'2022'!$N:$N,Category!AX$1,'2022'!$D:$D,Category!$C239)</f>
        <v>0</v>
      </c>
      <c r="AY239" s="234">
        <f>SUMIFS('2022'!$I:$I,'2022'!$E:$E,Category!$B$134,'2022'!$N:$N,Category!AY$1,'2022'!$D:$D,Category!$C239)</f>
        <v>0</v>
      </c>
      <c r="AZ239" s="250">
        <f t="shared" si="93"/>
        <v>0</v>
      </c>
      <c r="BA239" s="507">
        <f>IFERROR(VLOOKUP(AE239,'2023'!$D:$G,4,0),0)</f>
        <v>0</v>
      </c>
      <c r="BB239" s="234">
        <f>SUMIFS('2023'!$I:$I,'2023'!$E:$E,Category!$B$134,'2023'!$N:$N,Category!BB$1,'2023'!$D:$D,Category!$C239)</f>
        <v>0</v>
      </c>
      <c r="BC239" s="234">
        <f>SUMIFS('2023'!$I:$I,'2023'!$E:$E,Category!$B$134,'2023'!$N:$N,Category!BC$1,'2023'!$D:$D,Category!$C239)</f>
        <v>0</v>
      </c>
      <c r="BD239" s="234">
        <f>SUMIFS('2023'!$I:$I,'2023'!$E:$E,Category!$B$134,'2023'!$N:$N,Category!BD$1,'2023'!$D:$D,Category!$C239)</f>
        <v>0</v>
      </c>
      <c r="BE239" s="234">
        <f>SUMIFS('2023'!$I:$I,'2023'!$E:$E,Category!$B$134,'2023'!$N:$N,Category!BE$1,'2023'!$D:$D,Category!$C239)</f>
        <v>0</v>
      </c>
      <c r="BF239" s="234">
        <f>SUMIFS('2023'!$I:$I,'2023'!$E:$E,Category!$B$134,'2023'!$N:$N,Category!BF$1,'2023'!$D:$D,Category!$C239)</f>
        <v>0</v>
      </c>
      <c r="BG239" s="234">
        <f>SUMIFS('2023'!$I:$I,'2023'!$E:$E,Category!$B$134,'2023'!$N:$N,Category!BG$1,'2023'!$D:$D,Category!$C239)</f>
        <v>0</v>
      </c>
      <c r="BH239" s="234">
        <f>SUMIFS('2023'!$I:$I,'2023'!$E:$E,Category!$B$134,'2023'!$N:$N,Category!BH$1,'2023'!$D:$D,Category!$C239)</f>
        <v>0</v>
      </c>
      <c r="BI239" s="234">
        <f>SUMIFS('2023'!$I:$I,'2023'!$E:$E,Category!$B$134,'2023'!$N:$N,Category!BI$1,'2023'!$D:$D,Category!$C239)</f>
        <v>0</v>
      </c>
      <c r="BJ239" s="234">
        <f>SUMIFS('2023'!$I:$I,'2023'!$E:$E,Category!$B$134,'2023'!$N:$N,Category!BJ$1,'2023'!$D:$D,Category!$C239)</f>
        <v>0</v>
      </c>
      <c r="BK239" s="234">
        <f>SUMIFS('2023'!$I:$I,'2023'!$E:$E,Category!$B$134,'2023'!$N:$N,Category!BK$1,'2023'!$D:$D,Category!$C239)</f>
        <v>0</v>
      </c>
      <c r="BL239" s="234">
        <f>SUMIFS('2023'!$I:$I,'2023'!$E:$E,Category!$B$134,'2023'!$N:$N,Category!BL$1,'2023'!$D:$D,Category!$C239)</f>
        <v>0</v>
      </c>
      <c r="BM239" s="234">
        <f>SUMIFS('2023'!$I:$I,'2023'!$E:$E,Category!$B$134,'2023'!$N:$N,Category!BM$1,'2023'!$D:$D,Category!$C239)</f>
        <v>0</v>
      </c>
      <c r="BN239" s="250">
        <f t="shared" si="94"/>
        <v>0</v>
      </c>
    </row>
    <row r="240" spans="1:66" ht="21" hidden="1" customHeight="1" x14ac:dyDescent="0.3">
      <c r="A240" s="249"/>
      <c r="B240" s="235"/>
      <c r="C240" s="235"/>
      <c r="D240" s="235">
        <f>IFERROR(VLOOKUP($C240,'2019'!$D:$G,4,0),0)</f>
        <v>0</v>
      </c>
      <c r="E240" s="234">
        <f>SUMIFS('2019'!$I:$I,'2019'!$E:$E,Category!$B$134,'2019'!$N:$N,Category!E$1,'2019'!$D:$D,Category!$C240)</f>
        <v>0</v>
      </c>
      <c r="F240" s="234">
        <f>SUMIFS('2019'!$I:$I,'2019'!$E:$E,Category!$B$134,'2019'!$N:$N,Category!F$1,'2019'!$D:$D,Category!$C240)</f>
        <v>0</v>
      </c>
      <c r="G240" s="234">
        <f>SUMIFS('2019'!$I:$I,'2019'!$E:$E,Category!$B$134,'2019'!$N:$N,Category!G$1,'2019'!$D:$D,Category!$C240)</f>
        <v>0</v>
      </c>
      <c r="H240" s="234">
        <f>SUMIFS('2019'!$I:$I,'2019'!$E:$E,Category!$B$134,'2019'!$N:$N,Category!H$1,'2019'!$D:$D,Category!$C240)</f>
        <v>0</v>
      </c>
      <c r="I240" s="234">
        <f>SUMIFS('2019'!$I:$I,'2019'!$E:$E,Category!$B$134,'2019'!$N:$N,Category!I$1,'2019'!$D:$D,Category!$C240)</f>
        <v>0</v>
      </c>
      <c r="J240" s="250" t="e">
        <f>SUM(#REF!)</f>
        <v>#REF!</v>
      </c>
      <c r="K240" s="507">
        <f>IFERROR(VLOOKUP($C240,'2020'!$D:$G,4,0),0)</f>
        <v>0</v>
      </c>
      <c r="L240" s="234">
        <f>SUMIFS('2020'!$I:$I,'2020'!$E:$E,Category!$B$134,'2020'!$N:$N,Category!L$1,'2020'!$D:$D,Category!$C240)</f>
        <v>0</v>
      </c>
      <c r="M240" s="234">
        <f>SUMIFS('2020'!$I:$I,'2020'!$E:$E,Category!$B$134,'2020'!$N:$N,Category!M$1,'2020'!$D:$D,Category!$C240)</f>
        <v>0</v>
      </c>
      <c r="N240" s="234">
        <f>SUMIFS('2020'!$I:$I,'2020'!$E:$E,Category!$B$134,'2020'!$N:$N,Category!N$1,'2020'!$D:$D,Category!$C240)</f>
        <v>0</v>
      </c>
      <c r="O240" s="234">
        <f>SUMIFS('2020'!$I:$I,'2020'!$E:$E,Category!$B$134,'2020'!$N:$N,Category!O$1,'2020'!$D:$D,Category!$C240)</f>
        <v>0</v>
      </c>
      <c r="P240" s="234">
        <f>SUMIFS('2020'!$I:$I,'2020'!$E:$E,Category!$B$134,'2020'!$N:$N,Category!P$1,'2020'!$D:$D,Category!$C240)</f>
        <v>0</v>
      </c>
      <c r="Q240" s="234">
        <f>SUMIFS('2020'!$I:$I,'2020'!$E:$E,Category!$B$134,'2020'!$N:$N,Category!Q$1,'2020'!$D:$D,Category!$C240)</f>
        <v>0</v>
      </c>
      <c r="R240" s="234">
        <f>SUMIFS('2020'!$I:$I,'2020'!$E:$E,Category!$B$134,'2020'!$N:$N,Category!R$1,'2020'!$D:$D,Category!$C240)</f>
        <v>0</v>
      </c>
      <c r="S240" s="234">
        <f>SUMIFS('2020'!$I:$I,'2020'!$E:$E,Category!$B$134,'2020'!$N:$N,Category!S$1,'2020'!$D:$D,Category!$C240)</f>
        <v>0</v>
      </c>
      <c r="T240" s="234">
        <f>SUMIFS('2020'!$I:$I,'2020'!$E:$E,Category!$B$134,'2020'!$N:$N,Category!T$1,'2020'!$D:$D,Category!$C240)</f>
        <v>0</v>
      </c>
      <c r="U240" s="234">
        <f>SUMIFS('2020'!$I:$I,'2020'!$E:$E,Category!$B$134,'2020'!$N:$N,Category!U$1,'2020'!$D:$D,Category!$C240)</f>
        <v>0</v>
      </c>
      <c r="V240" s="234">
        <f>SUMIFS('2020'!$I:$I,'2020'!$E:$E,Category!$B$134,'2020'!$N:$N,Category!V$1,'2020'!$D:$D,Category!$C240)</f>
        <v>0</v>
      </c>
      <c r="W240" s="234">
        <f>SUMIFS('2020'!$I:$I,'2020'!$E:$E,Category!$B$134,'2020'!$N:$N,Category!W$1,'2020'!$D:$D,Category!$C240)</f>
        <v>0</v>
      </c>
      <c r="X240" s="250">
        <f t="shared" si="91"/>
        <v>0</v>
      </c>
      <c r="Y240" s="507">
        <f>IFERROR(VLOOKUP(C240,'2021'!$D:$G,4,0),0)</f>
        <v>0</v>
      </c>
      <c r="Z240" s="234">
        <f>SUMIFS('2021'!$I:$I,'2021'!$E:$E,Category!$B$134,'2021'!$N:$N,Category!Z$1,'2021'!$D:$D,Category!$C240)</f>
        <v>0</v>
      </c>
      <c r="AA240" s="234">
        <f>SUMIFS('2021'!$I:$I,'2021'!$E:$E,Category!$B$134,'2021'!$N:$N,Category!AA$1,'2021'!$D:$D,Category!$C240)</f>
        <v>0</v>
      </c>
      <c r="AB240" s="234">
        <f>SUMIFS('2021'!$I:$I,'2021'!$E:$E,Category!$B$134,'2021'!$N:$N,Category!AB$1,'2021'!$D:$D,Category!$C240)</f>
        <v>0</v>
      </c>
      <c r="AC240" s="234">
        <f>SUMIFS('2021'!$I:$I,'2021'!$E:$E,Category!$B$134,'2021'!$N:$N,Category!AC$1,'2021'!$D:$D,Category!$C240)</f>
        <v>0</v>
      </c>
      <c r="AD240" s="234">
        <f>SUMIFS('2021'!$I:$I,'2021'!$E:$E,Category!$B$134,'2021'!$N:$N,Category!AD$1,'2021'!$D:$D,Category!$C240)</f>
        <v>0</v>
      </c>
      <c r="AE240" s="234">
        <f>SUMIFS('2021'!$I:$I,'2021'!$E:$E,Category!$B$134,'2021'!$N:$N,Category!AE$1,'2021'!$D:$D,Category!$C240)</f>
        <v>0</v>
      </c>
      <c r="AF240" s="234">
        <f>SUMIFS('2021'!$I:$I,'2021'!$E:$E,Category!$B$134,'2021'!$N:$N,Category!AF$1,'2021'!$D:$D,Category!$C240)</f>
        <v>0</v>
      </c>
      <c r="AG240" s="234">
        <f>SUMIFS('2021'!$I:$I,'2021'!$E:$E,Category!$B$134,'2021'!$N:$N,Category!AG$1,'2021'!$D:$D,Category!$C240)</f>
        <v>0</v>
      </c>
      <c r="AH240" s="234">
        <f>SUMIFS('2021'!$I:$I,'2021'!$E:$E,Category!$B$134,'2021'!$N:$N,Category!AH$1,'2021'!$D:$D,Category!$C240)</f>
        <v>0</v>
      </c>
      <c r="AI240" s="234">
        <f>SUMIFS('2021'!$I:$I,'2021'!$E:$E,Category!$B$134,'2021'!$N:$N,Category!AI$1,'2021'!$D:$D,Category!$C240)</f>
        <v>0</v>
      </c>
      <c r="AJ240" s="234">
        <f>SUMIFS('2021'!$I:$I,'2021'!$E:$E,Category!$B$134,'2021'!$N:$N,Category!AJ$1,'2021'!$D:$D,Category!$C240)</f>
        <v>0</v>
      </c>
      <c r="AK240" s="234">
        <f>SUMIFS('2021'!$I:$I,'2021'!$E:$E,Category!$B$134,'2021'!$N:$N,Category!AK$1,'2021'!$D:$D,Category!$C240)</f>
        <v>0</v>
      </c>
      <c r="AL240" s="250">
        <f t="shared" si="92"/>
        <v>0</v>
      </c>
      <c r="AM240" s="507">
        <f>IFERROR(VLOOKUP(C240,'2022'!$D:$G,4,0),0)</f>
        <v>0</v>
      </c>
      <c r="AN240" s="234">
        <f>SUMIFS('2022'!$I:$I,'2022'!$E:$E,Category!$B$134,'2022'!$N:$N,Category!AN$1,'2022'!$D:$D,Category!$C240)</f>
        <v>0</v>
      </c>
      <c r="AO240" s="234">
        <f>SUMIFS('2022'!$I:$I,'2022'!$E:$E,Category!$B$134,'2022'!$N:$N,Category!AO$1,'2022'!$D:$D,Category!$C240)</f>
        <v>0</v>
      </c>
      <c r="AP240" s="234">
        <f>SUMIFS('2022'!$I:$I,'2022'!$E:$E,Category!$B$134,'2022'!$N:$N,Category!AP$1,'2022'!$D:$D,Category!$C240)</f>
        <v>0</v>
      </c>
      <c r="AQ240" s="234">
        <f>SUMIFS('2022'!$I:$I,'2022'!$E:$E,Category!$B$134,'2022'!$N:$N,Category!AQ$1,'2022'!$D:$D,Category!$C240)</f>
        <v>0</v>
      </c>
      <c r="AR240" s="234">
        <f>SUMIFS('2022'!$I:$I,'2022'!$E:$E,Category!$B$134,'2022'!$N:$N,Category!AR$1,'2022'!$D:$D,Category!$C240)</f>
        <v>0</v>
      </c>
      <c r="AS240" s="234">
        <f>SUMIFS('2022'!$I:$I,'2022'!$E:$E,Category!$B$134,'2022'!$N:$N,Category!AS$1,'2022'!$D:$D,Category!$C240)</f>
        <v>0</v>
      </c>
      <c r="AT240" s="234">
        <f>SUMIFS('2022'!$I:$I,'2022'!$E:$E,Category!$B$134,'2022'!$N:$N,Category!AT$1,'2022'!$D:$D,Category!$C240)</f>
        <v>0</v>
      </c>
      <c r="AU240" s="234">
        <f>SUMIFS('2022'!$I:$I,'2022'!$E:$E,Category!$B$134,'2022'!$N:$N,Category!AU$1,'2022'!$D:$D,Category!$C240)</f>
        <v>0</v>
      </c>
      <c r="AV240" s="234">
        <f>SUMIFS('2022'!$I:$I,'2022'!$E:$E,Category!$B$134,'2022'!$N:$N,Category!AV$1,'2022'!$D:$D,Category!$C240)</f>
        <v>0</v>
      </c>
      <c r="AW240" s="234">
        <f>SUMIFS('2022'!$I:$I,'2022'!$E:$E,Category!$B$134,'2022'!$N:$N,Category!AW$1,'2022'!$D:$D,Category!$C240)</f>
        <v>0</v>
      </c>
      <c r="AX240" s="234">
        <f>SUMIFS('2022'!$I:$I,'2022'!$E:$E,Category!$B$134,'2022'!$N:$N,Category!AX$1,'2022'!$D:$D,Category!$C240)</f>
        <v>0</v>
      </c>
      <c r="AY240" s="234">
        <f>SUMIFS('2022'!$I:$I,'2022'!$E:$E,Category!$B$134,'2022'!$N:$N,Category!AY$1,'2022'!$D:$D,Category!$C240)</f>
        <v>0</v>
      </c>
      <c r="AZ240" s="250">
        <f t="shared" si="93"/>
        <v>0</v>
      </c>
      <c r="BA240" s="507">
        <f>IFERROR(VLOOKUP(AE240,'2023'!$D:$G,4,0),0)</f>
        <v>0</v>
      </c>
      <c r="BB240" s="234">
        <f>SUMIFS('2023'!$I:$I,'2023'!$E:$E,Category!$B$134,'2023'!$N:$N,Category!BB$1,'2023'!$D:$D,Category!$C240)</f>
        <v>0</v>
      </c>
      <c r="BC240" s="234">
        <f>SUMIFS('2023'!$I:$I,'2023'!$E:$E,Category!$B$134,'2023'!$N:$N,Category!BC$1,'2023'!$D:$D,Category!$C240)</f>
        <v>0</v>
      </c>
      <c r="BD240" s="234">
        <f>SUMIFS('2023'!$I:$I,'2023'!$E:$E,Category!$B$134,'2023'!$N:$N,Category!BD$1,'2023'!$D:$D,Category!$C240)</f>
        <v>0</v>
      </c>
      <c r="BE240" s="234">
        <f>SUMIFS('2023'!$I:$I,'2023'!$E:$E,Category!$B$134,'2023'!$N:$N,Category!BE$1,'2023'!$D:$D,Category!$C240)</f>
        <v>0</v>
      </c>
      <c r="BF240" s="234">
        <f>SUMIFS('2023'!$I:$I,'2023'!$E:$E,Category!$B$134,'2023'!$N:$N,Category!BF$1,'2023'!$D:$D,Category!$C240)</f>
        <v>0</v>
      </c>
      <c r="BG240" s="234">
        <f>SUMIFS('2023'!$I:$I,'2023'!$E:$E,Category!$B$134,'2023'!$N:$N,Category!BG$1,'2023'!$D:$D,Category!$C240)</f>
        <v>0</v>
      </c>
      <c r="BH240" s="234">
        <f>SUMIFS('2023'!$I:$I,'2023'!$E:$E,Category!$B$134,'2023'!$N:$N,Category!BH$1,'2023'!$D:$D,Category!$C240)</f>
        <v>0</v>
      </c>
      <c r="BI240" s="234">
        <f>SUMIFS('2023'!$I:$I,'2023'!$E:$E,Category!$B$134,'2023'!$N:$N,Category!BI$1,'2023'!$D:$D,Category!$C240)</f>
        <v>0</v>
      </c>
      <c r="BJ240" s="234">
        <f>SUMIFS('2023'!$I:$I,'2023'!$E:$E,Category!$B$134,'2023'!$N:$N,Category!BJ$1,'2023'!$D:$D,Category!$C240)</f>
        <v>0</v>
      </c>
      <c r="BK240" s="234">
        <f>SUMIFS('2023'!$I:$I,'2023'!$E:$E,Category!$B$134,'2023'!$N:$N,Category!BK$1,'2023'!$D:$D,Category!$C240)</f>
        <v>0</v>
      </c>
      <c r="BL240" s="234">
        <f>SUMIFS('2023'!$I:$I,'2023'!$E:$E,Category!$B$134,'2023'!$N:$N,Category!BL$1,'2023'!$D:$D,Category!$C240)</f>
        <v>0</v>
      </c>
      <c r="BM240" s="234">
        <f>SUMIFS('2023'!$I:$I,'2023'!$E:$E,Category!$B$134,'2023'!$N:$N,Category!BM$1,'2023'!$D:$D,Category!$C240)</f>
        <v>0</v>
      </c>
      <c r="BN240" s="250">
        <f t="shared" si="94"/>
        <v>0</v>
      </c>
    </row>
    <row r="241" spans="1:66" ht="21" hidden="1" customHeight="1" x14ac:dyDescent="0.3">
      <c r="A241" s="249"/>
      <c r="B241" s="235"/>
      <c r="C241" s="235"/>
      <c r="D241" s="235">
        <f>IFERROR(VLOOKUP($C241,'2019'!$D:$G,4,0),0)</f>
        <v>0</v>
      </c>
      <c r="E241" s="234">
        <f>SUMIFS('2019'!$I:$I,'2019'!$E:$E,Category!$B$134,'2019'!$N:$N,Category!E$1,'2019'!$D:$D,Category!$C241)</f>
        <v>0</v>
      </c>
      <c r="F241" s="234">
        <f>SUMIFS('2019'!$I:$I,'2019'!$E:$E,Category!$B$134,'2019'!$N:$N,Category!F$1,'2019'!$D:$D,Category!$C241)</f>
        <v>0</v>
      </c>
      <c r="G241" s="234">
        <f>SUMIFS('2019'!$I:$I,'2019'!$E:$E,Category!$B$134,'2019'!$N:$N,Category!G$1,'2019'!$D:$D,Category!$C241)</f>
        <v>0</v>
      </c>
      <c r="H241" s="234">
        <f>SUMIFS('2019'!$I:$I,'2019'!$E:$E,Category!$B$134,'2019'!$N:$N,Category!H$1,'2019'!$D:$D,Category!$C241)</f>
        <v>0</v>
      </c>
      <c r="I241" s="234">
        <f>SUMIFS('2019'!$I:$I,'2019'!$E:$E,Category!$B$134,'2019'!$N:$N,Category!I$1,'2019'!$D:$D,Category!$C241)</f>
        <v>0</v>
      </c>
      <c r="J241" s="250" t="e">
        <f>SUM(#REF!)</f>
        <v>#REF!</v>
      </c>
      <c r="K241" s="507">
        <f>IFERROR(VLOOKUP($C241,'2020'!$D:$G,4,0),0)</f>
        <v>0</v>
      </c>
      <c r="L241" s="234">
        <f>SUMIFS('2020'!$I:$I,'2020'!$E:$E,Category!$B$134,'2020'!$N:$N,Category!L$1,'2020'!$D:$D,Category!$C241)</f>
        <v>0</v>
      </c>
      <c r="M241" s="234">
        <f>SUMIFS('2020'!$I:$I,'2020'!$E:$E,Category!$B$134,'2020'!$N:$N,Category!M$1,'2020'!$D:$D,Category!$C241)</f>
        <v>0</v>
      </c>
      <c r="N241" s="234">
        <f>SUMIFS('2020'!$I:$I,'2020'!$E:$E,Category!$B$134,'2020'!$N:$N,Category!N$1,'2020'!$D:$D,Category!$C241)</f>
        <v>0</v>
      </c>
      <c r="O241" s="234">
        <f>SUMIFS('2020'!$I:$I,'2020'!$E:$E,Category!$B$134,'2020'!$N:$N,Category!O$1,'2020'!$D:$D,Category!$C241)</f>
        <v>0</v>
      </c>
      <c r="P241" s="234">
        <f>SUMIFS('2020'!$I:$I,'2020'!$E:$E,Category!$B$134,'2020'!$N:$N,Category!P$1,'2020'!$D:$D,Category!$C241)</f>
        <v>0</v>
      </c>
      <c r="Q241" s="234">
        <f>SUMIFS('2020'!$I:$I,'2020'!$E:$E,Category!$B$134,'2020'!$N:$N,Category!Q$1,'2020'!$D:$D,Category!$C241)</f>
        <v>0</v>
      </c>
      <c r="R241" s="234">
        <f>SUMIFS('2020'!$I:$I,'2020'!$E:$E,Category!$B$134,'2020'!$N:$N,Category!R$1,'2020'!$D:$D,Category!$C241)</f>
        <v>0</v>
      </c>
      <c r="S241" s="234">
        <f>SUMIFS('2020'!$I:$I,'2020'!$E:$E,Category!$B$134,'2020'!$N:$N,Category!S$1,'2020'!$D:$D,Category!$C241)</f>
        <v>0</v>
      </c>
      <c r="T241" s="234">
        <f>SUMIFS('2020'!$I:$I,'2020'!$E:$E,Category!$B$134,'2020'!$N:$N,Category!T$1,'2020'!$D:$D,Category!$C241)</f>
        <v>0</v>
      </c>
      <c r="U241" s="234">
        <f>SUMIFS('2020'!$I:$I,'2020'!$E:$E,Category!$B$134,'2020'!$N:$N,Category!U$1,'2020'!$D:$D,Category!$C241)</f>
        <v>0</v>
      </c>
      <c r="V241" s="234">
        <f>SUMIFS('2020'!$I:$I,'2020'!$E:$E,Category!$B$134,'2020'!$N:$N,Category!V$1,'2020'!$D:$D,Category!$C241)</f>
        <v>0</v>
      </c>
      <c r="W241" s="234">
        <f>SUMIFS('2020'!$I:$I,'2020'!$E:$E,Category!$B$134,'2020'!$N:$N,Category!W$1,'2020'!$D:$D,Category!$C241)</f>
        <v>0</v>
      </c>
      <c r="X241" s="250">
        <f t="shared" si="91"/>
        <v>0</v>
      </c>
      <c r="Y241" s="507">
        <f>IFERROR(VLOOKUP(C241,'2021'!$D:$G,4,0),0)</f>
        <v>0</v>
      </c>
      <c r="Z241" s="234">
        <f>SUMIFS('2021'!$I:$I,'2021'!$E:$E,Category!$B$134,'2021'!$N:$N,Category!Z$1,'2021'!$D:$D,Category!$C241)</f>
        <v>0</v>
      </c>
      <c r="AA241" s="234">
        <f>SUMIFS('2021'!$I:$I,'2021'!$E:$E,Category!$B$134,'2021'!$N:$N,Category!AA$1,'2021'!$D:$D,Category!$C241)</f>
        <v>0</v>
      </c>
      <c r="AB241" s="234">
        <f>SUMIFS('2021'!$I:$I,'2021'!$E:$E,Category!$B$134,'2021'!$N:$N,Category!AB$1,'2021'!$D:$D,Category!$C241)</f>
        <v>0</v>
      </c>
      <c r="AC241" s="234">
        <f>SUMIFS('2021'!$I:$I,'2021'!$E:$E,Category!$B$134,'2021'!$N:$N,Category!AC$1,'2021'!$D:$D,Category!$C241)</f>
        <v>0</v>
      </c>
      <c r="AD241" s="234">
        <f>SUMIFS('2021'!$I:$I,'2021'!$E:$E,Category!$B$134,'2021'!$N:$N,Category!AD$1,'2021'!$D:$D,Category!$C241)</f>
        <v>0</v>
      </c>
      <c r="AE241" s="234">
        <f>SUMIFS('2021'!$I:$I,'2021'!$E:$E,Category!$B$134,'2021'!$N:$N,Category!AE$1,'2021'!$D:$D,Category!$C241)</f>
        <v>0</v>
      </c>
      <c r="AF241" s="234">
        <f>SUMIFS('2021'!$I:$I,'2021'!$E:$E,Category!$B$134,'2021'!$N:$N,Category!AF$1,'2021'!$D:$D,Category!$C241)</f>
        <v>0</v>
      </c>
      <c r="AG241" s="234">
        <f>SUMIFS('2021'!$I:$I,'2021'!$E:$E,Category!$B$134,'2021'!$N:$N,Category!AG$1,'2021'!$D:$D,Category!$C241)</f>
        <v>0</v>
      </c>
      <c r="AH241" s="234">
        <f>SUMIFS('2021'!$I:$I,'2021'!$E:$E,Category!$B$134,'2021'!$N:$N,Category!AH$1,'2021'!$D:$D,Category!$C241)</f>
        <v>0</v>
      </c>
      <c r="AI241" s="234">
        <f>SUMIFS('2021'!$I:$I,'2021'!$E:$E,Category!$B$134,'2021'!$N:$N,Category!AI$1,'2021'!$D:$D,Category!$C241)</f>
        <v>0</v>
      </c>
      <c r="AJ241" s="234">
        <f>SUMIFS('2021'!$I:$I,'2021'!$E:$E,Category!$B$134,'2021'!$N:$N,Category!AJ$1,'2021'!$D:$D,Category!$C241)</f>
        <v>0</v>
      </c>
      <c r="AK241" s="234">
        <f>SUMIFS('2021'!$I:$I,'2021'!$E:$E,Category!$B$134,'2021'!$N:$N,Category!AK$1,'2021'!$D:$D,Category!$C241)</f>
        <v>0</v>
      </c>
      <c r="AL241" s="250">
        <f t="shared" si="92"/>
        <v>0</v>
      </c>
      <c r="AM241" s="507">
        <f>IFERROR(VLOOKUP(C241,'2022'!$D:$G,4,0),0)</f>
        <v>0</v>
      </c>
      <c r="AN241" s="234">
        <f>SUMIFS('2022'!$I:$I,'2022'!$E:$E,Category!$B$134,'2022'!$N:$N,Category!AN$1,'2022'!$D:$D,Category!$C241)</f>
        <v>0</v>
      </c>
      <c r="AO241" s="234">
        <f>SUMIFS('2022'!$I:$I,'2022'!$E:$E,Category!$B$134,'2022'!$N:$N,Category!AO$1,'2022'!$D:$D,Category!$C241)</f>
        <v>0</v>
      </c>
      <c r="AP241" s="234">
        <f>SUMIFS('2022'!$I:$I,'2022'!$E:$E,Category!$B$134,'2022'!$N:$N,Category!AP$1,'2022'!$D:$D,Category!$C241)</f>
        <v>0</v>
      </c>
      <c r="AQ241" s="234">
        <f>SUMIFS('2022'!$I:$I,'2022'!$E:$E,Category!$B$134,'2022'!$N:$N,Category!AQ$1,'2022'!$D:$D,Category!$C241)</f>
        <v>0</v>
      </c>
      <c r="AR241" s="234">
        <f>SUMIFS('2022'!$I:$I,'2022'!$E:$E,Category!$B$134,'2022'!$N:$N,Category!AR$1,'2022'!$D:$D,Category!$C241)</f>
        <v>0</v>
      </c>
      <c r="AS241" s="234">
        <f>SUMIFS('2022'!$I:$I,'2022'!$E:$E,Category!$B$134,'2022'!$N:$N,Category!AS$1,'2022'!$D:$D,Category!$C241)</f>
        <v>0</v>
      </c>
      <c r="AT241" s="234">
        <f>SUMIFS('2022'!$I:$I,'2022'!$E:$E,Category!$B$134,'2022'!$N:$N,Category!AT$1,'2022'!$D:$D,Category!$C241)</f>
        <v>0</v>
      </c>
      <c r="AU241" s="234">
        <f>SUMIFS('2022'!$I:$I,'2022'!$E:$E,Category!$B$134,'2022'!$N:$N,Category!AU$1,'2022'!$D:$D,Category!$C241)</f>
        <v>0</v>
      </c>
      <c r="AV241" s="234">
        <f>SUMIFS('2022'!$I:$I,'2022'!$E:$E,Category!$B$134,'2022'!$N:$N,Category!AV$1,'2022'!$D:$D,Category!$C241)</f>
        <v>0</v>
      </c>
      <c r="AW241" s="234">
        <f>SUMIFS('2022'!$I:$I,'2022'!$E:$E,Category!$B$134,'2022'!$N:$N,Category!AW$1,'2022'!$D:$D,Category!$C241)</f>
        <v>0</v>
      </c>
      <c r="AX241" s="234">
        <f>SUMIFS('2022'!$I:$I,'2022'!$E:$E,Category!$B$134,'2022'!$N:$N,Category!AX$1,'2022'!$D:$D,Category!$C241)</f>
        <v>0</v>
      </c>
      <c r="AY241" s="234">
        <f>SUMIFS('2022'!$I:$I,'2022'!$E:$E,Category!$B$134,'2022'!$N:$N,Category!AY$1,'2022'!$D:$D,Category!$C241)</f>
        <v>0</v>
      </c>
      <c r="AZ241" s="250">
        <f t="shared" si="93"/>
        <v>0</v>
      </c>
      <c r="BA241" s="507">
        <f>IFERROR(VLOOKUP(AE241,'2023'!$D:$G,4,0),0)</f>
        <v>0</v>
      </c>
      <c r="BB241" s="234">
        <f>SUMIFS('2023'!$I:$I,'2023'!$E:$E,Category!$B$134,'2023'!$N:$N,Category!BB$1,'2023'!$D:$D,Category!$C241)</f>
        <v>0</v>
      </c>
      <c r="BC241" s="234">
        <f>SUMIFS('2023'!$I:$I,'2023'!$E:$E,Category!$B$134,'2023'!$N:$N,Category!BC$1,'2023'!$D:$D,Category!$C241)</f>
        <v>0</v>
      </c>
      <c r="BD241" s="234">
        <f>SUMIFS('2023'!$I:$I,'2023'!$E:$E,Category!$B$134,'2023'!$N:$N,Category!BD$1,'2023'!$D:$D,Category!$C241)</f>
        <v>0</v>
      </c>
      <c r="BE241" s="234">
        <f>SUMIFS('2023'!$I:$I,'2023'!$E:$E,Category!$B$134,'2023'!$N:$N,Category!BE$1,'2023'!$D:$D,Category!$C241)</f>
        <v>0</v>
      </c>
      <c r="BF241" s="234">
        <f>SUMIFS('2023'!$I:$I,'2023'!$E:$E,Category!$B$134,'2023'!$N:$N,Category!BF$1,'2023'!$D:$D,Category!$C241)</f>
        <v>0</v>
      </c>
      <c r="BG241" s="234">
        <f>SUMIFS('2023'!$I:$I,'2023'!$E:$E,Category!$B$134,'2023'!$N:$N,Category!BG$1,'2023'!$D:$D,Category!$C241)</f>
        <v>0</v>
      </c>
      <c r="BH241" s="234">
        <f>SUMIFS('2023'!$I:$I,'2023'!$E:$E,Category!$B$134,'2023'!$N:$N,Category!BH$1,'2023'!$D:$D,Category!$C241)</f>
        <v>0</v>
      </c>
      <c r="BI241" s="234">
        <f>SUMIFS('2023'!$I:$I,'2023'!$E:$E,Category!$B$134,'2023'!$N:$N,Category!BI$1,'2023'!$D:$D,Category!$C241)</f>
        <v>0</v>
      </c>
      <c r="BJ241" s="234">
        <f>SUMIFS('2023'!$I:$I,'2023'!$E:$E,Category!$B$134,'2023'!$N:$N,Category!BJ$1,'2023'!$D:$D,Category!$C241)</f>
        <v>0</v>
      </c>
      <c r="BK241" s="234">
        <f>SUMIFS('2023'!$I:$I,'2023'!$E:$E,Category!$B$134,'2023'!$N:$N,Category!BK$1,'2023'!$D:$D,Category!$C241)</f>
        <v>0</v>
      </c>
      <c r="BL241" s="234">
        <f>SUMIFS('2023'!$I:$I,'2023'!$E:$E,Category!$B$134,'2023'!$N:$N,Category!BL$1,'2023'!$D:$D,Category!$C241)</f>
        <v>0</v>
      </c>
      <c r="BM241" s="234">
        <f>SUMIFS('2023'!$I:$I,'2023'!$E:$E,Category!$B$134,'2023'!$N:$N,Category!BM$1,'2023'!$D:$D,Category!$C241)</f>
        <v>0</v>
      </c>
      <c r="BN241" s="250">
        <f t="shared" si="94"/>
        <v>0</v>
      </c>
    </row>
    <row r="242" spans="1:66" ht="21" hidden="1" customHeight="1" x14ac:dyDescent="0.3">
      <c r="A242" s="249"/>
      <c r="B242" s="235"/>
      <c r="C242" s="235"/>
      <c r="D242" s="235">
        <f>IFERROR(VLOOKUP($C242,'2019'!$D:$G,4,0),0)</f>
        <v>0</v>
      </c>
      <c r="E242" s="234">
        <f>SUMIFS('2019'!$I:$I,'2019'!$E:$E,Category!$B$134,'2019'!$N:$N,Category!E$1,'2019'!$D:$D,Category!$C242)</f>
        <v>0</v>
      </c>
      <c r="F242" s="234">
        <f>SUMIFS('2019'!$I:$I,'2019'!$E:$E,Category!$B$134,'2019'!$N:$N,Category!F$1,'2019'!$D:$D,Category!$C242)</f>
        <v>0</v>
      </c>
      <c r="G242" s="234">
        <f>SUMIFS('2019'!$I:$I,'2019'!$E:$E,Category!$B$134,'2019'!$N:$N,Category!G$1,'2019'!$D:$D,Category!$C242)</f>
        <v>0</v>
      </c>
      <c r="H242" s="234">
        <f>SUMIFS('2019'!$I:$I,'2019'!$E:$E,Category!$B$134,'2019'!$N:$N,Category!H$1,'2019'!$D:$D,Category!$C242)</f>
        <v>0</v>
      </c>
      <c r="I242" s="234">
        <f>SUMIFS('2019'!$I:$I,'2019'!$E:$E,Category!$B$134,'2019'!$N:$N,Category!I$1,'2019'!$D:$D,Category!$C242)</f>
        <v>0</v>
      </c>
      <c r="J242" s="250" t="e">
        <f>SUM(#REF!)</f>
        <v>#REF!</v>
      </c>
      <c r="K242" s="507">
        <f>IFERROR(VLOOKUP($C242,'2020'!$D:$G,4,0),0)</f>
        <v>0</v>
      </c>
      <c r="L242" s="234">
        <f>SUMIFS('2020'!$I:$I,'2020'!$E:$E,Category!$B$134,'2020'!$N:$N,Category!L$1,'2020'!$D:$D,Category!$C242)</f>
        <v>0</v>
      </c>
      <c r="M242" s="234">
        <f>SUMIFS('2020'!$I:$I,'2020'!$E:$E,Category!$B$134,'2020'!$N:$N,Category!M$1,'2020'!$D:$D,Category!$C242)</f>
        <v>0</v>
      </c>
      <c r="N242" s="234">
        <f>SUMIFS('2020'!$I:$I,'2020'!$E:$E,Category!$B$134,'2020'!$N:$N,Category!N$1,'2020'!$D:$D,Category!$C242)</f>
        <v>0</v>
      </c>
      <c r="O242" s="234">
        <f>SUMIFS('2020'!$I:$I,'2020'!$E:$E,Category!$B$134,'2020'!$N:$N,Category!O$1,'2020'!$D:$D,Category!$C242)</f>
        <v>0</v>
      </c>
      <c r="P242" s="234">
        <f>SUMIFS('2020'!$I:$I,'2020'!$E:$E,Category!$B$134,'2020'!$N:$N,Category!P$1,'2020'!$D:$D,Category!$C242)</f>
        <v>0</v>
      </c>
      <c r="Q242" s="234">
        <f>SUMIFS('2020'!$I:$I,'2020'!$E:$E,Category!$B$134,'2020'!$N:$N,Category!Q$1,'2020'!$D:$D,Category!$C242)</f>
        <v>0</v>
      </c>
      <c r="R242" s="234">
        <f>SUMIFS('2020'!$I:$I,'2020'!$E:$E,Category!$B$134,'2020'!$N:$N,Category!R$1,'2020'!$D:$D,Category!$C242)</f>
        <v>0</v>
      </c>
      <c r="S242" s="234">
        <f>SUMIFS('2020'!$I:$I,'2020'!$E:$E,Category!$B$134,'2020'!$N:$N,Category!S$1,'2020'!$D:$D,Category!$C242)</f>
        <v>0</v>
      </c>
      <c r="T242" s="234">
        <f>SUMIFS('2020'!$I:$I,'2020'!$E:$E,Category!$B$134,'2020'!$N:$N,Category!T$1,'2020'!$D:$D,Category!$C242)</f>
        <v>0</v>
      </c>
      <c r="U242" s="234">
        <f>SUMIFS('2020'!$I:$I,'2020'!$E:$E,Category!$B$134,'2020'!$N:$N,Category!U$1,'2020'!$D:$D,Category!$C242)</f>
        <v>0</v>
      </c>
      <c r="V242" s="234">
        <f>SUMIFS('2020'!$I:$I,'2020'!$E:$E,Category!$B$134,'2020'!$N:$N,Category!V$1,'2020'!$D:$D,Category!$C242)</f>
        <v>0</v>
      </c>
      <c r="W242" s="234">
        <f>SUMIFS('2020'!$I:$I,'2020'!$E:$E,Category!$B$134,'2020'!$N:$N,Category!W$1,'2020'!$D:$D,Category!$C242)</f>
        <v>0</v>
      </c>
      <c r="X242" s="250">
        <f>SUM(L242:W242)</f>
        <v>0</v>
      </c>
      <c r="Y242" s="507">
        <f>IFERROR(VLOOKUP(C242,'2021'!$D:$G,4,0),0)</f>
        <v>0</v>
      </c>
      <c r="Z242" s="234">
        <f>SUMIFS('2021'!$I:$I,'2021'!$E:$E,Category!$B$134,'2021'!$N:$N,Category!Z$1,'2021'!$D:$D,Category!$C242)</f>
        <v>0</v>
      </c>
      <c r="AA242" s="234">
        <f>SUMIFS('2021'!$I:$I,'2021'!$E:$E,Category!$B$134,'2021'!$N:$N,Category!AA$1,'2021'!$D:$D,Category!$C242)</f>
        <v>0</v>
      </c>
      <c r="AB242" s="234">
        <f>SUMIFS('2021'!$I:$I,'2021'!$E:$E,Category!$B$134,'2021'!$N:$N,Category!AB$1,'2021'!$D:$D,Category!$C242)</f>
        <v>0</v>
      </c>
      <c r="AC242" s="234">
        <f>SUMIFS('2021'!$I:$I,'2021'!$E:$E,Category!$B$134,'2021'!$N:$N,Category!AC$1,'2021'!$D:$D,Category!$C242)</f>
        <v>0</v>
      </c>
      <c r="AD242" s="234">
        <f>SUMIFS('2021'!$I:$I,'2021'!$E:$E,Category!$B$134,'2021'!$N:$N,Category!AD$1,'2021'!$D:$D,Category!$C242)</f>
        <v>0</v>
      </c>
      <c r="AE242" s="234">
        <f>SUMIFS('2021'!$I:$I,'2021'!$E:$E,Category!$B$134,'2021'!$N:$N,Category!AE$1,'2021'!$D:$D,Category!$C242)</f>
        <v>0</v>
      </c>
      <c r="AF242" s="234">
        <f>SUMIFS('2021'!$I:$I,'2021'!$E:$E,Category!$B$134,'2021'!$N:$N,Category!AF$1,'2021'!$D:$D,Category!$C242)</f>
        <v>0</v>
      </c>
      <c r="AG242" s="234">
        <f>SUMIFS('2021'!$I:$I,'2021'!$E:$E,Category!$B$134,'2021'!$N:$N,Category!AG$1,'2021'!$D:$D,Category!$C242)</f>
        <v>0</v>
      </c>
      <c r="AH242" s="234">
        <f>SUMIFS('2021'!$I:$I,'2021'!$E:$E,Category!$B$134,'2021'!$N:$N,Category!AH$1,'2021'!$D:$D,Category!$C242)</f>
        <v>0</v>
      </c>
      <c r="AI242" s="234">
        <f>SUMIFS('2021'!$I:$I,'2021'!$E:$E,Category!$B$134,'2021'!$N:$N,Category!AI$1,'2021'!$D:$D,Category!$C242)</f>
        <v>0</v>
      </c>
      <c r="AJ242" s="234">
        <f>SUMIFS('2021'!$I:$I,'2021'!$E:$E,Category!$B$134,'2021'!$N:$N,Category!AJ$1,'2021'!$D:$D,Category!$C242)</f>
        <v>0</v>
      </c>
      <c r="AK242" s="234">
        <f>SUMIFS('2021'!$I:$I,'2021'!$E:$E,Category!$B$134,'2021'!$N:$N,Category!AK$1,'2021'!$D:$D,Category!$C242)</f>
        <v>0</v>
      </c>
      <c r="AL242" s="250">
        <f>SUM(Z242:AK242)</f>
        <v>0</v>
      </c>
      <c r="AM242" s="507">
        <f>IFERROR(VLOOKUP(C242,'2022'!$D:$G,4,0),0)</f>
        <v>0</v>
      </c>
      <c r="AN242" s="234">
        <f>SUMIFS('2022'!$I:$I,'2022'!$E:$E,Category!$B$134,'2022'!$N:$N,Category!AN$1,'2022'!$D:$D,Category!$C242)</f>
        <v>0</v>
      </c>
      <c r="AO242" s="234">
        <f>SUMIFS('2022'!$I:$I,'2022'!$E:$E,Category!$B$134,'2022'!$N:$N,Category!AO$1,'2022'!$D:$D,Category!$C242)</f>
        <v>0</v>
      </c>
      <c r="AP242" s="234">
        <f>SUMIFS('2022'!$I:$I,'2022'!$E:$E,Category!$B$134,'2022'!$N:$N,Category!AP$1,'2022'!$D:$D,Category!$C242)</f>
        <v>0</v>
      </c>
      <c r="AQ242" s="234">
        <f>SUMIFS('2022'!$I:$I,'2022'!$E:$E,Category!$B$134,'2022'!$N:$N,Category!AQ$1,'2022'!$D:$D,Category!$C242)</f>
        <v>0</v>
      </c>
      <c r="AR242" s="234">
        <f>SUMIFS('2022'!$I:$I,'2022'!$E:$E,Category!$B$134,'2022'!$N:$N,Category!AR$1,'2022'!$D:$D,Category!$C242)</f>
        <v>0</v>
      </c>
      <c r="AS242" s="234">
        <f>SUMIFS('2022'!$I:$I,'2022'!$E:$E,Category!$B$134,'2022'!$N:$N,Category!AS$1,'2022'!$D:$D,Category!$C242)</f>
        <v>0</v>
      </c>
      <c r="AT242" s="234">
        <f>SUMIFS('2022'!$I:$I,'2022'!$E:$E,Category!$B$134,'2022'!$N:$N,Category!AT$1,'2022'!$D:$D,Category!$C242)</f>
        <v>0</v>
      </c>
      <c r="AU242" s="234">
        <f>SUMIFS('2022'!$I:$I,'2022'!$E:$E,Category!$B$134,'2022'!$N:$N,Category!AU$1,'2022'!$D:$D,Category!$C242)</f>
        <v>0</v>
      </c>
      <c r="AV242" s="234">
        <f>SUMIFS('2022'!$I:$I,'2022'!$E:$E,Category!$B$134,'2022'!$N:$N,Category!AV$1,'2022'!$D:$D,Category!$C242)</f>
        <v>0</v>
      </c>
      <c r="AW242" s="234">
        <f>SUMIFS('2022'!$I:$I,'2022'!$E:$E,Category!$B$134,'2022'!$N:$N,Category!AW$1,'2022'!$D:$D,Category!$C242)</f>
        <v>0</v>
      </c>
      <c r="AX242" s="234">
        <f>SUMIFS('2022'!$I:$I,'2022'!$E:$E,Category!$B$134,'2022'!$N:$N,Category!AX$1,'2022'!$D:$D,Category!$C242)</f>
        <v>0</v>
      </c>
      <c r="AY242" s="234">
        <f>SUMIFS('2022'!$I:$I,'2022'!$E:$E,Category!$B$134,'2022'!$N:$N,Category!AY$1,'2022'!$D:$D,Category!$C242)</f>
        <v>0</v>
      </c>
      <c r="AZ242" s="250">
        <f>SUM(AN242:AY242)</f>
        <v>0</v>
      </c>
      <c r="BA242" s="507">
        <f>IFERROR(VLOOKUP(AE242,'2023'!$D:$G,4,0),0)</f>
        <v>0</v>
      </c>
      <c r="BB242" s="234">
        <f>SUMIFS('2023'!$I:$I,'2023'!$E:$E,Category!$B$134,'2023'!$N:$N,Category!BB$1,'2023'!$D:$D,Category!$C242)</f>
        <v>0</v>
      </c>
      <c r="BC242" s="234">
        <f>SUMIFS('2023'!$I:$I,'2023'!$E:$E,Category!$B$134,'2023'!$N:$N,Category!BC$1,'2023'!$D:$D,Category!$C242)</f>
        <v>0</v>
      </c>
      <c r="BD242" s="234">
        <f>SUMIFS('2023'!$I:$I,'2023'!$E:$E,Category!$B$134,'2023'!$N:$N,Category!BD$1,'2023'!$D:$D,Category!$C242)</f>
        <v>0</v>
      </c>
      <c r="BE242" s="234">
        <f>SUMIFS('2023'!$I:$I,'2023'!$E:$E,Category!$B$134,'2023'!$N:$N,Category!BE$1,'2023'!$D:$D,Category!$C242)</f>
        <v>0</v>
      </c>
      <c r="BF242" s="234">
        <f>SUMIFS('2023'!$I:$I,'2023'!$E:$E,Category!$B$134,'2023'!$N:$N,Category!BF$1,'2023'!$D:$D,Category!$C242)</f>
        <v>0</v>
      </c>
      <c r="BG242" s="234">
        <f>SUMIFS('2023'!$I:$I,'2023'!$E:$E,Category!$B$134,'2023'!$N:$N,Category!BG$1,'2023'!$D:$D,Category!$C242)</f>
        <v>0</v>
      </c>
      <c r="BH242" s="234">
        <f>SUMIFS('2023'!$I:$I,'2023'!$E:$E,Category!$B$134,'2023'!$N:$N,Category!BH$1,'2023'!$D:$D,Category!$C242)</f>
        <v>0</v>
      </c>
      <c r="BI242" s="234">
        <f>SUMIFS('2023'!$I:$I,'2023'!$E:$E,Category!$B$134,'2023'!$N:$N,Category!BI$1,'2023'!$D:$D,Category!$C242)</f>
        <v>0</v>
      </c>
      <c r="BJ242" s="234">
        <f>SUMIFS('2023'!$I:$I,'2023'!$E:$E,Category!$B$134,'2023'!$N:$N,Category!BJ$1,'2023'!$D:$D,Category!$C242)</f>
        <v>0</v>
      </c>
      <c r="BK242" s="234">
        <f>SUMIFS('2023'!$I:$I,'2023'!$E:$E,Category!$B$134,'2023'!$N:$N,Category!BK$1,'2023'!$D:$D,Category!$C242)</f>
        <v>0</v>
      </c>
      <c r="BL242" s="234">
        <f>SUMIFS('2023'!$I:$I,'2023'!$E:$E,Category!$B$134,'2023'!$N:$N,Category!BL$1,'2023'!$D:$D,Category!$C242)</f>
        <v>0</v>
      </c>
      <c r="BM242" s="234">
        <f>SUMIFS('2023'!$I:$I,'2023'!$E:$E,Category!$B$134,'2023'!$N:$N,Category!BM$1,'2023'!$D:$D,Category!$C242)</f>
        <v>0</v>
      </c>
      <c r="BN242" s="250">
        <f t="shared" si="94"/>
        <v>0</v>
      </c>
    </row>
    <row r="243" spans="1:66" ht="21" hidden="1" customHeight="1" x14ac:dyDescent="0.3">
      <c r="A243" s="249"/>
      <c r="B243" s="235"/>
      <c r="C243" s="235"/>
      <c r="D243" s="235">
        <f>IFERROR(VLOOKUP($C243,'2019'!$D:$G,4,0),0)</f>
        <v>0</v>
      </c>
      <c r="E243" s="234">
        <f>SUMIFS('2019'!$I:$I,'2019'!$E:$E,Category!$B$134,'2019'!$N:$N,Category!E$1,'2019'!$D:$D,Category!$C243)</f>
        <v>0</v>
      </c>
      <c r="F243" s="234">
        <f>SUMIFS('2019'!$I:$I,'2019'!$E:$E,Category!$B$134,'2019'!$N:$N,Category!F$1,'2019'!$D:$D,Category!$C243)</f>
        <v>0</v>
      </c>
      <c r="G243" s="234">
        <f>SUMIFS('2019'!$I:$I,'2019'!$E:$E,Category!$B$134,'2019'!$N:$N,Category!G$1,'2019'!$D:$D,Category!$C243)</f>
        <v>0</v>
      </c>
      <c r="H243" s="234">
        <f>SUMIFS('2019'!$I:$I,'2019'!$E:$E,Category!$B$134,'2019'!$N:$N,Category!H$1,'2019'!$D:$D,Category!$C243)</f>
        <v>0</v>
      </c>
      <c r="I243" s="234">
        <f>SUMIFS('2019'!$I:$I,'2019'!$E:$E,Category!$B$134,'2019'!$N:$N,Category!I$1,'2019'!$D:$D,Category!$C243)</f>
        <v>0</v>
      </c>
      <c r="J243" s="250" t="e">
        <f>SUM(#REF!)</f>
        <v>#REF!</v>
      </c>
      <c r="K243" s="507">
        <f>IFERROR(VLOOKUP($C243,'2020'!$D:$G,4,0),0)</f>
        <v>0</v>
      </c>
      <c r="L243" s="234">
        <f>SUMIFS('2020'!$I:$I,'2020'!$E:$E,Category!$B$134,'2020'!$N:$N,Category!L$1,'2020'!$D:$D,Category!$C243)</f>
        <v>0</v>
      </c>
      <c r="M243" s="234">
        <f>SUMIFS('2020'!$I:$I,'2020'!$E:$E,Category!$B$134,'2020'!$N:$N,Category!M$1,'2020'!$D:$D,Category!$C243)</f>
        <v>0</v>
      </c>
      <c r="N243" s="234">
        <f>SUMIFS('2020'!$I:$I,'2020'!$E:$E,Category!$B$134,'2020'!$N:$N,Category!N$1,'2020'!$D:$D,Category!$C243)</f>
        <v>0</v>
      </c>
      <c r="O243" s="234">
        <f>SUMIFS('2020'!$I:$I,'2020'!$E:$E,Category!$B$134,'2020'!$N:$N,Category!O$1,'2020'!$D:$D,Category!$C243)</f>
        <v>0</v>
      </c>
      <c r="P243" s="234">
        <f>SUMIFS('2020'!$I:$I,'2020'!$E:$E,Category!$B$134,'2020'!$N:$N,Category!P$1,'2020'!$D:$D,Category!$C243)</f>
        <v>0</v>
      </c>
      <c r="Q243" s="234">
        <f>SUMIFS('2020'!$I:$I,'2020'!$E:$E,Category!$B$134,'2020'!$N:$N,Category!Q$1,'2020'!$D:$D,Category!$C243)</f>
        <v>0</v>
      </c>
      <c r="R243" s="234">
        <f>SUMIFS('2020'!$I:$I,'2020'!$E:$E,Category!$B$134,'2020'!$N:$N,Category!R$1,'2020'!$D:$D,Category!$C243)</f>
        <v>0</v>
      </c>
      <c r="S243" s="234">
        <f>SUMIFS('2020'!$I:$I,'2020'!$E:$E,Category!$B$134,'2020'!$N:$N,Category!S$1,'2020'!$D:$D,Category!$C243)</f>
        <v>0</v>
      </c>
      <c r="T243" s="234">
        <f>SUMIFS('2020'!$I:$I,'2020'!$E:$E,Category!$B$134,'2020'!$N:$N,Category!T$1,'2020'!$D:$D,Category!$C243)</f>
        <v>0</v>
      </c>
      <c r="U243" s="234">
        <f>SUMIFS('2020'!$I:$I,'2020'!$E:$E,Category!$B$134,'2020'!$N:$N,Category!U$1,'2020'!$D:$D,Category!$C243)</f>
        <v>0</v>
      </c>
      <c r="V243" s="234">
        <f>SUMIFS('2020'!$I:$I,'2020'!$E:$E,Category!$B$134,'2020'!$N:$N,Category!V$1,'2020'!$D:$D,Category!$C243)</f>
        <v>0</v>
      </c>
      <c r="W243" s="234">
        <f>SUMIFS('2020'!$I:$I,'2020'!$E:$E,Category!$B$134,'2020'!$N:$N,Category!W$1,'2020'!$D:$D,Category!$C243)</f>
        <v>0</v>
      </c>
      <c r="X243" s="250">
        <f>SUM(L243:W243)</f>
        <v>0</v>
      </c>
      <c r="Y243" s="507">
        <f>IFERROR(VLOOKUP(C243,'2021'!$D:$G,4,0),0)</f>
        <v>0</v>
      </c>
      <c r="Z243" s="234">
        <f>SUMIFS('2021'!$I:$I,'2021'!$E:$E,Category!$B$134,'2021'!$N:$N,Category!Z$1,'2021'!$D:$D,Category!$C243)</f>
        <v>0</v>
      </c>
      <c r="AA243" s="234">
        <f>SUMIFS('2021'!$I:$I,'2021'!$E:$E,Category!$B$134,'2021'!$N:$N,Category!AA$1,'2021'!$D:$D,Category!$C243)</f>
        <v>0</v>
      </c>
      <c r="AB243" s="234">
        <f>SUMIFS('2021'!$I:$I,'2021'!$E:$E,Category!$B$134,'2021'!$N:$N,Category!AB$1,'2021'!$D:$D,Category!$C243)</f>
        <v>0</v>
      </c>
      <c r="AC243" s="234">
        <f>SUMIFS('2021'!$I:$I,'2021'!$E:$E,Category!$B$134,'2021'!$N:$N,Category!AC$1,'2021'!$D:$D,Category!$C243)</f>
        <v>0</v>
      </c>
      <c r="AD243" s="234">
        <f>SUMIFS('2021'!$I:$I,'2021'!$E:$E,Category!$B$134,'2021'!$N:$N,Category!AD$1,'2021'!$D:$D,Category!$C243)</f>
        <v>0</v>
      </c>
      <c r="AE243" s="234">
        <f>SUMIFS('2021'!$I:$I,'2021'!$E:$E,Category!$B$134,'2021'!$N:$N,Category!AE$1,'2021'!$D:$D,Category!$C243)</f>
        <v>0</v>
      </c>
      <c r="AF243" s="234">
        <f>SUMIFS('2021'!$I:$I,'2021'!$E:$E,Category!$B$134,'2021'!$N:$N,Category!AF$1,'2021'!$D:$D,Category!$C243)</f>
        <v>0</v>
      </c>
      <c r="AG243" s="234">
        <f>SUMIFS('2021'!$I:$I,'2021'!$E:$E,Category!$B$134,'2021'!$N:$N,Category!AG$1,'2021'!$D:$D,Category!$C243)</f>
        <v>0</v>
      </c>
      <c r="AH243" s="234">
        <f>SUMIFS('2021'!$I:$I,'2021'!$E:$E,Category!$B$134,'2021'!$N:$N,Category!AH$1,'2021'!$D:$D,Category!$C243)</f>
        <v>0</v>
      </c>
      <c r="AI243" s="234">
        <f>SUMIFS('2021'!$I:$I,'2021'!$E:$E,Category!$B$134,'2021'!$N:$N,Category!AI$1,'2021'!$D:$D,Category!$C243)</f>
        <v>0</v>
      </c>
      <c r="AJ243" s="234">
        <f>SUMIFS('2021'!$I:$I,'2021'!$E:$E,Category!$B$134,'2021'!$N:$N,Category!AJ$1,'2021'!$D:$D,Category!$C243)</f>
        <v>0</v>
      </c>
      <c r="AK243" s="234">
        <f>SUMIFS('2021'!$I:$I,'2021'!$E:$E,Category!$B$134,'2021'!$N:$N,Category!AK$1,'2021'!$D:$D,Category!$C243)</f>
        <v>0</v>
      </c>
      <c r="AL243" s="250">
        <f>SUM(Z243:AK243)</f>
        <v>0</v>
      </c>
      <c r="AM243" s="507">
        <f>IFERROR(VLOOKUP(C243,'2022'!$D:$G,4,0),0)</f>
        <v>0</v>
      </c>
      <c r="AN243" s="234">
        <f>SUMIFS('2022'!$I:$I,'2022'!$E:$E,Category!$B$134,'2022'!$N:$N,Category!AN$1,'2022'!$D:$D,Category!$C243)</f>
        <v>0</v>
      </c>
      <c r="AO243" s="234">
        <f>SUMIFS('2022'!$I:$I,'2022'!$E:$E,Category!$B$134,'2022'!$N:$N,Category!AO$1,'2022'!$D:$D,Category!$C243)</f>
        <v>0</v>
      </c>
      <c r="AP243" s="234">
        <f>SUMIFS('2022'!$I:$I,'2022'!$E:$E,Category!$B$134,'2022'!$N:$N,Category!AP$1,'2022'!$D:$D,Category!$C243)</f>
        <v>0</v>
      </c>
      <c r="AQ243" s="234">
        <f>SUMIFS('2022'!$I:$I,'2022'!$E:$E,Category!$B$134,'2022'!$N:$N,Category!AQ$1,'2022'!$D:$D,Category!$C243)</f>
        <v>0</v>
      </c>
      <c r="AR243" s="234">
        <f>SUMIFS('2022'!$I:$I,'2022'!$E:$E,Category!$B$134,'2022'!$N:$N,Category!AR$1,'2022'!$D:$D,Category!$C243)</f>
        <v>0</v>
      </c>
      <c r="AS243" s="234">
        <f>SUMIFS('2022'!$I:$I,'2022'!$E:$E,Category!$B$134,'2022'!$N:$N,Category!AS$1,'2022'!$D:$D,Category!$C243)</f>
        <v>0</v>
      </c>
      <c r="AT243" s="234">
        <f>SUMIFS('2022'!$I:$I,'2022'!$E:$E,Category!$B$134,'2022'!$N:$N,Category!AT$1,'2022'!$D:$D,Category!$C243)</f>
        <v>0</v>
      </c>
      <c r="AU243" s="234">
        <f>SUMIFS('2022'!$I:$I,'2022'!$E:$E,Category!$B$134,'2022'!$N:$N,Category!AU$1,'2022'!$D:$D,Category!$C243)</f>
        <v>0</v>
      </c>
      <c r="AV243" s="234">
        <f>SUMIFS('2022'!$I:$I,'2022'!$E:$E,Category!$B$134,'2022'!$N:$N,Category!AV$1,'2022'!$D:$D,Category!$C243)</f>
        <v>0</v>
      </c>
      <c r="AW243" s="234">
        <f>SUMIFS('2022'!$I:$I,'2022'!$E:$E,Category!$B$134,'2022'!$N:$N,Category!AW$1,'2022'!$D:$D,Category!$C243)</f>
        <v>0</v>
      </c>
      <c r="AX243" s="234">
        <f>SUMIFS('2022'!$I:$I,'2022'!$E:$E,Category!$B$134,'2022'!$N:$N,Category!AX$1,'2022'!$D:$D,Category!$C243)</f>
        <v>0</v>
      </c>
      <c r="AY243" s="234">
        <f>SUMIFS('2022'!$I:$I,'2022'!$E:$E,Category!$B$134,'2022'!$N:$N,Category!AY$1,'2022'!$D:$D,Category!$C243)</f>
        <v>0</v>
      </c>
      <c r="AZ243" s="250">
        <f>SUM(AN243:AY243)</f>
        <v>0</v>
      </c>
      <c r="BA243" s="507">
        <f>IFERROR(VLOOKUP(AE243,'2023'!$D:$G,4,0),0)</f>
        <v>0</v>
      </c>
      <c r="BB243" s="234">
        <f>SUMIFS('2023'!$I:$I,'2023'!$E:$E,Category!$B$134,'2023'!$N:$N,Category!BB$1,'2023'!$D:$D,Category!$C243)</f>
        <v>0</v>
      </c>
      <c r="BC243" s="234">
        <f>SUMIFS('2023'!$I:$I,'2023'!$E:$E,Category!$B$134,'2023'!$N:$N,Category!BC$1,'2023'!$D:$D,Category!$C243)</f>
        <v>0</v>
      </c>
      <c r="BD243" s="234">
        <f>SUMIFS('2023'!$I:$I,'2023'!$E:$E,Category!$B$134,'2023'!$N:$N,Category!BD$1,'2023'!$D:$D,Category!$C243)</f>
        <v>0</v>
      </c>
      <c r="BE243" s="234">
        <f>SUMIFS('2023'!$I:$I,'2023'!$E:$E,Category!$B$134,'2023'!$N:$N,Category!BE$1,'2023'!$D:$D,Category!$C243)</f>
        <v>0</v>
      </c>
      <c r="BF243" s="234">
        <f>SUMIFS('2023'!$I:$I,'2023'!$E:$E,Category!$B$134,'2023'!$N:$N,Category!BF$1,'2023'!$D:$D,Category!$C243)</f>
        <v>0</v>
      </c>
      <c r="BG243" s="234">
        <f>SUMIFS('2023'!$I:$I,'2023'!$E:$E,Category!$B$134,'2023'!$N:$N,Category!BG$1,'2023'!$D:$D,Category!$C243)</f>
        <v>0</v>
      </c>
      <c r="BH243" s="234">
        <f>SUMIFS('2023'!$I:$I,'2023'!$E:$E,Category!$B$134,'2023'!$N:$N,Category!BH$1,'2023'!$D:$D,Category!$C243)</f>
        <v>0</v>
      </c>
      <c r="BI243" s="234">
        <f>SUMIFS('2023'!$I:$I,'2023'!$E:$E,Category!$B$134,'2023'!$N:$N,Category!BI$1,'2023'!$D:$D,Category!$C243)</f>
        <v>0</v>
      </c>
      <c r="BJ243" s="234">
        <f>SUMIFS('2023'!$I:$I,'2023'!$E:$E,Category!$B$134,'2023'!$N:$N,Category!BJ$1,'2023'!$D:$D,Category!$C243)</f>
        <v>0</v>
      </c>
      <c r="BK243" s="234">
        <f>SUMIFS('2023'!$I:$I,'2023'!$E:$E,Category!$B$134,'2023'!$N:$N,Category!BK$1,'2023'!$D:$D,Category!$C243)</f>
        <v>0</v>
      </c>
      <c r="BL243" s="234">
        <f>SUMIFS('2023'!$I:$I,'2023'!$E:$E,Category!$B$134,'2023'!$N:$N,Category!BL$1,'2023'!$D:$D,Category!$C243)</f>
        <v>0</v>
      </c>
      <c r="BM243" s="234">
        <f>SUMIFS('2023'!$I:$I,'2023'!$E:$E,Category!$B$134,'2023'!$N:$N,Category!BM$1,'2023'!$D:$D,Category!$C243)</f>
        <v>0</v>
      </c>
      <c r="BN243" s="250">
        <f t="shared" si="94"/>
        <v>0</v>
      </c>
    </row>
    <row r="244" spans="1:66" ht="21" hidden="1" customHeight="1" x14ac:dyDescent="0.3">
      <c r="A244" s="249"/>
      <c r="B244" s="235"/>
      <c r="C244" s="235"/>
      <c r="D244" s="235">
        <f>IFERROR(VLOOKUP($C244,'2019'!$D:$G,4,0),0)</f>
        <v>0</v>
      </c>
      <c r="E244" s="234">
        <f>SUMIFS('2019'!$I:$I,'2019'!$E:$E,Category!$B$134,'2019'!$N:$N,Category!E$1,'2019'!$D:$D,Category!$C244)</f>
        <v>0</v>
      </c>
      <c r="F244" s="234">
        <f>SUMIFS('2019'!$I:$I,'2019'!$E:$E,Category!$B$134,'2019'!$N:$N,Category!F$1,'2019'!$D:$D,Category!$C244)</f>
        <v>0</v>
      </c>
      <c r="G244" s="234">
        <f>SUMIFS('2019'!$I:$I,'2019'!$E:$E,Category!$B$134,'2019'!$N:$N,Category!G$1,'2019'!$D:$D,Category!$C244)</f>
        <v>0</v>
      </c>
      <c r="H244" s="234">
        <f>SUMIFS('2019'!$I:$I,'2019'!$E:$E,Category!$B$134,'2019'!$N:$N,Category!H$1,'2019'!$D:$D,Category!$C244)</f>
        <v>0</v>
      </c>
      <c r="I244" s="234">
        <f>SUMIFS('2019'!$I:$I,'2019'!$E:$E,Category!$B$134,'2019'!$N:$N,Category!I$1,'2019'!$D:$D,Category!$C244)</f>
        <v>0</v>
      </c>
      <c r="J244" s="250" t="e">
        <f>SUM(#REF!)</f>
        <v>#REF!</v>
      </c>
      <c r="K244" s="507">
        <f>IFERROR(VLOOKUP($C244,'2020'!$D:$G,4,0),0)</f>
        <v>0</v>
      </c>
      <c r="L244" s="234">
        <f>SUMIFS('2020'!$I:$I,'2020'!$E:$E,Category!$B$134,'2020'!$N:$N,Category!L$1,'2020'!$D:$D,Category!$C244)</f>
        <v>0</v>
      </c>
      <c r="M244" s="234">
        <f>SUMIFS('2020'!$I:$I,'2020'!$E:$E,Category!$B$134,'2020'!$N:$N,Category!M$1,'2020'!$D:$D,Category!$C244)</f>
        <v>0</v>
      </c>
      <c r="N244" s="234">
        <f>SUMIFS('2020'!$I:$I,'2020'!$E:$E,Category!$B$134,'2020'!$N:$N,Category!N$1,'2020'!$D:$D,Category!$C244)</f>
        <v>0</v>
      </c>
      <c r="O244" s="234">
        <f>SUMIFS('2020'!$I:$I,'2020'!$E:$E,Category!$B$134,'2020'!$N:$N,Category!O$1,'2020'!$D:$D,Category!$C244)</f>
        <v>0</v>
      </c>
      <c r="P244" s="234">
        <f>SUMIFS('2020'!$I:$I,'2020'!$E:$E,Category!$B$134,'2020'!$N:$N,Category!P$1,'2020'!$D:$D,Category!$C244)</f>
        <v>0</v>
      </c>
      <c r="Q244" s="234">
        <f>SUMIFS('2020'!$I:$I,'2020'!$E:$E,Category!$B$134,'2020'!$N:$N,Category!Q$1,'2020'!$D:$D,Category!$C244)</f>
        <v>0</v>
      </c>
      <c r="R244" s="234">
        <f>SUMIFS('2020'!$I:$I,'2020'!$E:$E,Category!$B$134,'2020'!$N:$N,Category!R$1,'2020'!$D:$D,Category!$C244)</f>
        <v>0</v>
      </c>
      <c r="S244" s="234">
        <f>SUMIFS('2020'!$I:$I,'2020'!$E:$E,Category!$B$134,'2020'!$N:$N,Category!S$1,'2020'!$D:$D,Category!$C244)</f>
        <v>0</v>
      </c>
      <c r="T244" s="234">
        <f>SUMIFS('2020'!$I:$I,'2020'!$E:$E,Category!$B$134,'2020'!$N:$N,Category!T$1,'2020'!$D:$D,Category!$C244)</f>
        <v>0</v>
      </c>
      <c r="U244" s="234">
        <f>SUMIFS('2020'!$I:$I,'2020'!$E:$E,Category!$B$134,'2020'!$N:$N,Category!U$1,'2020'!$D:$D,Category!$C244)</f>
        <v>0</v>
      </c>
      <c r="V244" s="234">
        <f>SUMIFS('2020'!$I:$I,'2020'!$E:$E,Category!$B$134,'2020'!$N:$N,Category!V$1,'2020'!$D:$D,Category!$C244)</f>
        <v>0</v>
      </c>
      <c r="W244" s="234">
        <f>SUMIFS('2020'!$I:$I,'2020'!$E:$E,Category!$B$134,'2020'!$N:$N,Category!W$1,'2020'!$D:$D,Category!$C244)</f>
        <v>0</v>
      </c>
      <c r="X244" s="250">
        <f>SUM(L244:W244)</f>
        <v>0</v>
      </c>
      <c r="Y244" s="507">
        <f>IFERROR(VLOOKUP(C244,'2021'!$D:$G,4,0),0)</f>
        <v>0</v>
      </c>
      <c r="Z244" s="234">
        <f>SUMIFS('2021'!$I:$I,'2021'!$E:$E,Category!$B$134,'2021'!$N:$N,Category!Z$1,'2021'!$D:$D,Category!$C244)</f>
        <v>0</v>
      </c>
      <c r="AA244" s="234">
        <f>SUMIFS('2021'!$I:$I,'2021'!$E:$E,Category!$B$134,'2021'!$N:$N,Category!AA$1,'2021'!$D:$D,Category!$C244)</f>
        <v>0</v>
      </c>
      <c r="AB244" s="234">
        <f>SUMIFS('2021'!$I:$I,'2021'!$E:$E,Category!$B$134,'2021'!$N:$N,Category!AB$1,'2021'!$D:$D,Category!$C244)</f>
        <v>0</v>
      </c>
      <c r="AC244" s="234">
        <f>SUMIFS('2021'!$I:$I,'2021'!$E:$E,Category!$B$134,'2021'!$N:$N,Category!AC$1,'2021'!$D:$D,Category!$C244)</f>
        <v>0</v>
      </c>
      <c r="AD244" s="234">
        <f>SUMIFS('2021'!$I:$I,'2021'!$E:$E,Category!$B$134,'2021'!$N:$N,Category!AD$1,'2021'!$D:$D,Category!$C244)</f>
        <v>0</v>
      </c>
      <c r="AE244" s="234">
        <f>SUMIFS('2021'!$I:$I,'2021'!$E:$E,Category!$B$134,'2021'!$N:$N,Category!AE$1,'2021'!$D:$D,Category!$C244)</f>
        <v>0</v>
      </c>
      <c r="AF244" s="234">
        <f>SUMIFS('2021'!$I:$I,'2021'!$E:$E,Category!$B$134,'2021'!$N:$N,Category!AF$1,'2021'!$D:$D,Category!$C244)</f>
        <v>0</v>
      </c>
      <c r="AG244" s="234">
        <f>SUMIFS('2021'!$I:$I,'2021'!$E:$E,Category!$B$134,'2021'!$N:$N,Category!AG$1,'2021'!$D:$D,Category!$C244)</f>
        <v>0</v>
      </c>
      <c r="AH244" s="234">
        <f>SUMIFS('2021'!$I:$I,'2021'!$E:$E,Category!$B$134,'2021'!$N:$N,Category!AH$1,'2021'!$D:$D,Category!$C244)</f>
        <v>0</v>
      </c>
      <c r="AI244" s="234">
        <f>SUMIFS('2021'!$I:$I,'2021'!$E:$E,Category!$B$134,'2021'!$N:$N,Category!AI$1,'2021'!$D:$D,Category!$C244)</f>
        <v>0</v>
      </c>
      <c r="AJ244" s="234">
        <f>SUMIFS('2021'!$I:$I,'2021'!$E:$E,Category!$B$134,'2021'!$N:$N,Category!AJ$1,'2021'!$D:$D,Category!$C244)</f>
        <v>0</v>
      </c>
      <c r="AK244" s="234">
        <f>SUMIFS('2021'!$I:$I,'2021'!$E:$E,Category!$B$134,'2021'!$N:$N,Category!AK$1,'2021'!$D:$D,Category!$C244)</f>
        <v>0</v>
      </c>
      <c r="AL244" s="250">
        <f>SUM(Z244:AK244)</f>
        <v>0</v>
      </c>
      <c r="AM244" s="507">
        <f>IFERROR(VLOOKUP(C244,'2022'!$D:$G,4,0),0)</f>
        <v>0</v>
      </c>
      <c r="AN244" s="234">
        <f>SUMIFS('2022'!$I:$I,'2022'!$E:$E,Category!$B$134,'2022'!$N:$N,Category!AN$1,'2022'!$D:$D,Category!$C244)</f>
        <v>0</v>
      </c>
      <c r="AO244" s="234">
        <f>SUMIFS('2022'!$I:$I,'2022'!$E:$E,Category!$B$134,'2022'!$N:$N,Category!AO$1,'2022'!$D:$D,Category!$C244)</f>
        <v>0</v>
      </c>
      <c r="AP244" s="234">
        <f>SUMIFS('2022'!$I:$I,'2022'!$E:$E,Category!$B$134,'2022'!$N:$N,Category!AP$1,'2022'!$D:$D,Category!$C244)</f>
        <v>0</v>
      </c>
      <c r="AQ244" s="234">
        <f>SUMIFS('2022'!$I:$I,'2022'!$E:$E,Category!$B$134,'2022'!$N:$N,Category!AQ$1,'2022'!$D:$D,Category!$C244)</f>
        <v>0</v>
      </c>
      <c r="AR244" s="234">
        <f>SUMIFS('2022'!$I:$I,'2022'!$E:$E,Category!$B$134,'2022'!$N:$N,Category!AR$1,'2022'!$D:$D,Category!$C244)</f>
        <v>0</v>
      </c>
      <c r="AS244" s="234">
        <f>SUMIFS('2022'!$I:$I,'2022'!$E:$E,Category!$B$134,'2022'!$N:$N,Category!AS$1,'2022'!$D:$D,Category!$C244)</f>
        <v>0</v>
      </c>
      <c r="AT244" s="234">
        <f>SUMIFS('2022'!$I:$I,'2022'!$E:$E,Category!$B$134,'2022'!$N:$N,Category!AT$1,'2022'!$D:$D,Category!$C244)</f>
        <v>0</v>
      </c>
      <c r="AU244" s="234">
        <f>SUMIFS('2022'!$I:$I,'2022'!$E:$E,Category!$B$134,'2022'!$N:$N,Category!AU$1,'2022'!$D:$D,Category!$C244)</f>
        <v>0</v>
      </c>
      <c r="AV244" s="234">
        <f>SUMIFS('2022'!$I:$I,'2022'!$E:$E,Category!$B$134,'2022'!$N:$N,Category!AV$1,'2022'!$D:$D,Category!$C244)</f>
        <v>0</v>
      </c>
      <c r="AW244" s="234">
        <f>SUMIFS('2022'!$I:$I,'2022'!$E:$E,Category!$B$134,'2022'!$N:$N,Category!AW$1,'2022'!$D:$D,Category!$C244)</f>
        <v>0</v>
      </c>
      <c r="AX244" s="234">
        <f>SUMIFS('2022'!$I:$I,'2022'!$E:$E,Category!$B$134,'2022'!$N:$N,Category!AX$1,'2022'!$D:$D,Category!$C244)</f>
        <v>0</v>
      </c>
      <c r="AY244" s="234">
        <f>SUMIFS('2022'!$I:$I,'2022'!$E:$E,Category!$B$134,'2022'!$N:$N,Category!AY$1,'2022'!$D:$D,Category!$C244)</f>
        <v>0</v>
      </c>
      <c r="AZ244" s="250">
        <f>SUM(AN244:AY244)</f>
        <v>0</v>
      </c>
      <c r="BA244" s="507">
        <f>IFERROR(VLOOKUP(AE244,'2023'!$D:$G,4,0),0)</f>
        <v>0</v>
      </c>
      <c r="BB244" s="234">
        <f>SUMIFS('2023'!$I:$I,'2023'!$E:$E,Category!$B$134,'2023'!$N:$N,Category!BB$1,'2023'!$D:$D,Category!$C244)</f>
        <v>0</v>
      </c>
      <c r="BC244" s="234">
        <f>SUMIFS('2023'!$I:$I,'2023'!$E:$E,Category!$B$134,'2023'!$N:$N,Category!BC$1,'2023'!$D:$D,Category!$C244)</f>
        <v>0</v>
      </c>
      <c r="BD244" s="234">
        <f>SUMIFS('2023'!$I:$I,'2023'!$E:$E,Category!$B$134,'2023'!$N:$N,Category!BD$1,'2023'!$D:$D,Category!$C244)</f>
        <v>0</v>
      </c>
      <c r="BE244" s="234">
        <f>SUMIFS('2023'!$I:$I,'2023'!$E:$E,Category!$B$134,'2023'!$N:$N,Category!BE$1,'2023'!$D:$D,Category!$C244)</f>
        <v>0</v>
      </c>
      <c r="BF244" s="234">
        <f>SUMIFS('2023'!$I:$I,'2023'!$E:$E,Category!$B$134,'2023'!$N:$N,Category!BF$1,'2023'!$D:$D,Category!$C244)</f>
        <v>0</v>
      </c>
      <c r="BG244" s="234">
        <f>SUMIFS('2023'!$I:$I,'2023'!$E:$E,Category!$B$134,'2023'!$N:$N,Category!BG$1,'2023'!$D:$D,Category!$C244)</f>
        <v>0</v>
      </c>
      <c r="BH244" s="234">
        <f>SUMIFS('2023'!$I:$I,'2023'!$E:$E,Category!$B$134,'2023'!$N:$N,Category!BH$1,'2023'!$D:$D,Category!$C244)</f>
        <v>0</v>
      </c>
      <c r="BI244" s="234">
        <f>SUMIFS('2023'!$I:$I,'2023'!$E:$E,Category!$B$134,'2023'!$N:$N,Category!BI$1,'2023'!$D:$D,Category!$C244)</f>
        <v>0</v>
      </c>
      <c r="BJ244" s="234">
        <f>SUMIFS('2023'!$I:$I,'2023'!$E:$E,Category!$B$134,'2023'!$N:$N,Category!BJ$1,'2023'!$D:$D,Category!$C244)</f>
        <v>0</v>
      </c>
      <c r="BK244" s="234">
        <f>SUMIFS('2023'!$I:$I,'2023'!$E:$E,Category!$B$134,'2023'!$N:$N,Category!BK$1,'2023'!$D:$D,Category!$C244)</f>
        <v>0</v>
      </c>
      <c r="BL244" s="234">
        <f>SUMIFS('2023'!$I:$I,'2023'!$E:$E,Category!$B$134,'2023'!$N:$N,Category!BL$1,'2023'!$D:$D,Category!$C244)</f>
        <v>0</v>
      </c>
      <c r="BM244" s="234">
        <f>SUMIFS('2023'!$I:$I,'2023'!$E:$E,Category!$B$134,'2023'!$N:$N,Category!BM$1,'2023'!$D:$D,Category!$C244)</f>
        <v>0</v>
      </c>
      <c r="BN244" s="250">
        <f t="shared" si="94"/>
        <v>0</v>
      </c>
    </row>
    <row r="245" spans="1:66" ht="21" hidden="1" customHeight="1" x14ac:dyDescent="0.3">
      <c r="A245" s="249"/>
      <c r="B245" s="235"/>
      <c r="C245" s="235"/>
      <c r="D245" s="235">
        <f>IFERROR(VLOOKUP($C245,'2019'!$D:$G,4,0),0)</f>
        <v>0</v>
      </c>
      <c r="E245" s="234">
        <f>SUMIFS('2019'!$I:$I,'2019'!$E:$E,Category!$B$134,'2019'!$N:$N,Category!E$1,'2019'!$D:$D,Category!$C245)</f>
        <v>0</v>
      </c>
      <c r="F245" s="234">
        <f>SUMIFS('2019'!$I:$I,'2019'!$E:$E,Category!$B$134,'2019'!$N:$N,Category!F$1,'2019'!$D:$D,Category!$C245)</f>
        <v>0</v>
      </c>
      <c r="G245" s="234">
        <f>SUMIFS('2019'!$I:$I,'2019'!$E:$E,Category!$B$134,'2019'!$N:$N,Category!G$1,'2019'!$D:$D,Category!$C245)</f>
        <v>0</v>
      </c>
      <c r="H245" s="234">
        <f>SUMIFS('2019'!$I:$I,'2019'!$E:$E,Category!$B$134,'2019'!$N:$N,Category!H$1,'2019'!$D:$D,Category!$C245)</f>
        <v>0</v>
      </c>
      <c r="I245" s="234">
        <f>SUMIFS('2019'!$I:$I,'2019'!$E:$E,Category!$B$134,'2019'!$N:$N,Category!I$1,'2019'!$D:$D,Category!$C245)</f>
        <v>0</v>
      </c>
      <c r="J245" s="250" t="e">
        <f>SUM(#REF!)</f>
        <v>#REF!</v>
      </c>
      <c r="K245" s="507">
        <f>IFERROR(VLOOKUP($C245,'2020'!$D:$G,4,0),0)</f>
        <v>0</v>
      </c>
      <c r="L245" s="234">
        <f>SUMIFS('2020'!$I:$I,'2020'!$E:$E,Category!$B$134,'2020'!$N:$N,Category!L$1,'2020'!$D:$D,Category!$C245)</f>
        <v>0</v>
      </c>
      <c r="M245" s="234">
        <f>SUMIFS('2020'!$I:$I,'2020'!$E:$E,Category!$B$134,'2020'!$N:$N,Category!M$1,'2020'!$D:$D,Category!$C245)</f>
        <v>0</v>
      </c>
      <c r="N245" s="234">
        <f>SUMIFS('2020'!$I:$I,'2020'!$E:$E,Category!$B$134,'2020'!$N:$N,Category!N$1,'2020'!$D:$D,Category!$C245)</f>
        <v>0</v>
      </c>
      <c r="O245" s="234">
        <f>SUMIFS('2020'!$I:$I,'2020'!$E:$E,Category!$B$134,'2020'!$N:$N,Category!O$1,'2020'!$D:$D,Category!$C245)</f>
        <v>0</v>
      </c>
      <c r="P245" s="234">
        <f>SUMIFS('2020'!$I:$I,'2020'!$E:$E,Category!$B$134,'2020'!$N:$N,Category!P$1,'2020'!$D:$D,Category!$C245)</f>
        <v>0</v>
      </c>
      <c r="Q245" s="234">
        <f>SUMIFS('2020'!$I:$I,'2020'!$E:$E,Category!$B$134,'2020'!$N:$N,Category!Q$1,'2020'!$D:$D,Category!$C245)</f>
        <v>0</v>
      </c>
      <c r="R245" s="234">
        <f>SUMIFS('2020'!$I:$I,'2020'!$E:$E,Category!$B$134,'2020'!$N:$N,Category!R$1,'2020'!$D:$D,Category!$C245)</f>
        <v>0</v>
      </c>
      <c r="S245" s="234">
        <f>SUMIFS('2020'!$I:$I,'2020'!$E:$E,Category!$B$134,'2020'!$N:$N,Category!S$1,'2020'!$D:$D,Category!$C245)</f>
        <v>0</v>
      </c>
      <c r="T245" s="234">
        <f>SUMIFS('2020'!$I:$I,'2020'!$E:$E,Category!$B$134,'2020'!$N:$N,Category!T$1,'2020'!$D:$D,Category!$C245)</f>
        <v>0</v>
      </c>
      <c r="U245" s="234">
        <f>SUMIFS('2020'!$I:$I,'2020'!$E:$E,Category!$B$134,'2020'!$N:$N,Category!U$1,'2020'!$D:$D,Category!$C245)</f>
        <v>0</v>
      </c>
      <c r="V245" s="234">
        <f>SUMIFS('2020'!$I:$I,'2020'!$E:$E,Category!$B$134,'2020'!$N:$N,Category!V$1,'2020'!$D:$D,Category!$C245)</f>
        <v>0</v>
      </c>
      <c r="W245" s="234">
        <f>SUMIFS('2020'!$I:$I,'2020'!$E:$E,Category!$B$134,'2020'!$N:$N,Category!W$1,'2020'!$D:$D,Category!$C245)</f>
        <v>0</v>
      </c>
      <c r="X245" s="250">
        <f>SUM(L245:W245)</f>
        <v>0</v>
      </c>
      <c r="Y245" s="507">
        <f>IFERROR(VLOOKUP(C245,'2021'!$D:$G,4,0),0)</f>
        <v>0</v>
      </c>
      <c r="Z245" s="234">
        <f>SUMIFS('2021'!$I:$I,'2021'!$E:$E,Category!$B$134,'2021'!$N:$N,Category!Z$1,'2021'!$D:$D,Category!$C245)</f>
        <v>0</v>
      </c>
      <c r="AA245" s="234">
        <f>SUMIFS('2021'!$I:$I,'2021'!$E:$E,Category!$B$134,'2021'!$N:$N,Category!AA$1,'2021'!$D:$D,Category!$C245)</f>
        <v>0</v>
      </c>
      <c r="AB245" s="234">
        <f>SUMIFS('2021'!$I:$I,'2021'!$E:$E,Category!$B$134,'2021'!$N:$N,Category!AB$1,'2021'!$D:$D,Category!$C245)</f>
        <v>0</v>
      </c>
      <c r="AC245" s="234">
        <f>SUMIFS('2021'!$I:$I,'2021'!$E:$E,Category!$B$134,'2021'!$N:$N,Category!AC$1,'2021'!$D:$D,Category!$C245)</f>
        <v>0</v>
      </c>
      <c r="AD245" s="234">
        <f>SUMIFS('2021'!$I:$I,'2021'!$E:$E,Category!$B$134,'2021'!$N:$N,Category!AD$1,'2021'!$D:$D,Category!$C245)</f>
        <v>0</v>
      </c>
      <c r="AE245" s="234">
        <f>SUMIFS('2021'!$I:$I,'2021'!$E:$E,Category!$B$134,'2021'!$N:$N,Category!AE$1,'2021'!$D:$D,Category!$C245)</f>
        <v>0</v>
      </c>
      <c r="AF245" s="234">
        <f>SUMIFS('2021'!$I:$I,'2021'!$E:$E,Category!$B$134,'2021'!$N:$N,Category!AF$1,'2021'!$D:$D,Category!$C245)</f>
        <v>0</v>
      </c>
      <c r="AG245" s="234">
        <f>SUMIFS('2021'!$I:$I,'2021'!$E:$E,Category!$B$134,'2021'!$N:$N,Category!AG$1,'2021'!$D:$D,Category!$C245)</f>
        <v>0</v>
      </c>
      <c r="AH245" s="234">
        <f>SUMIFS('2021'!$I:$I,'2021'!$E:$E,Category!$B$134,'2021'!$N:$N,Category!AH$1,'2021'!$D:$D,Category!$C245)</f>
        <v>0</v>
      </c>
      <c r="AI245" s="234">
        <f>SUMIFS('2021'!$I:$I,'2021'!$E:$E,Category!$B$134,'2021'!$N:$N,Category!AI$1,'2021'!$D:$D,Category!$C245)</f>
        <v>0</v>
      </c>
      <c r="AJ245" s="234">
        <f>SUMIFS('2021'!$I:$I,'2021'!$E:$E,Category!$B$134,'2021'!$N:$N,Category!AJ$1,'2021'!$D:$D,Category!$C245)</f>
        <v>0</v>
      </c>
      <c r="AK245" s="234">
        <f>SUMIFS('2021'!$I:$I,'2021'!$E:$E,Category!$B$134,'2021'!$N:$N,Category!AK$1,'2021'!$D:$D,Category!$C245)</f>
        <v>0</v>
      </c>
      <c r="AL245" s="250">
        <f>SUM(Z245:AK245)</f>
        <v>0</v>
      </c>
      <c r="AM245" s="507">
        <f>IFERROR(VLOOKUP(C245,'2022'!$D:$G,4,0),0)</f>
        <v>0</v>
      </c>
      <c r="AN245" s="234">
        <f>SUMIFS('2022'!$I:$I,'2022'!$E:$E,Category!$B$134,'2022'!$N:$N,Category!AN$1,'2022'!$D:$D,Category!$C245)</f>
        <v>0</v>
      </c>
      <c r="AO245" s="234">
        <f>SUMIFS('2022'!$I:$I,'2022'!$E:$E,Category!$B$134,'2022'!$N:$N,Category!AO$1,'2022'!$D:$D,Category!$C245)</f>
        <v>0</v>
      </c>
      <c r="AP245" s="234">
        <f>SUMIFS('2022'!$I:$I,'2022'!$E:$E,Category!$B$134,'2022'!$N:$N,Category!AP$1,'2022'!$D:$D,Category!$C245)</f>
        <v>0</v>
      </c>
      <c r="AQ245" s="234">
        <f>SUMIFS('2022'!$I:$I,'2022'!$E:$E,Category!$B$134,'2022'!$N:$N,Category!AQ$1,'2022'!$D:$D,Category!$C245)</f>
        <v>0</v>
      </c>
      <c r="AR245" s="234">
        <f>SUMIFS('2022'!$I:$I,'2022'!$E:$E,Category!$B$134,'2022'!$N:$N,Category!AR$1,'2022'!$D:$D,Category!$C245)</f>
        <v>0</v>
      </c>
      <c r="AS245" s="234">
        <f>SUMIFS('2022'!$I:$I,'2022'!$E:$E,Category!$B$134,'2022'!$N:$N,Category!AS$1,'2022'!$D:$D,Category!$C245)</f>
        <v>0</v>
      </c>
      <c r="AT245" s="234">
        <f>SUMIFS('2022'!$I:$I,'2022'!$E:$E,Category!$B$134,'2022'!$N:$N,Category!AT$1,'2022'!$D:$D,Category!$C245)</f>
        <v>0</v>
      </c>
      <c r="AU245" s="234">
        <f>SUMIFS('2022'!$I:$I,'2022'!$E:$E,Category!$B$134,'2022'!$N:$N,Category!AU$1,'2022'!$D:$D,Category!$C245)</f>
        <v>0</v>
      </c>
      <c r="AV245" s="234">
        <f>SUMIFS('2022'!$I:$I,'2022'!$E:$E,Category!$B$134,'2022'!$N:$N,Category!AV$1,'2022'!$D:$D,Category!$C245)</f>
        <v>0</v>
      </c>
      <c r="AW245" s="234">
        <f>SUMIFS('2022'!$I:$I,'2022'!$E:$E,Category!$B$134,'2022'!$N:$N,Category!AW$1,'2022'!$D:$D,Category!$C245)</f>
        <v>0</v>
      </c>
      <c r="AX245" s="234">
        <f>SUMIFS('2022'!$I:$I,'2022'!$E:$E,Category!$B$134,'2022'!$N:$N,Category!AX$1,'2022'!$D:$D,Category!$C245)</f>
        <v>0</v>
      </c>
      <c r="AY245" s="234">
        <f>SUMIFS('2022'!$I:$I,'2022'!$E:$E,Category!$B$134,'2022'!$N:$N,Category!AY$1,'2022'!$D:$D,Category!$C245)</f>
        <v>0</v>
      </c>
      <c r="AZ245" s="250">
        <f>SUM(AN245:AY245)</f>
        <v>0</v>
      </c>
      <c r="BA245" s="507">
        <f>IFERROR(VLOOKUP(AE245,'2023'!$D:$G,4,0),0)</f>
        <v>0</v>
      </c>
      <c r="BB245" s="234">
        <f>SUMIFS('2023'!$I:$I,'2023'!$E:$E,Category!$B$134,'2023'!$N:$N,Category!BB$1,'2023'!$D:$D,Category!$C245)</f>
        <v>0</v>
      </c>
      <c r="BC245" s="234">
        <f>SUMIFS('2023'!$I:$I,'2023'!$E:$E,Category!$B$134,'2023'!$N:$N,Category!BC$1,'2023'!$D:$D,Category!$C245)</f>
        <v>0</v>
      </c>
      <c r="BD245" s="234">
        <f>SUMIFS('2023'!$I:$I,'2023'!$E:$E,Category!$B$134,'2023'!$N:$N,Category!BD$1,'2023'!$D:$D,Category!$C245)</f>
        <v>0</v>
      </c>
      <c r="BE245" s="234">
        <f>SUMIFS('2023'!$I:$I,'2023'!$E:$E,Category!$B$134,'2023'!$N:$N,Category!BE$1,'2023'!$D:$D,Category!$C245)</f>
        <v>0</v>
      </c>
      <c r="BF245" s="234">
        <f>SUMIFS('2023'!$I:$I,'2023'!$E:$E,Category!$B$134,'2023'!$N:$N,Category!BF$1,'2023'!$D:$D,Category!$C245)</f>
        <v>0</v>
      </c>
      <c r="BG245" s="234">
        <f>SUMIFS('2023'!$I:$I,'2023'!$E:$E,Category!$B$134,'2023'!$N:$N,Category!BG$1,'2023'!$D:$D,Category!$C245)</f>
        <v>0</v>
      </c>
      <c r="BH245" s="234">
        <f>SUMIFS('2023'!$I:$I,'2023'!$E:$E,Category!$B$134,'2023'!$N:$N,Category!BH$1,'2023'!$D:$D,Category!$C245)</f>
        <v>0</v>
      </c>
      <c r="BI245" s="234">
        <f>SUMIFS('2023'!$I:$I,'2023'!$E:$E,Category!$B$134,'2023'!$N:$N,Category!BI$1,'2023'!$D:$D,Category!$C245)</f>
        <v>0</v>
      </c>
      <c r="BJ245" s="234">
        <f>SUMIFS('2023'!$I:$I,'2023'!$E:$E,Category!$B$134,'2023'!$N:$N,Category!BJ$1,'2023'!$D:$D,Category!$C245)</f>
        <v>0</v>
      </c>
      <c r="BK245" s="234">
        <f>SUMIFS('2023'!$I:$I,'2023'!$E:$E,Category!$B$134,'2023'!$N:$N,Category!BK$1,'2023'!$D:$D,Category!$C245)</f>
        <v>0</v>
      </c>
      <c r="BL245" s="234">
        <f>SUMIFS('2023'!$I:$I,'2023'!$E:$E,Category!$B$134,'2023'!$N:$N,Category!BL$1,'2023'!$D:$D,Category!$C245)</f>
        <v>0</v>
      </c>
      <c r="BM245" s="234">
        <f>SUMIFS('2023'!$I:$I,'2023'!$E:$E,Category!$B$134,'2023'!$N:$N,Category!BM$1,'2023'!$D:$D,Category!$C245)</f>
        <v>0</v>
      </c>
      <c r="BN245" s="250">
        <f t="shared" si="94"/>
        <v>0</v>
      </c>
    </row>
    <row r="246" spans="1:66" x14ac:dyDescent="0.3">
      <c r="A246" s="393">
        <v>7</v>
      </c>
      <c r="B246" s="394" t="s">
        <v>1054</v>
      </c>
      <c r="C246" s="394"/>
      <c r="D246" s="394">
        <f t="shared" ref="D246:AL246" si="95">SUM(D247:D277)</f>
        <v>0</v>
      </c>
      <c r="E246" s="395">
        <f t="shared" si="95"/>
        <v>46000000</v>
      </c>
      <c r="F246" s="395">
        <f t="shared" si="95"/>
        <v>0</v>
      </c>
      <c r="G246" s="395">
        <f t="shared" si="95"/>
        <v>2029041</v>
      </c>
      <c r="H246" s="395">
        <f t="shared" si="95"/>
        <v>6229000</v>
      </c>
      <c r="I246" s="395">
        <f t="shared" si="95"/>
        <v>41000000</v>
      </c>
      <c r="J246" s="395">
        <f t="shared" si="95"/>
        <v>95258041</v>
      </c>
      <c r="K246" s="508">
        <f t="shared" si="95"/>
        <v>1</v>
      </c>
      <c r="L246" s="395">
        <f t="shared" si="95"/>
        <v>0</v>
      </c>
      <c r="M246" s="395">
        <f t="shared" si="95"/>
        <v>5000000</v>
      </c>
      <c r="N246" s="395">
        <f t="shared" si="95"/>
        <v>0</v>
      </c>
      <c r="O246" s="395">
        <f t="shared" si="95"/>
        <v>0</v>
      </c>
      <c r="P246" s="395">
        <f t="shared" si="95"/>
        <v>0</v>
      </c>
      <c r="Q246" s="395">
        <f t="shared" si="95"/>
        <v>5000000</v>
      </c>
      <c r="R246" s="395">
        <f t="shared" si="95"/>
        <v>5000000</v>
      </c>
      <c r="S246" s="395">
        <f t="shared" si="95"/>
        <v>5000000</v>
      </c>
      <c r="T246" s="395">
        <f t="shared" si="95"/>
        <v>0</v>
      </c>
      <c r="U246" s="395">
        <f t="shared" si="95"/>
        <v>0</v>
      </c>
      <c r="V246" s="395">
        <f t="shared" si="95"/>
        <v>0</v>
      </c>
      <c r="W246" s="395">
        <f t="shared" si="95"/>
        <v>0</v>
      </c>
      <c r="X246" s="395">
        <f t="shared" si="95"/>
        <v>20000000</v>
      </c>
      <c r="Y246" s="508">
        <f t="shared" si="95"/>
        <v>0</v>
      </c>
      <c r="Z246" s="395">
        <f t="shared" si="95"/>
        <v>0</v>
      </c>
      <c r="AA246" s="395">
        <f t="shared" si="95"/>
        <v>0</v>
      </c>
      <c r="AB246" s="395">
        <f t="shared" si="95"/>
        <v>0</v>
      </c>
      <c r="AC246" s="395">
        <f t="shared" si="95"/>
        <v>0</v>
      </c>
      <c r="AD246" s="395">
        <f t="shared" si="95"/>
        <v>0</v>
      </c>
      <c r="AE246" s="395">
        <f t="shared" si="95"/>
        <v>0</v>
      </c>
      <c r="AF246" s="395">
        <f t="shared" si="95"/>
        <v>0</v>
      </c>
      <c r="AG246" s="395">
        <f t="shared" si="95"/>
        <v>0</v>
      </c>
      <c r="AH246" s="395">
        <f t="shared" si="95"/>
        <v>0</v>
      </c>
      <c r="AI246" s="395">
        <f t="shared" si="95"/>
        <v>0</v>
      </c>
      <c r="AJ246" s="395">
        <f t="shared" si="95"/>
        <v>0</v>
      </c>
      <c r="AK246" s="395">
        <f t="shared" si="95"/>
        <v>0</v>
      </c>
      <c r="AL246" s="395">
        <f t="shared" si="95"/>
        <v>0</v>
      </c>
      <c r="AM246" s="508">
        <f t="shared" ref="AM246:AZ246" si="96">SUM(AM247:AM277)</f>
        <v>1</v>
      </c>
      <c r="AN246" s="395">
        <f t="shared" si="96"/>
        <v>0</v>
      </c>
      <c r="AO246" s="395">
        <f t="shared" si="96"/>
        <v>0</v>
      </c>
      <c r="AP246" s="395">
        <f t="shared" si="96"/>
        <v>2140000</v>
      </c>
      <c r="AQ246" s="395">
        <f t="shared" si="96"/>
        <v>62939000</v>
      </c>
      <c r="AR246" s="395">
        <f t="shared" si="96"/>
        <v>0</v>
      </c>
      <c r="AS246" s="395">
        <f t="shared" si="96"/>
        <v>777000</v>
      </c>
      <c r="AT246" s="395">
        <f t="shared" si="96"/>
        <v>2400000</v>
      </c>
      <c r="AU246" s="395">
        <f t="shared" si="96"/>
        <v>392000</v>
      </c>
      <c r="AV246" s="395">
        <f t="shared" si="96"/>
        <v>73305650</v>
      </c>
      <c r="AW246" s="395">
        <f t="shared" si="96"/>
        <v>1599000</v>
      </c>
      <c r="AX246" s="395">
        <f t="shared" si="96"/>
        <v>85638950</v>
      </c>
      <c r="AY246" s="395">
        <f t="shared" si="96"/>
        <v>5246250</v>
      </c>
      <c r="AZ246" s="395">
        <f t="shared" si="96"/>
        <v>234437850</v>
      </c>
      <c r="BA246" s="508">
        <f t="shared" ref="BA246:BN246" si="97">SUM(BA247:BA277)</f>
        <v>0</v>
      </c>
      <c r="BB246" s="395">
        <f t="shared" si="97"/>
        <v>3000000</v>
      </c>
      <c r="BC246" s="395">
        <f t="shared" si="97"/>
        <v>0</v>
      </c>
      <c r="BD246" s="395">
        <f t="shared" si="97"/>
        <v>0</v>
      </c>
      <c r="BE246" s="395">
        <f t="shared" si="97"/>
        <v>0</v>
      </c>
      <c r="BF246" s="395">
        <f t="shared" si="97"/>
        <v>0</v>
      </c>
      <c r="BG246" s="395">
        <f t="shared" si="97"/>
        <v>0</v>
      </c>
      <c r="BH246" s="395">
        <f t="shared" si="97"/>
        <v>0</v>
      </c>
      <c r="BI246" s="395">
        <f t="shared" si="97"/>
        <v>0</v>
      </c>
      <c r="BJ246" s="395">
        <f t="shared" si="97"/>
        <v>0</v>
      </c>
      <c r="BK246" s="395">
        <f t="shared" si="97"/>
        <v>0</v>
      </c>
      <c r="BL246" s="395">
        <f t="shared" si="97"/>
        <v>0</v>
      </c>
      <c r="BM246" s="395">
        <f t="shared" si="97"/>
        <v>0</v>
      </c>
      <c r="BN246" s="395">
        <f t="shared" si="97"/>
        <v>3000000</v>
      </c>
    </row>
    <row r="247" spans="1:66" x14ac:dyDescent="0.3">
      <c r="A247" s="396"/>
      <c r="B247" s="397"/>
      <c r="C247" s="397" t="s">
        <v>30</v>
      </c>
      <c r="D247" s="526">
        <f>IFERROR(VLOOKUP($C247,'2019'!$D:$G,4,0),0)</f>
        <v>0</v>
      </c>
      <c r="E247" s="398">
        <f>SUMIFS('2019'!$I:$I,'2019'!$E:$E,Category!$B$246,'2019'!$N:$N,Category!E$1,'2019'!$D:$D,Category!$C247)</f>
        <v>0</v>
      </c>
      <c r="F247" s="398">
        <f>SUMIFS('2019'!$I:$I,'2019'!$E:$E,Category!$B$246,'2019'!$N:$N,Category!F$1,'2019'!$D:$D,Category!$C247)</f>
        <v>0</v>
      </c>
      <c r="G247" s="398">
        <f>SUMIFS('2019'!$I:$I,'2019'!$E:$E,Category!$B$246,'2019'!$N:$N,Category!G$1,'2019'!$D:$D,Category!$C247)</f>
        <v>0</v>
      </c>
      <c r="H247" s="398">
        <f>SUMIFS('2019'!$I:$I,'2019'!$E:$E,Category!$B$246,'2019'!$N:$N,Category!H$1,'2019'!$D:$D,Category!$C247)</f>
        <v>0</v>
      </c>
      <c r="I247" s="398">
        <f>SUMIFS('2019'!$I:$I,'2019'!$E:$E,Category!$B$246,'2019'!$N:$N,Category!I$1,'2019'!$D:$D,Category!$C247)</f>
        <v>0</v>
      </c>
      <c r="J247" s="399">
        <f>SUM(E247:I247)</f>
        <v>0</v>
      </c>
      <c r="K247" s="509">
        <f>IFERROR(VLOOKUP($C247,'2020'!$D:$G,4,0),0)</f>
        <v>1</v>
      </c>
      <c r="L247" s="398">
        <f>SUMIFS('2020'!$I:$I,'2020'!$E:$E,Category!$B$246,'2020'!$N:$N,Category!L$1,'2020'!$D:$D,Category!$C247)</f>
        <v>0</v>
      </c>
      <c r="M247" s="398">
        <f>SUMIFS('2020'!$I:$I,'2020'!$E:$E,Category!$B$246,'2020'!$N:$N,Category!M$1,'2020'!$D:$D,Category!$C247)</f>
        <v>5000000</v>
      </c>
      <c r="N247" s="398">
        <f>SUMIFS('2020'!$I:$I,'2020'!$E:$E,Category!$B$246,'2020'!$N:$N,Category!N$1,'2020'!$D:$D,Category!$C247)</f>
        <v>0</v>
      </c>
      <c r="O247" s="398">
        <f>SUMIFS('2020'!$I:$I,'2020'!$E:$E,Category!$B$246,'2020'!$N:$N,Category!O$1,'2020'!$D:$D,Category!$C247)</f>
        <v>0</v>
      </c>
      <c r="P247" s="398">
        <f>SUMIFS('2020'!$I:$I,'2020'!$E:$E,Category!$B$246,'2020'!$N:$N,Category!P$1,'2020'!$D:$D,Category!$C247)</f>
        <v>0</v>
      </c>
      <c r="Q247" s="398">
        <f>SUMIFS('2020'!$I:$I,'2020'!$E:$E,Category!$B$246,'2020'!$N:$N,Category!Q$1,'2020'!$D:$D,Category!$C247)</f>
        <v>5000000</v>
      </c>
      <c r="R247" s="398">
        <f>SUMIFS('2020'!$I:$I,'2020'!$E:$E,Category!$B$246,'2020'!$N:$N,Category!R$1,'2020'!$D:$D,Category!$C247)</f>
        <v>5000000</v>
      </c>
      <c r="S247" s="398">
        <f>SUMIFS('2020'!$I:$I,'2020'!$E:$E,Category!$B$246,'2020'!$N:$N,Category!S$1,'2020'!$D:$D,Category!$C247)</f>
        <v>5000000</v>
      </c>
      <c r="T247" s="398">
        <f>SUMIFS('2020'!$I:$I,'2020'!$E:$E,Category!$B$246,'2020'!$N:$N,Category!T$1,'2020'!$D:$D,Category!$C247)</f>
        <v>0</v>
      </c>
      <c r="U247" s="398">
        <f>SUMIFS('2020'!$I:$I,'2020'!$E:$E,Category!$B$246,'2020'!$N:$N,Category!U$1,'2020'!$D:$D,Category!$C247)</f>
        <v>0</v>
      </c>
      <c r="V247" s="398">
        <f>SUMIFS('2020'!$I:$I,'2020'!$E:$E,Category!$B$246,'2020'!$N:$N,Category!V$1,'2020'!$D:$D,Category!$C247)</f>
        <v>0</v>
      </c>
      <c r="W247" s="398">
        <f>SUMIFS('2020'!$I:$I,'2020'!$E:$E,Category!$B$246,'2020'!$N:$N,Category!W$1,'2020'!$D:$D,Category!$C247)</f>
        <v>0</v>
      </c>
      <c r="X247" s="399">
        <f t="shared" ref="X247:X275" si="98">SUM(L247:W247)</f>
        <v>20000000</v>
      </c>
      <c r="Y247" s="509">
        <f>IFERROR(VLOOKUP(C247,'2021'!$D:$G,4,0),0)</f>
        <v>0</v>
      </c>
      <c r="Z247" s="398">
        <f>SUMIFS('2021'!$I:$I,'2021'!$E:$E,Category!$B$246,'2021'!$N:$N,Category!Z$1,'2021'!$D:$D,Category!$C247)</f>
        <v>0</v>
      </c>
      <c r="AA247" s="398">
        <f>SUMIFS('2021'!$I:$I,'2021'!$E:$E,Category!$B$246,'2021'!$N:$N,Category!AA$1,'2021'!$D:$D,Category!$C247)</f>
        <v>0</v>
      </c>
      <c r="AB247" s="398">
        <f>SUMIFS('2021'!$I:$I,'2021'!$E:$E,Category!$B$246,'2021'!$N:$N,Category!AB$1,'2021'!$D:$D,Category!$C247)</f>
        <v>0</v>
      </c>
      <c r="AC247" s="398">
        <f>SUMIFS('2021'!$I:$I,'2021'!$E:$E,Category!$B$246,'2021'!$N:$N,Category!AC$1,'2021'!$D:$D,Category!$C247)</f>
        <v>0</v>
      </c>
      <c r="AD247" s="398">
        <f>SUMIFS('2021'!$I:$I,'2021'!$E:$E,Category!$B$246,'2021'!$N:$N,Category!AD$1,'2021'!$D:$D,Category!$C247)</f>
        <v>0</v>
      </c>
      <c r="AE247" s="398">
        <f>SUMIFS('2021'!$I:$I,'2021'!$E:$E,Category!$B$246,'2021'!$N:$N,Category!AE$1,'2021'!$D:$D,Category!$C247)</f>
        <v>0</v>
      </c>
      <c r="AF247" s="398">
        <f>SUMIFS('2021'!$I:$I,'2021'!$E:$E,Category!$B$246,'2021'!$N:$N,Category!AF$1,'2021'!$D:$D,Category!$C247)</f>
        <v>0</v>
      </c>
      <c r="AG247" s="398">
        <f>SUMIFS('2021'!$I:$I,'2021'!$E:$E,Category!$B$246,'2021'!$N:$N,Category!AG$1,'2021'!$D:$D,Category!$C247)</f>
        <v>0</v>
      </c>
      <c r="AH247" s="398">
        <f>SUMIFS('2021'!$I:$I,'2021'!$E:$E,Category!$B$246,'2021'!$N:$N,Category!AH$1,'2021'!$D:$D,Category!$C247)</f>
        <v>0</v>
      </c>
      <c r="AI247" s="398">
        <f>SUMIFS('2021'!$I:$I,'2021'!$E:$E,Category!$B$246,'2021'!$N:$N,Category!AI$1,'2021'!$D:$D,Category!$C247)</f>
        <v>0</v>
      </c>
      <c r="AJ247" s="398">
        <f>SUMIFS('2021'!$I:$I,'2021'!$E:$E,Category!$B$246,'2021'!$N:$N,Category!AJ$1,'2021'!$D:$D,Category!$C247)</f>
        <v>0</v>
      </c>
      <c r="AK247" s="398">
        <f>SUMIFS('2021'!$I:$I,'2021'!$E:$E,Category!$B$246,'2021'!$N:$N,Category!AK$1,'2021'!$D:$D,Category!$C247)</f>
        <v>0</v>
      </c>
      <c r="AL247" s="399">
        <f t="shared" ref="AL247:AL276" si="99">SUM(Z247:AK247)</f>
        <v>0</v>
      </c>
      <c r="AM247" s="509">
        <f>IFERROR(VLOOKUP(C247,'2022'!$D:$G,4,0),0)</f>
        <v>0</v>
      </c>
      <c r="AN247" s="398">
        <f>SUMIFS('2022'!$I:$I,'2022'!$E:$E,Category!$B$246,'2022'!$N:$N,Category!AN$1,'2022'!$D:$D,Category!$C247)</f>
        <v>0</v>
      </c>
      <c r="AO247" s="398">
        <f>SUMIFS('2022'!$I:$I,'2022'!$E:$E,Category!$B$246,'2022'!$N:$N,Category!AO$1,'2022'!$D:$D,Category!$C247)</f>
        <v>0</v>
      </c>
      <c r="AP247" s="398">
        <f>SUMIFS('2022'!$I:$I,'2022'!$E:$E,Category!$B$246,'2022'!$N:$N,Category!AP$1,'2022'!$D:$D,Category!$C247)</f>
        <v>0</v>
      </c>
      <c r="AQ247" s="398">
        <f>SUMIFS('2022'!$I:$I,'2022'!$E:$E,Category!$B$246,'2022'!$N:$N,Category!AQ$1,'2022'!$D:$D,Category!$C247)</f>
        <v>0</v>
      </c>
      <c r="AR247" s="398">
        <f>SUMIFS('2022'!$I:$I,'2022'!$E:$E,Category!$B$246,'2022'!$N:$N,Category!AR$1,'2022'!$D:$D,Category!$C247)</f>
        <v>0</v>
      </c>
      <c r="AS247" s="398">
        <f>SUMIFS('2022'!$I:$I,'2022'!$E:$E,Category!$B$246,'2022'!$N:$N,Category!AS$1,'2022'!$D:$D,Category!$C247)</f>
        <v>0</v>
      </c>
      <c r="AT247" s="398">
        <f>SUMIFS('2022'!$I:$I,'2022'!$E:$E,Category!$B$246,'2022'!$N:$N,Category!AT$1,'2022'!$D:$D,Category!$C247)</f>
        <v>0</v>
      </c>
      <c r="AU247" s="398">
        <f>SUMIFS('2022'!$I:$I,'2022'!$E:$E,Category!$B$246,'2022'!$N:$N,Category!AU$1,'2022'!$D:$D,Category!$C247)</f>
        <v>0</v>
      </c>
      <c r="AV247" s="398">
        <f>SUMIFS('2022'!$I:$I,'2022'!$E:$E,Category!$B$246,'2022'!$N:$N,Category!AV$1,'2022'!$D:$D,Category!$C247)</f>
        <v>0</v>
      </c>
      <c r="AW247" s="398">
        <f>SUMIFS('2022'!$I:$I,'2022'!$E:$E,Category!$B$246,'2022'!$N:$N,Category!AW$1,'2022'!$D:$D,Category!$C247)</f>
        <v>0</v>
      </c>
      <c r="AX247" s="398">
        <f>SUMIFS('2022'!$I:$I,'2022'!$E:$E,Category!$B$246,'2022'!$N:$N,Category!AX$1,'2022'!$D:$D,Category!$C247)</f>
        <v>0</v>
      </c>
      <c r="AY247" s="398">
        <f>SUMIFS('2022'!$I:$I,'2022'!$E:$E,Category!$B$246,'2022'!$N:$N,Category!AY$1,'2022'!$D:$D,Category!$C247)</f>
        <v>0</v>
      </c>
      <c r="AZ247" s="399">
        <f t="shared" ref="AZ247:AZ255" si="100">SUM(AN247:AY247)</f>
        <v>0</v>
      </c>
      <c r="BA247" s="509">
        <f>IFERROR(VLOOKUP(C247,'2023'!$D:$G,4,0),0)</f>
        <v>0</v>
      </c>
      <c r="BB247" s="398">
        <f>SUMIFS('2023'!$I:$I,'2023'!$E:$E,Category!$B$246,'2023'!$N:$N,Category!BB$1,'2023'!$D:$D,Category!$C247)</f>
        <v>0</v>
      </c>
      <c r="BC247" s="398">
        <f>SUMIFS('2023'!$I:$I,'2023'!$E:$E,Category!$B$246,'2023'!$N:$N,Category!BC$1,'2023'!$D:$D,Category!$C247)</f>
        <v>0</v>
      </c>
      <c r="BD247" s="398">
        <f>SUMIFS('2023'!$I:$I,'2023'!$E:$E,Category!$B$246,'2023'!$N:$N,Category!BD$1,'2023'!$D:$D,Category!$C247)</f>
        <v>0</v>
      </c>
      <c r="BE247" s="398">
        <f>SUMIFS('2023'!$I:$I,'2023'!$E:$E,Category!$B$246,'2023'!$N:$N,Category!BE$1,'2023'!$D:$D,Category!$C247)</f>
        <v>0</v>
      </c>
      <c r="BF247" s="398">
        <f>SUMIFS('2023'!$I:$I,'2023'!$E:$E,Category!$B$246,'2023'!$N:$N,Category!BF$1,'2023'!$D:$D,Category!$C247)</f>
        <v>0</v>
      </c>
      <c r="BG247" s="398">
        <f>SUMIFS('2023'!$I:$I,'2023'!$E:$E,Category!$B$246,'2023'!$N:$N,Category!BG$1,'2023'!$D:$D,Category!$C247)</f>
        <v>0</v>
      </c>
      <c r="BH247" s="398">
        <f>SUMIFS('2023'!$I:$I,'2023'!$E:$E,Category!$B$246,'2023'!$N:$N,Category!BH$1,'2023'!$D:$D,Category!$C247)</f>
        <v>0</v>
      </c>
      <c r="BI247" s="398">
        <f>SUMIFS('2023'!$I:$I,'2023'!$E:$E,Category!$B$246,'2023'!$N:$N,Category!BI$1,'2023'!$D:$D,Category!$C247)</f>
        <v>0</v>
      </c>
      <c r="BJ247" s="398">
        <f>SUMIFS('2023'!$I:$I,'2023'!$E:$E,Category!$B$246,'2023'!$N:$N,Category!BJ$1,'2023'!$D:$D,Category!$C247)</f>
        <v>0</v>
      </c>
      <c r="BK247" s="398">
        <f>SUMIFS('2023'!$I:$I,'2023'!$E:$E,Category!$B$246,'2023'!$N:$N,Category!BK$1,'2023'!$D:$D,Category!$C247)</f>
        <v>0</v>
      </c>
      <c r="BL247" s="398">
        <f>SUMIFS('2023'!$I:$I,'2023'!$E:$E,Category!$B$246,'2023'!$N:$N,Category!BL$1,'2023'!$D:$D,Category!$C247)</f>
        <v>0</v>
      </c>
      <c r="BM247" s="398">
        <f>SUMIFS('2023'!$I:$I,'2023'!$E:$E,Category!$B$246,'2023'!$N:$N,Category!BM$1,'2023'!$D:$D,Category!$C247)</f>
        <v>0</v>
      </c>
      <c r="BN247" s="399">
        <f t="shared" ref="BN247:BN276" si="101">SUM(BB247:BM247)</f>
        <v>0</v>
      </c>
    </row>
    <row r="248" spans="1:66" x14ac:dyDescent="0.3">
      <c r="A248" s="396"/>
      <c r="B248" s="397"/>
      <c r="C248" s="397" t="s">
        <v>780</v>
      </c>
      <c r="D248" s="526">
        <f>IFERROR(VLOOKUP($C248,'2019'!$D:$G,4,0),0)</f>
        <v>0</v>
      </c>
      <c r="E248" s="398">
        <f>SUMIFS('2019'!$I:$I,'2019'!$E:$E,Category!$B$246,'2019'!$N:$N,Category!E$1,'2019'!$D:$D,Category!$C248)</f>
        <v>0</v>
      </c>
      <c r="F248" s="398">
        <f>SUMIFS('2019'!$I:$I,'2019'!$E:$E,Category!$B$246,'2019'!$N:$N,Category!F$1,'2019'!$D:$D,Category!$C248)</f>
        <v>0</v>
      </c>
      <c r="G248" s="398">
        <f>SUMIFS('2019'!$I:$I,'2019'!$E:$E,Category!$B$246,'2019'!$N:$N,Category!G$1,'2019'!$D:$D,Category!$C248)</f>
        <v>0</v>
      </c>
      <c r="H248" s="398">
        <f>SUMIFS('2019'!$I:$I,'2019'!$E:$E,Category!$B$246,'2019'!$N:$N,Category!H$1,'2019'!$D:$D,Category!$C248)</f>
        <v>0</v>
      </c>
      <c r="I248" s="398">
        <f>SUMIFS('2019'!$I:$I,'2019'!$E:$E,Category!$B$246,'2019'!$N:$N,Category!I$1,'2019'!$D:$D,Category!$C248)</f>
        <v>0</v>
      </c>
      <c r="J248" s="399">
        <f t="shared" ref="J248:J260" si="102">SUM(E248:I248)</f>
        <v>0</v>
      </c>
      <c r="K248" s="509">
        <f>IFERROR(VLOOKUP($C248,'2020'!$D:$G,4,0),0)</f>
        <v>0</v>
      </c>
      <c r="L248" s="398">
        <f>SUMIFS('2020'!$I:$I,'2020'!$E:$E,Category!$B$246,'2020'!$N:$N,Category!L$1,'2020'!$D:$D,Category!$C248)</f>
        <v>0</v>
      </c>
      <c r="M248" s="398">
        <f>SUMIFS('2020'!$I:$I,'2020'!$E:$E,Category!$B$246,'2020'!$N:$N,Category!M$1,'2020'!$D:$D,Category!$C248)</f>
        <v>0</v>
      </c>
      <c r="N248" s="398">
        <f>SUMIFS('2020'!$I:$I,'2020'!$E:$E,Category!$B$246,'2020'!$N:$N,Category!N$1,'2020'!$D:$D,Category!$C248)</f>
        <v>0</v>
      </c>
      <c r="O248" s="398">
        <f>SUMIFS('2020'!$I:$I,'2020'!$E:$E,Category!$B$246,'2020'!$N:$N,Category!O$1,'2020'!$D:$D,Category!$C248)</f>
        <v>0</v>
      </c>
      <c r="P248" s="398">
        <f>SUMIFS('2020'!$I:$I,'2020'!$E:$E,Category!$B$246,'2020'!$N:$N,Category!P$1,'2020'!$D:$D,Category!$C248)</f>
        <v>0</v>
      </c>
      <c r="Q248" s="398">
        <f>SUMIFS('2020'!$I:$I,'2020'!$E:$E,Category!$B$246,'2020'!$N:$N,Category!Q$1,'2020'!$D:$D,Category!$C248)</f>
        <v>0</v>
      </c>
      <c r="R248" s="398">
        <f>SUMIFS('2020'!$I:$I,'2020'!$E:$E,Category!$B$246,'2020'!$N:$N,Category!R$1,'2020'!$D:$D,Category!$C248)</f>
        <v>0</v>
      </c>
      <c r="S248" s="398">
        <f>SUMIFS('2020'!$I:$I,'2020'!$E:$E,Category!$B$246,'2020'!$N:$N,Category!S$1,'2020'!$D:$D,Category!$C248)</f>
        <v>0</v>
      </c>
      <c r="T248" s="398">
        <f>SUMIFS('2020'!$I:$I,'2020'!$E:$E,Category!$B$246,'2020'!$N:$N,Category!T$1,'2020'!$D:$D,Category!$C248)</f>
        <v>0</v>
      </c>
      <c r="U248" s="398">
        <f>SUMIFS('2020'!$I:$I,'2020'!$E:$E,Category!$B$246,'2020'!$N:$N,Category!U$1,'2020'!$D:$D,Category!$C248)</f>
        <v>0</v>
      </c>
      <c r="V248" s="398">
        <f>SUMIFS('2020'!$I:$I,'2020'!$E:$E,Category!$B$246,'2020'!$N:$N,Category!V$1,'2020'!$D:$D,Category!$C248)</f>
        <v>0</v>
      </c>
      <c r="W248" s="398">
        <f>SUMIFS('2020'!$I:$I,'2020'!$E:$E,Category!$B$246,'2020'!$N:$N,Category!W$1,'2020'!$D:$D,Category!$C248)</f>
        <v>0</v>
      </c>
      <c r="X248" s="399">
        <f t="shared" si="98"/>
        <v>0</v>
      </c>
      <c r="Y248" s="509">
        <f>IFERROR(VLOOKUP(C248,'2021'!$D:$G,4,0),0)</f>
        <v>0</v>
      </c>
      <c r="Z248" s="398">
        <f>SUMIFS('2021'!$I:$I,'2021'!$E:$E,Category!$B$246,'2021'!$N:$N,Category!Z$1,'2021'!$D:$D,Category!$C248)</f>
        <v>0</v>
      </c>
      <c r="AA248" s="398">
        <f>SUMIFS('2021'!$I:$I,'2021'!$E:$E,Category!$B$246,'2021'!$N:$N,Category!AA$1,'2021'!$D:$D,Category!$C248)</f>
        <v>0</v>
      </c>
      <c r="AB248" s="398">
        <f>SUMIFS('2021'!$I:$I,'2021'!$E:$E,Category!$B$246,'2021'!$N:$N,Category!AB$1,'2021'!$D:$D,Category!$C248)</f>
        <v>0</v>
      </c>
      <c r="AC248" s="398">
        <f>SUMIFS('2021'!$I:$I,'2021'!$E:$E,Category!$B$246,'2021'!$N:$N,Category!AC$1,'2021'!$D:$D,Category!$C248)</f>
        <v>0</v>
      </c>
      <c r="AD248" s="398">
        <f>SUMIFS('2021'!$I:$I,'2021'!$E:$E,Category!$B$246,'2021'!$N:$N,Category!AD$1,'2021'!$D:$D,Category!$C248)</f>
        <v>0</v>
      </c>
      <c r="AE248" s="398">
        <f>SUMIFS('2021'!$I:$I,'2021'!$E:$E,Category!$B$246,'2021'!$N:$N,Category!AE$1,'2021'!$D:$D,Category!$C248)</f>
        <v>0</v>
      </c>
      <c r="AF248" s="398">
        <f>SUMIFS('2021'!$I:$I,'2021'!$E:$E,Category!$B$246,'2021'!$N:$N,Category!AF$1,'2021'!$D:$D,Category!$C248)</f>
        <v>0</v>
      </c>
      <c r="AG248" s="398">
        <f>SUMIFS('2021'!$I:$I,'2021'!$E:$E,Category!$B$246,'2021'!$N:$N,Category!AG$1,'2021'!$D:$D,Category!$C248)</f>
        <v>0</v>
      </c>
      <c r="AH248" s="398">
        <f>SUMIFS('2021'!$I:$I,'2021'!$E:$E,Category!$B$246,'2021'!$N:$N,Category!AH$1,'2021'!$D:$D,Category!$C248)</f>
        <v>0</v>
      </c>
      <c r="AI248" s="398">
        <f>SUMIFS('2021'!$I:$I,'2021'!$E:$E,Category!$B$246,'2021'!$N:$N,Category!AI$1,'2021'!$D:$D,Category!$C248)</f>
        <v>0</v>
      </c>
      <c r="AJ248" s="398">
        <f>SUMIFS('2021'!$I:$I,'2021'!$E:$E,Category!$B$246,'2021'!$N:$N,Category!AJ$1,'2021'!$D:$D,Category!$C248)</f>
        <v>0</v>
      </c>
      <c r="AK248" s="398">
        <f>SUMIFS('2021'!$I:$I,'2021'!$E:$E,Category!$B$246,'2021'!$N:$N,Category!AK$1,'2021'!$D:$D,Category!$C248)</f>
        <v>0</v>
      </c>
      <c r="AL248" s="399">
        <f t="shared" si="99"/>
        <v>0</v>
      </c>
      <c r="AM248" s="509">
        <f>IFERROR(VLOOKUP(C248,'2022'!$D:$G,4,0),0)</f>
        <v>0</v>
      </c>
      <c r="AN248" s="398">
        <f>SUMIFS('2022'!$I:$I,'2022'!$E:$E,Category!$B$246,'2022'!$N:$N,Category!AN$1,'2022'!$D:$D,Category!$C248)</f>
        <v>0</v>
      </c>
      <c r="AO248" s="398">
        <f>SUMIFS('2022'!$I:$I,'2022'!$E:$E,Category!$B$246,'2022'!$N:$N,Category!AO$1,'2022'!$D:$D,Category!$C248)</f>
        <v>0</v>
      </c>
      <c r="AP248" s="398">
        <f>SUMIFS('2022'!$I:$I,'2022'!$E:$E,Category!$B$246,'2022'!$N:$N,Category!AP$1,'2022'!$D:$D,Category!$C248)</f>
        <v>2140000</v>
      </c>
      <c r="AQ248" s="398">
        <f>SUMIFS('2022'!$I:$I,'2022'!$E:$E,Category!$B$246,'2022'!$N:$N,Category!AQ$1,'2022'!$D:$D,Category!$C248)</f>
        <v>0</v>
      </c>
      <c r="AR248" s="398">
        <f>SUMIFS('2022'!$I:$I,'2022'!$E:$E,Category!$B$246,'2022'!$N:$N,Category!AR$1,'2022'!$D:$D,Category!$C248)</f>
        <v>0</v>
      </c>
      <c r="AS248" s="398">
        <f>SUMIFS('2022'!$I:$I,'2022'!$E:$E,Category!$B$246,'2022'!$N:$N,Category!AS$1,'2022'!$D:$D,Category!$C248)</f>
        <v>0</v>
      </c>
      <c r="AT248" s="398">
        <f>SUMIFS('2022'!$I:$I,'2022'!$E:$E,Category!$B$246,'2022'!$N:$N,Category!AT$1,'2022'!$D:$D,Category!$C248)</f>
        <v>0</v>
      </c>
      <c r="AU248" s="398">
        <f>SUMIFS('2022'!$I:$I,'2022'!$E:$E,Category!$B$246,'2022'!$N:$N,Category!AU$1,'2022'!$D:$D,Category!$C248)</f>
        <v>0</v>
      </c>
      <c r="AV248" s="398">
        <f>SUMIFS('2022'!$I:$I,'2022'!$E:$E,Category!$B$246,'2022'!$N:$N,Category!AV$1,'2022'!$D:$D,Category!$C248)</f>
        <v>0</v>
      </c>
      <c r="AW248" s="398">
        <f>SUMIFS('2022'!$I:$I,'2022'!$E:$E,Category!$B$246,'2022'!$N:$N,Category!AW$1,'2022'!$D:$D,Category!$C248)</f>
        <v>0</v>
      </c>
      <c r="AX248" s="398">
        <f>SUMIFS('2022'!$I:$I,'2022'!$E:$E,Category!$B$246,'2022'!$N:$N,Category!AX$1,'2022'!$D:$D,Category!$C248)</f>
        <v>0</v>
      </c>
      <c r="AY248" s="398">
        <f>SUMIFS('2022'!$I:$I,'2022'!$E:$E,Category!$B$246,'2022'!$N:$N,Category!AY$1,'2022'!$D:$D,Category!$C248)</f>
        <v>0</v>
      </c>
      <c r="AZ248" s="399">
        <f t="shared" si="100"/>
        <v>2140000</v>
      </c>
      <c r="BA248" s="509">
        <f>IFERROR(VLOOKUP(C248,'2023'!$D:$G,4,0),0)</f>
        <v>0</v>
      </c>
      <c r="BB248" s="398">
        <f>SUMIFS('2023'!$I:$I,'2023'!$E:$E,Category!$B$246,'2023'!$N:$N,Category!BB$1,'2023'!$D:$D,Category!$C248)</f>
        <v>0</v>
      </c>
      <c r="BC248" s="398">
        <f>SUMIFS('2023'!$I:$I,'2023'!$E:$E,Category!$B$246,'2023'!$N:$N,Category!BC$1,'2023'!$D:$D,Category!$C248)</f>
        <v>0</v>
      </c>
      <c r="BD248" s="398">
        <f>SUMIFS('2023'!$I:$I,'2023'!$E:$E,Category!$B$246,'2023'!$N:$N,Category!BD$1,'2023'!$D:$D,Category!$C248)</f>
        <v>0</v>
      </c>
      <c r="BE248" s="398">
        <f>SUMIFS('2023'!$I:$I,'2023'!$E:$E,Category!$B$246,'2023'!$N:$N,Category!BE$1,'2023'!$D:$D,Category!$C248)</f>
        <v>0</v>
      </c>
      <c r="BF248" s="398">
        <f>SUMIFS('2023'!$I:$I,'2023'!$E:$E,Category!$B$246,'2023'!$N:$N,Category!BF$1,'2023'!$D:$D,Category!$C248)</f>
        <v>0</v>
      </c>
      <c r="BG248" s="398">
        <f>SUMIFS('2023'!$I:$I,'2023'!$E:$E,Category!$B$246,'2023'!$N:$N,Category!BG$1,'2023'!$D:$D,Category!$C248)</f>
        <v>0</v>
      </c>
      <c r="BH248" s="398">
        <f>SUMIFS('2023'!$I:$I,'2023'!$E:$E,Category!$B$246,'2023'!$N:$N,Category!BH$1,'2023'!$D:$D,Category!$C248)</f>
        <v>0</v>
      </c>
      <c r="BI248" s="398">
        <f>SUMIFS('2023'!$I:$I,'2023'!$E:$E,Category!$B$246,'2023'!$N:$N,Category!BI$1,'2023'!$D:$D,Category!$C248)</f>
        <v>0</v>
      </c>
      <c r="BJ248" s="398">
        <f>SUMIFS('2023'!$I:$I,'2023'!$E:$E,Category!$B$246,'2023'!$N:$N,Category!BJ$1,'2023'!$D:$D,Category!$C248)</f>
        <v>0</v>
      </c>
      <c r="BK248" s="398">
        <f>SUMIFS('2023'!$I:$I,'2023'!$E:$E,Category!$B$246,'2023'!$N:$N,Category!BK$1,'2023'!$D:$D,Category!$C248)</f>
        <v>0</v>
      </c>
      <c r="BL248" s="398">
        <f>SUMIFS('2023'!$I:$I,'2023'!$E:$E,Category!$B$246,'2023'!$N:$N,Category!BL$1,'2023'!$D:$D,Category!$C248)</f>
        <v>0</v>
      </c>
      <c r="BM248" s="398">
        <f>SUMIFS('2023'!$I:$I,'2023'!$E:$E,Category!$B$246,'2023'!$N:$N,Category!BM$1,'2023'!$D:$D,Category!$C248)</f>
        <v>0</v>
      </c>
      <c r="BN248" s="399">
        <f t="shared" si="101"/>
        <v>0</v>
      </c>
    </row>
    <row r="249" spans="1:66" ht="39.75" x14ac:dyDescent="0.3">
      <c r="A249" s="396"/>
      <c r="B249" s="397"/>
      <c r="C249" s="397" t="s">
        <v>1019</v>
      </c>
      <c r="D249" s="526">
        <f>IFERROR(VLOOKUP($C249,'2019'!$D:$G,4,0),0)</f>
        <v>0</v>
      </c>
      <c r="E249" s="398">
        <f>SUMIFS('2019'!$I:$I,'2019'!$E:$E,Category!$B$246,'2019'!$N:$N,Category!E$1,'2019'!$D:$D,Category!$C249)</f>
        <v>0</v>
      </c>
      <c r="F249" s="398">
        <f>SUMIFS('2019'!$I:$I,'2019'!$E:$E,Category!$B$246,'2019'!$N:$N,Category!F$1,'2019'!$D:$D,Category!$C249)</f>
        <v>0</v>
      </c>
      <c r="G249" s="398">
        <f>SUMIFS('2019'!$I:$I,'2019'!$E:$E,Category!$B$246,'2019'!$N:$N,Category!G$1,'2019'!$D:$D,Category!$C249)</f>
        <v>0</v>
      </c>
      <c r="H249" s="398">
        <f>SUMIFS('2019'!$I:$I,'2019'!$E:$E,Category!$B$246,'2019'!$N:$N,Category!H$1,'2019'!$D:$D,Category!$C249)</f>
        <v>0</v>
      </c>
      <c r="I249" s="398">
        <f>SUMIFS('2019'!$I:$I,'2019'!$E:$E,Category!$B$246,'2019'!$N:$N,Category!I$1,'2019'!$D:$D,Category!$C249)</f>
        <v>0</v>
      </c>
      <c r="J249" s="399">
        <f t="shared" si="102"/>
        <v>0</v>
      </c>
      <c r="K249" s="509">
        <f>IFERROR(VLOOKUP($C249,'2020'!$D:$G,4,0),0)</f>
        <v>0</v>
      </c>
      <c r="L249" s="398">
        <f>SUMIFS('2020'!$I:$I,'2020'!$E:$E,Category!$B$246,'2020'!$N:$N,Category!L$1,'2020'!$D:$D,Category!$C249)</f>
        <v>0</v>
      </c>
      <c r="M249" s="398">
        <f>SUMIFS('2020'!$I:$I,'2020'!$E:$E,Category!$B$246,'2020'!$N:$N,Category!M$1,'2020'!$D:$D,Category!$C249)</f>
        <v>0</v>
      </c>
      <c r="N249" s="398">
        <f>SUMIFS('2020'!$I:$I,'2020'!$E:$E,Category!$B$246,'2020'!$N:$N,Category!N$1,'2020'!$D:$D,Category!$C249)</f>
        <v>0</v>
      </c>
      <c r="O249" s="398">
        <f>SUMIFS('2020'!$I:$I,'2020'!$E:$E,Category!$B$246,'2020'!$N:$N,Category!O$1,'2020'!$D:$D,Category!$C249)</f>
        <v>0</v>
      </c>
      <c r="P249" s="398">
        <f>SUMIFS('2020'!$I:$I,'2020'!$E:$E,Category!$B$246,'2020'!$N:$N,Category!P$1,'2020'!$D:$D,Category!$C249)</f>
        <v>0</v>
      </c>
      <c r="Q249" s="398">
        <f>SUMIFS('2020'!$I:$I,'2020'!$E:$E,Category!$B$246,'2020'!$N:$N,Category!Q$1,'2020'!$D:$D,Category!$C249)</f>
        <v>0</v>
      </c>
      <c r="R249" s="398">
        <f>SUMIFS('2020'!$I:$I,'2020'!$E:$E,Category!$B$246,'2020'!$N:$N,Category!R$1,'2020'!$D:$D,Category!$C249)</f>
        <v>0</v>
      </c>
      <c r="S249" s="398">
        <f>SUMIFS('2020'!$I:$I,'2020'!$E:$E,Category!$B$246,'2020'!$N:$N,Category!S$1,'2020'!$D:$D,Category!$C249)</f>
        <v>0</v>
      </c>
      <c r="T249" s="398">
        <f>SUMIFS('2020'!$I:$I,'2020'!$E:$E,Category!$B$246,'2020'!$N:$N,Category!T$1,'2020'!$D:$D,Category!$C249)</f>
        <v>0</v>
      </c>
      <c r="U249" s="398">
        <f>SUMIFS('2020'!$I:$I,'2020'!$E:$E,Category!$B$246,'2020'!$N:$N,Category!U$1,'2020'!$D:$D,Category!$C249)</f>
        <v>0</v>
      </c>
      <c r="V249" s="398">
        <f>SUMIFS('2020'!$I:$I,'2020'!$E:$E,Category!$B$246,'2020'!$N:$N,Category!V$1,'2020'!$D:$D,Category!$C249)</f>
        <v>0</v>
      </c>
      <c r="W249" s="398">
        <f>SUMIFS('2020'!$I:$I,'2020'!$E:$E,Category!$B$246,'2020'!$N:$N,Category!W$1,'2020'!$D:$D,Category!$C249)</f>
        <v>0</v>
      </c>
      <c r="X249" s="399">
        <f t="shared" si="98"/>
        <v>0</v>
      </c>
      <c r="Y249" s="509">
        <f>IFERROR(VLOOKUP(C249,'2021'!$D:$G,4,0),0)</f>
        <v>0</v>
      </c>
      <c r="Z249" s="398">
        <f>SUMIFS('2021'!$I:$I,'2021'!$E:$E,Category!$B$246,'2021'!$N:$N,Category!Z$1,'2021'!$D:$D,Category!$C249)</f>
        <v>0</v>
      </c>
      <c r="AA249" s="398">
        <f>SUMIFS('2021'!$I:$I,'2021'!$E:$E,Category!$B$246,'2021'!$N:$N,Category!AA$1,'2021'!$D:$D,Category!$C249)</f>
        <v>0</v>
      </c>
      <c r="AB249" s="398">
        <f>SUMIFS('2021'!$I:$I,'2021'!$E:$E,Category!$B$246,'2021'!$N:$N,Category!AB$1,'2021'!$D:$D,Category!$C249)</f>
        <v>0</v>
      </c>
      <c r="AC249" s="398">
        <f>SUMIFS('2021'!$I:$I,'2021'!$E:$E,Category!$B$246,'2021'!$N:$N,Category!AC$1,'2021'!$D:$D,Category!$C249)</f>
        <v>0</v>
      </c>
      <c r="AD249" s="398">
        <f>SUMIFS('2021'!$I:$I,'2021'!$E:$E,Category!$B$246,'2021'!$N:$N,Category!AD$1,'2021'!$D:$D,Category!$C249)</f>
        <v>0</v>
      </c>
      <c r="AE249" s="398">
        <f>SUMIFS('2021'!$I:$I,'2021'!$E:$E,Category!$B$246,'2021'!$N:$N,Category!AE$1,'2021'!$D:$D,Category!$C249)</f>
        <v>0</v>
      </c>
      <c r="AF249" s="398">
        <f>SUMIFS('2021'!$I:$I,'2021'!$E:$E,Category!$B$246,'2021'!$N:$N,Category!AF$1,'2021'!$D:$D,Category!$C249)</f>
        <v>0</v>
      </c>
      <c r="AG249" s="398">
        <f>SUMIFS('2021'!$I:$I,'2021'!$E:$E,Category!$B$246,'2021'!$N:$N,Category!AG$1,'2021'!$D:$D,Category!$C249)</f>
        <v>0</v>
      </c>
      <c r="AH249" s="398">
        <f>SUMIFS('2021'!$I:$I,'2021'!$E:$E,Category!$B$246,'2021'!$N:$N,Category!AH$1,'2021'!$D:$D,Category!$C249)</f>
        <v>0</v>
      </c>
      <c r="AI249" s="398">
        <f>SUMIFS('2021'!$I:$I,'2021'!$E:$E,Category!$B$246,'2021'!$N:$N,Category!AI$1,'2021'!$D:$D,Category!$C249)</f>
        <v>0</v>
      </c>
      <c r="AJ249" s="398">
        <f>SUMIFS('2021'!$I:$I,'2021'!$E:$E,Category!$B$246,'2021'!$N:$N,Category!AJ$1,'2021'!$D:$D,Category!$C249)</f>
        <v>0</v>
      </c>
      <c r="AK249" s="398">
        <f>SUMIFS('2021'!$I:$I,'2021'!$E:$E,Category!$B$246,'2021'!$N:$N,Category!AK$1,'2021'!$D:$D,Category!$C249)</f>
        <v>0</v>
      </c>
      <c r="AL249" s="399">
        <f t="shared" si="99"/>
        <v>0</v>
      </c>
      <c r="AM249" s="509">
        <f>IFERROR(VLOOKUP(C249,'2022'!$D:$G,4,0),0)</f>
        <v>0</v>
      </c>
      <c r="AN249" s="398">
        <f>SUMIFS('2022'!$I:$I,'2022'!$E:$E,Category!$B$246,'2022'!$N:$N,Category!AN$1,'2022'!$D:$D,Category!$C249)</f>
        <v>0</v>
      </c>
      <c r="AO249" s="398">
        <f>SUMIFS('2022'!$I:$I,'2022'!$E:$E,Category!$B$246,'2022'!$N:$N,Category!AO$1,'2022'!$D:$D,Category!$C249)</f>
        <v>0</v>
      </c>
      <c r="AP249" s="398">
        <f>SUMIFS('2022'!$I:$I,'2022'!$E:$E,Category!$B$246,'2022'!$N:$N,Category!AP$1,'2022'!$D:$D,Category!$C249)</f>
        <v>0</v>
      </c>
      <c r="AQ249" s="398">
        <f>SUMIFS('2022'!$I:$I,'2022'!$E:$E,Category!$B$246,'2022'!$N:$N,Category!AQ$1,'2022'!$D:$D,Category!$C249)</f>
        <v>60939000</v>
      </c>
      <c r="AR249" s="398">
        <f>SUMIFS('2022'!$I:$I,'2022'!$E:$E,Category!$B$246,'2022'!$N:$N,Category!AR$1,'2022'!$D:$D,Category!$C249)</f>
        <v>0</v>
      </c>
      <c r="AS249" s="398">
        <f>SUMIFS('2022'!$I:$I,'2022'!$E:$E,Category!$B$246,'2022'!$N:$N,Category!AS$1,'2022'!$D:$D,Category!$C249)</f>
        <v>0</v>
      </c>
      <c r="AT249" s="398">
        <f>SUMIFS('2022'!$I:$I,'2022'!$E:$E,Category!$B$246,'2022'!$N:$N,Category!AT$1,'2022'!$D:$D,Category!$C249)</f>
        <v>0</v>
      </c>
      <c r="AU249" s="398">
        <f>SUMIFS('2022'!$I:$I,'2022'!$E:$E,Category!$B$246,'2022'!$N:$N,Category!AU$1,'2022'!$D:$D,Category!$C249)</f>
        <v>0</v>
      </c>
      <c r="AV249" s="398">
        <f>SUMIFS('2022'!$I:$I,'2022'!$E:$E,Category!$B$246,'2022'!$N:$N,Category!AV$1,'2022'!$D:$D,Category!$C249)</f>
        <v>0</v>
      </c>
      <c r="AW249" s="398">
        <f>SUMIFS('2022'!$I:$I,'2022'!$E:$E,Category!$B$246,'2022'!$N:$N,Category!AW$1,'2022'!$D:$D,Category!$C249)</f>
        <v>0</v>
      </c>
      <c r="AX249" s="398">
        <f>SUMIFS('2022'!$I:$I,'2022'!$E:$E,Category!$B$246,'2022'!$N:$N,Category!AX$1,'2022'!$D:$D,Category!$C249)</f>
        <v>0</v>
      </c>
      <c r="AY249" s="398">
        <f>SUMIFS('2022'!$I:$I,'2022'!$E:$E,Category!$B$246,'2022'!$N:$N,Category!AY$1,'2022'!$D:$D,Category!$C249)</f>
        <v>0</v>
      </c>
      <c r="AZ249" s="399">
        <f t="shared" si="100"/>
        <v>60939000</v>
      </c>
      <c r="BA249" s="509">
        <f>IFERROR(VLOOKUP(C249,'2023'!$D:$G,4,0),0)</f>
        <v>0</v>
      </c>
      <c r="BB249" s="398">
        <f>SUMIFS('2023'!$I:$I,'2023'!$E:$E,Category!$B$246,'2023'!$N:$N,Category!BB$1,'2023'!$D:$D,Category!$C249)</f>
        <v>0</v>
      </c>
      <c r="BC249" s="398">
        <f>SUMIFS('2023'!$I:$I,'2023'!$E:$E,Category!$B$246,'2023'!$N:$N,Category!BC$1,'2023'!$D:$D,Category!$C249)</f>
        <v>0</v>
      </c>
      <c r="BD249" s="398">
        <f>SUMIFS('2023'!$I:$I,'2023'!$E:$E,Category!$B$246,'2023'!$N:$N,Category!BD$1,'2023'!$D:$D,Category!$C249)</f>
        <v>0</v>
      </c>
      <c r="BE249" s="398">
        <f>SUMIFS('2023'!$I:$I,'2023'!$E:$E,Category!$B$246,'2023'!$N:$N,Category!BE$1,'2023'!$D:$D,Category!$C249)</f>
        <v>0</v>
      </c>
      <c r="BF249" s="398">
        <f>SUMIFS('2023'!$I:$I,'2023'!$E:$E,Category!$B$246,'2023'!$N:$N,Category!BF$1,'2023'!$D:$D,Category!$C249)</f>
        <v>0</v>
      </c>
      <c r="BG249" s="398">
        <f>SUMIFS('2023'!$I:$I,'2023'!$E:$E,Category!$B$246,'2023'!$N:$N,Category!BG$1,'2023'!$D:$D,Category!$C249)</f>
        <v>0</v>
      </c>
      <c r="BH249" s="398">
        <f>SUMIFS('2023'!$I:$I,'2023'!$E:$E,Category!$B$246,'2023'!$N:$N,Category!BH$1,'2023'!$D:$D,Category!$C249)</f>
        <v>0</v>
      </c>
      <c r="BI249" s="398">
        <f>SUMIFS('2023'!$I:$I,'2023'!$E:$E,Category!$B$246,'2023'!$N:$N,Category!BI$1,'2023'!$D:$D,Category!$C249)</f>
        <v>0</v>
      </c>
      <c r="BJ249" s="398">
        <f>SUMIFS('2023'!$I:$I,'2023'!$E:$E,Category!$B$246,'2023'!$N:$N,Category!BJ$1,'2023'!$D:$D,Category!$C249)</f>
        <v>0</v>
      </c>
      <c r="BK249" s="398">
        <f>SUMIFS('2023'!$I:$I,'2023'!$E:$E,Category!$B$246,'2023'!$N:$N,Category!BK$1,'2023'!$D:$D,Category!$C249)</f>
        <v>0</v>
      </c>
      <c r="BL249" s="398">
        <f>SUMIFS('2023'!$I:$I,'2023'!$E:$E,Category!$B$246,'2023'!$N:$N,Category!BL$1,'2023'!$D:$D,Category!$C249)</f>
        <v>0</v>
      </c>
      <c r="BM249" s="398">
        <f>SUMIFS('2023'!$I:$I,'2023'!$E:$E,Category!$B$246,'2023'!$N:$N,Category!BM$1,'2023'!$D:$D,Category!$C249)</f>
        <v>0</v>
      </c>
      <c r="BN249" s="399">
        <f t="shared" si="101"/>
        <v>0</v>
      </c>
    </row>
    <row r="250" spans="1:66" x14ac:dyDescent="0.3">
      <c r="A250" s="396"/>
      <c r="B250" s="397"/>
      <c r="C250" s="397" t="s">
        <v>907</v>
      </c>
      <c r="D250" s="526">
        <f>IFERROR(VLOOKUP($C250,'2019'!$D:$G,4,0),0)</f>
        <v>0</v>
      </c>
      <c r="E250" s="398">
        <f>SUMIFS('2019'!$I:$I,'2019'!$E:$E,Category!$B$246,'2019'!$N:$N,Category!E$1,'2019'!$D:$D,Category!$C250)</f>
        <v>0</v>
      </c>
      <c r="F250" s="398">
        <f>SUMIFS('2019'!$I:$I,'2019'!$E:$E,Category!$B$246,'2019'!$N:$N,Category!F$1,'2019'!$D:$D,Category!$C250)</f>
        <v>0</v>
      </c>
      <c r="G250" s="398">
        <f>SUMIFS('2019'!$I:$I,'2019'!$E:$E,Category!$B$246,'2019'!$N:$N,Category!G$1,'2019'!$D:$D,Category!$C250)</f>
        <v>0</v>
      </c>
      <c r="H250" s="398">
        <f>SUMIFS('2019'!$I:$I,'2019'!$E:$E,Category!$B$246,'2019'!$N:$N,Category!H$1,'2019'!$D:$D,Category!$C250)</f>
        <v>0</v>
      </c>
      <c r="I250" s="398">
        <f>SUMIFS('2019'!$I:$I,'2019'!$E:$E,Category!$B$246,'2019'!$N:$N,Category!I$1,'2019'!$D:$D,Category!$C250)</f>
        <v>0</v>
      </c>
      <c r="J250" s="399">
        <f t="shared" si="102"/>
        <v>0</v>
      </c>
      <c r="K250" s="509">
        <f>IFERROR(VLOOKUP($C250,'2020'!$D:$G,4,0),0)</f>
        <v>0</v>
      </c>
      <c r="L250" s="398">
        <f>SUMIFS('2020'!$I:$I,'2020'!$E:$E,Category!$B$246,'2020'!$N:$N,Category!L$1,'2020'!$D:$D,Category!$C250)</f>
        <v>0</v>
      </c>
      <c r="M250" s="398">
        <f>SUMIFS('2020'!$I:$I,'2020'!$E:$E,Category!$B$246,'2020'!$N:$N,Category!M$1,'2020'!$D:$D,Category!$C250)</f>
        <v>0</v>
      </c>
      <c r="N250" s="398">
        <f>SUMIFS('2020'!$I:$I,'2020'!$E:$E,Category!$B$246,'2020'!$N:$N,Category!N$1,'2020'!$D:$D,Category!$C250)</f>
        <v>0</v>
      </c>
      <c r="O250" s="398">
        <f>SUMIFS('2020'!$I:$I,'2020'!$E:$E,Category!$B$246,'2020'!$N:$N,Category!O$1,'2020'!$D:$D,Category!$C250)</f>
        <v>0</v>
      </c>
      <c r="P250" s="398">
        <f>SUMIFS('2020'!$I:$I,'2020'!$E:$E,Category!$B$246,'2020'!$N:$N,Category!P$1,'2020'!$D:$D,Category!$C250)</f>
        <v>0</v>
      </c>
      <c r="Q250" s="398">
        <f>SUMIFS('2020'!$I:$I,'2020'!$E:$E,Category!$B$246,'2020'!$N:$N,Category!Q$1,'2020'!$D:$D,Category!$C250)</f>
        <v>0</v>
      </c>
      <c r="R250" s="398">
        <f>SUMIFS('2020'!$I:$I,'2020'!$E:$E,Category!$B$246,'2020'!$N:$N,Category!R$1,'2020'!$D:$D,Category!$C250)</f>
        <v>0</v>
      </c>
      <c r="S250" s="398">
        <f>SUMIFS('2020'!$I:$I,'2020'!$E:$E,Category!$B$246,'2020'!$N:$N,Category!S$1,'2020'!$D:$D,Category!$C250)</f>
        <v>0</v>
      </c>
      <c r="T250" s="398">
        <f>SUMIFS('2020'!$I:$I,'2020'!$E:$E,Category!$B$246,'2020'!$N:$N,Category!T$1,'2020'!$D:$D,Category!$C250)</f>
        <v>0</v>
      </c>
      <c r="U250" s="398">
        <f>SUMIFS('2020'!$I:$I,'2020'!$E:$E,Category!$B$246,'2020'!$N:$N,Category!U$1,'2020'!$D:$D,Category!$C250)</f>
        <v>0</v>
      </c>
      <c r="V250" s="398">
        <f>SUMIFS('2020'!$I:$I,'2020'!$E:$E,Category!$B$246,'2020'!$N:$N,Category!V$1,'2020'!$D:$D,Category!$C250)</f>
        <v>0</v>
      </c>
      <c r="W250" s="398">
        <f>SUMIFS('2020'!$I:$I,'2020'!$E:$E,Category!$B$246,'2020'!$N:$N,Category!W$1,'2020'!$D:$D,Category!$C250)</f>
        <v>0</v>
      </c>
      <c r="X250" s="399">
        <f t="shared" si="98"/>
        <v>0</v>
      </c>
      <c r="Y250" s="509">
        <f>IFERROR(VLOOKUP(C250,'2021'!$D:$G,4,0),0)</f>
        <v>0</v>
      </c>
      <c r="Z250" s="398">
        <f>SUMIFS('2021'!$I:$I,'2021'!$E:$E,Category!$B$246,'2021'!$N:$N,Category!Z$1,'2021'!$D:$D,Category!$C250)</f>
        <v>0</v>
      </c>
      <c r="AA250" s="398">
        <f>SUMIFS('2021'!$I:$I,'2021'!$E:$E,Category!$B$246,'2021'!$N:$N,Category!AA$1,'2021'!$D:$D,Category!$C250)</f>
        <v>0</v>
      </c>
      <c r="AB250" s="398">
        <f>SUMIFS('2021'!$I:$I,'2021'!$E:$E,Category!$B$246,'2021'!$N:$N,Category!AB$1,'2021'!$D:$D,Category!$C250)</f>
        <v>0</v>
      </c>
      <c r="AC250" s="398">
        <f>SUMIFS('2021'!$I:$I,'2021'!$E:$E,Category!$B$246,'2021'!$N:$N,Category!AC$1,'2021'!$D:$D,Category!$C250)</f>
        <v>0</v>
      </c>
      <c r="AD250" s="398">
        <f>SUMIFS('2021'!$I:$I,'2021'!$E:$E,Category!$B$246,'2021'!$N:$N,Category!AD$1,'2021'!$D:$D,Category!$C250)</f>
        <v>0</v>
      </c>
      <c r="AE250" s="398">
        <f>SUMIFS('2021'!$I:$I,'2021'!$E:$E,Category!$B$246,'2021'!$N:$N,Category!AE$1,'2021'!$D:$D,Category!$C250)</f>
        <v>0</v>
      </c>
      <c r="AF250" s="398">
        <f>SUMIFS('2021'!$I:$I,'2021'!$E:$E,Category!$B$246,'2021'!$N:$N,Category!AF$1,'2021'!$D:$D,Category!$C250)</f>
        <v>0</v>
      </c>
      <c r="AG250" s="398">
        <f>SUMIFS('2021'!$I:$I,'2021'!$E:$E,Category!$B$246,'2021'!$N:$N,Category!AG$1,'2021'!$D:$D,Category!$C250)</f>
        <v>0</v>
      </c>
      <c r="AH250" s="398">
        <f>SUMIFS('2021'!$I:$I,'2021'!$E:$E,Category!$B$246,'2021'!$N:$N,Category!AH$1,'2021'!$D:$D,Category!$C250)</f>
        <v>0</v>
      </c>
      <c r="AI250" s="398">
        <f>SUMIFS('2021'!$I:$I,'2021'!$E:$E,Category!$B$246,'2021'!$N:$N,Category!AI$1,'2021'!$D:$D,Category!$C250)</f>
        <v>0</v>
      </c>
      <c r="AJ250" s="398">
        <f>SUMIFS('2021'!$I:$I,'2021'!$E:$E,Category!$B$246,'2021'!$N:$N,Category!AJ$1,'2021'!$D:$D,Category!$C250)</f>
        <v>0</v>
      </c>
      <c r="AK250" s="398">
        <f>SUMIFS('2021'!$I:$I,'2021'!$E:$E,Category!$B$246,'2021'!$N:$N,Category!AK$1,'2021'!$D:$D,Category!$C250)</f>
        <v>0</v>
      </c>
      <c r="AL250" s="399">
        <f t="shared" si="99"/>
        <v>0</v>
      </c>
      <c r="AM250" s="509">
        <f>IFERROR(VLOOKUP(C250,'2022'!$D:$G,4,0),0)</f>
        <v>0</v>
      </c>
      <c r="AN250" s="398">
        <f>SUMIFS('2022'!$I:$I,'2022'!$E:$E,Category!$B$246,'2022'!$N:$N,Category!AN$1,'2022'!$D:$D,Category!$C250)</f>
        <v>0</v>
      </c>
      <c r="AO250" s="398">
        <f>SUMIFS('2022'!$I:$I,'2022'!$E:$E,Category!$B$246,'2022'!$N:$N,Category!AO$1,'2022'!$D:$D,Category!$C250)</f>
        <v>0</v>
      </c>
      <c r="AP250" s="398">
        <f>SUMIFS('2022'!$I:$I,'2022'!$E:$E,Category!$B$246,'2022'!$N:$N,Category!AP$1,'2022'!$D:$D,Category!$C250)</f>
        <v>0</v>
      </c>
      <c r="AQ250" s="398">
        <f>SUMIFS('2022'!$I:$I,'2022'!$E:$E,Category!$B$246,'2022'!$N:$N,Category!AQ$1,'2022'!$D:$D,Category!$C250)</f>
        <v>450000</v>
      </c>
      <c r="AR250" s="398">
        <f>SUMIFS('2022'!$I:$I,'2022'!$E:$E,Category!$B$246,'2022'!$N:$N,Category!AR$1,'2022'!$D:$D,Category!$C250)</f>
        <v>0</v>
      </c>
      <c r="AS250" s="398">
        <f>SUMIFS('2022'!$I:$I,'2022'!$E:$E,Category!$B$246,'2022'!$N:$N,Category!AS$1,'2022'!$D:$D,Category!$C250)</f>
        <v>0</v>
      </c>
      <c r="AT250" s="398">
        <f>SUMIFS('2022'!$I:$I,'2022'!$E:$E,Category!$B$246,'2022'!$N:$N,Category!AT$1,'2022'!$D:$D,Category!$C250)</f>
        <v>0</v>
      </c>
      <c r="AU250" s="398">
        <f>SUMIFS('2022'!$I:$I,'2022'!$E:$E,Category!$B$246,'2022'!$N:$N,Category!AU$1,'2022'!$D:$D,Category!$C250)</f>
        <v>0</v>
      </c>
      <c r="AV250" s="398">
        <f>SUMIFS('2022'!$I:$I,'2022'!$E:$E,Category!$B$246,'2022'!$N:$N,Category!AV$1,'2022'!$D:$D,Category!$C250)</f>
        <v>0</v>
      </c>
      <c r="AW250" s="398">
        <f>SUMIFS('2022'!$I:$I,'2022'!$E:$E,Category!$B$246,'2022'!$N:$N,Category!AW$1,'2022'!$D:$D,Category!$C250)</f>
        <v>0</v>
      </c>
      <c r="AX250" s="398">
        <f>SUMIFS('2022'!$I:$I,'2022'!$E:$E,Category!$B$246,'2022'!$N:$N,Category!AX$1,'2022'!$D:$D,Category!$C250)</f>
        <v>0</v>
      </c>
      <c r="AY250" s="398">
        <f>SUMIFS('2022'!$I:$I,'2022'!$E:$E,Category!$B$246,'2022'!$N:$N,Category!AY$1,'2022'!$D:$D,Category!$C250)</f>
        <v>0</v>
      </c>
      <c r="AZ250" s="399">
        <f t="shared" si="100"/>
        <v>450000</v>
      </c>
      <c r="BA250" s="509">
        <f>IFERROR(VLOOKUP(C250,'2023'!$D:$G,4,0),0)</f>
        <v>0</v>
      </c>
      <c r="BB250" s="398">
        <f>SUMIFS('2023'!$I:$I,'2023'!$E:$E,Category!$B$246,'2023'!$N:$N,Category!BB$1,'2023'!$D:$D,Category!$C250)</f>
        <v>0</v>
      </c>
      <c r="BC250" s="398">
        <f>SUMIFS('2023'!$I:$I,'2023'!$E:$E,Category!$B$246,'2023'!$N:$N,Category!BC$1,'2023'!$D:$D,Category!$C250)</f>
        <v>0</v>
      </c>
      <c r="BD250" s="398">
        <f>SUMIFS('2023'!$I:$I,'2023'!$E:$E,Category!$B$246,'2023'!$N:$N,Category!BD$1,'2023'!$D:$D,Category!$C250)</f>
        <v>0</v>
      </c>
      <c r="BE250" s="398">
        <f>SUMIFS('2023'!$I:$I,'2023'!$E:$E,Category!$B$246,'2023'!$N:$N,Category!BE$1,'2023'!$D:$D,Category!$C250)</f>
        <v>0</v>
      </c>
      <c r="BF250" s="398">
        <f>SUMIFS('2023'!$I:$I,'2023'!$E:$E,Category!$B$246,'2023'!$N:$N,Category!BF$1,'2023'!$D:$D,Category!$C250)</f>
        <v>0</v>
      </c>
      <c r="BG250" s="398">
        <f>SUMIFS('2023'!$I:$I,'2023'!$E:$E,Category!$B$246,'2023'!$N:$N,Category!BG$1,'2023'!$D:$D,Category!$C250)</f>
        <v>0</v>
      </c>
      <c r="BH250" s="398">
        <f>SUMIFS('2023'!$I:$I,'2023'!$E:$E,Category!$B$246,'2023'!$N:$N,Category!BH$1,'2023'!$D:$D,Category!$C250)</f>
        <v>0</v>
      </c>
      <c r="BI250" s="398">
        <f>SUMIFS('2023'!$I:$I,'2023'!$E:$E,Category!$B$246,'2023'!$N:$N,Category!BI$1,'2023'!$D:$D,Category!$C250)</f>
        <v>0</v>
      </c>
      <c r="BJ250" s="398">
        <f>SUMIFS('2023'!$I:$I,'2023'!$E:$E,Category!$B$246,'2023'!$N:$N,Category!BJ$1,'2023'!$D:$D,Category!$C250)</f>
        <v>0</v>
      </c>
      <c r="BK250" s="398">
        <f>SUMIFS('2023'!$I:$I,'2023'!$E:$E,Category!$B$246,'2023'!$N:$N,Category!BK$1,'2023'!$D:$D,Category!$C250)</f>
        <v>0</v>
      </c>
      <c r="BL250" s="398">
        <f>SUMIFS('2023'!$I:$I,'2023'!$E:$E,Category!$B$246,'2023'!$N:$N,Category!BL$1,'2023'!$D:$D,Category!$C250)</f>
        <v>0</v>
      </c>
      <c r="BM250" s="398">
        <f>SUMIFS('2023'!$I:$I,'2023'!$E:$E,Category!$B$246,'2023'!$N:$N,Category!BM$1,'2023'!$D:$D,Category!$C250)</f>
        <v>0</v>
      </c>
      <c r="BN250" s="399">
        <f t="shared" si="101"/>
        <v>0</v>
      </c>
    </row>
    <row r="251" spans="1:66" x14ac:dyDescent="0.3">
      <c r="A251" s="400"/>
      <c r="B251" s="397"/>
      <c r="C251" s="397" t="s">
        <v>906</v>
      </c>
      <c r="D251" s="526">
        <f>IFERROR(VLOOKUP($C251,'2019'!$D:$G,4,0),0)</f>
        <v>0</v>
      </c>
      <c r="E251" s="398">
        <f>SUMIFS('2019'!$I:$I,'2019'!$E:$E,Category!$B$246,'2019'!$N:$N,Category!E$1,'2019'!$D:$D,Category!$C251)</f>
        <v>0</v>
      </c>
      <c r="F251" s="398">
        <f>SUMIFS('2019'!$I:$I,'2019'!$E:$E,Category!$B$246,'2019'!$N:$N,Category!F$1,'2019'!$D:$D,Category!$C251)</f>
        <v>0</v>
      </c>
      <c r="G251" s="398">
        <f>SUMIFS('2019'!$I:$I,'2019'!$E:$E,Category!$B$246,'2019'!$N:$N,Category!G$1,'2019'!$D:$D,Category!$C251)</f>
        <v>0</v>
      </c>
      <c r="H251" s="398">
        <f>SUMIFS('2019'!$I:$I,'2019'!$E:$E,Category!$B$246,'2019'!$N:$N,Category!H$1,'2019'!$D:$D,Category!$C251)</f>
        <v>0</v>
      </c>
      <c r="I251" s="398">
        <f>SUMIFS('2019'!$I:$I,'2019'!$E:$E,Category!$B$246,'2019'!$N:$N,Category!I$1,'2019'!$D:$D,Category!$C251)</f>
        <v>0</v>
      </c>
      <c r="J251" s="399">
        <f t="shared" si="102"/>
        <v>0</v>
      </c>
      <c r="K251" s="509">
        <f>IFERROR(VLOOKUP($C251,'2020'!$D:$G,4,0),0)</f>
        <v>0</v>
      </c>
      <c r="L251" s="398">
        <f>SUMIFS('2020'!$I:$I,'2020'!$E:$E,Category!$B$246,'2020'!$N:$N,Category!L$1,'2020'!$D:$D,Category!$C251)</f>
        <v>0</v>
      </c>
      <c r="M251" s="398">
        <f>SUMIFS('2020'!$I:$I,'2020'!$E:$E,Category!$B$246,'2020'!$N:$N,Category!M$1,'2020'!$D:$D,Category!$C251)</f>
        <v>0</v>
      </c>
      <c r="N251" s="398">
        <f>SUMIFS('2020'!$I:$I,'2020'!$E:$E,Category!$B$246,'2020'!$N:$N,Category!N$1,'2020'!$D:$D,Category!$C251)</f>
        <v>0</v>
      </c>
      <c r="O251" s="398">
        <f>SUMIFS('2020'!$I:$I,'2020'!$E:$E,Category!$B$246,'2020'!$N:$N,Category!O$1,'2020'!$D:$D,Category!$C251)</f>
        <v>0</v>
      </c>
      <c r="P251" s="398">
        <f>SUMIFS('2020'!$I:$I,'2020'!$E:$E,Category!$B$246,'2020'!$N:$N,Category!P$1,'2020'!$D:$D,Category!$C251)</f>
        <v>0</v>
      </c>
      <c r="Q251" s="398">
        <f>SUMIFS('2020'!$I:$I,'2020'!$E:$E,Category!$B$246,'2020'!$N:$N,Category!Q$1,'2020'!$D:$D,Category!$C251)</f>
        <v>0</v>
      </c>
      <c r="R251" s="398">
        <f>SUMIFS('2020'!$I:$I,'2020'!$E:$E,Category!$B$246,'2020'!$N:$N,Category!R$1,'2020'!$D:$D,Category!$C251)</f>
        <v>0</v>
      </c>
      <c r="S251" s="398">
        <f>SUMIFS('2020'!$I:$I,'2020'!$E:$E,Category!$B$246,'2020'!$N:$N,Category!S$1,'2020'!$D:$D,Category!$C251)</f>
        <v>0</v>
      </c>
      <c r="T251" s="398">
        <f>SUMIFS('2020'!$I:$I,'2020'!$E:$E,Category!$B$246,'2020'!$N:$N,Category!T$1,'2020'!$D:$D,Category!$C251)</f>
        <v>0</v>
      </c>
      <c r="U251" s="398">
        <f>SUMIFS('2020'!$I:$I,'2020'!$E:$E,Category!$B$246,'2020'!$N:$N,Category!U$1,'2020'!$D:$D,Category!$C251)</f>
        <v>0</v>
      </c>
      <c r="V251" s="398">
        <f>SUMIFS('2020'!$I:$I,'2020'!$E:$E,Category!$B$246,'2020'!$N:$N,Category!V$1,'2020'!$D:$D,Category!$C251)</f>
        <v>0</v>
      </c>
      <c r="W251" s="398">
        <f>SUMIFS('2020'!$I:$I,'2020'!$E:$E,Category!$B$246,'2020'!$N:$N,Category!W$1,'2020'!$D:$D,Category!$C251)</f>
        <v>0</v>
      </c>
      <c r="X251" s="399">
        <f t="shared" si="98"/>
        <v>0</v>
      </c>
      <c r="Y251" s="509">
        <f>IFERROR(VLOOKUP(C251,'2021'!$D:$G,4,0),0)</f>
        <v>0</v>
      </c>
      <c r="Z251" s="398">
        <f>SUMIFS('2021'!$I:$I,'2021'!$E:$E,Category!$B$246,'2021'!$N:$N,Category!Z$1,'2021'!$D:$D,Category!$C251)</f>
        <v>0</v>
      </c>
      <c r="AA251" s="398">
        <f>SUMIFS('2021'!$I:$I,'2021'!$E:$E,Category!$B$246,'2021'!$N:$N,Category!AA$1,'2021'!$D:$D,Category!$C251)</f>
        <v>0</v>
      </c>
      <c r="AB251" s="398">
        <f>SUMIFS('2021'!$I:$I,'2021'!$E:$E,Category!$B$246,'2021'!$N:$N,Category!AB$1,'2021'!$D:$D,Category!$C251)</f>
        <v>0</v>
      </c>
      <c r="AC251" s="398">
        <f>SUMIFS('2021'!$I:$I,'2021'!$E:$E,Category!$B$246,'2021'!$N:$N,Category!AC$1,'2021'!$D:$D,Category!$C251)</f>
        <v>0</v>
      </c>
      <c r="AD251" s="398">
        <f>SUMIFS('2021'!$I:$I,'2021'!$E:$E,Category!$B$246,'2021'!$N:$N,Category!AD$1,'2021'!$D:$D,Category!$C251)</f>
        <v>0</v>
      </c>
      <c r="AE251" s="398">
        <f>SUMIFS('2021'!$I:$I,'2021'!$E:$E,Category!$B$246,'2021'!$N:$N,Category!AE$1,'2021'!$D:$D,Category!$C251)</f>
        <v>0</v>
      </c>
      <c r="AF251" s="398">
        <f>SUMIFS('2021'!$I:$I,'2021'!$E:$E,Category!$B$246,'2021'!$N:$N,Category!AF$1,'2021'!$D:$D,Category!$C251)</f>
        <v>0</v>
      </c>
      <c r="AG251" s="398">
        <f>SUMIFS('2021'!$I:$I,'2021'!$E:$E,Category!$B$246,'2021'!$N:$N,Category!AG$1,'2021'!$D:$D,Category!$C251)</f>
        <v>0</v>
      </c>
      <c r="AH251" s="398">
        <f>SUMIFS('2021'!$I:$I,'2021'!$E:$E,Category!$B$246,'2021'!$N:$N,Category!AH$1,'2021'!$D:$D,Category!$C251)</f>
        <v>0</v>
      </c>
      <c r="AI251" s="398">
        <f>SUMIFS('2021'!$I:$I,'2021'!$E:$E,Category!$B$246,'2021'!$N:$N,Category!AI$1,'2021'!$D:$D,Category!$C251)</f>
        <v>0</v>
      </c>
      <c r="AJ251" s="398">
        <f>SUMIFS('2021'!$I:$I,'2021'!$E:$E,Category!$B$246,'2021'!$N:$N,Category!AJ$1,'2021'!$D:$D,Category!$C251)</f>
        <v>0</v>
      </c>
      <c r="AK251" s="398">
        <f>SUMIFS('2021'!$I:$I,'2021'!$E:$E,Category!$B$246,'2021'!$N:$N,Category!AK$1,'2021'!$D:$D,Category!$C251)</f>
        <v>0</v>
      </c>
      <c r="AL251" s="399">
        <f t="shared" si="99"/>
        <v>0</v>
      </c>
      <c r="AM251" s="509">
        <f>IFERROR(VLOOKUP(C251,'2022'!$D:$G,4,0),0)</f>
        <v>0</v>
      </c>
      <c r="AN251" s="398">
        <f>SUMIFS('2022'!$I:$I,'2022'!$E:$E,Category!$B$246,'2022'!$N:$N,Category!AN$1,'2022'!$D:$D,Category!$C251)</f>
        <v>0</v>
      </c>
      <c r="AO251" s="398">
        <f>SUMIFS('2022'!$I:$I,'2022'!$E:$E,Category!$B$246,'2022'!$N:$N,Category!AO$1,'2022'!$D:$D,Category!$C251)</f>
        <v>0</v>
      </c>
      <c r="AP251" s="398">
        <f>SUMIFS('2022'!$I:$I,'2022'!$E:$E,Category!$B$246,'2022'!$N:$N,Category!AP$1,'2022'!$D:$D,Category!$C251)</f>
        <v>0</v>
      </c>
      <c r="AQ251" s="398">
        <f>SUMIFS('2022'!$I:$I,'2022'!$E:$E,Category!$B$246,'2022'!$N:$N,Category!AQ$1,'2022'!$D:$D,Category!$C251)</f>
        <v>1550000</v>
      </c>
      <c r="AR251" s="398">
        <f>SUMIFS('2022'!$I:$I,'2022'!$E:$E,Category!$B$246,'2022'!$N:$N,Category!AR$1,'2022'!$D:$D,Category!$C251)</f>
        <v>0</v>
      </c>
      <c r="AS251" s="398">
        <f>SUMIFS('2022'!$I:$I,'2022'!$E:$E,Category!$B$246,'2022'!$N:$N,Category!AS$1,'2022'!$D:$D,Category!$C251)</f>
        <v>0</v>
      </c>
      <c r="AT251" s="398">
        <f>SUMIFS('2022'!$I:$I,'2022'!$E:$E,Category!$B$246,'2022'!$N:$N,Category!AT$1,'2022'!$D:$D,Category!$C251)</f>
        <v>0</v>
      </c>
      <c r="AU251" s="398">
        <f>SUMIFS('2022'!$I:$I,'2022'!$E:$E,Category!$B$246,'2022'!$N:$N,Category!AU$1,'2022'!$D:$D,Category!$C251)</f>
        <v>0</v>
      </c>
      <c r="AV251" s="398">
        <f>SUMIFS('2022'!$I:$I,'2022'!$E:$E,Category!$B$246,'2022'!$N:$N,Category!AV$1,'2022'!$D:$D,Category!$C251)</f>
        <v>0</v>
      </c>
      <c r="AW251" s="398">
        <f>SUMIFS('2022'!$I:$I,'2022'!$E:$E,Category!$B$246,'2022'!$N:$N,Category!AW$1,'2022'!$D:$D,Category!$C251)</f>
        <v>0</v>
      </c>
      <c r="AX251" s="398">
        <f>SUMIFS('2022'!$I:$I,'2022'!$E:$E,Category!$B$246,'2022'!$N:$N,Category!AX$1,'2022'!$D:$D,Category!$C251)</f>
        <v>0</v>
      </c>
      <c r="AY251" s="398">
        <f>SUMIFS('2022'!$I:$I,'2022'!$E:$E,Category!$B$246,'2022'!$N:$N,Category!AY$1,'2022'!$D:$D,Category!$C251)</f>
        <v>0</v>
      </c>
      <c r="AZ251" s="399">
        <f t="shared" si="100"/>
        <v>1550000</v>
      </c>
      <c r="BA251" s="509">
        <f>IFERROR(VLOOKUP(C251,'2023'!$D:$G,4,0),0)</f>
        <v>0</v>
      </c>
      <c r="BB251" s="398">
        <f>SUMIFS('2023'!$I:$I,'2023'!$E:$E,Category!$B$246,'2023'!$N:$N,Category!BB$1,'2023'!$D:$D,Category!$C251)</f>
        <v>0</v>
      </c>
      <c r="BC251" s="398">
        <f>SUMIFS('2023'!$I:$I,'2023'!$E:$E,Category!$B$246,'2023'!$N:$N,Category!BC$1,'2023'!$D:$D,Category!$C251)</f>
        <v>0</v>
      </c>
      <c r="BD251" s="398">
        <f>SUMIFS('2023'!$I:$I,'2023'!$E:$E,Category!$B$246,'2023'!$N:$N,Category!BD$1,'2023'!$D:$D,Category!$C251)</f>
        <v>0</v>
      </c>
      <c r="BE251" s="398">
        <f>SUMIFS('2023'!$I:$I,'2023'!$E:$E,Category!$B$246,'2023'!$N:$N,Category!BE$1,'2023'!$D:$D,Category!$C251)</f>
        <v>0</v>
      </c>
      <c r="BF251" s="398">
        <f>SUMIFS('2023'!$I:$I,'2023'!$E:$E,Category!$B$246,'2023'!$N:$N,Category!BF$1,'2023'!$D:$D,Category!$C251)</f>
        <v>0</v>
      </c>
      <c r="BG251" s="398">
        <f>SUMIFS('2023'!$I:$I,'2023'!$E:$E,Category!$B$246,'2023'!$N:$N,Category!BG$1,'2023'!$D:$D,Category!$C251)</f>
        <v>0</v>
      </c>
      <c r="BH251" s="398">
        <f>SUMIFS('2023'!$I:$I,'2023'!$E:$E,Category!$B$246,'2023'!$N:$N,Category!BH$1,'2023'!$D:$D,Category!$C251)</f>
        <v>0</v>
      </c>
      <c r="BI251" s="398">
        <f>SUMIFS('2023'!$I:$I,'2023'!$E:$E,Category!$B$246,'2023'!$N:$N,Category!BI$1,'2023'!$D:$D,Category!$C251)</f>
        <v>0</v>
      </c>
      <c r="BJ251" s="398">
        <f>SUMIFS('2023'!$I:$I,'2023'!$E:$E,Category!$B$246,'2023'!$N:$N,Category!BJ$1,'2023'!$D:$D,Category!$C251)</f>
        <v>0</v>
      </c>
      <c r="BK251" s="398">
        <f>SUMIFS('2023'!$I:$I,'2023'!$E:$E,Category!$B$246,'2023'!$N:$N,Category!BK$1,'2023'!$D:$D,Category!$C251)</f>
        <v>0</v>
      </c>
      <c r="BL251" s="398">
        <f>SUMIFS('2023'!$I:$I,'2023'!$E:$E,Category!$B$246,'2023'!$N:$N,Category!BL$1,'2023'!$D:$D,Category!$C251)</f>
        <v>0</v>
      </c>
      <c r="BM251" s="398">
        <f>SUMIFS('2023'!$I:$I,'2023'!$E:$E,Category!$B$246,'2023'!$N:$N,Category!BM$1,'2023'!$D:$D,Category!$C251)</f>
        <v>0</v>
      </c>
      <c r="BN251" s="399">
        <f t="shared" si="101"/>
        <v>0</v>
      </c>
    </row>
    <row r="252" spans="1:66" x14ac:dyDescent="0.3">
      <c r="A252" s="400"/>
      <c r="B252" s="397"/>
      <c r="C252" s="397" t="s">
        <v>1114</v>
      </c>
      <c r="D252" s="526">
        <f>IFERROR(VLOOKUP($C252,'2019'!$D:$G,4,0),0)</f>
        <v>0</v>
      </c>
      <c r="E252" s="398">
        <f>SUMIFS('2019'!$I:$I,'2019'!$E:$E,Category!$B$246,'2019'!$N:$N,Category!E$1,'2019'!$D:$D,Category!$C252)</f>
        <v>0</v>
      </c>
      <c r="F252" s="398">
        <f>SUMIFS('2019'!$I:$I,'2019'!$E:$E,Category!$B$246,'2019'!$N:$N,Category!F$1,'2019'!$D:$D,Category!$C252)</f>
        <v>0</v>
      </c>
      <c r="G252" s="398">
        <f>SUMIFS('2019'!$I:$I,'2019'!$E:$E,Category!$B$246,'2019'!$N:$N,Category!G$1,'2019'!$D:$D,Category!$C252)</f>
        <v>0</v>
      </c>
      <c r="H252" s="398">
        <f>SUMIFS('2019'!$I:$I,'2019'!$E:$E,Category!$B$246,'2019'!$N:$N,Category!H$1,'2019'!$D:$D,Category!$C252)</f>
        <v>0</v>
      </c>
      <c r="I252" s="398">
        <f>SUMIFS('2019'!$I:$I,'2019'!$E:$E,Category!$B$246,'2019'!$N:$N,Category!I$1,'2019'!$D:$D,Category!$C252)</f>
        <v>0</v>
      </c>
      <c r="J252" s="399">
        <f t="shared" si="102"/>
        <v>0</v>
      </c>
      <c r="K252" s="509">
        <f>IFERROR(VLOOKUP($C252,'2020'!$D:$G,4,0),0)</f>
        <v>0</v>
      </c>
      <c r="L252" s="398">
        <f>SUMIFS('2020'!$I:$I,'2020'!$E:$E,Category!$B$246,'2020'!$N:$N,Category!L$1,'2020'!$D:$D,Category!$C252)</f>
        <v>0</v>
      </c>
      <c r="M252" s="398">
        <f>SUMIFS('2020'!$I:$I,'2020'!$E:$E,Category!$B$246,'2020'!$N:$N,Category!M$1,'2020'!$D:$D,Category!$C252)</f>
        <v>0</v>
      </c>
      <c r="N252" s="398">
        <f>SUMIFS('2020'!$I:$I,'2020'!$E:$E,Category!$B$246,'2020'!$N:$N,Category!N$1,'2020'!$D:$D,Category!$C252)</f>
        <v>0</v>
      </c>
      <c r="O252" s="398">
        <f>SUMIFS('2020'!$I:$I,'2020'!$E:$E,Category!$B$246,'2020'!$N:$N,Category!O$1,'2020'!$D:$D,Category!$C252)</f>
        <v>0</v>
      </c>
      <c r="P252" s="398">
        <f>SUMIFS('2020'!$I:$I,'2020'!$E:$E,Category!$B$246,'2020'!$N:$N,Category!P$1,'2020'!$D:$D,Category!$C252)</f>
        <v>0</v>
      </c>
      <c r="Q252" s="398">
        <f>SUMIFS('2020'!$I:$I,'2020'!$E:$E,Category!$B$246,'2020'!$N:$N,Category!Q$1,'2020'!$D:$D,Category!$C252)</f>
        <v>0</v>
      </c>
      <c r="R252" s="398">
        <f>SUMIFS('2020'!$I:$I,'2020'!$E:$E,Category!$B$246,'2020'!$N:$N,Category!R$1,'2020'!$D:$D,Category!$C252)</f>
        <v>0</v>
      </c>
      <c r="S252" s="398">
        <f>SUMIFS('2020'!$I:$I,'2020'!$E:$E,Category!$B$246,'2020'!$N:$N,Category!S$1,'2020'!$D:$D,Category!$C252)</f>
        <v>0</v>
      </c>
      <c r="T252" s="398">
        <f>SUMIFS('2020'!$I:$I,'2020'!$E:$E,Category!$B$246,'2020'!$N:$N,Category!T$1,'2020'!$D:$D,Category!$C252)</f>
        <v>0</v>
      </c>
      <c r="U252" s="398">
        <f>SUMIFS('2020'!$I:$I,'2020'!$E:$E,Category!$B$246,'2020'!$N:$N,Category!U$1,'2020'!$D:$D,Category!$C252)</f>
        <v>0</v>
      </c>
      <c r="V252" s="398">
        <f>SUMIFS('2020'!$I:$I,'2020'!$E:$E,Category!$B$246,'2020'!$N:$N,Category!V$1,'2020'!$D:$D,Category!$C252)</f>
        <v>0</v>
      </c>
      <c r="W252" s="398">
        <f>SUMIFS('2020'!$I:$I,'2020'!$E:$E,Category!$B$246,'2020'!$N:$N,Category!W$1,'2020'!$D:$D,Category!$C252)</f>
        <v>0</v>
      </c>
      <c r="X252" s="399">
        <f t="shared" si="98"/>
        <v>0</v>
      </c>
      <c r="Y252" s="509">
        <f>IFERROR(VLOOKUP(C252,'2021'!$D:$G,4,0),0)</f>
        <v>0</v>
      </c>
      <c r="Z252" s="398">
        <f>SUMIFS('2021'!$I:$I,'2021'!$E:$E,Category!$B$246,'2021'!$N:$N,Category!Z$1,'2021'!$D:$D,Category!$C252)</f>
        <v>0</v>
      </c>
      <c r="AA252" s="398">
        <f>SUMIFS('2021'!$I:$I,'2021'!$E:$E,Category!$B$246,'2021'!$N:$N,Category!AA$1,'2021'!$D:$D,Category!$C252)</f>
        <v>0</v>
      </c>
      <c r="AB252" s="398">
        <f>SUMIFS('2021'!$I:$I,'2021'!$E:$E,Category!$B$246,'2021'!$N:$N,Category!AB$1,'2021'!$D:$D,Category!$C252)</f>
        <v>0</v>
      </c>
      <c r="AC252" s="398">
        <f>SUMIFS('2021'!$I:$I,'2021'!$E:$E,Category!$B$246,'2021'!$N:$N,Category!AC$1,'2021'!$D:$D,Category!$C252)</f>
        <v>0</v>
      </c>
      <c r="AD252" s="398">
        <f>SUMIFS('2021'!$I:$I,'2021'!$E:$E,Category!$B$246,'2021'!$N:$N,Category!AD$1,'2021'!$D:$D,Category!$C252)</f>
        <v>0</v>
      </c>
      <c r="AE252" s="398">
        <f>SUMIFS('2021'!$I:$I,'2021'!$E:$E,Category!$B$246,'2021'!$N:$N,Category!AE$1,'2021'!$D:$D,Category!$C252)</f>
        <v>0</v>
      </c>
      <c r="AF252" s="398">
        <f>SUMIFS('2021'!$I:$I,'2021'!$E:$E,Category!$B$246,'2021'!$N:$N,Category!AF$1,'2021'!$D:$D,Category!$C252)</f>
        <v>0</v>
      </c>
      <c r="AG252" s="398">
        <f>SUMIFS('2021'!$I:$I,'2021'!$E:$E,Category!$B$246,'2021'!$N:$N,Category!AG$1,'2021'!$D:$D,Category!$C252)</f>
        <v>0</v>
      </c>
      <c r="AH252" s="398">
        <f>SUMIFS('2021'!$I:$I,'2021'!$E:$E,Category!$B$246,'2021'!$N:$N,Category!AH$1,'2021'!$D:$D,Category!$C252)</f>
        <v>0</v>
      </c>
      <c r="AI252" s="398">
        <f>SUMIFS('2021'!$I:$I,'2021'!$E:$E,Category!$B$246,'2021'!$N:$N,Category!AI$1,'2021'!$D:$D,Category!$C252)</f>
        <v>0</v>
      </c>
      <c r="AJ252" s="398">
        <f>SUMIFS('2021'!$I:$I,'2021'!$E:$E,Category!$B$246,'2021'!$N:$N,Category!AJ$1,'2021'!$D:$D,Category!$C252)</f>
        <v>0</v>
      </c>
      <c r="AK252" s="398">
        <f>SUMIFS('2021'!$I:$I,'2021'!$E:$E,Category!$B$246,'2021'!$N:$N,Category!AK$1,'2021'!$D:$D,Category!$C252)</f>
        <v>0</v>
      </c>
      <c r="AL252" s="399">
        <f t="shared" si="99"/>
        <v>0</v>
      </c>
      <c r="AM252" s="509">
        <f>IFERROR(VLOOKUP(C252,'2022'!$D:$G,4,0),0)</f>
        <v>1</v>
      </c>
      <c r="AN252" s="398">
        <f>SUMIFS('2022'!$I:$I,'2022'!$E:$E,Category!$B$246,'2022'!$N:$N,Category!AN$1,'2022'!$D:$D,Category!$C252)</f>
        <v>0</v>
      </c>
      <c r="AO252" s="398">
        <f>SUMIFS('2022'!$I:$I,'2022'!$E:$E,Category!$B$246,'2022'!$N:$N,Category!AO$1,'2022'!$D:$D,Category!$C252)</f>
        <v>0</v>
      </c>
      <c r="AP252" s="398">
        <f>SUMIFS('2022'!$I:$I,'2022'!$E:$E,Category!$B$246,'2022'!$N:$N,Category!AP$1,'2022'!$D:$D,Category!$C252)</f>
        <v>0</v>
      </c>
      <c r="AQ252" s="398">
        <f>SUMIFS('2022'!$I:$I,'2022'!$E:$E,Category!$B$246,'2022'!$N:$N,Category!AQ$1,'2022'!$D:$D,Category!$C252)</f>
        <v>0</v>
      </c>
      <c r="AR252" s="398">
        <f>SUMIFS('2022'!$I:$I,'2022'!$E:$E,Category!$B$246,'2022'!$N:$N,Category!AR$1,'2022'!$D:$D,Category!$C252)</f>
        <v>0</v>
      </c>
      <c r="AS252" s="398">
        <f>SUMIFS('2022'!$I:$I,'2022'!$E:$E,Category!$B$246,'2022'!$N:$N,Category!AS$1,'2022'!$D:$D,Category!$C252)</f>
        <v>777000</v>
      </c>
      <c r="AT252" s="398">
        <f>SUMIFS('2022'!$I:$I,'2022'!$E:$E,Category!$B$246,'2022'!$N:$N,Category!AT$1,'2022'!$D:$D,Category!$C252)</f>
        <v>0</v>
      </c>
      <c r="AU252" s="398">
        <f>SUMIFS('2022'!$I:$I,'2022'!$E:$E,Category!$B$246,'2022'!$N:$N,Category!AU$1,'2022'!$D:$D,Category!$C252)</f>
        <v>0</v>
      </c>
      <c r="AV252" s="398">
        <f>SUMIFS('2022'!$I:$I,'2022'!$E:$E,Category!$B$246,'2022'!$N:$N,Category!AV$1,'2022'!$D:$D,Category!$C252)</f>
        <v>0</v>
      </c>
      <c r="AW252" s="398">
        <f>SUMIFS('2022'!$I:$I,'2022'!$E:$E,Category!$B$246,'2022'!$N:$N,Category!AW$1,'2022'!$D:$D,Category!$C252)</f>
        <v>0</v>
      </c>
      <c r="AX252" s="398">
        <f>SUMIFS('2022'!$I:$I,'2022'!$E:$E,Category!$B$246,'2022'!$N:$N,Category!AX$1,'2022'!$D:$D,Category!$C252)</f>
        <v>0</v>
      </c>
      <c r="AY252" s="398">
        <f>SUMIFS('2022'!$I:$I,'2022'!$E:$E,Category!$B$246,'2022'!$N:$N,Category!AY$1,'2022'!$D:$D,Category!$C252)</f>
        <v>0</v>
      </c>
      <c r="AZ252" s="399">
        <f t="shared" si="100"/>
        <v>777000</v>
      </c>
      <c r="BA252" s="509">
        <f>IFERROR(VLOOKUP(C252,'2023'!$D:$G,4,0),0)</f>
        <v>0</v>
      </c>
      <c r="BB252" s="398">
        <f>SUMIFS('2023'!$I:$I,'2023'!$E:$E,Category!$B$246,'2023'!$N:$N,Category!BB$1,'2023'!$D:$D,Category!$C252)</f>
        <v>0</v>
      </c>
      <c r="BC252" s="398">
        <f>SUMIFS('2023'!$I:$I,'2023'!$E:$E,Category!$B$246,'2023'!$N:$N,Category!BC$1,'2023'!$D:$D,Category!$C252)</f>
        <v>0</v>
      </c>
      <c r="BD252" s="398">
        <f>SUMIFS('2023'!$I:$I,'2023'!$E:$E,Category!$B$246,'2023'!$N:$N,Category!BD$1,'2023'!$D:$D,Category!$C252)</f>
        <v>0</v>
      </c>
      <c r="BE252" s="398">
        <f>SUMIFS('2023'!$I:$I,'2023'!$E:$E,Category!$B$246,'2023'!$N:$N,Category!BE$1,'2023'!$D:$D,Category!$C252)</f>
        <v>0</v>
      </c>
      <c r="BF252" s="398">
        <f>SUMIFS('2023'!$I:$I,'2023'!$E:$E,Category!$B$246,'2023'!$N:$N,Category!BF$1,'2023'!$D:$D,Category!$C252)</f>
        <v>0</v>
      </c>
      <c r="BG252" s="398">
        <f>SUMIFS('2023'!$I:$I,'2023'!$E:$E,Category!$B$246,'2023'!$N:$N,Category!BG$1,'2023'!$D:$D,Category!$C252)</f>
        <v>0</v>
      </c>
      <c r="BH252" s="398">
        <f>SUMIFS('2023'!$I:$I,'2023'!$E:$E,Category!$B$246,'2023'!$N:$N,Category!BH$1,'2023'!$D:$D,Category!$C252)</f>
        <v>0</v>
      </c>
      <c r="BI252" s="398">
        <f>SUMIFS('2023'!$I:$I,'2023'!$E:$E,Category!$B$246,'2023'!$N:$N,Category!BI$1,'2023'!$D:$D,Category!$C252)</f>
        <v>0</v>
      </c>
      <c r="BJ252" s="398">
        <f>SUMIFS('2023'!$I:$I,'2023'!$E:$E,Category!$B$246,'2023'!$N:$N,Category!BJ$1,'2023'!$D:$D,Category!$C252)</f>
        <v>0</v>
      </c>
      <c r="BK252" s="398">
        <f>SUMIFS('2023'!$I:$I,'2023'!$E:$E,Category!$B$246,'2023'!$N:$N,Category!BK$1,'2023'!$D:$D,Category!$C252)</f>
        <v>0</v>
      </c>
      <c r="BL252" s="398">
        <f>SUMIFS('2023'!$I:$I,'2023'!$E:$E,Category!$B$246,'2023'!$N:$N,Category!BL$1,'2023'!$D:$D,Category!$C252)</f>
        <v>0</v>
      </c>
      <c r="BM252" s="398">
        <f>SUMIFS('2023'!$I:$I,'2023'!$E:$E,Category!$B$246,'2023'!$N:$N,Category!BM$1,'2023'!$D:$D,Category!$C252)</f>
        <v>0</v>
      </c>
      <c r="BN252" s="399">
        <f t="shared" si="101"/>
        <v>0</v>
      </c>
    </row>
    <row r="253" spans="1:66" x14ac:dyDescent="0.3">
      <c r="A253" s="400"/>
      <c r="B253" s="397"/>
      <c r="C253" s="397" t="s">
        <v>1175</v>
      </c>
      <c r="D253" s="526">
        <f>IFERROR(VLOOKUP($C253,'2019'!$D:$G,4,0),0)</f>
        <v>0</v>
      </c>
      <c r="E253" s="398">
        <f>SUMIFS('2019'!$I:$I,'2019'!$E:$E,Category!$B$246,'2019'!$N:$N,Category!E$1,'2019'!$D:$D,Category!$C253)</f>
        <v>0</v>
      </c>
      <c r="F253" s="398">
        <f>SUMIFS('2019'!$I:$I,'2019'!$E:$E,Category!$B$246,'2019'!$N:$N,Category!F$1,'2019'!$D:$D,Category!$C253)</f>
        <v>0</v>
      </c>
      <c r="G253" s="398">
        <f>SUMIFS('2019'!$I:$I,'2019'!$E:$E,Category!$B$246,'2019'!$N:$N,Category!G$1,'2019'!$D:$D,Category!$C253)</f>
        <v>0</v>
      </c>
      <c r="H253" s="398">
        <f>SUMIFS('2019'!$I:$I,'2019'!$E:$E,Category!$B$246,'2019'!$N:$N,Category!H$1,'2019'!$D:$D,Category!$C253)</f>
        <v>0</v>
      </c>
      <c r="I253" s="398">
        <f>SUMIFS('2019'!$I:$I,'2019'!$E:$E,Category!$B$246,'2019'!$N:$N,Category!I$1,'2019'!$D:$D,Category!$C253)</f>
        <v>0</v>
      </c>
      <c r="J253" s="399">
        <f t="shared" si="102"/>
        <v>0</v>
      </c>
      <c r="K253" s="509">
        <f>IFERROR(VLOOKUP($C253,'2020'!$D:$G,4,0),0)</f>
        <v>0</v>
      </c>
      <c r="L253" s="398">
        <f>SUMIFS('2020'!$I:$I,'2020'!$E:$E,Category!$B$246,'2020'!$N:$N,Category!L$1,'2020'!$D:$D,Category!$C253)</f>
        <v>0</v>
      </c>
      <c r="M253" s="398">
        <f>SUMIFS('2020'!$I:$I,'2020'!$E:$E,Category!$B$246,'2020'!$N:$N,Category!M$1,'2020'!$D:$D,Category!$C253)</f>
        <v>0</v>
      </c>
      <c r="N253" s="398">
        <f>SUMIFS('2020'!$I:$I,'2020'!$E:$E,Category!$B$246,'2020'!$N:$N,Category!N$1,'2020'!$D:$D,Category!$C253)</f>
        <v>0</v>
      </c>
      <c r="O253" s="398">
        <f>SUMIFS('2020'!$I:$I,'2020'!$E:$E,Category!$B$246,'2020'!$N:$N,Category!O$1,'2020'!$D:$D,Category!$C253)</f>
        <v>0</v>
      </c>
      <c r="P253" s="398">
        <f>SUMIFS('2020'!$I:$I,'2020'!$E:$E,Category!$B$246,'2020'!$N:$N,Category!P$1,'2020'!$D:$D,Category!$C253)</f>
        <v>0</v>
      </c>
      <c r="Q253" s="398">
        <f>SUMIFS('2020'!$I:$I,'2020'!$E:$E,Category!$B$246,'2020'!$N:$N,Category!Q$1,'2020'!$D:$D,Category!$C253)</f>
        <v>0</v>
      </c>
      <c r="R253" s="398">
        <f>SUMIFS('2020'!$I:$I,'2020'!$E:$E,Category!$B$246,'2020'!$N:$N,Category!R$1,'2020'!$D:$D,Category!$C253)</f>
        <v>0</v>
      </c>
      <c r="S253" s="398">
        <f>SUMIFS('2020'!$I:$I,'2020'!$E:$E,Category!$B$246,'2020'!$N:$N,Category!S$1,'2020'!$D:$D,Category!$C253)</f>
        <v>0</v>
      </c>
      <c r="T253" s="398">
        <f>SUMIFS('2020'!$I:$I,'2020'!$E:$E,Category!$B$246,'2020'!$N:$N,Category!T$1,'2020'!$D:$D,Category!$C253)</f>
        <v>0</v>
      </c>
      <c r="U253" s="398">
        <f>SUMIFS('2020'!$I:$I,'2020'!$E:$E,Category!$B$246,'2020'!$N:$N,Category!U$1,'2020'!$D:$D,Category!$C253)</f>
        <v>0</v>
      </c>
      <c r="V253" s="398">
        <f>SUMIFS('2020'!$I:$I,'2020'!$E:$E,Category!$B$246,'2020'!$N:$N,Category!V$1,'2020'!$D:$D,Category!$C253)</f>
        <v>0</v>
      </c>
      <c r="W253" s="398">
        <f>SUMIFS('2020'!$I:$I,'2020'!$E:$E,Category!$B$246,'2020'!$N:$N,Category!W$1,'2020'!$D:$D,Category!$C253)</f>
        <v>0</v>
      </c>
      <c r="X253" s="399">
        <f t="shared" si="98"/>
        <v>0</v>
      </c>
      <c r="Y253" s="509">
        <f>IFERROR(VLOOKUP(C253,'2021'!$D:$G,4,0),0)</f>
        <v>0</v>
      </c>
      <c r="Z253" s="398">
        <f>SUMIFS('2021'!$I:$I,'2021'!$E:$E,Category!$B$246,'2021'!$N:$N,Category!Z$1,'2021'!$D:$D,Category!$C253)</f>
        <v>0</v>
      </c>
      <c r="AA253" s="398">
        <f>SUMIFS('2021'!$I:$I,'2021'!$E:$E,Category!$B$246,'2021'!$N:$N,Category!AA$1,'2021'!$D:$D,Category!$C253)</f>
        <v>0</v>
      </c>
      <c r="AB253" s="398">
        <f>SUMIFS('2021'!$I:$I,'2021'!$E:$E,Category!$B$246,'2021'!$N:$N,Category!AB$1,'2021'!$D:$D,Category!$C253)</f>
        <v>0</v>
      </c>
      <c r="AC253" s="398">
        <f>SUMIFS('2021'!$I:$I,'2021'!$E:$E,Category!$B$246,'2021'!$N:$N,Category!AC$1,'2021'!$D:$D,Category!$C253)</f>
        <v>0</v>
      </c>
      <c r="AD253" s="398">
        <f>SUMIFS('2021'!$I:$I,'2021'!$E:$E,Category!$B$246,'2021'!$N:$N,Category!AD$1,'2021'!$D:$D,Category!$C253)</f>
        <v>0</v>
      </c>
      <c r="AE253" s="398">
        <f>SUMIFS('2021'!$I:$I,'2021'!$E:$E,Category!$B$246,'2021'!$N:$N,Category!AE$1,'2021'!$D:$D,Category!$C253)</f>
        <v>0</v>
      </c>
      <c r="AF253" s="398">
        <f>SUMIFS('2021'!$I:$I,'2021'!$E:$E,Category!$B$246,'2021'!$N:$N,Category!AF$1,'2021'!$D:$D,Category!$C253)</f>
        <v>0</v>
      </c>
      <c r="AG253" s="398">
        <f>SUMIFS('2021'!$I:$I,'2021'!$E:$E,Category!$B$246,'2021'!$N:$N,Category!AG$1,'2021'!$D:$D,Category!$C253)</f>
        <v>0</v>
      </c>
      <c r="AH253" s="398">
        <f>SUMIFS('2021'!$I:$I,'2021'!$E:$E,Category!$B$246,'2021'!$N:$N,Category!AH$1,'2021'!$D:$D,Category!$C253)</f>
        <v>0</v>
      </c>
      <c r="AI253" s="398">
        <f>SUMIFS('2021'!$I:$I,'2021'!$E:$E,Category!$B$246,'2021'!$N:$N,Category!AI$1,'2021'!$D:$D,Category!$C253)</f>
        <v>0</v>
      </c>
      <c r="AJ253" s="398">
        <f>SUMIFS('2021'!$I:$I,'2021'!$E:$E,Category!$B$246,'2021'!$N:$N,Category!AJ$1,'2021'!$D:$D,Category!$C253)</f>
        <v>0</v>
      </c>
      <c r="AK253" s="398">
        <f>SUMIFS('2021'!$I:$I,'2021'!$E:$E,Category!$B$246,'2021'!$N:$N,Category!AK$1,'2021'!$D:$D,Category!$C253)</f>
        <v>0</v>
      </c>
      <c r="AL253" s="399">
        <f t="shared" si="99"/>
        <v>0</v>
      </c>
      <c r="AM253" s="509">
        <f>IFERROR(VLOOKUP(C253,'2022'!$D:$G,4,0),0)</f>
        <v>0</v>
      </c>
      <c r="AN253" s="398">
        <f>SUMIFS('2022'!$I:$I,'2022'!$E:$E,Category!$B$246,'2022'!$N:$N,Category!AN$1,'2022'!$D:$D,Category!$C253)</f>
        <v>0</v>
      </c>
      <c r="AO253" s="398">
        <f>SUMIFS('2022'!$I:$I,'2022'!$E:$E,Category!$B$246,'2022'!$N:$N,Category!AO$1,'2022'!$D:$D,Category!$C253)</f>
        <v>0</v>
      </c>
      <c r="AP253" s="398">
        <f>SUMIFS('2022'!$I:$I,'2022'!$E:$E,Category!$B$246,'2022'!$N:$N,Category!AP$1,'2022'!$D:$D,Category!$C253)</f>
        <v>0</v>
      </c>
      <c r="AQ253" s="398">
        <f>SUMIFS('2022'!$I:$I,'2022'!$E:$E,Category!$B$246,'2022'!$N:$N,Category!AQ$1,'2022'!$D:$D,Category!$C253)</f>
        <v>0</v>
      </c>
      <c r="AR253" s="398">
        <f>SUMIFS('2022'!$I:$I,'2022'!$E:$E,Category!$B$246,'2022'!$N:$N,Category!AR$1,'2022'!$D:$D,Category!$C253)</f>
        <v>0</v>
      </c>
      <c r="AS253" s="398">
        <f>SUMIFS('2022'!$I:$I,'2022'!$E:$E,Category!$B$246,'2022'!$N:$N,Category!AS$1,'2022'!$D:$D,Category!$C253)</f>
        <v>0</v>
      </c>
      <c r="AT253" s="398">
        <f>SUMIFS('2022'!$I:$I,'2022'!$E:$E,Category!$B$246,'2022'!$N:$N,Category!AT$1,'2022'!$D:$D,Category!$C253)</f>
        <v>2400000</v>
      </c>
      <c r="AU253" s="398">
        <f>SUMIFS('2022'!$I:$I,'2022'!$E:$E,Category!$B$246,'2022'!$N:$N,Category!AU$1,'2022'!$D:$D,Category!$C253)</f>
        <v>0</v>
      </c>
      <c r="AV253" s="398">
        <f>SUMIFS('2022'!$I:$I,'2022'!$E:$E,Category!$B$246,'2022'!$N:$N,Category!AV$1,'2022'!$D:$D,Category!$C253)</f>
        <v>0</v>
      </c>
      <c r="AW253" s="398">
        <f>SUMIFS('2022'!$I:$I,'2022'!$E:$E,Category!$B$246,'2022'!$N:$N,Category!AW$1,'2022'!$D:$D,Category!$C253)</f>
        <v>0</v>
      </c>
      <c r="AX253" s="398">
        <f>SUMIFS('2022'!$I:$I,'2022'!$E:$E,Category!$B$246,'2022'!$N:$N,Category!AX$1,'2022'!$D:$D,Category!$C253)</f>
        <v>0</v>
      </c>
      <c r="AY253" s="398">
        <f>SUMIFS('2022'!$I:$I,'2022'!$E:$E,Category!$B$246,'2022'!$N:$N,Category!AY$1,'2022'!$D:$D,Category!$C253)</f>
        <v>0</v>
      </c>
      <c r="AZ253" s="399">
        <f t="shared" si="100"/>
        <v>2400000</v>
      </c>
      <c r="BA253" s="509">
        <f>IFERROR(VLOOKUP(C253,'2023'!$D:$G,4,0),0)</f>
        <v>0</v>
      </c>
      <c r="BB253" s="398">
        <f>SUMIFS('2023'!$I:$I,'2023'!$E:$E,Category!$B$246,'2023'!$N:$N,Category!BB$1,'2023'!$D:$D,Category!$C253)</f>
        <v>0</v>
      </c>
      <c r="BC253" s="398">
        <f>SUMIFS('2023'!$I:$I,'2023'!$E:$E,Category!$B$246,'2023'!$N:$N,Category!BC$1,'2023'!$D:$D,Category!$C253)</f>
        <v>0</v>
      </c>
      <c r="BD253" s="398">
        <f>SUMIFS('2023'!$I:$I,'2023'!$E:$E,Category!$B$246,'2023'!$N:$N,Category!BD$1,'2023'!$D:$D,Category!$C253)</f>
        <v>0</v>
      </c>
      <c r="BE253" s="398">
        <f>SUMIFS('2023'!$I:$I,'2023'!$E:$E,Category!$B$246,'2023'!$N:$N,Category!BE$1,'2023'!$D:$D,Category!$C253)</f>
        <v>0</v>
      </c>
      <c r="BF253" s="398">
        <f>SUMIFS('2023'!$I:$I,'2023'!$E:$E,Category!$B$246,'2023'!$N:$N,Category!BF$1,'2023'!$D:$D,Category!$C253)</f>
        <v>0</v>
      </c>
      <c r="BG253" s="398">
        <f>SUMIFS('2023'!$I:$I,'2023'!$E:$E,Category!$B$246,'2023'!$N:$N,Category!BG$1,'2023'!$D:$D,Category!$C253)</f>
        <v>0</v>
      </c>
      <c r="BH253" s="398">
        <f>SUMIFS('2023'!$I:$I,'2023'!$E:$E,Category!$B$246,'2023'!$N:$N,Category!BH$1,'2023'!$D:$D,Category!$C253)</f>
        <v>0</v>
      </c>
      <c r="BI253" s="398">
        <f>SUMIFS('2023'!$I:$I,'2023'!$E:$E,Category!$B$246,'2023'!$N:$N,Category!BI$1,'2023'!$D:$D,Category!$C253)</f>
        <v>0</v>
      </c>
      <c r="BJ253" s="398">
        <f>SUMIFS('2023'!$I:$I,'2023'!$E:$E,Category!$B$246,'2023'!$N:$N,Category!BJ$1,'2023'!$D:$D,Category!$C253)</f>
        <v>0</v>
      </c>
      <c r="BK253" s="398">
        <f>SUMIFS('2023'!$I:$I,'2023'!$E:$E,Category!$B$246,'2023'!$N:$N,Category!BK$1,'2023'!$D:$D,Category!$C253)</f>
        <v>0</v>
      </c>
      <c r="BL253" s="398">
        <f>SUMIFS('2023'!$I:$I,'2023'!$E:$E,Category!$B$246,'2023'!$N:$N,Category!BL$1,'2023'!$D:$D,Category!$C253)</f>
        <v>0</v>
      </c>
      <c r="BM253" s="398">
        <f>SUMIFS('2023'!$I:$I,'2023'!$E:$E,Category!$B$246,'2023'!$N:$N,Category!BM$1,'2023'!$D:$D,Category!$C253)</f>
        <v>0</v>
      </c>
      <c r="BN253" s="399">
        <f t="shared" si="101"/>
        <v>0</v>
      </c>
    </row>
    <row r="254" spans="1:66" ht="39.75" x14ac:dyDescent="0.3">
      <c r="A254" s="400"/>
      <c r="B254" s="397"/>
      <c r="C254" s="397" t="s">
        <v>1289</v>
      </c>
      <c r="D254" s="526">
        <f>IFERROR(VLOOKUP($C254,'2019'!$D:$G,4,0),0)</f>
        <v>0</v>
      </c>
      <c r="E254" s="398">
        <f>SUMIFS('2019'!$I:$I,'2019'!$E:$E,Category!$B$246,'2019'!$N:$N,Category!E$1,'2019'!$D:$D,Category!$C254)</f>
        <v>0</v>
      </c>
      <c r="F254" s="398">
        <f>SUMIFS('2019'!$I:$I,'2019'!$E:$E,Category!$B$246,'2019'!$N:$N,Category!F$1,'2019'!$D:$D,Category!$C254)</f>
        <v>0</v>
      </c>
      <c r="G254" s="398">
        <f>SUMIFS('2019'!$I:$I,'2019'!$E:$E,Category!$B$246,'2019'!$N:$N,Category!G$1,'2019'!$D:$D,Category!$C254)</f>
        <v>0</v>
      </c>
      <c r="H254" s="398">
        <f>SUMIFS('2019'!$I:$I,'2019'!$E:$E,Category!$B$246,'2019'!$N:$N,Category!H$1,'2019'!$D:$D,Category!$C254)</f>
        <v>0</v>
      </c>
      <c r="I254" s="398">
        <f>SUMIFS('2019'!$I:$I,'2019'!$E:$E,Category!$B$246,'2019'!$N:$N,Category!I$1,'2019'!$D:$D,Category!$C254)</f>
        <v>0</v>
      </c>
      <c r="J254" s="399">
        <f t="shared" si="102"/>
        <v>0</v>
      </c>
      <c r="K254" s="509">
        <f>IFERROR(VLOOKUP($C254,'2020'!$D:$G,4,0),0)</f>
        <v>0</v>
      </c>
      <c r="L254" s="398">
        <f>SUMIFS('2020'!$I:$I,'2020'!$E:$E,Category!$B$246,'2020'!$N:$N,Category!L$1,'2020'!$D:$D,Category!$C254)</f>
        <v>0</v>
      </c>
      <c r="M254" s="398">
        <f>SUMIFS('2020'!$I:$I,'2020'!$E:$E,Category!$B$246,'2020'!$N:$N,Category!M$1,'2020'!$D:$D,Category!$C254)</f>
        <v>0</v>
      </c>
      <c r="N254" s="398">
        <f>SUMIFS('2020'!$I:$I,'2020'!$E:$E,Category!$B$246,'2020'!$N:$N,Category!N$1,'2020'!$D:$D,Category!$C254)</f>
        <v>0</v>
      </c>
      <c r="O254" s="398">
        <f>SUMIFS('2020'!$I:$I,'2020'!$E:$E,Category!$B$246,'2020'!$N:$N,Category!O$1,'2020'!$D:$D,Category!$C254)</f>
        <v>0</v>
      </c>
      <c r="P254" s="398">
        <f>SUMIFS('2020'!$I:$I,'2020'!$E:$E,Category!$B$246,'2020'!$N:$N,Category!P$1,'2020'!$D:$D,Category!$C254)</f>
        <v>0</v>
      </c>
      <c r="Q254" s="398">
        <f>SUMIFS('2020'!$I:$I,'2020'!$E:$E,Category!$B$246,'2020'!$N:$N,Category!Q$1,'2020'!$D:$D,Category!$C254)</f>
        <v>0</v>
      </c>
      <c r="R254" s="398">
        <f>SUMIFS('2020'!$I:$I,'2020'!$E:$E,Category!$B$246,'2020'!$N:$N,Category!R$1,'2020'!$D:$D,Category!$C254)</f>
        <v>0</v>
      </c>
      <c r="S254" s="398">
        <f>SUMIFS('2020'!$I:$I,'2020'!$E:$E,Category!$B$246,'2020'!$N:$N,Category!S$1,'2020'!$D:$D,Category!$C254)</f>
        <v>0</v>
      </c>
      <c r="T254" s="398">
        <f>SUMIFS('2020'!$I:$I,'2020'!$E:$E,Category!$B$246,'2020'!$N:$N,Category!T$1,'2020'!$D:$D,Category!$C254)</f>
        <v>0</v>
      </c>
      <c r="U254" s="398">
        <f>SUMIFS('2020'!$I:$I,'2020'!$E:$E,Category!$B$246,'2020'!$N:$N,Category!U$1,'2020'!$D:$D,Category!$C254)</f>
        <v>0</v>
      </c>
      <c r="V254" s="398">
        <f>SUMIFS('2020'!$I:$I,'2020'!$E:$E,Category!$B$246,'2020'!$N:$N,Category!V$1,'2020'!$D:$D,Category!$C254)</f>
        <v>0</v>
      </c>
      <c r="W254" s="398">
        <f>SUMIFS('2020'!$I:$I,'2020'!$E:$E,Category!$B$246,'2020'!$N:$N,Category!W$1,'2020'!$D:$D,Category!$C254)</f>
        <v>0</v>
      </c>
      <c r="X254" s="399">
        <f t="shared" si="98"/>
        <v>0</v>
      </c>
      <c r="Y254" s="509">
        <f>IFERROR(VLOOKUP(C254,'2021'!$D:$G,4,0),0)</f>
        <v>0</v>
      </c>
      <c r="Z254" s="398">
        <f>SUMIFS('2021'!$I:$I,'2021'!$E:$E,Category!$B$246,'2021'!$N:$N,Category!Z$1,'2021'!$D:$D,Category!$C254)</f>
        <v>0</v>
      </c>
      <c r="AA254" s="398">
        <f>SUMIFS('2021'!$I:$I,'2021'!$E:$E,Category!$B$246,'2021'!$N:$N,Category!AA$1,'2021'!$D:$D,Category!$C254)</f>
        <v>0</v>
      </c>
      <c r="AB254" s="398">
        <f>SUMIFS('2021'!$I:$I,'2021'!$E:$E,Category!$B$246,'2021'!$N:$N,Category!AB$1,'2021'!$D:$D,Category!$C254)</f>
        <v>0</v>
      </c>
      <c r="AC254" s="398">
        <f>SUMIFS('2021'!$I:$I,'2021'!$E:$E,Category!$B$246,'2021'!$N:$N,Category!AC$1,'2021'!$D:$D,Category!$C254)</f>
        <v>0</v>
      </c>
      <c r="AD254" s="398">
        <f>SUMIFS('2021'!$I:$I,'2021'!$E:$E,Category!$B$246,'2021'!$N:$N,Category!AD$1,'2021'!$D:$D,Category!$C254)</f>
        <v>0</v>
      </c>
      <c r="AE254" s="398">
        <f>SUMIFS('2021'!$I:$I,'2021'!$E:$E,Category!$B$246,'2021'!$N:$N,Category!AE$1,'2021'!$D:$D,Category!$C254)</f>
        <v>0</v>
      </c>
      <c r="AF254" s="398">
        <f>SUMIFS('2021'!$I:$I,'2021'!$E:$E,Category!$B$246,'2021'!$N:$N,Category!AF$1,'2021'!$D:$D,Category!$C254)</f>
        <v>0</v>
      </c>
      <c r="AG254" s="398">
        <f>SUMIFS('2021'!$I:$I,'2021'!$E:$E,Category!$B$246,'2021'!$N:$N,Category!AG$1,'2021'!$D:$D,Category!$C254)</f>
        <v>0</v>
      </c>
      <c r="AH254" s="398">
        <f>SUMIFS('2021'!$I:$I,'2021'!$E:$E,Category!$B$246,'2021'!$N:$N,Category!AH$1,'2021'!$D:$D,Category!$C254)</f>
        <v>0</v>
      </c>
      <c r="AI254" s="398">
        <f>SUMIFS('2021'!$I:$I,'2021'!$E:$E,Category!$B$246,'2021'!$N:$N,Category!AI$1,'2021'!$D:$D,Category!$C254)</f>
        <v>0</v>
      </c>
      <c r="AJ254" s="398">
        <f>SUMIFS('2021'!$I:$I,'2021'!$E:$E,Category!$B$246,'2021'!$N:$N,Category!AJ$1,'2021'!$D:$D,Category!$C254)</f>
        <v>0</v>
      </c>
      <c r="AK254" s="398">
        <f>SUMIFS('2021'!$I:$I,'2021'!$E:$E,Category!$B$246,'2021'!$N:$N,Category!AK$1,'2021'!$D:$D,Category!$C254)</f>
        <v>0</v>
      </c>
      <c r="AL254" s="399">
        <f t="shared" si="99"/>
        <v>0</v>
      </c>
      <c r="AM254" s="509">
        <f>IFERROR(VLOOKUP(C254,'2022'!$D:$G,4,0),0)</f>
        <v>0</v>
      </c>
      <c r="AN254" s="398">
        <f>SUMIFS('2022'!$I:$I,'2022'!$E:$E,Category!$B$246,'2022'!$N:$N,Category!AN$1,'2022'!$D:$D,Category!$C254)</f>
        <v>0</v>
      </c>
      <c r="AO254" s="398">
        <f>SUMIFS('2022'!$I:$I,'2022'!$E:$E,Category!$B$246,'2022'!$N:$N,Category!AO$1,'2022'!$D:$D,Category!$C254)</f>
        <v>0</v>
      </c>
      <c r="AP254" s="398">
        <f>SUMIFS('2022'!$I:$I,'2022'!$E:$E,Category!$B$246,'2022'!$N:$N,Category!AP$1,'2022'!$D:$D,Category!$C254)</f>
        <v>0</v>
      </c>
      <c r="AQ254" s="398">
        <f>SUMIFS('2022'!$I:$I,'2022'!$E:$E,Category!$B$246,'2022'!$N:$N,Category!AQ$1,'2022'!$D:$D,Category!$C254)</f>
        <v>0</v>
      </c>
      <c r="AR254" s="398">
        <f>SUMIFS('2022'!$I:$I,'2022'!$E:$E,Category!$B$246,'2022'!$N:$N,Category!AR$1,'2022'!$D:$D,Category!$C254)</f>
        <v>0</v>
      </c>
      <c r="AS254" s="398">
        <f>SUMIFS('2022'!$I:$I,'2022'!$E:$E,Category!$B$246,'2022'!$N:$N,Category!AS$1,'2022'!$D:$D,Category!$C254)</f>
        <v>0</v>
      </c>
      <c r="AT254" s="398">
        <f>SUMIFS('2022'!$I:$I,'2022'!$E:$E,Category!$B$246,'2022'!$N:$N,Category!AT$1,'2022'!$D:$D,Category!$C254)</f>
        <v>0</v>
      </c>
      <c r="AU254" s="398">
        <f>SUMIFS('2022'!$I:$I,'2022'!$E:$E,Category!$B$246,'2022'!$N:$N,Category!AU$1,'2022'!$D:$D,Category!$C254)</f>
        <v>392000</v>
      </c>
      <c r="AV254" s="398">
        <f>SUMIFS('2022'!$I:$I,'2022'!$E:$E,Category!$B$246,'2022'!$N:$N,Category!AV$1,'2022'!$D:$D,Category!$C254)</f>
        <v>0</v>
      </c>
      <c r="AW254" s="398">
        <f>SUMIFS('2022'!$I:$I,'2022'!$E:$E,Category!$B$246,'2022'!$N:$N,Category!AW$1,'2022'!$D:$D,Category!$C254)</f>
        <v>0</v>
      </c>
      <c r="AX254" s="398">
        <f>SUMIFS('2022'!$I:$I,'2022'!$E:$E,Category!$B$246,'2022'!$N:$N,Category!AX$1,'2022'!$D:$D,Category!$C254)</f>
        <v>0</v>
      </c>
      <c r="AY254" s="398">
        <f>SUMIFS('2022'!$I:$I,'2022'!$E:$E,Category!$B$246,'2022'!$N:$N,Category!AY$1,'2022'!$D:$D,Category!$C254)</f>
        <v>0</v>
      </c>
      <c r="AZ254" s="399">
        <f t="shared" si="100"/>
        <v>392000</v>
      </c>
      <c r="BA254" s="509">
        <f>IFERROR(VLOOKUP(C254,'2023'!$D:$G,4,0),0)</f>
        <v>0</v>
      </c>
      <c r="BB254" s="398">
        <f>SUMIFS('2023'!$I:$I,'2023'!$E:$E,Category!$B$246,'2023'!$N:$N,Category!BB$1,'2023'!$D:$D,Category!$C254)</f>
        <v>0</v>
      </c>
      <c r="BC254" s="398">
        <f>SUMIFS('2023'!$I:$I,'2023'!$E:$E,Category!$B$246,'2023'!$N:$N,Category!BC$1,'2023'!$D:$D,Category!$C254)</f>
        <v>0</v>
      </c>
      <c r="BD254" s="398">
        <f>SUMIFS('2023'!$I:$I,'2023'!$E:$E,Category!$B$246,'2023'!$N:$N,Category!BD$1,'2023'!$D:$D,Category!$C254)</f>
        <v>0</v>
      </c>
      <c r="BE254" s="398">
        <f>SUMIFS('2023'!$I:$I,'2023'!$E:$E,Category!$B$246,'2023'!$N:$N,Category!BE$1,'2023'!$D:$D,Category!$C254)</f>
        <v>0</v>
      </c>
      <c r="BF254" s="398">
        <f>SUMIFS('2023'!$I:$I,'2023'!$E:$E,Category!$B$246,'2023'!$N:$N,Category!BF$1,'2023'!$D:$D,Category!$C254)</f>
        <v>0</v>
      </c>
      <c r="BG254" s="398">
        <f>SUMIFS('2023'!$I:$I,'2023'!$E:$E,Category!$B$246,'2023'!$N:$N,Category!BG$1,'2023'!$D:$D,Category!$C254)</f>
        <v>0</v>
      </c>
      <c r="BH254" s="398">
        <f>SUMIFS('2023'!$I:$I,'2023'!$E:$E,Category!$B$246,'2023'!$N:$N,Category!BH$1,'2023'!$D:$D,Category!$C254)</f>
        <v>0</v>
      </c>
      <c r="BI254" s="398">
        <f>SUMIFS('2023'!$I:$I,'2023'!$E:$E,Category!$B$246,'2023'!$N:$N,Category!BI$1,'2023'!$D:$D,Category!$C254)</f>
        <v>0</v>
      </c>
      <c r="BJ254" s="398">
        <f>SUMIFS('2023'!$I:$I,'2023'!$E:$E,Category!$B$246,'2023'!$N:$N,Category!BJ$1,'2023'!$D:$D,Category!$C254)</f>
        <v>0</v>
      </c>
      <c r="BK254" s="398">
        <f>SUMIFS('2023'!$I:$I,'2023'!$E:$E,Category!$B$246,'2023'!$N:$N,Category!BK$1,'2023'!$D:$D,Category!$C254)</f>
        <v>0</v>
      </c>
      <c r="BL254" s="398">
        <f>SUMIFS('2023'!$I:$I,'2023'!$E:$E,Category!$B$246,'2023'!$N:$N,Category!BL$1,'2023'!$D:$D,Category!$C254)</f>
        <v>0</v>
      </c>
      <c r="BM254" s="398">
        <f>SUMIFS('2023'!$I:$I,'2023'!$E:$E,Category!$B$246,'2023'!$N:$N,Category!BM$1,'2023'!$D:$D,Category!$C254)</f>
        <v>0</v>
      </c>
      <c r="BN254" s="399">
        <f t="shared" si="101"/>
        <v>0</v>
      </c>
    </row>
    <row r="255" spans="1:66" x14ac:dyDescent="0.3">
      <c r="A255" s="400"/>
      <c r="B255" s="397"/>
      <c r="C255" s="397" t="s">
        <v>1322</v>
      </c>
      <c r="D255" s="526">
        <f>IFERROR(VLOOKUP($C255,'2019'!$D:$G,4,0),0)</f>
        <v>0</v>
      </c>
      <c r="E255" s="398">
        <f>SUMIFS('2019'!$I:$I,'2019'!$E:$E,Category!$B$246,'2019'!$N:$N,Category!E$1,'2019'!$D:$D,Category!$C255)</f>
        <v>0</v>
      </c>
      <c r="F255" s="398">
        <f>SUMIFS('2019'!$I:$I,'2019'!$E:$E,Category!$B$246,'2019'!$N:$N,Category!F$1,'2019'!$D:$D,Category!$C255)</f>
        <v>0</v>
      </c>
      <c r="G255" s="398">
        <f>SUMIFS('2019'!$I:$I,'2019'!$E:$E,Category!$B$246,'2019'!$N:$N,Category!G$1,'2019'!$D:$D,Category!$C255)</f>
        <v>-8965049</v>
      </c>
      <c r="H255" s="398">
        <f>SUMIFS('2019'!$I:$I,'2019'!$E:$E,Category!$B$246,'2019'!$N:$N,Category!H$1,'2019'!$D:$D,Category!$C255)</f>
        <v>0</v>
      </c>
      <c r="I255" s="398">
        <f>SUMIFS('2019'!$I:$I,'2019'!$E:$E,Category!$B$246,'2019'!$N:$N,Category!I$1,'2019'!$D:$D,Category!$C255)</f>
        <v>0</v>
      </c>
      <c r="J255" s="399">
        <f t="shared" si="102"/>
        <v>-8965049</v>
      </c>
      <c r="K255" s="509">
        <f>IFERROR(VLOOKUP($C255,'2020'!$D:$G,4,0),0)</f>
        <v>0</v>
      </c>
      <c r="L255" s="398">
        <f>SUMIFS('2020'!$I:$I,'2020'!$E:$E,Category!$B$246,'2020'!$N:$N,Category!L$1,'2020'!$D:$D,Category!$C255)</f>
        <v>0</v>
      </c>
      <c r="M255" s="398">
        <f>SUMIFS('2020'!$I:$I,'2020'!$E:$E,Category!$B$246,'2020'!$N:$N,Category!M$1,'2020'!$D:$D,Category!$C255)</f>
        <v>0</v>
      </c>
      <c r="N255" s="398">
        <f>SUMIFS('2020'!$I:$I,'2020'!$E:$E,Category!$B$246,'2020'!$N:$N,Category!N$1,'2020'!$D:$D,Category!$C255)</f>
        <v>0</v>
      </c>
      <c r="O255" s="398">
        <f>SUMIFS('2020'!$I:$I,'2020'!$E:$E,Category!$B$246,'2020'!$N:$N,Category!O$1,'2020'!$D:$D,Category!$C255)</f>
        <v>0</v>
      </c>
      <c r="P255" s="398">
        <f>SUMIFS('2020'!$I:$I,'2020'!$E:$E,Category!$B$246,'2020'!$N:$N,Category!P$1,'2020'!$D:$D,Category!$C255)</f>
        <v>0</v>
      </c>
      <c r="Q255" s="398">
        <f>SUMIFS('2020'!$I:$I,'2020'!$E:$E,Category!$B$246,'2020'!$N:$N,Category!Q$1,'2020'!$D:$D,Category!$C255)</f>
        <v>0</v>
      </c>
      <c r="R255" s="398">
        <f>SUMIFS('2020'!$I:$I,'2020'!$E:$E,Category!$B$246,'2020'!$N:$N,Category!R$1,'2020'!$D:$D,Category!$C255)</f>
        <v>0</v>
      </c>
      <c r="S255" s="398">
        <f>SUMIFS('2020'!$I:$I,'2020'!$E:$E,Category!$B$246,'2020'!$N:$N,Category!S$1,'2020'!$D:$D,Category!$C255)</f>
        <v>0</v>
      </c>
      <c r="T255" s="398">
        <f>SUMIFS('2020'!$I:$I,'2020'!$E:$E,Category!$B$246,'2020'!$N:$N,Category!T$1,'2020'!$D:$D,Category!$C255)</f>
        <v>0</v>
      </c>
      <c r="U255" s="398">
        <f>SUMIFS('2020'!$I:$I,'2020'!$E:$E,Category!$B$246,'2020'!$N:$N,Category!U$1,'2020'!$D:$D,Category!$C255)</f>
        <v>0</v>
      </c>
      <c r="V255" s="398">
        <f>SUMIFS('2020'!$I:$I,'2020'!$E:$E,Category!$B$246,'2020'!$N:$N,Category!V$1,'2020'!$D:$D,Category!$C255)</f>
        <v>0</v>
      </c>
      <c r="W255" s="398">
        <f>SUMIFS('2020'!$I:$I,'2020'!$E:$E,Category!$B$246,'2020'!$N:$N,Category!W$1,'2020'!$D:$D,Category!$C255)</f>
        <v>0</v>
      </c>
      <c r="X255" s="399">
        <f t="shared" si="98"/>
        <v>0</v>
      </c>
      <c r="Y255" s="509">
        <f>IFERROR(VLOOKUP(C255,'2021'!$D:$G,4,0),0)</f>
        <v>0</v>
      </c>
      <c r="Z255" s="398">
        <f>SUMIFS('2021'!$I:$I,'2021'!$E:$E,Category!$B$246,'2021'!$N:$N,Category!Z$1,'2021'!$D:$D,Category!$C255)</f>
        <v>0</v>
      </c>
      <c r="AA255" s="398">
        <f>SUMIFS('2021'!$I:$I,'2021'!$E:$E,Category!$B$246,'2021'!$N:$N,Category!AA$1,'2021'!$D:$D,Category!$C255)</f>
        <v>0</v>
      </c>
      <c r="AB255" s="398">
        <f>SUMIFS('2021'!$I:$I,'2021'!$E:$E,Category!$B$246,'2021'!$N:$N,Category!AB$1,'2021'!$D:$D,Category!$C255)</f>
        <v>0</v>
      </c>
      <c r="AC255" s="398">
        <f>SUMIFS('2021'!$I:$I,'2021'!$E:$E,Category!$B$246,'2021'!$N:$N,Category!AC$1,'2021'!$D:$D,Category!$C255)</f>
        <v>0</v>
      </c>
      <c r="AD255" s="398">
        <f>SUMIFS('2021'!$I:$I,'2021'!$E:$E,Category!$B$246,'2021'!$N:$N,Category!AD$1,'2021'!$D:$D,Category!$C255)</f>
        <v>0</v>
      </c>
      <c r="AE255" s="398">
        <f>SUMIFS('2021'!$I:$I,'2021'!$E:$E,Category!$B$246,'2021'!$N:$N,Category!AE$1,'2021'!$D:$D,Category!$C255)</f>
        <v>0</v>
      </c>
      <c r="AF255" s="398">
        <f>SUMIFS('2021'!$I:$I,'2021'!$E:$E,Category!$B$246,'2021'!$N:$N,Category!AF$1,'2021'!$D:$D,Category!$C255)</f>
        <v>0</v>
      </c>
      <c r="AG255" s="398">
        <f>SUMIFS('2021'!$I:$I,'2021'!$E:$E,Category!$B$246,'2021'!$N:$N,Category!AG$1,'2021'!$D:$D,Category!$C255)</f>
        <v>0</v>
      </c>
      <c r="AH255" s="398">
        <f>SUMIFS('2021'!$I:$I,'2021'!$E:$E,Category!$B$246,'2021'!$N:$N,Category!AH$1,'2021'!$D:$D,Category!$C255)</f>
        <v>0</v>
      </c>
      <c r="AI255" s="398">
        <f>SUMIFS('2021'!$I:$I,'2021'!$E:$E,Category!$B$246,'2021'!$N:$N,Category!AI$1,'2021'!$D:$D,Category!$C255)</f>
        <v>0</v>
      </c>
      <c r="AJ255" s="398">
        <f>SUMIFS('2021'!$I:$I,'2021'!$E:$E,Category!$B$246,'2021'!$N:$N,Category!AJ$1,'2021'!$D:$D,Category!$C255)</f>
        <v>0</v>
      </c>
      <c r="AK255" s="398">
        <f>SUMIFS('2021'!$I:$I,'2021'!$E:$E,Category!$B$246,'2021'!$N:$N,Category!AK$1,'2021'!$D:$D,Category!$C255)</f>
        <v>0</v>
      </c>
      <c r="AL255" s="399">
        <f t="shared" si="99"/>
        <v>0</v>
      </c>
      <c r="AM255" s="509">
        <f>IFERROR(VLOOKUP(C255,'2022'!$D:$G,4,0),0)</f>
        <v>0</v>
      </c>
      <c r="AN255" s="398">
        <f>SUMIFS('2022'!$I:$I,'2022'!$E:$E,Category!$B$246,'2022'!$N:$N,Category!AN$1,'2022'!$D:$D,Category!$C255)</f>
        <v>0</v>
      </c>
      <c r="AO255" s="398">
        <f>SUMIFS('2022'!$I:$I,'2022'!$E:$E,Category!$B$246,'2022'!$N:$N,Category!AO$1,'2022'!$D:$D,Category!$C255)</f>
        <v>0</v>
      </c>
      <c r="AP255" s="398">
        <f>SUMIFS('2022'!$I:$I,'2022'!$E:$E,Category!$B$246,'2022'!$N:$N,Category!AP$1,'2022'!$D:$D,Category!$C255)</f>
        <v>0</v>
      </c>
      <c r="AQ255" s="398">
        <f>SUMIFS('2022'!$I:$I,'2022'!$E:$E,Category!$B$246,'2022'!$N:$N,Category!AQ$1,'2022'!$D:$D,Category!$C255)</f>
        <v>0</v>
      </c>
      <c r="AR255" s="398">
        <f>SUMIFS('2022'!$I:$I,'2022'!$E:$E,Category!$B$246,'2022'!$N:$N,Category!AR$1,'2022'!$D:$D,Category!$C255)</f>
        <v>0</v>
      </c>
      <c r="AS255" s="398">
        <f>SUMIFS('2022'!$I:$I,'2022'!$E:$E,Category!$B$246,'2022'!$N:$N,Category!AS$1,'2022'!$D:$D,Category!$C255)</f>
        <v>0</v>
      </c>
      <c r="AT255" s="398">
        <f>SUMIFS('2022'!$I:$I,'2022'!$E:$E,Category!$B$246,'2022'!$N:$N,Category!AT$1,'2022'!$D:$D,Category!$C255)</f>
        <v>0</v>
      </c>
      <c r="AU255" s="398">
        <f>SUMIFS('2022'!$I:$I,'2022'!$E:$E,Category!$B$246,'2022'!$N:$N,Category!AU$1,'2022'!$D:$D,Category!$C255)</f>
        <v>0</v>
      </c>
      <c r="AV255" s="398">
        <f>SUMIFS('2022'!$I:$I,'2022'!$E:$E,Category!$B$246,'2022'!$N:$N,Category!AV$1,'2022'!$D:$D,Category!$C255)</f>
        <v>0</v>
      </c>
      <c r="AW255" s="398">
        <f>SUMIFS('2022'!$I:$I,'2022'!$E:$E,Category!$B$246,'2022'!$N:$N,Category!AW$1,'2022'!$D:$D,Category!$C255)</f>
        <v>0</v>
      </c>
      <c r="AX255" s="398">
        <f>SUMIFS('2022'!$I:$I,'2022'!$E:$E,Category!$B$246,'2022'!$N:$N,Category!AX$1,'2022'!$D:$D,Category!$C255)</f>
        <v>0</v>
      </c>
      <c r="AY255" s="398">
        <f>SUMIFS('2022'!$I:$I,'2022'!$E:$E,Category!$B$246,'2022'!$N:$N,Category!AY$1,'2022'!$D:$D,Category!$C255)</f>
        <v>0</v>
      </c>
      <c r="AZ255" s="399">
        <f t="shared" si="100"/>
        <v>0</v>
      </c>
      <c r="BA255" s="509">
        <f>IFERROR(VLOOKUP(C255,'2023'!$D:$G,4,0),0)</f>
        <v>0</v>
      </c>
      <c r="BB255" s="398">
        <f>SUMIFS('2023'!$I:$I,'2023'!$E:$E,Category!$B$246,'2023'!$N:$N,Category!BB$1,'2023'!$D:$D,Category!$C255)</f>
        <v>0</v>
      </c>
      <c r="BC255" s="398">
        <f>SUMIFS('2023'!$I:$I,'2023'!$E:$E,Category!$B$246,'2023'!$N:$N,Category!BC$1,'2023'!$D:$D,Category!$C255)</f>
        <v>0</v>
      </c>
      <c r="BD255" s="398">
        <f>SUMIFS('2023'!$I:$I,'2023'!$E:$E,Category!$B$246,'2023'!$N:$N,Category!BD$1,'2023'!$D:$D,Category!$C255)</f>
        <v>0</v>
      </c>
      <c r="BE255" s="398">
        <f>SUMIFS('2023'!$I:$I,'2023'!$E:$E,Category!$B$246,'2023'!$N:$N,Category!BE$1,'2023'!$D:$D,Category!$C255)</f>
        <v>0</v>
      </c>
      <c r="BF255" s="398">
        <f>SUMIFS('2023'!$I:$I,'2023'!$E:$E,Category!$B$246,'2023'!$N:$N,Category!BF$1,'2023'!$D:$D,Category!$C255)</f>
        <v>0</v>
      </c>
      <c r="BG255" s="398">
        <f>SUMIFS('2023'!$I:$I,'2023'!$E:$E,Category!$B$246,'2023'!$N:$N,Category!BG$1,'2023'!$D:$D,Category!$C255)</f>
        <v>0</v>
      </c>
      <c r="BH255" s="398">
        <f>SUMIFS('2023'!$I:$I,'2023'!$E:$E,Category!$B$246,'2023'!$N:$N,Category!BH$1,'2023'!$D:$D,Category!$C255)</f>
        <v>0</v>
      </c>
      <c r="BI255" s="398">
        <f>SUMIFS('2023'!$I:$I,'2023'!$E:$E,Category!$B$246,'2023'!$N:$N,Category!BI$1,'2023'!$D:$D,Category!$C255)</f>
        <v>0</v>
      </c>
      <c r="BJ255" s="398">
        <f>SUMIFS('2023'!$I:$I,'2023'!$E:$E,Category!$B$246,'2023'!$N:$N,Category!BJ$1,'2023'!$D:$D,Category!$C255)</f>
        <v>0</v>
      </c>
      <c r="BK255" s="398">
        <f>SUMIFS('2023'!$I:$I,'2023'!$E:$E,Category!$B$246,'2023'!$N:$N,Category!BK$1,'2023'!$D:$D,Category!$C255)</f>
        <v>0</v>
      </c>
      <c r="BL255" s="398">
        <f>SUMIFS('2023'!$I:$I,'2023'!$E:$E,Category!$B$246,'2023'!$N:$N,Category!BL$1,'2023'!$D:$D,Category!$C255)</f>
        <v>0</v>
      </c>
      <c r="BM255" s="398">
        <f>SUMIFS('2023'!$I:$I,'2023'!$E:$E,Category!$B$246,'2023'!$N:$N,Category!BM$1,'2023'!$D:$D,Category!$C255)</f>
        <v>0</v>
      </c>
      <c r="BN255" s="399">
        <f t="shared" si="101"/>
        <v>0</v>
      </c>
    </row>
    <row r="256" spans="1:66" ht="21" customHeight="1" x14ac:dyDescent="0.3">
      <c r="A256" s="400"/>
      <c r="B256" s="397"/>
      <c r="C256" s="397" t="s">
        <v>1323</v>
      </c>
      <c r="D256" s="526">
        <f>IFERROR(VLOOKUP($C256,'2019'!$D:$G,4,0),0)</f>
        <v>0</v>
      </c>
      <c r="E256" s="398">
        <f>SUMIFS('2019'!$I:$I,'2019'!$E:$E,Category!$B$246,'2019'!$N:$N,Category!E$1,'2019'!$D:$D,Category!$C256)</f>
        <v>0</v>
      </c>
      <c r="F256" s="398">
        <f>SUMIFS('2019'!$I:$I,'2019'!$E:$E,Category!$B$246,'2019'!$N:$N,Category!F$1,'2019'!$D:$D,Category!$C256)</f>
        <v>0</v>
      </c>
      <c r="G256" s="398">
        <f>SUMIFS('2019'!$I:$I,'2019'!$E:$E,Category!$B$246,'2019'!$N:$N,Category!G$1,'2019'!$D:$D,Category!$C256)</f>
        <v>10994090</v>
      </c>
      <c r="H256" s="398">
        <f>SUMIFS('2019'!$I:$I,'2019'!$E:$E,Category!$B$246,'2019'!$N:$N,Category!H$1,'2019'!$D:$D,Category!$C256)</f>
        <v>0</v>
      </c>
      <c r="I256" s="398">
        <f>SUMIFS('2019'!$I:$I,'2019'!$E:$E,Category!$B$246,'2019'!$N:$N,Category!I$1,'2019'!$D:$D,Category!$C256)</f>
        <v>0</v>
      </c>
      <c r="J256" s="399">
        <f t="shared" si="102"/>
        <v>10994090</v>
      </c>
      <c r="K256" s="509">
        <f>IFERROR(VLOOKUP($C256,'2020'!$D:$G,4,0),0)</f>
        <v>0</v>
      </c>
      <c r="L256" s="398">
        <f>SUMIFS('2020'!$I:$I,'2020'!$E:$E,Category!$B$246,'2020'!$N:$N,Category!L$1,'2020'!$D:$D,Category!$C256)</f>
        <v>0</v>
      </c>
      <c r="M256" s="398">
        <f>SUMIFS('2020'!$I:$I,'2020'!$E:$E,Category!$B$246,'2020'!$N:$N,Category!M$1,'2020'!$D:$D,Category!$C256)</f>
        <v>0</v>
      </c>
      <c r="N256" s="398">
        <f>SUMIFS('2020'!$I:$I,'2020'!$E:$E,Category!$B$246,'2020'!$N:$N,Category!N$1,'2020'!$D:$D,Category!$C256)</f>
        <v>0</v>
      </c>
      <c r="O256" s="398">
        <f>SUMIFS('2020'!$I:$I,'2020'!$E:$E,Category!$B$246,'2020'!$N:$N,Category!O$1,'2020'!$D:$D,Category!$C256)</f>
        <v>0</v>
      </c>
      <c r="P256" s="398">
        <f>SUMIFS('2020'!$I:$I,'2020'!$E:$E,Category!$B$246,'2020'!$N:$N,Category!P$1,'2020'!$D:$D,Category!$C256)</f>
        <v>0</v>
      </c>
      <c r="Q256" s="398">
        <f>SUMIFS('2020'!$I:$I,'2020'!$E:$E,Category!$B$246,'2020'!$N:$N,Category!Q$1,'2020'!$D:$D,Category!$C256)</f>
        <v>0</v>
      </c>
      <c r="R256" s="398">
        <f>SUMIFS('2020'!$I:$I,'2020'!$E:$E,Category!$B$246,'2020'!$N:$N,Category!R$1,'2020'!$D:$D,Category!$C256)</f>
        <v>0</v>
      </c>
      <c r="S256" s="398">
        <f>SUMIFS('2020'!$I:$I,'2020'!$E:$E,Category!$B$246,'2020'!$N:$N,Category!S$1,'2020'!$D:$D,Category!$C256)</f>
        <v>0</v>
      </c>
      <c r="T256" s="398">
        <f>SUMIFS('2020'!$I:$I,'2020'!$E:$E,Category!$B$246,'2020'!$N:$N,Category!T$1,'2020'!$D:$D,Category!$C256)</f>
        <v>0</v>
      </c>
      <c r="U256" s="398">
        <f>SUMIFS('2020'!$I:$I,'2020'!$E:$E,Category!$B$246,'2020'!$N:$N,Category!U$1,'2020'!$D:$D,Category!$C256)</f>
        <v>0</v>
      </c>
      <c r="V256" s="398">
        <f>SUMIFS('2020'!$I:$I,'2020'!$E:$E,Category!$B$246,'2020'!$N:$N,Category!V$1,'2020'!$D:$D,Category!$C256)</f>
        <v>0</v>
      </c>
      <c r="W256" s="398">
        <f>SUMIFS('2020'!$I:$I,'2020'!$E:$E,Category!$B$246,'2020'!$N:$N,Category!W$1,'2020'!$D:$D,Category!$C256)</f>
        <v>0</v>
      </c>
      <c r="X256" s="399">
        <f t="shared" si="98"/>
        <v>0</v>
      </c>
      <c r="Y256" s="509">
        <f>IFERROR(VLOOKUP(C256,'2021'!$D:$G,4,0),0)</f>
        <v>0</v>
      </c>
      <c r="Z256" s="398">
        <f>SUMIFS('2021'!$I:$I,'2021'!$E:$E,Category!$B$246,'2021'!$N:$N,Category!Z$1,'2021'!$D:$D,Category!$C256)</f>
        <v>0</v>
      </c>
      <c r="AA256" s="398">
        <f>SUMIFS('2021'!$I:$I,'2021'!$E:$E,Category!$B$246,'2021'!$N:$N,Category!AA$1,'2021'!$D:$D,Category!$C256)</f>
        <v>0</v>
      </c>
      <c r="AB256" s="398">
        <f>SUMIFS('2021'!$I:$I,'2021'!$E:$E,Category!$B$246,'2021'!$N:$N,Category!AB$1,'2021'!$D:$D,Category!$C256)</f>
        <v>0</v>
      </c>
      <c r="AC256" s="398">
        <f>SUMIFS('2021'!$I:$I,'2021'!$E:$E,Category!$B$246,'2021'!$N:$N,Category!AC$1,'2021'!$D:$D,Category!$C256)</f>
        <v>0</v>
      </c>
      <c r="AD256" s="398">
        <f>SUMIFS('2021'!$I:$I,'2021'!$E:$E,Category!$B$246,'2021'!$N:$N,Category!AD$1,'2021'!$D:$D,Category!$C256)</f>
        <v>0</v>
      </c>
      <c r="AE256" s="398">
        <f>SUMIFS('2021'!$I:$I,'2021'!$E:$E,Category!$B$246,'2021'!$N:$N,Category!AE$1,'2021'!$D:$D,Category!$C256)</f>
        <v>0</v>
      </c>
      <c r="AF256" s="398">
        <f>SUMIFS('2021'!$I:$I,'2021'!$E:$E,Category!$B$246,'2021'!$N:$N,Category!AF$1,'2021'!$D:$D,Category!$C256)</f>
        <v>0</v>
      </c>
      <c r="AG256" s="398">
        <f>SUMIFS('2021'!$I:$I,'2021'!$E:$E,Category!$B$246,'2021'!$N:$N,Category!AG$1,'2021'!$D:$D,Category!$C256)</f>
        <v>0</v>
      </c>
      <c r="AH256" s="398">
        <f>SUMIFS('2021'!$I:$I,'2021'!$E:$E,Category!$B$246,'2021'!$N:$N,Category!AH$1,'2021'!$D:$D,Category!$C256)</f>
        <v>0</v>
      </c>
      <c r="AI256" s="398">
        <f>SUMIFS('2021'!$I:$I,'2021'!$E:$E,Category!$B$246,'2021'!$N:$N,Category!AI$1,'2021'!$D:$D,Category!$C256)</f>
        <v>0</v>
      </c>
      <c r="AJ256" s="398">
        <f>SUMIFS('2021'!$I:$I,'2021'!$E:$E,Category!$B$246,'2021'!$N:$N,Category!AJ$1,'2021'!$D:$D,Category!$C256)</f>
        <v>0</v>
      </c>
      <c r="AK256" s="398">
        <f>SUMIFS('2021'!$I:$I,'2021'!$E:$E,Category!$B$246,'2021'!$N:$N,Category!AK$1,'2021'!$D:$D,Category!$C256)</f>
        <v>0</v>
      </c>
      <c r="AL256" s="399">
        <f t="shared" si="99"/>
        <v>0</v>
      </c>
      <c r="AM256" s="509">
        <f>IFERROR(VLOOKUP(C256,'2022'!$D:$G,4,0),0)</f>
        <v>0</v>
      </c>
      <c r="AN256" s="398">
        <f>SUMIFS('2022'!$I:$I,'2022'!$E:$E,Category!$B$246,'2022'!$N:$N,Category!AN$1,'2022'!$D:$D,Category!$C256)</f>
        <v>0</v>
      </c>
      <c r="AO256" s="398">
        <f>SUMIFS('2022'!$I:$I,'2022'!$E:$E,Category!$B$246,'2022'!$N:$N,Category!AO$1,'2022'!$D:$D,Category!$C256)</f>
        <v>0</v>
      </c>
      <c r="AP256" s="398">
        <f>SUMIFS('2022'!$I:$I,'2022'!$E:$E,Category!$B$246,'2022'!$N:$N,Category!AP$1,'2022'!$D:$D,Category!$C256)</f>
        <v>0</v>
      </c>
      <c r="AQ256" s="398">
        <f>SUMIFS('2022'!$I:$I,'2022'!$E:$E,Category!$B$246,'2022'!$N:$N,Category!AQ$1,'2022'!$D:$D,Category!$C256)</f>
        <v>0</v>
      </c>
      <c r="AR256" s="398">
        <f>SUMIFS('2022'!$I:$I,'2022'!$E:$E,Category!$B$246,'2022'!$N:$N,Category!AR$1,'2022'!$D:$D,Category!$C256)</f>
        <v>0</v>
      </c>
      <c r="AS256" s="398">
        <f>SUMIFS('2022'!$I:$I,'2022'!$E:$E,Category!$B$246,'2022'!$N:$N,Category!AS$1,'2022'!$D:$D,Category!$C256)</f>
        <v>0</v>
      </c>
      <c r="AT256" s="398">
        <f>SUMIFS('2022'!$I:$I,'2022'!$E:$E,Category!$B$246,'2022'!$N:$N,Category!AT$1,'2022'!$D:$D,Category!$C256)</f>
        <v>0</v>
      </c>
      <c r="AU256" s="398">
        <f>SUMIFS('2022'!$I:$I,'2022'!$E:$E,Category!$B$246,'2022'!$N:$N,Category!AU$1,'2022'!$D:$D,Category!$C256)</f>
        <v>0</v>
      </c>
      <c r="AV256" s="398">
        <f>SUMIFS('2022'!$I:$I,'2022'!$E:$E,Category!$B$246,'2022'!$N:$N,Category!AV$1,'2022'!$D:$D,Category!$C256)</f>
        <v>0</v>
      </c>
      <c r="AW256" s="398">
        <f>SUMIFS('2022'!$I:$I,'2022'!$E:$E,Category!$B$246,'2022'!$N:$N,Category!AW$1,'2022'!$D:$D,Category!$C256)</f>
        <v>0</v>
      </c>
      <c r="AX256" s="398">
        <f>SUMIFS('2022'!$I:$I,'2022'!$E:$E,Category!$B$246,'2022'!$N:$N,Category!AX$1,'2022'!$D:$D,Category!$C256)</f>
        <v>0</v>
      </c>
      <c r="AY256" s="398">
        <f>SUMIFS('2022'!$I:$I,'2022'!$E:$E,Category!$B$246,'2022'!$N:$N,Category!AY$1,'2022'!$D:$D,Category!$C256)</f>
        <v>0</v>
      </c>
      <c r="AZ256" s="399">
        <f t="shared" ref="AZ256:AZ273" si="103">SUM(AN256:AY256)</f>
        <v>0</v>
      </c>
      <c r="BA256" s="509">
        <f>IFERROR(VLOOKUP(C256,'2023'!$D:$G,4,0),0)</f>
        <v>0</v>
      </c>
      <c r="BB256" s="398">
        <f>SUMIFS('2023'!$I:$I,'2023'!$E:$E,Category!$B$246,'2023'!$N:$N,Category!BB$1,'2023'!$D:$D,Category!$C256)</f>
        <v>0</v>
      </c>
      <c r="BC256" s="398">
        <f>SUMIFS('2023'!$I:$I,'2023'!$E:$E,Category!$B$246,'2023'!$N:$N,Category!BC$1,'2023'!$D:$D,Category!$C256)</f>
        <v>0</v>
      </c>
      <c r="BD256" s="398">
        <f>SUMIFS('2023'!$I:$I,'2023'!$E:$E,Category!$B$246,'2023'!$N:$N,Category!BD$1,'2023'!$D:$D,Category!$C256)</f>
        <v>0</v>
      </c>
      <c r="BE256" s="398">
        <f>SUMIFS('2023'!$I:$I,'2023'!$E:$E,Category!$B$246,'2023'!$N:$N,Category!BE$1,'2023'!$D:$D,Category!$C256)</f>
        <v>0</v>
      </c>
      <c r="BF256" s="398">
        <f>SUMIFS('2023'!$I:$I,'2023'!$E:$E,Category!$B$246,'2023'!$N:$N,Category!BF$1,'2023'!$D:$D,Category!$C256)</f>
        <v>0</v>
      </c>
      <c r="BG256" s="398">
        <f>SUMIFS('2023'!$I:$I,'2023'!$E:$E,Category!$B$246,'2023'!$N:$N,Category!BG$1,'2023'!$D:$D,Category!$C256)</f>
        <v>0</v>
      </c>
      <c r="BH256" s="398">
        <f>SUMIFS('2023'!$I:$I,'2023'!$E:$E,Category!$B$246,'2023'!$N:$N,Category!BH$1,'2023'!$D:$D,Category!$C256)</f>
        <v>0</v>
      </c>
      <c r="BI256" s="398">
        <f>SUMIFS('2023'!$I:$I,'2023'!$E:$E,Category!$B$246,'2023'!$N:$N,Category!BI$1,'2023'!$D:$D,Category!$C256)</f>
        <v>0</v>
      </c>
      <c r="BJ256" s="398">
        <f>SUMIFS('2023'!$I:$I,'2023'!$E:$E,Category!$B$246,'2023'!$N:$N,Category!BJ$1,'2023'!$D:$D,Category!$C256)</f>
        <v>0</v>
      </c>
      <c r="BK256" s="398">
        <f>SUMIFS('2023'!$I:$I,'2023'!$E:$E,Category!$B$246,'2023'!$N:$N,Category!BK$1,'2023'!$D:$D,Category!$C256)</f>
        <v>0</v>
      </c>
      <c r="BL256" s="398">
        <f>SUMIFS('2023'!$I:$I,'2023'!$E:$E,Category!$B$246,'2023'!$N:$N,Category!BL$1,'2023'!$D:$D,Category!$C256)</f>
        <v>0</v>
      </c>
      <c r="BM256" s="398">
        <f>SUMIFS('2023'!$I:$I,'2023'!$E:$E,Category!$B$246,'2023'!$N:$N,Category!BM$1,'2023'!$D:$D,Category!$C256)</f>
        <v>0</v>
      </c>
      <c r="BN256" s="399">
        <f t="shared" si="101"/>
        <v>0</v>
      </c>
    </row>
    <row r="257" spans="1:66" ht="21" customHeight="1" x14ac:dyDescent="0.3">
      <c r="A257" s="400"/>
      <c r="B257" s="397"/>
      <c r="C257" s="397" t="s">
        <v>1327</v>
      </c>
      <c r="D257" s="526">
        <f>IFERROR(VLOOKUP($C257,'2019'!$D:$G,4,0),0)</f>
        <v>0</v>
      </c>
      <c r="E257" s="398">
        <f>SUMIFS('2019'!$I:$I,'2019'!$E:$E,Category!$B$246,'2019'!$N:$N,Category!E$1,'2019'!$D:$D,Category!$C257)</f>
        <v>0</v>
      </c>
      <c r="F257" s="398">
        <f>SUMIFS('2019'!$I:$I,'2019'!$E:$E,Category!$B$246,'2019'!$N:$N,Category!F$1,'2019'!$D:$D,Category!$C257)</f>
        <v>0</v>
      </c>
      <c r="G257" s="398">
        <f>SUMIFS('2019'!$I:$I,'2019'!$E:$E,Category!$B$246,'2019'!$N:$N,Category!G$1,'2019'!$D:$D,Category!$C257)</f>
        <v>0</v>
      </c>
      <c r="H257" s="398">
        <f>SUMIFS('2019'!$I:$I,'2019'!$E:$E,Category!$B$246,'2019'!$N:$N,Category!H$1,'2019'!$D:$D,Category!$C257)</f>
        <v>6229000</v>
      </c>
      <c r="I257" s="398">
        <f>SUMIFS('2019'!$I:$I,'2019'!$E:$E,Category!$B$246,'2019'!$N:$N,Category!I$1,'2019'!$D:$D,Category!$C257)</f>
        <v>0</v>
      </c>
      <c r="J257" s="399">
        <f t="shared" si="102"/>
        <v>6229000</v>
      </c>
      <c r="K257" s="509">
        <f>IFERROR(VLOOKUP($C257,'2020'!$D:$G,4,0),0)</f>
        <v>0</v>
      </c>
      <c r="L257" s="398">
        <f>SUMIFS('2020'!$I:$I,'2020'!$E:$E,Category!$B$246,'2020'!$N:$N,Category!L$1,'2020'!$D:$D,Category!$C257)</f>
        <v>0</v>
      </c>
      <c r="M257" s="398">
        <f>SUMIFS('2020'!$I:$I,'2020'!$E:$E,Category!$B$246,'2020'!$N:$N,Category!M$1,'2020'!$D:$D,Category!$C257)</f>
        <v>0</v>
      </c>
      <c r="N257" s="398">
        <f>SUMIFS('2020'!$I:$I,'2020'!$E:$E,Category!$B$246,'2020'!$N:$N,Category!N$1,'2020'!$D:$D,Category!$C257)</f>
        <v>0</v>
      </c>
      <c r="O257" s="398">
        <f>SUMIFS('2020'!$I:$I,'2020'!$E:$E,Category!$B$246,'2020'!$N:$N,Category!O$1,'2020'!$D:$D,Category!$C257)</f>
        <v>0</v>
      </c>
      <c r="P257" s="398">
        <f>SUMIFS('2020'!$I:$I,'2020'!$E:$E,Category!$B$246,'2020'!$N:$N,Category!P$1,'2020'!$D:$D,Category!$C257)</f>
        <v>0</v>
      </c>
      <c r="Q257" s="398">
        <f>SUMIFS('2020'!$I:$I,'2020'!$E:$E,Category!$B$246,'2020'!$N:$N,Category!Q$1,'2020'!$D:$D,Category!$C257)</f>
        <v>0</v>
      </c>
      <c r="R257" s="398">
        <f>SUMIFS('2020'!$I:$I,'2020'!$E:$E,Category!$B$246,'2020'!$N:$N,Category!R$1,'2020'!$D:$D,Category!$C257)</f>
        <v>0</v>
      </c>
      <c r="S257" s="398">
        <f>SUMIFS('2020'!$I:$I,'2020'!$E:$E,Category!$B$246,'2020'!$N:$N,Category!S$1,'2020'!$D:$D,Category!$C257)</f>
        <v>0</v>
      </c>
      <c r="T257" s="398">
        <f>SUMIFS('2020'!$I:$I,'2020'!$E:$E,Category!$B$246,'2020'!$N:$N,Category!T$1,'2020'!$D:$D,Category!$C257)</f>
        <v>0</v>
      </c>
      <c r="U257" s="398">
        <f>SUMIFS('2020'!$I:$I,'2020'!$E:$E,Category!$B$246,'2020'!$N:$N,Category!U$1,'2020'!$D:$D,Category!$C257)</f>
        <v>0</v>
      </c>
      <c r="V257" s="398">
        <f>SUMIFS('2020'!$I:$I,'2020'!$E:$E,Category!$B$246,'2020'!$N:$N,Category!V$1,'2020'!$D:$D,Category!$C257)</f>
        <v>0</v>
      </c>
      <c r="W257" s="398">
        <f>SUMIFS('2020'!$I:$I,'2020'!$E:$E,Category!$B$246,'2020'!$N:$N,Category!W$1,'2020'!$D:$D,Category!$C257)</f>
        <v>0</v>
      </c>
      <c r="X257" s="399">
        <f t="shared" si="98"/>
        <v>0</v>
      </c>
      <c r="Y257" s="509">
        <f>IFERROR(VLOOKUP(C257,'2021'!$D:$G,4,0),0)</f>
        <v>0</v>
      </c>
      <c r="Z257" s="398">
        <f>SUMIFS('2021'!$I:$I,'2021'!$E:$E,Category!$B$246,'2021'!$N:$N,Category!Z$1,'2021'!$D:$D,Category!$C257)</f>
        <v>0</v>
      </c>
      <c r="AA257" s="398">
        <f>SUMIFS('2021'!$I:$I,'2021'!$E:$E,Category!$B$246,'2021'!$N:$N,Category!AA$1,'2021'!$D:$D,Category!$C257)</f>
        <v>0</v>
      </c>
      <c r="AB257" s="398">
        <f>SUMIFS('2021'!$I:$I,'2021'!$E:$E,Category!$B$246,'2021'!$N:$N,Category!AB$1,'2021'!$D:$D,Category!$C257)</f>
        <v>0</v>
      </c>
      <c r="AC257" s="398">
        <f>SUMIFS('2021'!$I:$I,'2021'!$E:$E,Category!$B$246,'2021'!$N:$N,Category!AC$1,'2021'!$D:$D,Category!$C257)</f>
        <v>0</v>
      </c>
      <c r="AD257" s="398">
        <f>SUMIFS('2021'!$I:$I,'2021'!$E:$E,Category!$B$246,'2021'!$N:$N,Category!AD$1,'2021'!$D:$D,Category!$C257)</f>
        <v>0</v>
      </c>
      <c r="AE257" s="398">
        <f>SUMIFS('2021'!$I:$I,'2021'!$E:$E,Category!$B$246,'2021'!$N:$N,Category!AE$1,'2021'!$D:$D,Category!$C257)</f>
        <v>0</v>
      </c>
      <c r="AF257" s="398">
        <f>SUMIFS('2021'!$I:$I,'2021'!$E:$E,Category!$B$246,'2021'!$N:$N,Category!AF$1,'2021'!$D:$D,Category!$C257)</f>
        <v>0</v>
      </c>
      <c r="AG257" s="398">
        <f>SUMIFS('2021'!$I:$I,'2021'!$E:$E,Category!$B$246,'2021'!$N:$N,Category!AG$1,'2021'!$D:$D,Category!$C257)</f>
        <v>0</v>
      </c>
      <c r="AH257" s="398">
        <f>SUMIFS('2021'!$I:$I,'2021'!$E:$E,Category!$B$246,'2021'!$N:$N,Category!AH$1,'2021'!$D:$D,Category!$C257)</f>
        <v>0</v>
      </c>
      <c r="AI257" s="398">
        <f>SUMIFS('2021'!$I:$I,'2021'!$E:$E,Category!$B$246,'2021'!$N:$N,Category!AI$1,'2021'!$D:$D,Category!$C257)</f>
        <v>0</v>
      </c>
      <c r="AJ257" s="398">
        <f>SUMIFS('2021'!$I:$I,'2021'!$E:$E,Category!$B$246,'2021'!$N:$N,Category!AJ$1,'2021'!$D:$D,Category!$C257)</f>
        <v>0</v>
      </c>
      <c r="AK257" s="398">
        <f>SUMIFS('2021'!$I:$I,'2021'!$E:$E,Category!$B$246,'2021'!$N:$N,Category!AK$1,'2021'!$D:$D,Category!$C257)</f>
        <v>0</v>
      </c>
      <c r="AL257" s="399">
        <f t="shared" si="99"/>
        <v>0</v>
      </c>
      <c r="AM257" s="509">
        <f>IFERROR(VLOOKUP(C257,'2022'!$D:$G,4,0),0)</f>
        <v>0</v>
      </c>
      <c r="AN257" s="398">
        <f>SUMIFS('2022'!$I:$I,'2022'!$E:$E,Category!$B$246,'2022'!$N:$N,Category!AN$1,'2022'!$D:$D,Category!$C257)</f>
        <v>0</v>
      </c>
      <c r="AO257" s="398">
        <f>SUMIFS('2022'!$I:$I,'2022'!$E:$E,Category!$B$246,'2022'!$N:$N,Category!AO$1,'2022'!$D:$D,Category!$C257)</f>
        <v>0</v>
      </c>
      <c r="AP257" s="398">
        <f>SUMIFS('2022'!$I:$I,'2022'!$E:$E,Category!$B$246,'2022'!$N:$N,Category!AP$1,'2022'!$D:$D,Category!$C257)</f>
        <v>0</v>
      </c>
      <c r="AQ257" s="398">
        <f>SUMIFS('2022'!$I:$I,'2022'!$E:$E,Category!$B$246,'2022'!$N:$N,Category!AQ$1,'2022'!$D:$D,Category!$C257)</f>
        <v>0</v>
      </c>
      <c r="AR257" s="398">
        <f>SUMIFS('2022'!$I:$I,'2022'!$E:$E,Category!$B$246,'2022'!$N:$N,Category!AR$1,'2022'!$D:$D,Category!$C257)</f>
        <v>0</v>
      </c>
      <c r="AS257" s="398">
        <f>SUMIFS('2022'!$I:$I,'2022'!$E:$E,Category!$B$246,'2022'!$N:$N,Category!AS$1,'2022'!$D:$D,Category!$C257)</f>
        <v>0</v>
      </c>
      <c r="AT257" s="398">
        <f>SUMIFS('2022'!$I:$I,'2022'!$E:$E,Category!$B$246,'2022'!$N:$N,Category!AT$1,'2022'!$D:$D,Category!$C257)</f>
        <v>0</v>
      </c>
      <c r="AU257" s="398">
        <f>SUMIFS('2022'!$I:$I,'2022'!$E:$E,Category!$B$246,'2022'!$N:$N,Category!AU$1,'2022'!$D:$D,Category!$C257)</f>
        <v>0</v>
      </c>
      <c r="AV257" s="398">
        <f>SUMIFS('2022'!$I:$I,'2022'!$E:$E,Category!$B$246,'2022'!$N:$N,Category!AV$1,'2022'!$D:$D,Category!$C257)</f>
        <v>0</v>
      </c>
      <c r="AW257" s="398">
        <f>SUMIFS('2022'!$I:$I,'2022'!$E:$E,Category!$B$246,'2022'!$N:$N,Category!AW$1,'2022'!$D:$D,Category!$C257)</f>
        <v>0</v>
      </c>
      <c r="AX257" s="398">
        <f>SUMIFS('2022'!$I:$I,'2022'!$E:$E,Category!$B$246,'2022'!$N:$N,Category!AX$1,'2022'!$D:$D,Category!$C257)</f>
        <v>0</v>
      </c>
      <c r="AY257" s="398">
        <f>SUMIFS('2022'!$I:$I,'2022'!$E:$E,Category!$B$246,'2022'!$N:$N,Category!AY$1,'2022'!$D:$D,Category!$C257)</f>
        <v>0</v>
      </c>
      <c r="AZ257" s="399">
        <f t="shared" si="103"/>
        <v>0</v>
      </c>
      <c r="BA257" s="509">
        <f>IFERROR(VLOOKUP(C257,'2023'!$D:$G,4,0),0)</f>
        <v>0</v>
      </c>
      <c r="BB257" s="398">
        <f>SUMIFS('2023'!$I:$I,'2023'!$E:$E,Category!$B$246,'2023'!$N:$N,Category!BB$1,'2023'!$D:$D,Category!$C257)</f>
        <v>0</v>
      </c>
      <c r="BC257" s="398">
        <f>SUMIFS('2023'!$I:$I,'2023'!$E:$E,Category!$B$246,'2023'!$N:$N,Category!BC$1,'2023'!$D:$D,Category!$C257)</f>
        <v>0</v>
      </c>
      <c r="BD257" s="398">
        <f>SUMIFS('2023'!$I:$I,'2023'!$E:$E,Category!$B$246,'2023'!$N:$N,Category!BD$1,'2023'!$D:$D,Category!$C257)</f>
        <v>0</v>
      </c>
      <c r="BE257" s="398">
        <f>SUMIFS('2023'!$I:$I,'2023'!$E:$E,Category!$B$246,'2023'!$N:$N,Category!BE$1,'2023'!$D:$D,Category!$C257)</f>
        <v>0</v>
      </c>
      <c r="BF257" s="398">
        <f>SUMIFS('2023'!$I:$I,'2023'!$E:$E,Category!$B$246,'2023'!$N:$N,Category!BF$1,'2023'!$D:$D,Category!$C257)</f>
        <v>0</v>
      </c>
      <c r="BG257" s="398">
        <f>SUMIFS('2023'!$I:$I,'2023'!$E:$E,Category!$B$246,'2023'!$N:$N,Category!BG$1,'2023'!$D:$D,Category!$C257)</f>
        <v>0</v>
      </c>
      <c r="BH257" s="398">
        <f>SUMIFS('2023'!$I:$I,'2023'!$E:$E,Category!$B$246,'2023'!$N:$N,Category!BH$1,'2023'!$D:$D,Category!$C257)</f>
        <v>0</v>
      </c>
      <c r="BI257" s="398">
        <f>SUMIFS('2023'!$I:$I,'2023'!$E:$E,Category!$B$246,'2023'!$N:$N,Category!BI$1,'2023'!$D:$D,Category!$C257)</f>
        <v>0</v>
      </c>
      <c r="BJ257" s="398">
        <f>SUMIFS('2023'!$I:$I,'2023'!$E:$E,Category!$B$246,'2023'!$N:$N,Category!BJ$1,'2023'!$D:$D,Category!$C257)</f>
        <v>0</v>
      </c>
      <c r="BK257" s="398">
        <f>SUMIFS('2023'!$I:$I,'2023'!$E:$E,Category!$B$246,'2023'!$N:$N,Category!BK$1,'2023'!$D:$D,Category!$C257)</f>
        <v>0</v>
      </c>
      <c r="BL257" s="398">
        <f>SUMIFS('2023'!$I:$I,'2023'!$E:$E,Category!$B$246,'2023'!$N:$N,Category!BL$1,'2023'!$D:$D,Category!$C257)</f>
        <v>0</v>
      </c>
      <c r="BM257" s="398">
        <f>SUMIFS('2023'!$I:$I,'2023'!$E:$E,Category!$B$246,'2023'!$N:$N,Category!BM$1,'2023'!$D:$D,Category!$C257)</f>
        <v>0</v>
      </c>
      <c r="BN257" s="399">
        <f t="shared" si="101"/>
        <v>0</v>
      </c>
    </row>
    <row r="258" spans="1:66" ht="21" customHeight="1" x14ac:dyDescent="0.3">
      <c r="A258" s="400"/>
      <c r="B258" s="397"/>
      <c r="C258" s="397" t="s">
        <v>1341</v>
      </c>
      <c r="D258" s="526">
        <f>IFERROR(VLOOKUP($C258,'2019'!$D:$G,4,0),0)</f>
        <v>0</v>
      </c>
      <c r="E258" s="398">
        <f>SUMIFS('2019'!$I:$I,'2019'!$E:$E,Category!$B$246,'2019'!$N:$N,Category!E$1,'2019'!$D:$D,Category!$C258)</f>
        <v>0</v>
      </c>
      <c r="F258" s="398">
        <f>SUMIFS('2019'!$I:$I,'2019'!$E:$E,Category!$B$246,'2019'!$N:$N,Category!F$1,'2019'!$D:$D,Category!$C258)</f>
        <v>0</v>
      </c>
      <c r="G258" s="398">
        <f>SUMIFS('2019'!$I:$I,'2019'!$E:$E,Category!$B$246,'2019'!$N:$N,Category!G$1,'2019'!$D:$D,Category!$C258)</f>
        <v>0</v>
      </c>
      <c r="H258" s="398">
        <f>SUMIFS('2019'!$I:$I,'2019'!$E:$E,Category!$B$246,'2019'!$N:$N,Category!H$1,'2019'!$D:$D,Category!$C258)</f>
        <v>0</v>
      </c>
      <c r="I258" s="398">
        <f>SUMIFS('2019'!$I:$I,'2019'!$E:$E,Category!$B$246,'2019'!$N:$N,Category!I$1,'2019'!$D:$D,Category!$C258)</f>
        <v>41000000</v>
      </c>
      <c r="J258" s="399">
        <f t="shared" si="102"/>
        <v>41000000</v>
      </c>
      <c r="K258" s="509">
        <f>IFERROR(VLOOKUP($C258,'2020'!$D:$G,4,0),0)</f>
        <v>0</v>
      </c>
      <c r="L258" s="398">
        <f>SUMIFS('2020'!$I:$I,'2020'!$E:$E,Category!$B$246,'2020'!$N:$N,Category!L$1,'2020'!$D:$D,Category!$C258)</f>
        <v>0</v>
      </c>
      <c r="M258" s="398">
        <f>SUMIFS('2020'!$I:$I,'2020'!$E:$E,Category!$B$246,'2020'!$N:$N,Category!M$1,'2020'!$D:$D,Category!$C258)</f>
        <v>0</v>
      </c>
      <c r="N258" s="398">
        <f>SUMIFS('2020'!$I:$I,'2020'!$E:$E,Category!$B$246,'2020'!$N:$N,Category!N$1,'2020'!$D:$D,Category!$C258)</f>
        <v>0</v>
      </c>
      <c r="O258" s="398">
        <f>SUMIFS('2020'!$I:$I,'2020'!$E:$E,Category!$B$246,'2020'!$N:$N,Category!O$1,'2020'!$D:$D,Category!$C258)</f>
        <v>0</v>
      </c>
      <c r="P258" s="398">
        <f>SUMIFS('2020'!$I:$I,'2020'!$E:$E,Category!$B$246,'2020'!$N:$N,Category!P$1,'2020'!$D:$D,Category!$C258)</f>
        <v>0</v>
      </c>
      <c r="Q258" s="398">
        <f>SUMIFS('2020'!$I:$I,'2020'!$E:$E,Category!$B$246,'2020'!$N:$N,Category!Q$1,'2020'!$D:$D,Category!$C258)</f>
        <v>0</v>
      </c>
      <c r="R258" s="398">
        <f>SUMIFS('2020'!$I:$I,'2020'!$E:$E,Category!$B$246,'2020'!$N:$N,Category!R$1,'2020'!$D:$D,Category!$C258)</f>
        <v>0</v>
      </c>
      <c r="S258" s="398">
        <f>SUMIFS('2020'!$I:$I,'2020'!$E:$E,Category!$B$246,'2020'!$N:$N,Category!S$1,'2020'!$D:$D,Category!$C258)</f>
        <v>0</v>
      </c>
      <c r="T258" s="398">
        <f>SUMIFS('2020'!$I:$I,'2020'!$E:$E,Category!$B$246,'2020'!$N:$N,Category!T$1,'2020'!$D:$D,Category!$C258)</f>
        <v>0</v>
      </c>
      <c r="U258" s="398">
        <f>SUMIFS('2020'!$I:$I,'2020'!$E:$E,Category!$B$246,'2020'!$N:$N,Category!U$1,'2020'!$D:$D,Category!$C258)</f>
        <v>0</v>
      </c>
      <c r="V258" s="398">
        <f>SUMIFS('2020'!$I:$I,'2020'!$E:$E,Category!$B$246,'2020'!$N:$N,Category!V$1,'2020'!$D:$D,Category!$C258)</f>
        <v>0</v>
      </c>
      <c r="W258" s="398">
        <f>SUMIFS('2020'!$I:$I,'2020'!$E:$E,Category!$B$246,'2020'!$N:$N,Category!W$1,'2020'!$D:$D,Category!$C258)</f>
        <v>0</v>
      </c>
      <c r="X258" s="399">
        <f t="shared" si="98"/>
        <v>0</v>
      </c>
      <c r="Y258" s="509">
        <f>IFERROR(VLOOKUP(C258,'2021'!$D:$G,4,0),0)</f>
        <v>0</v>
      </c>
      <c r="Z258" s="398">
        <f>SUMIFS('2021'!$I:$I,'2021'!$E:$E,Category!$B$246,'2021'!$N:$N,Category!Z$1,'2021'!$D:$D,Category!$C258)</f>
        <v>0</v>
      </c>
      <c r="AA258" s="398">
        <f>SUMIFS('2021'!$I:$I,'2021'!$E:$E,Category!$B$246,'2021'!$N:$N,Category!AA$1,'2021'!$D:$D,Category!$C258)</f>
        <v>0</v>
      </c>
      <c r="AB258" s="398">
        <f>SUMIFS('2021'!$I:$I,'2021'!$E:$E,Category!$B$246,'2021'!$N:$N,Category!AB$1,'2021'!$D:$D,Category!$C258)</f>
        <v>0</v>
      </c>
      <c r="AC258" s="398">
        <f>SUMIFS('2021'!$I:$I,'2021'!$E:$E,Category!$B$246,'2021'!$N:$N,Category!AC$1,'2021'!$D:$D,Category!$C258)</f>
        <v>0</v>
      </c>
      <c r="AD258" s="398">
        <f>SUMIFS('2021'!$I:$I,'2021'!$E:$E,Category!$B$246,'2021'!$N:$N,Category!AD$1,'2021'!$D:$D,Category!$C258)</f>
        <v>0</v>
      </c>
      <c r="AE258" s="398">
        <f>SUMIFS('2021'!$I:$I,'2021'!$E:$E,Category!$B$246,'2021'!$N:$N,Category!AE$1,'2021'!$D:$D,Category!$C258)</f>
        <v>0</v>
      </c>
      <c r="AF258" s="398">
        <f>SUMIFS('2021'!$I:$I,'2021'!$E:$E,Category!$B$246,'2021'!$N:$N,Category!AF$1,'2021'!$D:$D,Category!$C258)</f>
        <v>0</v>
      </c>
      <c r="AG258" s="398">
        <f>SUMIFS('2021'!$I:$I,'2021'!$E:$E,Category!$B$246,'2021'!$N:$N,Category!AG$1,'2021'!$D:$D,Category!$C258)</f>
        <v>0</v>
      </c>
      <c r="AH258" s="398">
        <f>SUMIFS('2021'!$I:$I,'2021'!$E:$E,Category!$B$246,'2021'!$N:$N,Category!AH$1,'2021'!$D:$D,Category!$C258)</f>
        <v>0</v>
      </c>
      <c r="AI258" s="398">
        <f>SUMIFS('2021'!$I:$I,'2021'!$E:$E,Category!$B$246,'2021'!$N:$N,Category!AI$1,'2021'!$D:$D,Category!$C258)</f>
        <v>0</v>
      </c>
      <c r="AJ258" s="398">
        <f>SUMIFS('2021'!$I:$I,'2021'!$E:$E,Category!$B$246,'2021'!$N:$N,Category!AJ$1,'2021'!$D:$D,Category!$C258)</f>
        <v>0</v>
      </c>
      <c r="AK258" s="398">
        <f>SUMIFS('2021'!$I:$I,'2021'!$E:$E,Category!$B$246,'2021'!$N:$N,Category!AK$1,'2021'!$D:$D,Category!$C258)</f>
        <v>0</v>
      </c>
      <c r="AL258" s="399">
        <f t="shared" si="99"/>
        <v>0</v>
      </c>
      <c r="AM258" s="509">
        <f>IFERROR(VLOOKUP(C258,'2022'!$D:$G,4,0),0)</f>
        <v>0</v>
      </c>
      <c r="AN258" s="398">
        <f>SUMIFS('2022'!$I:$I,'2022'!$E:$E,Category!$B$246,'2022'!$N:$N,Category!AN$1,'2022'!$D:$D,Category!$C258)</f>
        <v>0</v>
      </c>
      <c r="AO258" s="398">
        <f>SUMIFS('2022'!$I:$I,'2022'!$E:$E,Category!$B$246,'2022'!$N:$N,Category!AO$1,'2022'!$D:$D,Category!$C258)</f>
        <v>0</v>
      </c>
      <c r="AP258" s="398">
        <f>SUMIFS('2022'!$I:$I,'2022'!$E:$E,Category!$B$246,'2022'!$N:$N,Category!AP$1,'2022'!$D:$D,Category!$C258)</f>
        <v>0</v>
      </c>
      <c r="AQ258" s="398">
        <f>SUMIFS('2022'!$I:$I,'2022'!$E:$E,Category!$B$246,'2022'!$N:$N,Category!AQ$1,'2022'!$D:$D,Category!$C258)</f>
        <v>0</v>
      </c>
      <c r="AR258" s="398">
        <f>SUMIFS('2022'!$I:$I,'2022'!$E:$E,Category!$B$246,'2022'!$N:$N,Category!AR$1,'2022'!$D:$D,Category!$C258)</f>
        <v>0</v>
      </c>
      <c r="AS258" s="398">
        <f>SUMIFS('2022'!$I:$I,'2022'!$E:$E,Category!$B$246,'2022'!$N:$N,Category!AS$1,'2022'!$D:$D,Category!$C258)</f>
        <v>0</v>
      </c>
      <c r="AT258" s="398">
        <f>SUMIFS('2022'!$I:$I,'2022'!$E:$E,Category!$B$246,'2022'!$N:$N,Category!AT$1,'2022'!$D:$D,Category!$C258)</f>
        <v>0</v>
      </c>
      <c r="AU258" s="398">
        <f>SUMIFS('2022'!$I:$I,'2022'!$E:$E,Category!$B$246,'2022'!$N:$N,Category!AU$1,'2022'!$D:$D,Category!$C258)</f>
        <v>0</v>
      </c>
      <c r="AV258" s="398">
        <f>SUMIFS('2022'!$I:$I,'2022'!$E:$E,Category!$B$246,'2022'!$N:$N,Category!AV$1,'2022'!$D:$D,Category!$C258)</f>
        <v>0</v>
      </c>
      <c r="AW258" s="398">
        <f>SUMIFS('2022'!$I:$I,'2022'!$E:$E,Category!$B$246,'2022'!$N:$N,Category!AW$1,'2022'!$D:$D,Category!$C258)</f>
        <v>0</v>
      </c>
      <c r="AX258" s="398">
        <f>SUMIFS('2022'!$I:$I,'2022'!$E:$E,Category!$B$246,'2022'!$N:$N,Category!AX$1,'2022'!$D:$D,Category!$C258)</f>
        <v>0</v>
      </c>
      <c r="AY258" s="398">
        <f>SUMIFS('2022'!$I:$I,'2022'!$E:$E,Category!$B$246,'2022'!$N:$N,Category!AY$1,'2022'!$D:$D,Category!$C258)</f>
        <v>0</v>
      </c>
      <c r="AZ258" s="399">
        <f t="shared" si="103"/>
        <v>0</v>
      </c>
      <c r="BA258" s="509">
        <f>IFERROR(VLOOKUP(C258,'2023'!$D:$G,4,0),0)</f>
        <v>0</v>
      </c>
      <c r="BB258" s="398">
        <f>SUMIFS('2023'!$I:$I,'2023'!$E:$E,Category!$B$246,'2023'!$N:$N,Category!BB$1,'2023'!$D:$D,Category!$C258)</f>
        <v>0</v>
      </c>
      <c r="BC258" s="398">
        <f>SUMIFS('2023'!$I:$I,'2023'!$E:$E,Category!$B$246,'2023'!$N:$N,Category!BC$1,'2023'!$D:$D,Category!$C258)</f>
        <v>0</v>
      </c>
      <c r="BD258" s="398">
        <f>SUMIFS('2023'!$I:$I,'2023'!$E:$E,Category!$B$246,'2023'!$N:$N,Category!BD$1,'2023'!$D:$D,Category!$C258)</f>
        <v>0</v>
      </c>
      <c r="BE258" s="398">
        <f>SUMIFS('2023'!$I:$I,'2023'!$E:$E,Category!$B$246,'2023'!$N:$N,Category!BE$1,'2023'!$D:$D,Category!$C258)</f>
        <v>0</v>
      </c>
      <c r="BF258" s="398">
        <f>SUMIFS('2023'!$I:$I,'2023'!$E:$E,Category!$B$246,'2023'!$N:$N,Category!BF$1,'2023'!$D:$D,Category!$C258)</f>
        <v>0</v>
      </c>
      <c r="BG258" s="398">
        <f>SUMIFS('2023'!$I:$I,'2023'!$E:$E,Category!$B$246,'2023'!$N:$N,Category!BG$1,'2023'!$D:$D,Category!$C258)</f>
        <v>0</v>
      </c>
      <c r="BH258" s="398">
        <f>SUMIFS('2023'!$I:$I,'2023'!$E:$E,Category!$B$246,'2023'!$N:$N,Category!BH$1,'2023'!$D:$D,Category!$C258)</f>
        <v>0</v>
      </c>
      <c r="BI258" s="398">
        <f>SUMIFS('2023'!$I:$I,'2023'!$E:$E,Category!$B$246,'2023'!$N:$N,Category!BI$1,'2023'!$D:$D,Category!$C258)</f>
        <v>0</v>
      </c>
      <c r="BJ258" s="398">
        <f>SUMIFS('2023'!$I:$I,'2023'!$E:$E,Category!$B$246,'2023'!$N:$N,Category!BJ$1,'2023'!$D:$D,Category!$C258)</f>
        <v>0</v>
      </c>
      <c r="BK258" s="398">
        <f>SUMIFS('2023'!$I:$I,'2023'!$E:$E,Category!$B$246,'2023'!$N:$N,Category!BK$1,'2023'!$D:$D,Category!$C258)</f>
        <v>0</v>
      </c>
      <c r="BL258" s="398">
        <f>SUMIFS('2023'!$I:$I,'2023'!$E:$E,Category!$B$246,'2023'!$N:$N,Category!BL$1,'2023'!$D:$D,Category!$C258)</f>
        <v>0</v>
      </c>
      <c r="BM258" s="398">
        <f>SUMIFS('2023'!$I:$I,'2023'!$E:$E,Category!$B$246,'2023'!$N:$N,Category!BM$1,'2023'!$D:$D,Category!$C258)</f>
        <v>0</v>
      </c>
      <c r="BN258" s="399">
        <f t="shared" si="101"/>
        <v>0</v>
      </c>
    </row>
    <row r="259" spans="1:66" ht="21" customHeight="1" x14ac:dyDescent="0.3">
      <c r="A259" s="400"/>
      <c r="B259" s="397"/>
      <c r="C259" s="397" t="s">
        <v>1317</v>
      </c>
      <c r="D259" s="526">
        <f>IFERROR(VLOOKUP($C259,'2019'!$D:$G,4,0),0)</f>
        <v>0</v>
      </c>
      <c r="E259" s="398">
        <f>SUMIFS('2019'!$I:$I,'2019'!$E:$E,Category!$B$246,'2019'!$N:$N,Category!E$1,'2019'!$D:$D,Category!$C259)</f>
        <v>46000000</v>
      </c>
      <c r="F259" s="398">
        <f>SUMIFS('2019'!$I:$I,'2019'!$E:$E,Category!$B$246,'2019'!$N:$N,Category!F$1,'2019'!$D:$D,Category!$C259)</f>
        <v>0</v>
      </c>
      <c r="G259" s="398">
        <f>SUMIFS('2019'!$I:$I,'2019'!$E:$E,Category!$B$246,'2019'!$N:$N,Category!G$1,'2019'!$D:$D,Category!$C259)</f>
        <v>0</v>
      </c>
      <c r="H259" s="398">
        <f>SUMIFS('2019'!$I:$I,'2019'!$E:$E,Category!$B$246,'2019'!$N:$N,Category!H$1,'2019'!$D:$D,Category!$C259)</f>
        <v>0</v>
      </c>
      <c r="I259" s="398">
        <f>SUMIFS('2019'!$I:$I,'2019'!$E:$E,Category!$B$246,'2019'!$N:$N,Category!I$1,'2019'!$D:$D,Category!$C259)</f>
        <v>0</v>
      </c>
      <c r="J259" s="399">
        <f t="shared" si="102"/>
        <v>46000000</v>
      </c>
      <c r="K259" s="509">
        <f>IFERROR(VLOOKUP($C259,'2020'!$D:$G,4,0),0)</f>
        <v>0</v>
      </c>
      <c r="L259" s="398">
        <f>SUMIFS('2020'!$I:$I,'2020'!$E:$E,Category!$B$246,'2020'!$N:$N,Category!L$1,'2020'!$D:$D,Category!$C259)</f>
        <v>0</v>
      </c>
      <c r="M259" s="398">
        <f>SUMIFS('2020'!$I:$I,'2020'!$E:$E,Category!$B$246,'2020'!$N:$N,Category!M$1,'2020'!$D:$D,Category!$C259)</f>
        <v>0</v>
      </c>
      <c r="N259" s="398">
        <f>SUMIFS('2020'!$I:$I,'2020'!$E:$E,Category!$B$246,'2020'!$N:$N,Category!N$1,'2020'!$D:$D,Category!$C259)</f>
        <v>0</v>
      </c>
      <c r="O259" s="398">
        <f>SUMIFS('2020'!$I:$I,'2020'!$E:$E,Category!$B$246,'2020'!$N:$N,Category!O$1,'2020'!$D:$D,Category!$C259)</f>
        <v>0</v>
      </c>
      <c r="P259" s="398">
        <f>SUMIFS('2020'!$I:$I,'2020'!$E:$E,Category!$B$246,'2020'!$N:$N,Category!P$1,'2020'!$D:$D,Category!$C259)</f>
        <v>0</v>
      </c>
      <c r="Q259" s="398">
        <f>SUMIFS('2020'!$I:$I,'2020'!$E:$E,Category!$B$246,'2020'!$N:$N,Category!Q$1,'2020'!$D:$D,Category!$C259)</f>
        <v>0</v>
      </c>
      <c r="R259" s="398">
        <f>SUMIFS('2020'!$I:$I,'2020'!$E:$E,Category!$B$246,'2020'!$N:$N,Category!R$1,'2020'!$D:$D,Category!$C259)</f>
        <v>0</v>
      </c>
      <c r="S259" s="398">
        <f>SUMIFS('2020'!$I:$I,'2020'!$E:$E,Category!$B$246,'2020'!$N:$N,Category!S$1,'2020'!$D:$D,Category!$C259)</f>
        <v>0</v>
      </c>
      <c r="T259" s="398">
        <f>SUMIFS('2020'!$I:$I,'2020'!$E:$E,Category!$B$246,'2020'!$N:$N,Category!T$1,'2020'!$D:$D,Category!$C259)</f>
        <v>0</v>
      </c>
      <c r="U259" s="398">
        <f>SUMIFS('2020'!$I:$I,'2020'!$E:$E,Category!$B$246,'2020'!$N:$N,Category!U$1,'2020'!$D:$D,Category!$C259)</f>
        <v>0</v>
      </c>
      <c r="V259" s="398">
        <f>SUMIFS('2020'!$I:$I,'2020'!$E:$E,Category!$B$246,'2020'!$N:$N,Category!V$1,'2020'!$D:$D,Category!$C259)</f>
        <v>0</v>
      </c>
      <c r="W259" s="398">
        <f>SUMIFS('2020'!$I:$I,'2020'!$E:$E,Category!$B$246,'2020'!$N:$N,Category!W$1,'2020'!$D:$D,Category!$C259)</f>
        <v>0</v>
      </c>
      <c r="X259" s="399">
        <f t="shared" si="98"/>
        <v>0</v>
      </c>
      <c r="Y259" s="509">
        <f>IFERROR(VLOOKUP(C259,'2021'!$D:$G,4,0),0)</f>
        <v>0</v>
      </c>
      <c r="Z259" s="398">
        <f>SUMIFS('2021'!$I:$I,'2021'!$E:$E,Category!$B$246,'2021'!$N:$N,Category!Z$1,'2021'!$D:$D,Category!$C259)</f>
        <v>0</v>
      </c>
      <c r="AA259" s="398">
        <f>SUMIFS('2021'!$I:$I,'2021'!$E:$E,Category!$B$246,'2021'!$N:$N,Category!AA$1,'2021'!$D:$D,Category!$C259)</f>
        <v>0</v>
      </c>
      <c r="AB259" s="398">
        <f>SUMIFS('2021'!$I:$I,'2021'!$E:$E,Category!$B$246,'2021'!$N:$N,Category!AB$1,'2021'!$D:$D,Category!$C259)</f>
        <v>0</v>
      </c>
      <c r="AC259" s="398">
        <f>SUMIFS('2021'!$I:$I,'2021'!$E:$E,Category!$B$246,'2021'!$N:$N,Category!AC$1,'2021'!$D:$D,Category!$C259)</f>
        <v>0</v>
      </c>
      <c r="AD259" s="398">
        <f>SUMIFS('2021'!$I:$I,'2021'!$E:$E,Category!$B$246,'2021'!$N:$N,Category!AD$1,'2021'!$D:$D,Category!$C259)</f>
        <v>0</v>
      </c>
      <c r="AE259" s="398">
        <f>SUMIFS('2021'!$I:$I,'2021'!$E:$E,Category!$B$246,'2021'!$N:$N,Category!AE$1,'2021'!$D:$D,Category!$C259)</f>
        <v>0</v>
      </c>
      <c r="AF259" s="398">
        <f>SUMIFS('2021'!$I:$I,'2021'!$E:$E,Category!$B$246,'2021'!$N:$N,Category!AF$1,'2021'!$D:$D,Category!$C259)</f>
        <v>0</v>
      </c>
      <c r="AG259" s="398">
        <f>SUMIFS('2021'!$I:$I,'2021'!$E:$E,Category!$B$246,'2021'!$N:$N,Category!AG$1,'2021'!$D:$D,Category!$C259)</f>
        <v>0</v>
      </c>
      <c r="AH259" s="398">
        <f>SUMIFS('2021'!$I:$I,'2021'!$E:$E,Category!$B$246,'2021'!$N:$N,Category!AH$1,'2021'!$D:$D,Category!$C259)</f>
        <v>0</v>
      </c>
      <c r="AI259" s="398">
        <f>SUMIFS('2021'!$I:$I,'2021'!$E:$E,Category!$B$246,'2021'!$N:$N,Category!AI$1,'2021'!$D:$D,Category!$C259)</f>
        <v>0</v>
      </c>
      <c r="AJ259" s="398">
        <f>SUMIFS('2021'!$I:$I,'2021'!$E:$E,Category!$B$246,'2021'!$N:$N,Category!AJ$1,'2021'!$D:$D,Category!$C259)</f>
        <v>0</v>
      </c>
      <c r="AK259" s="398">
        <f>SUMIFS('2021'!$I:$I,'2021'!$E:$E,Category!$B$246,'2021'!$N:$N,Category!AK$1,'2021'!$D:$D,Category!$C259)</f>
        <v>0</v>
      </c>
      <c r="AL259" s="399">
        <f t="shared" si="99"/>
        <v>0</v>
      </c>
      <c r="AM259" s="509">
        <f>IFERROR(VLOOKUP(C259,'2022'!$D:$G,4,0),0)</f>
        <v>0</v>
      </c>
      <c r="AN259" s="398">
        <f>SUMIFS('2022'!$I:$I,'2022'!$E:$E,Category!$B$246,'2022'!$N:$N,Category!AN$1,'2022'!$D:$D,Category!$C259)</f>
        <v>0</v>
      </c>
      <c r="AO259" s="398">
        <f>SUMIFS('2022'!$I:$I,'2022'!$E:$E,Category!$B$246,'2022'!$N:$N,Category!AO$1,'2022'!$D:$D,Category!$C259)</f>
        <v>0</v>
      </c>
      <c r="AP259" s="398">
        <f>SUMIFS('2022'!$I:$I,'2022'!$E:$E,Category!$B$246,'2022'!$N:$N,Category!AP$1,'2022'!$D:$D,Category!$C259)</f>
        <v>0</v>
      </c>
      <c r="AQ259" s="398">
        <f>SUMIFS('2022'!$I:$I,'2022'!$E:$E,Category!$B$246,'2022'!$N:$N,Category!AQ$1,'2022'!$D:$D,Category!$C259)</f>
        <v>0</v>
      </c>
      <c r="AR259" s="398">
        <f>SUMIFS('2022'!$I:$I,'2022'!$E:$E,Category!$B$246,'2022'!$N:$N,Category!AR$1,'2022'!$D:$D,Category!$C259)</f>
        <v>0</v>
      </c>
      <c r="AS259" s="398">
        <f>SUMIFS('2022'!$I:$I,'2022'!$E:$E,Category!$B$246,'2022'!$N:$N,Category!AS$1,'2022'!$D:$D,Category!$C259)</f>
        <v>0</v>
      </c>
      <c r="AT259" s="398">
        <f>SUMIFS('2022'!$I:$I,'2022'!$E:$E,Category!$B$246,'2022'!$N:$N,Category!AT$1,'2022'!$D:$D,Category!$C259)</f>
        <v>0</v>
      </c>
      <c r="AU259" s="398">
        <f>SUMIFS('2022'!$I:$I,'2022'!$E:$E,Category!$B$246,'2022'!$N:$N,Category!AU$1,'2022'!$D:$D,Category!$C259)</f>
        <v>0</v>
      </c>
      <c r="AV259" s="398">
        <f>SUMIFS('2022'!$I:$I,'2022'!$E:$E,Category!$B$246,'2022'!$N:$N,Category!AV$1,'2022'!$D:$D,Category!$C259)</f>
        <v>0</v>
      </c>
      <c r="AW259" s="398">
        <f>SUMIFS('2022'!$I:$I,'2022'!$E:$E,Category!$B$246,'2022'!$N:$N,Category!AW$1,'2022'!$D:$D,Category!$C259)</f>
        <v>0</v>
      </c>
      <c r="AX259" s="398">
        <f>SUMIFS('2022'!$I:$I,'2022'!$E:$E,Category!$B$246,'2022'!$N:$N,Category!AX$1,'2022'!$D:$D,Category!$C259)</f>
        <v>0</v>
      </c>
      <c r="AY259" s="398">
        <f>SUMIFS('2022'!$I:$I,'2022'!$E:$E,Category!$B$246,'2022'!$N:$N,Category!AY$1,'2022'!$D:$D,Category!$C259)</f>
        <v>0</v>
      </c>
      <c r="AZ259" s="399">
        <f t="shared" si="103"/>
        <v>0</v>
      </c>
      <c r="BA259" s="509">
        <f>IFERROR(VLOOKUP(C259,'2023'!$D:$G,4,0),0)</f>
        <v>0</v>
      </c>
      <c r="BB259" s="398">
        <f>SUMIFS('2023'!$I:$I,'2023'!$E:$E,Category!$B$246,'2023'!$N:$N,Category!BB$1,'2023'!$D:$D,Category!$C259)</f>
        <v>0</v>
      </c>
      <c r="BC259" s="398">
        <f>SUMIFS('2023'!$I:$I,'2023'!$E:$E,Category!$B$246,'2023'!$N:$N,Category!BC$1,'2023'!$D:$D,Category!$C259)</f>
        <v>0</v>
      </c>
      <c r="BD259" s="398">
        <f>SUMIFS('2023'!$I:$I,'2023'!$E:$E,Category!$B$246,'2023'!$N:$N,Category!BD$1,'2023'!$D:$D,Category!$C259)</f>
        <v>0</v>
      </c>
      <c r="BE259" s="398">
        <f>SUMIFS('2023'!$I:$I,'2023'!$E:$E,Category!$B$246,'2023'!$N:$N,Category!BE$1,'2023'!$D:$D,Category!$C259)</f>
        <v>0</v>
      </c>
      <c r="BF259" s="398">
        <f>SUMIFS('2023'!$I:$I,'2023'!$E:$E,Category!$B$246,'2023'!$N:$N,Category!BF$1,'2023'!$D:$D,Category!$C259)</f>
        <v>0</v>
      </c>
      <c r="BG259" s="398">
        <f>SUMIFS('2023'!$I:$I,'2023'!$E:$E,Category!$B$246,'2023'!$N:$N,Category!BG$1,'2023'!$D:$D,Category!$C259)</f>
        <v>0</v>
      </c>
      <c r="BH259" s="398">
        <f>SUMIFS('2023'!$I:$I,'2023'!$E:$E,Category!$B$246,'2023'!$N:$N,Category!BH$1,'2023'!$D:$D,Category!$C259)</f>
        <v>0</v>
      </c>
      <c r="BI259" s="398">
        <f>SUMIFS('2023'!$I:$I,'2023'!$E:$E,Category!$B$246,'2023'!$N:$N,Category!BI$1,'2023'!$D:$D,Category!$C259)</f>
        <v>0</v>
      </c>
      <c r="BJ259" s="398">
        <f>SUMIFS('2023'!$I:$I,'2023'!$E:$E,Category!$B$246,'2023'!$N:$N,Category!BJ$1,'2023'!$D:$D,Category!$C259)</f>
        <v>0</v>
      </c>
      <c r="BK259" s="398">
        <f>SUMIFS('2023'!$I:$I,'2023'!$E:$E,Category!$B$246,'2023'!$N:$N,Category!BK$1,'2023'!$D:$D,Category!$C259)</f>
        <v>0</v>
      </c>
      <c r="BL259" s="398">
        <f>SUMIFS('2023'!$I:$I,'2023'!$E:$E,Category!$B$246,'2023'!$N:$N,Category!BL$1,'2023'!$D:$D,Category!$C259)</f>
        <v>0</v>
      </c>
      <c r="BM259" s="398">
        <f>SUMIFS('2023'!$I:$I,'2023'!$E:$E,Category!$B$246,'2023'!$N:$N,Category!BM$1,'2023'!$D:$D,Category!$C259)</f>
        <v>0</v>
      </c>
      <c r="BN259" s="399">
        <f t="shared" si="101"/>
        <v>0</v>
      </c>
    </row>
    <row r="260" spans="1:66" ht="21" customHeight="1" x14ac:dyDescent="0.3">
      <c r="A260" s="400"/>
      <c r="B260" s="397"/>
      <c r="C260" s="397" t="s">
        <v>1571</v>
      </c>
      <c r="D260" s="526">
        <f>IFERROR(VLOOKUP($C260,'2019'!$D:$G,4,0),0)</f>
        <v>0</v>
      </c>
      <c r="E260" s="398">
        <f>SUMIFS('2019'!$I:$I,'2019'!$E:$E,Category!$B$246,'2019'!$N:$N,Category!E$1,'2019'!$D:$D,Category!$C260)</f>
        <v>0</v>
      </c>
      <c r="F260" s="398">
        <f>SUMIFS('2019'!$I:$I,'2019'!$E:$E,Category!$B$246,'2019'!$N:$N,Category!F$1,'2019'!$D:$D,Category!$C260)</f>
        <v>0</v>
      </c>
      <c r="G260" s="398">
        <f>SUMIFS('2019'!$I:$I,'2019'!$E:$E,Category!$B$246,'2019'!$N:$N,Category!G$1,'2019'!$D:$D,Category!$C260)</f>
        <v>0</v>
      </c>
      <c r="H260" s="398">
        <f>SUMIFS('2019'!$I:$I,'2019'!$E:$E,Category!$B$246,'2019'!$N:$N,Category!H$1,'2019'!$D:$D,Category!$C260)</f>
        <v>0</v>
      </c>
      <c r="I260" s="398">
        <f>SUMIFS('2019'!$I:$I,'2019'!$E:$E,Category!$B$246,'2019'!$N:$N,Category!I$1,'2019'!$D:$D,Category!$C260)</f>
        <v>0</v>
      </c>
      <c r="J260" s="399">
        <f t="shared" si="102"/>
        <v>0</v>
      </c>
      <c r="K260" s="509">
        <f>IFERROR(VLOOKUP($C260,'2020'!$D:$G,4,0),0)</f>
        <v>0</v>
      </c>
      <c r="L260" s="398">
        <f>SUMIFS('2020'!$I:$I,'2020'!$E:$E,Category!$B$246,'2020'!$N:$N,Category!L$1,'2020'!$D:$D,Category!$C260)</f>
        <v>0</v>
      </c>
      <c r="M260" s="398">
        <f>SUMIFS('2020'!$I:$I,'2020'!$E:$E,Category!$B$246,'2020'!$N:$N,Category!M$1,'2020'!$D:$D,Category!$C260)</f>
        <v>0</v>
      </c>
      <c r="N260" s="398">
        <f>SUMIFS('2020'!$I:$I,'2020'!$E:$E,Category!$B$246,'2020'!$N:$N,Category!N$1,'2020'!$D:$D,Category!$C260)</f>
        <v>0</v>
      </c>
      <c r="O260" s="398">
        <f>SUMIFS('2020'!$I:$I,'2020'!$E:$E,Category!$B$246,'2020'!$N:$N,Category!O$1,'2020'!$D:$D,Category!$C260)</f>
        <v>0</v>
      </c>
      <c r="P260" s="398">
        <f>SUMIFS('2020'!$I:$I,'2020'!$E:$E,Category!$B$246,'2020'!$N:$N,Category!P$1,'2020'!$D:$D,Category!$C260)</f>
        <v>0</v>
      </c>
      <c r="Q260" s="398">
        <f>SUMIFS('2020'!$I:$I,'2020'!$E:$E,Category!$B$246,'2020'!$N:$N,Category!Q$1,'2020'!$D:$D,Category!$C260)</f>
        <v>0</v>
      </c>
      <c r="R260" s="398">
        <f>SUMIFS('2020'!$I:$I,'2020'!$E:$E,Category!$B$246,'2020'!$N:$N,Category!R$1,'2020'!$D:$D,Category!$C260)</f>
        <v>0</v>
      </c>
      <c r="S260" s="398">
        <f>SUMIFS('2020'!$I:$I,'2020'!$E:$E,Category!$B$246,'2020'!$N:$N,Category!S$1,'2020'!$D:$D,Category!$C260)</f>
        <v>0</v>
      </c>
      <c r="T260" s="398">
        <f>SUMIFS('2020'!$I:$I,'2020'!$E:$E,Category!$B$246,'2020'!$N:$N,Category!T$1,'2020'!$D:$D,Category!$C260)</f>
        <v>0</v>
      </c>
      <c r="U260" s="398">
        <f>SUMIFS('2020'!$I:$I,'2020'!$E:$E,Category!$B$246,'2020'!$N:$N,Category!U$1,'2020'!$D:$D,Category!$C260)</f>
        <v>0</v>
      </c>
      <c r="V260" s="398">
        <f>SUMIFS('2020'!$I:$I,'2020'!$E:$E,Category!$B$246,'2020'!$N:$N,Category!V$1,'2020'!$D:$D,Category!$C260)</f>
        <v>0</v>
      </c>
      <c r="W260" s="398">
        <f>SUMIFS('2020'!$I:$I,'2020'!$E:$E,Category!$B$246,'2020'!$N:$N,Category!W$1,'2020'!$D:$D,Category!$C260)</f>
        <v>0</v>
      </c>
      <c r="X260" s="399">
        <f t="shared" si="98"/>
        <v>0</v>
      </c>
      <c r="Y260" s="509">
        <f>IFERROR(VLOOKUP(C260,'2021'!$D:$G,4,0),0)</f>
        <v>0</v>
      </c>
      <c r="Z260" s="398">
        <f>SUMIFS('2021'!$I:$I,'2021'!$E:$E,Category!$B$246,'2021'!$N:$N,Category!Z$1,'2021'!$D:$D,Category!$C260)</f>
        <v>0</v>
      </c>
      <c r="AA260" s="398">
        <f>SUMIFS('2021'!$I:$I,'2021'!$E:$E,Category!$B$246,'2021'!$N:$N,Category!AA$1,'2021'!$D:$D,Category!$C260)</f>
        <v>0</v>
      </c>
      <c r="AB260" s="398">
        <f>SUMIFS('2021'!$I:$I,'2021'!$E:$E,Category!$B$246,'2021'!$N:$N,Category!AB$1,'2021'!$D:$D,Category!$C260)</f>
        <v>0</v>
      </c>
      <c r="AC260" s="398">
        <f>SUMIFS('2021'!$I:$I,'2021'!$E:$E,Category!$B$246,'2021'!$N:$N,Category!AC$1,'2021'!$D:$D,Category!$C260)</f>
        <v>0</v>
      </c>
      <c r="AD260" s="398">
        <f>SUMIFS('2021'!$I:$I,'2021'!$E:$E,Category!$B$246,'2021'!$N:$N,Category!AD$1,'2021'!$D:$D,Category!$C260)</f>
        <v>0</v>
      </c>
      <c r="AE260" s="398">
        <f>SUMIFS('2021'!$I:$I,'2021'!$E:$E,Category!$B$246,'2021'!$N:$N,Category!AE$1,'2021'!$D:$D,Category!$C260)</f>
        <v>0</v>
      </c>
      <c r="AF260" s="398">
        <f>SUMIFS('2021'!$I:$I,'2021'!$E:$E,Category!$B$246,'2021'!$N:$N,Category!AF$1,'2021'!$D:$D,Category!$C260)</f>
        <v>0</v>
      </c>
      <c r="AG260" s="398">
        <f>SUMIFS('2021'!$I:$I,'2021'!$E:$E,Category!$B$246,'2021'!$N:$N,Category!AG$1,'2021'!$D:$D,Category!$C260)</f>
        <v>0</v>
      </c>
      <c r="AH260" s="398">
        <f>SUMIFS('2021'!$I:$I,'2021'!$E:$E,Category!$B$246,'2021'!$N:$N,Category!AH$1,'2021'!$D:$D,Category!$C260)</f>
        <v>0</v>
      </c>
      <c r="AI260" s="398">
        <f>SUMIFS('2021'!$I:$I,'2021'!$E:$E,Category!$B$246,'2021'!$N:$N,Category!AI$1,'2021'!$D:$D,Category!$C260)</f>
        <v>0</v>
      </c>
      <c r="AJ260" s="398">
        <f>SUMIFS('2021'!$I:$I,'2021'!$E:$E,Category!$B$246,'2021'!$N:$N,Category!AJ$1,'2021'!$D:$D,Category!$C260)</f>
        <v>0</v>
      </c>
      <c r="AK260" s="398">
        <f>SUMIFS('2021'!$I:$I,'2021'!$E:$E,Category!$B$246,'2021'!$N:$N,Category!AK$1,'2021'!$D:$D,Category!$C260)</f>
        <v>0</v>
      </c>
      <c r="AL260" s="399">
        <f t="shared" si="99"/>
        <v>0</v>
      </c>
      <c r="AM260" s="509">
        <f>IFERROR(VLOOKUP(C260,'2022'!$D:$G,4,0),0)</f>
        <v>0</v>
      </c>
      <c r="AN260" s="398">
        <f>SUMIFS('2022'!$I:$I,'2022'!$E:$E,Category!$B$246,'2022'!$N:$N,Category!AN$1,'2022'!$D:$D,Category!$C260)</f>
        <v>0</v>
      </c>
      <c r="AO260" s="398">
        <f>SUMIFS('2022'!$I:$I,'2022'!$E:$E,Category!$B$246,'2022'!$N:$N,Category!AO$1,'2022'!$D:$D,Category!$C260)</f>
        <v>0</v>
      </c>
      <c r="AP260" s="398">
        <f>SUMIFS('2022'!$I:$I,'2022'!$E:$E,Category!$B$246,'2022'!$N:$N,Category!AP$1,'2022'!$D:$D,Category!$C260)</f>
        <v>0</v>
      </c>
      <c r="AQ260" s="398">
        <f>SUMIFS('2022'!$I:$I,'2022'!$E:$E,Category!$B$246,'2022'!$N:$N,Category!AQ$1,'2022'!$D:$D,Category!$C260)</f>
        <v>0</v>
      </c>
      <c r="AR260" s="398">
        <f>SUMIFS('2022'!$I:$I,'2022'!$E:$E,Category!$B$246,'2022'!$N:$N,Category!AR$1,'2022'!$D:$D,Category!$C260)</f>
        <v>0</v>
      </c>
      <c r="AS260" s="398">
        <f>SUMIFS('2022'!$I:$I,'2022'!$E:$E,Category!$B$246,'2022'!$N:$N,Category!AS$1,'2022'!$D:$D,Category!$C260)</f>
        <v>0</v>
      </c>
      <c r="AT260" s="398">
        <f>SUMIFS('2022'!$I:$I,'2022'!$E:$E,Category!$B$246,'2022'!$N:$N,Category!AT$1,'2022'!$D:$D,Category!$C260)</f>
        <v>0</v>
      </c>
      <c r="AU260" s="398">
        <f>SUMIFS('2022'!$I:$I,'2022'!$E:$E,Category!$B$246,'2022'!$N:$N,Category!AU$1,'2022'!$D:$D,Category!$C260)</f>
        <v>0</v>
      </c>
      <c r="AV260" s="398">
        <f>SUMIFS('2022'!$I:$I,'2022'!$E:$E,Category!$B$246,'2022'!$N:$N,Category!AV$1,'2022'!$D:$D,Category!$C260)</f>
        <v>1215000</v>
      </c>
      <c r="AW260" s="398">
        <f>SUMIFS('2022'!$I:$I,'2022'!$E:$E,Category!$B$246,'2022'!$N:$N,Category!AW$1,'2022'!$D:$D,Category!$C260)</f>
        <v>0</v>
      </c>
      <c r="AX260" s="398">
        <f>SUMIFS('2022'!$I:$I,'2022'!$E:$E,Category!$B$246,'2022'!$N:$N,Category!AX$1,'2022'!$D:$D,Category!$C260)</f>
        <v>0</v>
      </c>
      <c r="AY260" s="398">
        <f>SUMIFS('2022'!$I:$I,'2022'!$E:$E,Category!$B$246,'2022'!$N:$N,Category!AY$1,'2022'!$D:$D,Category!$C260)</f>
        <v>0</v>
      </c>
      <c r="AZ260" s="399">
        <f t="shared" si="103"/>
        <v>1215000</v>
      </c>
      <c r="BA260" s="509">
        <f>IFERROR(VLOOKUP(C260,'2023'!$D:$G,4,0),0)</f>
        <v>0</v>
      </c>
      <c r="BB260" s="398">
        <f>SUMIFS('2023'!$I:$I,'2023'!$E:$E,Category!$B$246,'2023'!$N:$N,Category!BB$1,'2023'!$D:$D,Category!$C260)</f>
        <v>0</v>
      </c>
      <c r="BC260" s="398">
        <f>SUMIFS('2023'!$I:$I,'2023'!$E:$E,Category!$B$246,'2023'!$N:$N,Category!BC$1,'2023'!$D:$D,Category!$C260)</f>
        <v>0</v>
      </c>
      <c r="BD260" s="398">
        <f>SUMIFS('2023'!$I:$I,'2023'!$E:$E,Category!$B$246,'2023'!$N:$N,Category!BD$1,'2023'!$D:$D,Category!$C260)</f>
        <v>0</v>
      </c>
      <c r="BE260" s="398">
        <f>SUMIFS('2023'!$I:$I,'2023'!$E:$E,Category!$B$246,'2023'!$N:$N,Category!BE$1,'2023'!$D:$D,Category!$C260)</f>
        <v>0</v>
      </c>
      <c r="BF260" s="398">
        <f>SUMIFS('2023'!$I:$I,'2023'!$E:$E,Category!$B$246,'2023'!$N:$N,Category!BF$1,'2023'!$D:$D,Category!$C260)</f>
        <v>0</v>
      </c>
      <c r="BG260" s="398">
        <f>SUMIFS('2023'!$I:$I,'2023'!$E:$E,Category!$B$246,'2023'!$N:$N,Category!BG$1,'2023'!$D:$D,Category!$C260)</f>
        <v>0</v>
      </c>
      <c r="BH260" s="398">
        <f>SUMIFS('2023'!$I:$I,'2023'!$E:$E,Category!$B$246,'2023'!$N:$N,Category!BH$1,'2023'!$D:$D,Category!$C260)</f>
        <v>0</v>
      </c>
      <c r="BI260" s="398">
        <f>SUMIFS('2023'!$I:$I,'2023'!$E:$E,Category!$B$246,'2023'!$N:$N,Category!BI$1,'2023'!$D:$D,Category!$C260)</f>
        <v>0</v>
      </c>
      <c r="BJ260" s="398">
        <f>SUMIFS('2023'!$I:$I,'2023'!$E:$E,Category!$B$246,'2023'!$N:$N,Category!BJ$1,'2023'!$D:$D,Category!$C260)</f>
        <v>0</v>
      </c>
      <c r="BK260" s="398">
        <f>SUMIFS('2023'!$I:$I,'2023'!$E:$E,Category!$B$246,'2023'!$N:$N,Category!BK$1,'2023'!$D:$D,Category!$C260)</f>
        <v>0</v>
      </c>
      <c r="BL260" s="398">
        <f>SUMIFS('2023'!$I:$I,'2023'!$E:$E,Category!$B$246,'2023'!$N:$N,Category!BL$1,'2023'!$D:$D,Category!$C260)</f>
        <v>0</v>
      </c>
      <c r="BM260" s="398">
        <f>SUMIFS('2023'!$I:$I,'2023'!$E:$E,Category!$B$246,'2023'!$N:$N,Category!BM$1,'2023'!$D:$D,Category!$C260)</f>
        <v>0</v>
      </c>
      <c r="BN260" s="399">
        <f t="shared" si="101"/>
        <v>0</v>
      </c>
    </row>
    <row r="261" spans="1:66" ht="21" customHeight="1" x14ac:dyDescent="0.3">
      <c r="A261" s="400"/>
      <c r="B261" s="397"/>
      <c r="C261" s="397" t="s">
        <v>1568</v>
      </c>
      <c r="D261" s="526">
        <f>IFERROR(VLOOKUP($C261,'2019'!$D:$G,4,0),0)</f>
        <v>0</v>
      </c>
      <c r="E261" s="398">
        <f>SUMIFS('2019'!$I:$I,'2019'!$E:$E,Category!$B$246,'2019'!$N:$N,Category!E$1,'2019'!$D:$D,Category!$C261)</f>
        <v>0</v>
      </c>
      <c r="F261" s="398">
        <f>SUMIFS('2019'!$I:$I,'2019'!$E:$E,Category!$B$246,'2019'!$N:$N,Category!F$1,'2019'!$D:$D,Category!$C261)</f>
        <v>0</v>
      </c>
      <c r="G261" s="398">
        <f>SUMIFS('2019'!$I:$I,'2019'!$E:$E,Category!$B$246,'2019'!$N:$N,Category!G$1,'2019'!$D:$D,Category!$C261)</f>
        <v>0</v>
      </c>
      <c r="H261" s="398">
        <f>SUMIFS('2019'!$I:$I,'2019'!$E:$E,Category!$B$246,'2019'!$N:$N,Category!H$1,'2019'!$D:$D,Category!$C261)</f>
        <v>0</v>
      </c>
      <c r="I261" s="398">
        <f>SUMIFS('2019'!$I:$I,'2019'!$E:$E,Category!$B$246,'2019'!$N:$N,Category!I$1,'2019'!$D:$D,Category!$C261)</f>
        <v>0</v>
      </c>
      <c r="J261" s="399">
        <f t="shared" ref="J261:J277" si="104">SUM(E261:I261)</f>
        <v>0</v>
      </c>
      <c r="K261" s="509">
        <f>IFERROR(VLOOKUP($C261,'2020'!$D:$G,4,0),0)</f>
        <v>0</v>
      </c>
      <c r="L261" s="398">
        <f>SUMIFS('2020'!$I:$I,'2020'!$E:$E,Category!$B$246,'2020'!$N:$N,Category!L$1,'2020'!$D:$D,Category!$C261)</f>
        <v>0</v>
      </c>
      <c r="M261" s="398">
        <f>SUMIFS('2020'!$I:$I,'2020'!$E:$E,Category!$B$246,'2020'!$N:$N,Category!M$1,'2020'!$D:$D,Category!$C261)</f>
        <v>0</v>
      </c>
      <c r="N261" s="398">
        <f>SUMIFS('2020'!$I:$I,'2020'!$E:$E,Category!$B$246,'2020'!$N:$N,Category!N$1,'2020'!$D:$D,Category!$C261)</f>
        <v>0</v>
      </c>
      <c r="O261" s="398">
        <f>SUMIFS('2020'!$I:$I,'2020'!$E:$E,Category!$B$246,'2020'!$N:$N,Category!O$1,'2020'!$D:$D,Category!$C261)</f>
        <v>0</v>
      </c>
      <c r="P261" s="398">
        <f>SUMIFS('2020'!$I:$I,'2020'!$E:$E,Category!$B$246,'2020'!$N:$N,Category!P$1,'2020'!$D:$D,Category!$C261)</f>
        <v>0</v>
      </c>
      <c r="Q261" s="398">
        <f>SUMIFS('2020'!$I:$I,'2020'!$E:$E,Category!$B$246,'2020'!$N:$N,Category!Q$1,'2020'!$D:$D,Category!$C261)</f>
        <v>0</v>
      </c>
      <c r="R261" s="398">
        <f>SUMIFS('2020'!$I:$I,'2020'!$E:$E,Category!$B$246,'2020'!$N:$N,Category!R$1,'2020'!$D:$D,Category!$C261)</f>
        <v>0</v>
      </c>
      <c r="S261" s="398">
        <f>SUMIFS('2020'!$I:$I,'2020'!$E:$E,Category!$B$246,'2020'!$N:$N,Category!S$1,'2020'!$D:$D,Category!$C261)</f>
        <v>0</v>
      </c>
      <c r="T261" s="398">
        <f>SUMIFS('2020'!$I:$I,'2020'!$E:$E,Category!$B$246,'2020'!$N:$N,Category!T$1,'2020'!$D:$D,Category!$C261)</f>
        <v>0</v>
      </c>
      <c r="U261" s="398">
        <f>SUMIFS('2020'!$I:$I,'2020'!$E:$E,Category!$B$246,'2020'!$N:$N,Category!U$1,'2020'!$D:$D,Category!$C261)</f>
        <v>0</v>
      </c>
      <c r="V261" s="398">
        <f>SUMIFS('2020'!$I:$I,'2020'!$E:$E,Category!$B$246,'2020'!$N:$N,Category!V$1,'2020'!$D:$D,Category!$C261)</f>
        <v>0</v>
      </c>
      <c r="W261" s="398">
        <f>SUMIFS('2020'!$I:$I,'2020'!$E:$E,Category!$B$246,'2020'!$N:$N,Category!W$1,'2020'!$D:$D,Category!$C261)</f>
        <v>0</v>
      </c>
      <c r="X261" s="399">
        <f t="shared" ref="X261:X266" si="105">SUM(L261:W261)</f>
        <v>0</v>
      </c>
      <c r="Y261" s="509">
        <f>IFERROR(VLOOKUP(C261,'2021'!$D:$G,4,0),0)</f>
        <v>0</v>
      </c>
      <c r="Z261" s="398">
        <f>SUMIFS('2021'!$I:$I,'2021'!$E:$E,Category!$B$246,'2021'!$N:$N,Category!Z$1,'2021'!$D:$D,Category!$C261)</f>
        <v>0</v>
      </c>
      <c r="AA261" s="398">
        <f>SUMIFS('2021'!$I:$I,'2021'!$E:$E,Category!$B$246,'2021'!$N:$N,Category!AA$1,'2021'!$D:$D,Category!$C261)</f>
        <v>0</v>
      </c>
      <c r="AB261" s="398">
        <f>SUMIFS('2021'!$I:$I,'2021'!$E:$E,Category!$B$246,'2021'!$N:$N,Category!AB$1,'2021'!$D:$D,Category!$C261)</f>
        <v>0</v>
      </c>
      <c r="AC261" s="398">
        <f>SUMIFS('2021'!$I:$I,'2021'!$E:$E,Category!$B$246,'2021'!$N:$N,Category!AC$1,'2021'!$D:$D,Category!$C261)</f>
        <v>0</v>
      </c>
      <c r="AD261" s="398">
        <f>SUMIFS('2021'!$I:$I,'2021'!$E:$E,Category!$B$246,'2021'!$N:$N,Category!AD$1,'2021'!$D:$D,Category!$C261)</f>
        <v>0</v>
      </c>
      <c r="AE261" s="398">
        <f>SUMIFS('2021'!$I:$I,'2021'!$E:$E,Category!$B$246,'2021'!$N:$N,Category!AE$1,'2021'!$D:$D,Category!$C261)</f>
        <v>0</v>
      </c>
      <c r="AF261" s="398">
        <f>SUMIFS('2021'!$I:$I,'2021'!$E:$E,Category!$B$246,'2021'!$N:$N,Category!AF$1,'2021'!$D:$D,Category!$C261)</f>
        <v>0</v>
      </c>
      <c r="AG261" s="398">
        <f>SUMIFS('2021'!$I:$I,'2021'!$E:$E,Category!$B$246,'2021'!$N:$N,Category!AG$1,'2021'!$D:$D,Category!$C261)</f>
        <v>0</v>
      </c>
      <c r="AH261" s="398">
        <f>SUMIFS('2021'!$I:$I,'2021'!$E:$E,Category!$B$246,'2021'!$N:$N,Category!AH$1,'2021'!$D:$D,Category!$C261)</f>
        <v>0</v>
      </c>
      <c r="AI261" s="398">
        <f>SUMIFS('2021'!$I:$I,'2021'!$E:$E,Category!$B$246,'2021'!$N:$N,Category!AI$1,'2021'!$D:$D,Category!$C261)</f>
        <v>0</v>
      </c>
      <c r="AJ261" s="398">
        <f>SUMIFS('2021'!$I:$I,'2021'!$E:$E,Category!$B$246,'2021'!$N:$N,Category!AJ$1,'2021'!$D:$D,Category!$C261)</f>
        <v>0</v>
      </c>
      <c r="AK261" s="398">
        <f>SUMIFS('2021'!$I:$I,'2021'!$E:$E,Category!$B$246,'2021'!$N:$N,Category!AK$1,'2021'!$D:$D,Category!$C261)</f>
        <v>0</v>
      </c>
      <c r="AL261" s="399">
        <f t="shared" ref="AL261:AL266" si="106">SUM(Z261:AK261)</f>
        <v>0</v>
      </c>
      <c r="AM261" s="509">
        <f>IFERROR(VLOOKUP(C261,'2022'!$D:$G,4,0),0)</f>
        <v>0</v>
      </c>
      <c r="AN261" s="398">
        <f>SUMIFS('2022'!$I:$I,'2022'!$E:$E,Category!$B$246,'2022'!$N:$N,Category!AN$1,'2022'!$D:$D,Category!$C261)</f>
        <v>0</v>
      </c>
      <c r="AO261" s="398">
        <f>SUMIFS('2022'!$I:$I,'2022'!$E:$E,Category!$B$246,'2022'!$N:$N,Category!AO$1,'2022'!$D:$D,Category!$C261)</f>
        <v>0</v>
      </c>
      <c r="AP261" s="398">
        <f>SUMIFS('2022'!$I:$I,'2022'!$E:$E,Category!$B$246,'2022'!$N:$N,Category!AP$1,'2022'!$D:$D,Category!$C261)</f>
        <v>0</v>
      </c>
      <c r="AQ261" s="398">
        <f>SUMIFS('2022'!$I:$I,'2022'!$E:$E,Category!$B$246,'2022'!$N:$N,Category!AQ$1,'2022'!$D:$D,Category!$C261)</f>
        <v>0</v>
      </c>
      <c r="AR261" s="398">
        <f>SUMIFS('2022'!$I:$I,'2022'!$E:$E,Category!$B$246,'2022'!$N:$N,Category!AR$1,'2022'!$D:$D,Category!$C261)</f>
        <v>0</v>
      </c>
      <c r="AS261" s="398">
        <f>SUMIFS('2022'!$I:$I,'2022'!$E:$E,Category!$B$246,'2022'!$N:$N,Category!AS$1,'2022'!$D:$D,Category!$C261)</f>
        <v>0</v>
      </c>
      <c r="AT261" s="398">
        <f>SUMIFS('2022'!$I:$I,'2022'!$E:$E,Category!$B$246,'2022'!$N:$N,Category!AT$1,'2022'!$D:$D,Category!$C261)</f>
        <v>0</v>
      </c>
      <c r="AU261" s="398">
        <f>SUMIFS('2022'!$I:$I,'2022'!$E:$E,Category!$B$246,'2022'!$N:$N,Category!AU$1,'2022'!$D:$D,Category!$C261)</f>
        <v>0</v>
      </c>
      <c r="AV261" s="398">
        <f>SUMIFS('2022'!$I:$I,'2022'!$E:$E,Category!$B$246,'2022'!$N:$N,Category!AV$1,'2022'!$D:$D,Category!$C261)</f>
        <v>2800000</v>
      </c>
      <c r="AW261" s="398">
        <f>SUMIFS('2022'!$I:$I,'2022'!$E:$E,Category!$B$246,'2022'!$N:$N,Category!AW$1,'2022'!$D:$D,Category!$C261)</f>
        <v>0</v>
      </c>
      <c r="AX261" s="398">
        <f>SUMIFS('2022'!$I:$I,'2022'!$E:$E,Category!$B$246,'2022'!$N:$N,Category!AX$1,'2022'!$D:$D,Category!$C261)</f>
        <v>0</v>
      </c>
      <c r="AY261" s="398">
        <f>SUMIFS('2022'!$I:$I,'2022'!$E:$E,Category!$B$246,'2022'!$N:$N,Category!AY$1,'2022'!$D:$D,Category!$C261)</f>
        <v>0</v>
      </c>
      <c r="AZ261" s="399">
        <f t="shared" ref="AZ261:AZ266" si="107">SUM(AN261:AY261)</f>
        <v>2800000</v>
      </c>
      <c r="BA261" s="509">
        <f>IFERROR(VLOOKUP(C261,'2023'!$D:$G,4,0),0)</f>
        <v>0</v>
      </c>
      <c r="BB261" s="398">
        <f>SUMIFS('2023'!$I:$I,'2023'!$E:$E,Category!$B$246,'2023'!$N:$N,Category!BB$1,'2023'!$D:$D,Category!$C261)</f>
        <v>0</v>
      </c>
      <c r="BC261" s="398">
        <f>SUMIFS('2023'!$I:$I,'2023'!$E:$E,Category!$B$246,'2023'!$N:$N,Category!BC$1,'2023'!$D:$D,Category!$C261)</f>
        <v>0</v>
      </c>
      <c r="BD261" s="398">
        <f>SUMIFS('2023'!$I:$I,'2023'!$E:$E,Category!$B$246,'2023'!$N:$N,Category!BD$1,'2023'!$D:$D,Category!$C261)</f>
        <v>0</v>
      </c>
      <c r="BE261" s="398">
        <f>SUMIFS('2023'!$I:$I,'2023'!$E:$E,Category!$B$246,'2023'!$N:$N,Category!BE$1,'2023'!$D:$D,Category!$C261)</f>
        <v>0</v>
      </c>
      <c r="BF261" s="398">
        <f>SUMIFS('2023'!$I:$I,'2023'!$E:$E,Category!$B$246,'2023'!$N:$N,Category!BF$1,'2023'!$D:$D,Category!$C261)</f>
        <v>0</v>
      </c>
      <c r="BG261" s="398">
        <f>SUMIFS('2023'!$I:$I,'2023'!$E:$E,Category!$B$246,'2023'!$N:$N,Category!BG$1,'2023'!$D:$D,Category!$C261)</f>
        <v>0</v>
      </c>
      <c r="BH261" s="398">
        <f>SUMIFS('2023'!$I:$I,'2023'!$E:$E,Category!$B$246,'2023'!$N:$N,Category!BH$1,'2023'!$D:$D,Category!$C261)</f>
        <v>0</v>
      </c>
      <c r="BI261" s="398">
        <f>SUMIFS('2023'!$I:$I,'2023'!$E:$E,Category!$B$246,'2023'!$N:$N,Category!BI$1,'2023'!$D:$D,Category!$C261)</f>
        <v>0</v>
      </c>
      <c r="BJ261" s="398">
        <f>SUMIFS('2023'!$I:$I,'2023'!$E:$E,Category!$B$246,'2023'!$N:$N,Category!BJ$1,'2023'!$D:$D,Category!$C261)</f>
        <v>0</v>
      </c>
      <c r="BK261" s="398">
        <f>SUMIFS('2023'!$I:$I,'2023'!$E:$E,Category!$B$246,'2023'!$N:$N,Category!BK$1,'2023'!$D:$D,Category!$C261)</f>
        <v>0</v>
      </c>
      <c r="BL261" s="398">
        <f>SUMIFS('2023'!$I:$I,'2023'!$E:$E,Category!$B$246,'2023'!$N:$N,Category!BL$1,'2023'!$D:$D,Category!$C261)</f>
        <v>0</v>
      </c>
      <c r="BM261" s="398">
        <f>SUMIFS('2023'!$I:$I,'2023'!$E:$E,Category!$B$246,'2023'!$N:$N,Category!BM$1,'2023'!$D:$D,Category!$C261)</f>
        <v>0</v>
      </c>
      <c r="BN261" s="399">
        <f t="shared" si="101"/>
        <v>0</v>
      </c>
    </row>
    <row r="262" spans="1:66" ht="21" customHeight="1" x14ac:dyDescent="0.3">
      <c r="A262" s="400"/>
      <c r="B262" s="397"/>
      <c r="C262" s="397" t="s">
        <v>1569</v>
      </c>
      <c r="D262" s="526">
        <f>IFERROR(VLOOKUP($C262,'2019'!$D:$G,4,0),0)</f>
        <v>0</v>
      </c>
      <c r="E262" s="398">
        <f>SUMIFS('2019'!$I:$I,'2019'!$E:$E,Category!$B$246,'2019'!$N:$N,Category!E$1,'2019'!$D:$D,Category!$C262)</f>
        <v>0</v>
      </c>
      <c r="F262" s="398">
        <f>SUMIFS('2019'!$I:$I,'2019'!$E:$E,Category!$B$246,'2019'!$N:$N,Category!F$1,'2019'!$D:$D,Category!$C262)</f>
        <v>0</v>
      </c>
      <c r="G262" s="398">
        <f>SUMIFS('2019'!$I:$I,'2019'!$E:$E,Category!$B$246,'2019'!$N:$N,Category!G$1,'2019'!$D:$D,Category!$C262)</f>
        <v>0</v>
      </c>
      <c r="H262" s="398">
        <f>SUMIFS('2019'!$I:$I,'2019'!$E:$E,Category!$B$246,'2019'!$N:$N,Category!H$1,'2019'!$D:$D,Category!$C262)</f>
        <v>0</v>
      </c>
      <c r="I262" s="398">
        <f>SUMIFS('2019'!$I:$I,'2019'!$E:$E,Category!$B$246,'2019'!$N:$N,Category!I$1,'2019'!$D:$D,Category!$C262)</f>
        <v>0</v>
      </c>
      <c r="J262" s="399">
        <f t="shared" si="104"/>
        <v>0</v>
      </c>
      <c r="K262" s="509">
        <f>IFERROR(VLOOKUP($C262,'2020'!$D:$G,4,0),0)</f>
        <v>0</v>
      </c>
      <c r="L262" s="398">
        <f>SUMIFS('2020'!$I:$I,'2020'!$E:$E,Category!$B$246,'2020'!$N:$N,Category!L$1,'2020'!$D:$D,Category!$C262)</f>
        <v>0</v>
      </c>
      <c r="M262" s="398">
        <f>SUMIFS('2020'!$I:$I,'2020'!$E:$E,Category!$B$246,'2020'!$N:$N,Category!M$1,'2020'!$D:$D,Category!$C262)</f>
        <v>0</v>
      </c>
      <c r="N262" s="398">
        <f>SUMIFS('2020'!$I:$I,'2020'!$E:$E,Category!$B$246,'2020'!$N:$N,Category!N$1,'2020'!$D:$D,Category!$C262)</f>
        <v>0</v>
      </c>
      <c r="O262" s="398">
        <f>SUMIFS('2020'!$I:$I,'2020'!$E:$E,Category!$B$246,'2020'!$N:$N,Category!O$1,'2020'!$D:$D,Category!$C262)</f>
        <v>0</v>
      </c>
      <c r="P262" s="398">
        <f>SUMIFS('2020'!$I:$I,'2020'!$E:$E,Category!$B$246,'2020'!$N:$N,Category!P$1,'2020'!$D:$D,Category!$C262)</f>
        <v>0</v>
      </c>
      <c r="Q262" s="398">
        <f>SUMIFS('2020'!$I:$I,'2020'!$E:$E,Category!$B$246,'2020'!$N:$N,Category!Q$1,'2020'!$D:$D,Category!$C262)</f>
        <v>0</v>
      </c>
      <c r="R262" s="398">
        <f>SUMIFS('2020'!$I:$I,'2020'!$E:$E,Category!$B$246,'2020'!$N:$N,Category!R$1,'2020'!$D:$D,Category!$C262)</f>
        <v>0</v>
      </c>
      <c r="S262" s="398">
        <f>SUMIFS('2020'!$I:$I,'2020'!$E:$E,Category!$B$246,'2020'!$N:$N,Category!S$1,'2020'!$D:$D,Category!$C262)</f>
        <v>0</v>
      </c>
      <c r="T262" s="398">
        <f>SUMIFS('2020'!$I:$I,'2020'!$E:$E,Category!$B$246,'2020'!$N:$N,Category!T$1,'2020'!$D:$D,Category!$C262)</f>
        <v>0</v>
      </c>
      <c r="U262" s="398">
        <f>SUMIFS('2020'!$I:$I,'2020'!$E:$E,Category!$B$246,'2020'!$N:$N,Category!U$1,'2020'!$D:$D,Category!$C262)</f>
        <v>0</v>
      </c>
      <c r="V262" s="398">
        <f>SUMIFS('2020'!$I:$I,'2020'!$E:$E,Category!$B$246,'2020'!$N:$N,Category!V$1,'2020'!$D:$D,Category!$C262)</f>
        <v>0</v>
      </c>
      <c r="W262" s="398">
        <f>SUMIFS('2020'!$I:$I,'2020'!$E:$E,Category!$B$246,'2020'!$N:$N,Category!W$1,'2020'!$D:$D,Category!$C262)</f>
        <v>0</v>
      </c>
      <c r="X262" s="399">
        <f t="shared" si="105"/>
        <v>0</v>
      </c>
      <c r="Y262" s="509">
        <f>IFERROR(VLOOKUP(C262,'2021'!$D:$G,4,0),0)</f>
        <v>0</v>
      </c>
      <c r="Z262" s="398">
        <f>SUMIFS('2021'!$I:$I,'2021'!$E:$E,Category!$B$246,'2021'!$N:$N,Category!Z$1,'2021'!$D:$D,Category!$C262)</f>
        <v>0</v>
      </c>
      <c r="AA262" s="398">
        <f>SUMIFS('2021'!$I:$I,'2021'!$E:$E,Category!$B$246,'2021'!$N:$N,Category!AA$1,'2021'!$D:$D,Category!$C262)</f>
        <v>0</v>
      </c>
      <c r="AB262" s="398">
        <f>SUMIFS('2021'!$I:$I,'2021'!$E:$E,Category!$B$246,'2021'!$N:$N,Category!AB$1,'2021'!$D:$D,Category!$C262)</f>
        <v>0</v>
      </c>
      <c r="AC262" s="398">
        <f>SUMIFS('2021'!$I:$I,'2021'!$E:$E,Category!$B$246,'2021'!$N:$N,Category!AC$1,'2021'!$D:$D,Category!$C262)</f>
        <v>0</v>
      </c>
      <c r="AD262" s="398">
        <f>SUMIFS('2021'!$I:$I,'2021'!$E:$E,Category!$B$246,'2021'!$N:$N,Category!AD$1,'2021'!$D:$D,Category!$C262)</f>
        <v>0</v>
      </c>
      <c r="AE262" s="398">
        <f>SUMIFS('2021'!$I:$I,'2021'!$E:$E,Category!$B$246,'2021'!$N:$N,Category!AE$1,'2021'!$D:$D,Category!$C262)</f>
        <v>0</v>
      </c>
      <c r="AF262" s="398">
        <f>SUMIFS('2021'!$I:$I,'2021'!$E:$E,Category!$B$246,'2021'!$N:$N,Category!AF$1,'2021'!$D:$D,Category!$C262)</f>
        <v>0</v>
      </c>
      <c r="AG262" s="398">
        <f>SUMIFS('2021'!$I:$I,'2021'!$E:$E,Category!$B$246,'2021'!$N:$N,Category!AG$1,'2021'!$D:$D,Category!$C262)</f>
        <v>0</v>
      </c>
      <c r="AH262" s="398">
        <f>SUMIFS('2021'!$I:$I,'2021'!$E:$E,Category!$B$246,'2021'!$N:$N,Category!AH$1,'2021'!$D:$D,Category!$C262)</f>
        <v>0</v>
      </c>
      <c r="AI262" s="398">
        <f>SUMIFS('2021'!$I:$I,'2021'!$E:$E,Category!$B$246,'2021'!$N:$N,Category!AI$1,'2021'!$D:$D,Category!$C262)</f>
        <v>0</v>
      </c>
      <c r="AJ262" s="398">
        <f>SUMIFS('2021'!$I:$I,'2021'!$E:$E,Category!$B$246,'2021'!$N:$N,Category!AJ$1,'2021'!$D:$D,Category!$C262)</f>
        <v>0</v>
      </c>
      <c r="AK262" s="398">
        <f>SUMIFS('2021'!$I:$I,'2021'!$E:$E,Category!$B$246,'2021'!$N:$N,Category!AK$1,'2021'!$D:$D,Category!$C262)</f>
        <v>0</v>
      </c>
      <c r="AL262" s="399">
        <f t="shared" si="106"/>
        <v>0</v>
      </c>
      <c r="AM262" s="509">
        <f>IFERROR(VLOOKUP(C262,'2022'!$D:$G,4,0),0)</f>
        <v>0</v>
      </c>
      <c r="AN262" s="398">
        <f>SUMIFS('2022'!$I:$I,'2022'!$E:$E,Category!$B$246,'2022'!$N:$N,Category!AN$1,'2022'!$D:$D,Category!$C262)</f>
        <v>0</v>
      </c>
      <c r="AO262" s="398">
        <f>SUMIFS('2022'!$I:$I,'2022'!$E:$E,Category!$B$246,'2022'!$N:$N,Category!AO$1,'2022'!$D:$D,Category!$C262)</f>
        <v>0</v>
      </c>
      <c r="AP262" s="398">
        <f>SUMIFS('2022'!$I:$I,'2022'!$E:$E,Category!$B$246,'2022'!$N:$N,Category!AP$1,'2022'!$D:$D,Category!$C262)</f>
        <v>0</v>
      </c>
      <c r="AQ262" s="398">
        <f>SUMIFS('2022'!$I:$I,'2022'!$E:$E,Category!$B$246,'2022'!$N:$N,Category!AQ$1,'2022'!$D:$D,Category!$C262)</f>
        <v>0</v>
      </c>
      <c r="AR262" s="398">
        <f>SUMIFS('2022'!$I:$I,'2022'!$E:$E,Category!$B$246,'2022'!$N:$N,Category!AR$1,'2022'!$D:$D,Category!$C262)</f>
        <v>0</v>
      </c>
      <c r="AS262" s="398">
        <f>SUMIFS('2022'!$I:$I,'2022'!$E:$E,Category!$B$246,'2022'!$N:$N,Category!AS$1,'2022'!$D:$D,Category!$C262)</f>
        <v>0</v>
      </c>
      <c r="AT262" s="398">
        <f>SUMIFS('2022'!$I:$I,'2022'!$E:$E,Category!$B$246,'2022'!$N:$N,Category!AT$1,'2022'!$D:$D,Category!$C262)</f>
        <v>0</v>
      </c>
      <c r="AU262" s="398">
        <f>SUMIFS('2022'!$I:$I,'2022'!$E:$E,Category!$B$246,'2022'!$N:$N,Category!AU$1,'2022'!$D:$D,Category!$C262)</f>
        <v>0</v>
      </c>
      <c r="AV262" s="398">
        <f>SUMIFS('2022'!$I:$I,'2022'!$E:$E,Category!$B$246,'2022'!$N:$N,Category!AV$1,'2022'!$D:$D,Category!$C262)</f>
        <v>442900</v>
      </c>
      <c r="AW262" s="398">
        <f>SUMIFS('2022'!$I:$I,'2022'!$E:$E,Category!$B$246,'2022'!$N:$N,Category!AW$1,'2022'!$D:$D,Category!$C262)</f>
        <v>0</v>
      </c>
      <c r="AX262" s="398">
        <f>SUMIFS('2022'!$I:$I,'2022'!$E:$E,Category!$B$246,'2022'!$N:$N,Category!AX$1,'2022'!$D:$D,Category!$C262)</f>
        <v>0</v>
      </c>
      <c r="AY262" s="398">
        <f>SUMIFS('2022'!$I:$I,'2022'!$E:$E,Category!$B$246,'2022'!$N:$N,Category!AY$1,'2022'!$D:$D,Category!$C262)</f>
        <v>0</v>
      </c>
      <c r="AZ262" s="399">
        <f t="shared" si="107"/>
        <v>442900</v>
      </c>
      <c r="BA262" s="509">
        <f>IFERROR(VLOOKUP(C262,'2023'!$D:$G,4,0),0)</f>
        <v>0</v>
      </c>
      <c r="BB262" s="398">
        <f>SUMIFS('2023'!$I:$I,'2023'!$E:$E,Category!$B$246,'2023'!$N:$N,Category!BB$1,'2023'!$D:$D,Category!$C262)</f>
        <v>0</v>
      </c>
      <c r="BC262" s="398">
        <f>SUMIFS('2023'!$I:$I,'2023'!$E:$E,Category!$B$246,'2023'!$N:$N,Category!BC$1,'2023'!$D:$D,Category!$C262)</f>
        <v>0</v>
      </c>
      <c r="BD262" s="398">
        <f>SUMIFS('2023'!$I:$I,'2023'!$E:$E,Category!$B$246,'2023'!$N:$N,Category!BD$1,'2023'!$D:$D,Category!$C262)</f>
        <v>0</v>
      </c>
      <c r="BE262" s="398">
        <f>SUMIFS('2023'!$I:$I,'2023'!$E:$E,Category!$B$246,'2023'!$N:$N,Category!BE$1,'2023'!$D:$D,Category!$C262)</f>
        <v>0</v>
      </c>
      <c r="BF262" s="398">
        <f>SUMIFS('2023'!$I:$I,'2023'!$E:$E,Category!$B$246,'2023'!$N:$N,Category!BF$1,'2023'!$D:$D,Category!$C262)</f>
        <v>0</v>
      </c>
      <c r="BG262" s="398">
        <f>SUMIFS('2023'!$I:$I,'2023'!$E:$E,Category!$B$246,'2023'!$N:$N,Category!BG$1,'2023'!$D:$D,Category!$C262)</f>
        <v>0</v>
      </c>
      <c r="BH262" s="398">
        <f>SUMIFS('2023'!$I:$I,'2023'!$E:$E,Category!$B$246,'2023'!$N:$N,Category!BH$1,'2023'!$D:$D,Category!$C262)</f>
        <v>0</v>
      </c>
      <c r="BI262" s="398">
        <f>SUMIFS('2023'!$I:$I,'2023'!$E:$E,Category!$B$246,'2023'!$N:$N,Category!BI$1,'2023'!$D:$D,Category!$C262)</f>
        <v>0</v>
      </c>
      <c r="BJ262" s="398">
        <f>SUMIFS('2023'!$I:$I,'2023'!$E:$E,Category!$B$246,'2023'!$N:$N,Category!BJ$1,'2023'!$D:$D,Category!$C262)</f>
        <v>0</v>
      </c>
      <c r="BK262" s="398">
        <f>SUMIFS('2023'!$I:$I,'2023'!$E:$E,Category!$B$246,'2023'!$N:$N,Category!BK$1,'2023'!$D:$D,Category!$C262)</f>
        <v>0</v>
      </c>
      <c r="BL262" s="398">
        <f>SUMIFS('2023'!$I:$I,'2023'!$E:$E,Category!$B$246,'2023'!$N:$N,Category!BL$1,'2023'!$D:$D,Category!$C262)</f>
        <v>0</v>
      </c>
      <c r="BM262" s="398">
        <f>SUMIFS('2023'!$I:$I,'2023'!$E:$E,Category!$B$246,'2023'!$N:$N,Category!BM$1,'2023'!$D:$D,Category!$C262)</f>
        <v>0</v>
      </c>
      <c r="BN262" s="399">
        <f t="shared" si="101"/>
        <v>0</v>
      </c>
    </row>
    <row r="263" spans="1:66" ht="21" customHeight="1" x14ac:dyDescent="0.3">
      <c r="A263" s="400"/>
      <c r="B263" s="397"/>
      <c r="C263" s="397" t="s">
        <v>1570</v>
      </c>
      <c r="D263" s="526">
        <f>IFERROR(VLOOKUP($C263,'2019'!$D:$G,4,0),0)</f>
        <v>0</v>
      </c>
      <c r="E263" s="398">
        <f>SUMIFS('2019'!$I:$I,'2019'!$E:$E,Category!$B$246,'2019'!$N:$N,Category!E$1,'2019'!$D:$D,Category!$C263)</f>
        <v>0</v>
      </c>
      <c r="F263" s="398">
        <f>SUMIFS('2019'!$I:$I,'2019'!$E:$E,Category!$B$246,'2019'!$N:$N,Category!F$1,'2019'!$D:$D,Category!$C263)</f>
        <v>0</v>
      </c>
      <c r="G263" s="398">
        <f>SUMIFS('2019'!$I:$I,'2019'!$E:$E,Category!$B$246,'2019'!$N:$N,Category!G$1,'2019'!$D:$D,Category!$C263)</f>
        <v>0</v>
      </c>
      <c r="H263" s="398">
        <f>SUMIFS('2019'!$I:$I,'2019'!$E:$E,Category!$B$246,'2019'!$N:$N,Category!H$1,'2019'!$D:$D,Category!$C263)</f>
        <v>0</v>
      </c>
      <c r="I263" s="398">
        <f>SUMIFS('2019'!$I:$I,'2019'!$E:$E,Category!$B$246,'2019'!$N:$N,Category!I$1,'2019'!$D:$D,Category!$C263)</f>
        <v>0</v>
      </c>
      <c r="J263" s="399">
        <f t="shared" si="104"/>
        <v>0</v>
      </c>
      <c r="K263" s="509">
        <f>IFERROR(VLOOKUP($C263,'2020'!$D:$G,4,0),0)</f>
        <v>0</v>
      </c>
      <c r="L263" s="398">
        <f>SUMIFS('2020'!$I:$I,'2020'!$E:$E,Category!$B$246,'2020'!$N:$N,Category!L$1,'2020'!$D:$D,Category!$C263)</f>
        <v>0</v>
      </c>
      <c r="M263" s="398">
        <f>SUMIFS('2020'!$I:$I,'2020'!$E:$E,Category!$B$246,'2020'!$N:$N,Category!M$1,'2020'!$D:$D,Category!$C263)</f>
        <v>0</v>
      </c>
      <c r="N263" s="398">
        <f>SUMIFS('2020'!$I:$I,'2020'!$E:$E,Category!$B$246,'2020'!$N:$N,Category!N$1,'2020'!$D:$D,Category!$C263)</f>
        <v>0</v>
      </c>
      <c r="O263" s="398">
        <f>SUMIFS('2020'!$I:$I,'2020'!$E:$E,Category!$B$246,'2020'!$N:$N,Category!O$1,'2020'!$D:$D,Category!$C263)</f>
        <v>0</v>
      </c>
      <c r="P263" s="398">
        <f>SUMIFS('2020'!$I:$I,'2020'!$E:$E,Category!$B$246,'2020'!$N:$N,Category!P$1,'2020'!$D:$D,Category!$C263)</f>
        <v>0</v>
      </c>
      <c r="Q263" s="398">
        <f>SUMIFS('2020'!$I:$I,'2020'!$E:$E,Category!$B$246,'2020'!$N:$N,Category!Q$1,'2020'!$D:$D,Category!$C263)</f>
        <v>0</v>
      </c>
      <c r="R263" s="398">
        <f>SUMIFS('2020'!$I:$I,'2020'!$E:$E,Category!$B$246,'2020'!$N:$N,Category!R$1,'2020'!$D:$D,Category!$C263)</f>
        <v>0</v>
      </c>
      <c r="S263" s="398">
        <f>SUMIFS('2020'!$I:$I,'2020'!$E:$E,Category!$B$246,'2020'!$N:$N,Category!S$1,'2020'!$D:$D,Category!$C263)</f>
        <v>0</v>
      </c>
      <c r="T263" s="398">
        <f>SUMIFS('2020'!$I:$I,'2020'!$E:$E,Category!$B$246,'2020'!$N:$N,Category!T$1,'2020'!$D:$D,Category!$C263)</f>
        <v>0</v>
      </c>
      <c r="U263" s="398">
        <f>SUMIFS('2020'!$I:$I,'2020'!$E:$E,Category!$B$246,'2020'!$N:$N,Category!U$1,'2020'!$D:$D,Category!$C263)</f>
        <v>0</v>
      </c>
      <c r="V263" s="398">
        <f>SUMIFS('2020'!$I:$I,'2020'!$E:$E,Category!$B$246,'2020'!$N:$N,Category!V$1,'2020'!$D:$D,Category!$C263)</f>
        <v>0</v>
      </c>
      <c r="W263" s="398">
        <f>SUMIFS('2020'!$I:$I,'2020'!$E:$E,Category!$B$246,'2020'!$N:$N,Category!W$1,'2020'!$D:$D,Category!$C263)</f>
        <v>0</v>
      </c>
      <c r="X263" s="399">
        <f t="shared" si="105"/>
        <v>0</v>
      </c>
      <c r="Y263" s="509">
        <f>IFERROR(VLOOKUP(C263,'2021'!$D:$G,4,0),0)</f>
        <v>0</v>
      </c>
      <c r="Z263" s="398">
        <f>SUMIFS('2021'!$I:$I,'2021'!$E:$E,Category!$B$246,'2021'!$N:$N,Category!Z$1,'2021'!$D:$D,Category!$C263)</f>
        <v>0</v>
      </c>
      <c r="AA263" s="398">
        <f>SUMIFS('2021'!$I:$I,'2021'!$E:$E,Category!$B$246,'2021'!$N:$N,Category!AA$1,'2021'!$D:$D,Category!$C263)</f>
        <v>0</v>
      </c>
      <c r="AB263" s="398">
        <f>SUMIFS('2021'!$I:$I,'2021'!$E:$E,Category!$B$246,'2021'!$N:$N,Category!AB$1,'2021'!$D:$D,Category!$C263)</f>
        <v>0</v>
      </c>
      <c r="AC263" s="398">
        <f>SUMIFS('2021'!$I:$I,'2021'!$E:$E,Category!$B$246,'2021'!$N:$N,Category!AC$1,'2021'!$D:$D,Category!$C263)</f>
        <v>0</v>
      </c>
      <c r="AD263" s="398">
        <f>SUMIFS('2021'!$I:$I,'2021'!$E:$E,Category!$B$246,'2021'!$N:$N,Category!AD$1,'2021'!$D:$D,Category!$C263)</f>
        <v>0</v>
      </c>
      <c r="AE263" s="398">
        <f>SUMIFS('2021'!$I:$I,'2021'!$E:$E,Category!$B$246,'2021'!$N:$N,Category!AE$1,'2021'!$D:$D,Category!$C263)</f>
        <v>0</v>
      </c>
      <c r="AF263" s="398">
        <f>SUMIFS('2021'!$I:$I,'2021'!$E:$E,Category!$B$246,'2021'!$N:$N,Category!AF$1,'2021'!$D:$D,Category!$C263)</f>
        <v>0</v>
      </c>
      <c r="AG263" s="398">
        <f>SUMIFS('2021'!$I:$I,'2021'!$E:$E,Category!$B$246,'2021'!$N:$N,Category!AG$1,'2021'!$D:$D,Category!$C263)</f>
        <v>0</v>
      </c>
      <c r="AH263" s="398">
        <f>SUMIFS('2021'!$I:$I,'2021'!$E:$E,Category!$B$246,'2021'!$N:$N,Category!AH$1,'2021'!$D:$D,Category!$C263)</f>
        <v>0</v>
      </c>
      <c r="AI263" s="398">
        <f>SUMIFS('2021'!$I:$I,'2021'!$E:$E,Category!$B$246,'2021'!$N:$N,Category!AI$1,'2021'!$D:$D,Category!$C263)</f>
        <v>0</v>
      </c>
      <c r="AJ263" s="398">
        <f>SUMIFS('2021'!$I:$I,'2021'!$E:$E,Category!$B$246,'2021'!$N:$N,Category!AJ$1,'2021'!$D:$D,Category!$C263)</f>
        <v>0</v>
      </c>
      <c r="AK263" s="398">
        <f>SUMIFS('2021'!$I:$I,'2021'!$E:$E,Category!$B$246,'2021'!$N:$N,Category!AK$1,'2021'!$D:$D,Category!$C263)</f>
        <v>0</v>
      </c>
      <c r="AL263" s="399">
        <f t="shared" si="106"/>
        <v>0</v>
      </c>
      <c r="AM263" s="509">
        <f>IFERROR(VLOOKUP(C263,'2022'!$D:$G,4,0),0)</f>
        <v>0</v>
      </c>
      <c r="AN263" s="398">
        <f>SUMIFS('2022'!$I:$I,'2022'!$E:$E,Category!$B$246,'2022'!$N:$N,Category!AN$1,'2022'!$D:$D,Category!$C263)</f>
        <v>0</v>
      </c>
      <c r="AO263" s="398">
        <f>SUMIFS('2022'!$I:$I,'2022'!$E:$E,Category!$B$246,'2022'!$N:$N,Category!AO$1,'2022'!$D:$D,Category!$C263)</f>
        <v>0</v>
      </c>
      <c r="AP263" s="398">
        <f>SUMIFS('2022'!$I:$I,'2022'!$E:$E,Category!$B$246,'2022'!$N:$N,Category!AP$1,'2022'!$D:$D,Category!$C263)</f>
        <v>0</v>
      </c>
      <c r="AQ263" s="398">
        <f>SUMIFS('2022'!$I:$I,'2022'!$E:$E,Category!$B$246,'2022'!$N:$N,Category!AQ$1,'2022'!$D:$D,Category!$C263)</f>
        <v>0</v>
      </c>
      <c r="AR263" s="398">
        <f>SUMIFS('2022'!$I:$I,'2022'!$E:$E,Category!$B$246,'2022'!$N:$N,Category!AR$1,'2022'!$D:$D,Category!$C263)</f>
        <v>0</v>
      </c>
      <c r="AS263" s="398">
        <f>SUMIFS('2022'!$I:$I,'2022'!$E:$E,Category!$B$246,'2022'!$N:$N,Category!AS$1,'2022'!$D:$D,Category!$C263)</f>
        <v>0</v>
      </c>
      <c r="AT263" s="398">
        <f>SUMIFS('2022'!$I:$I,'2022'!$E:$E,Category!$B$246,'2022'!$N:$N,Category!AT$1,'2022'!$D:$D,Category!$C263)</f>
        <v>0</v>
      </c>
      <c r="AU263" s="398">
        <f>SUMIFS('2022'!$I:$I,'2022'!$E:$E,Category!$B$246,'2022'!$N:$N,Category!AU$1,'2022'!$D:$D,Category!$C263)</f>
        <v>0</v>
      </c>
      <c r="AV263" s="398">
        <f>SUMIFS('2022'!$I:$I,'2022'!$E:$E,Category!$B$246,'2022'!$N:$N,Category!AV$1,'2022'!$D:$D,Category!$C263)</f>
        <v>0</v>
      </c>
      <c r="AW263" s="398">
        <f>SUMIFS('2022'!$I:$I,'2022'!$E:$E,Category!$B$246,'2022'!$N:$N,Category!AW$1,'2022'!$D:$D,Category!$C263)</f>
        <v>930000</v>
      </c>
      <c r="AX263" s="398">
        <f>SUMIFS('2022'!$I:$I,'2022'!$E:$E,Category!$B$246,'2022'!$N:$N,Category!AX$1,'2022'!$D:$D,Category!$C263)</f>
        <v>0</v>
      </c>
      <c r="AY263" s="398">
        <f>SUMIFS('2022'!$I:$I,'2022'!$E:$E,Category!$B$246,'2022'!$N:$N,Category!AY$1,'2022'!$D:$D,Category!$C263)</f>
        <v>0</v>
      </c>
      <c r="AZ263" s="399">
        <f t="shared" si="107"/>
        <v>930000</v>
      </c>
      <c r="BA263" s="509">
        <f>IFERROR(VLOOKUP(C263,'2023'!$D:$G,4,0),0)</f>
        <v>0</v>
      </c>
      <c r="BB263" s="398">
        <f>SUMIFS('2023'!$I:$I,'2023'!$E:$E,Category!$B$246,'2023'!$N:$N,Category!BB$1,'2023'!$D:$D,Category!$C263)</f>
        <v>0</v>
      </c>
      <c r="BC263" s="398">
        <f>SUMIFS('2023'!$I:$I,'2023'!$E:$E,Category!$B$246,'2023'!$N:$N,Category!BC$1,'2023'!$D:$D,Category!$C263)</f>
        <v>0</v>
      </c>
      <c r="BD263" s="398">
        <f>SUMIFS('2023'!$I:$I,'2023'!$E:$E,Category!$B$246,'2023'!$N:$N,Category!BD$1,'2023'!$D:$D,Category!$C263)</f>
        <v>0</v>
      </c>
      <c r="BE263" s="398">
        <f>SUMIFS('2023'!$I:$I,'2023'!$E:$E,Category!$B$246,'2023'!$N:$N,Category!BE$1,'2023'!$D:$D,Category!$C263)</f>
        <v>0</v>
      </c>
      <c r="BF263" s="398">
        <f>SUMIFS('2023'!$I:$I,'2023'!$E:$E,Category!$B$246,'2023'!$N:$N,Category!BF$1,'2023'!$D:$D,Category!$C263)</f>
        <v>0</v>
      </c>
      <c r="BG263" s="398">
        <f>SUMIFS('2023'!$I:$I,'2023'!$E:$E,Category!$B$246,'2023'!$N:$N,Category!BG$1,'2023'!$D:$D,Category!$C263)</f>
        <v>0</v>
      </c>
      <c r="BH263" s="398">
        <f>SUMIFS('2023'!$I:$I,'2023'!$E:$E,Category!$B$246,'2023'!$N:$N,Category!BH$1,'2023'!$D:$D,Category!$C263)</f>
        <v>0</v>
      </c>
      <c r="BI263" s="398">
        <f>SUMIFS('2023'!$I:$I,'2023'!$E:$E,Category!$B$246,'2023'!$N:$N,Category!BI$1,'2023'!$D:$D,Category!$C263)</f>
        <v>0</v>
      </c>
      <c r="BJ263" s="398">
        <f>SUMIFS('2023'!$I:$I,'2023'!$E:$E,Category!$B$246,'2023'!$N:$N,Category!BJ$1,'2023'!$D:$D,Category!$C263)</f>
        <v>0</v>
      </c>
      <c r="BK263" s="398">
        <f>SUMIFS('2023'!$I:$I,'2023'!$E:$E,Category!$B$246,'2023'!$N:$N,Category!BK$1,'2023'!$D:$D,Category!$C263)</f>
        <v>0</v>
      </c>
      <c r="BL263" s="398">
        <f>SUMIFS('2023'!$I:$I,'2023'!$E:$E,Category!$B$246,'2023'!$N:$N,Category!BL$1,'2023'!$D:$D,Category!$C263)</f>
        <v>0</v>
      </c>
      <c r="BM263" s="398">
        <f>SUMIFS('2023'!$I:$I,'2023'!$E:$E,Category!$B$246,'2023'!$N:$N,Category!BM$1,'2023'!$D:$D,Category!$C263)</f>
        <v>0</v>
      </c>
      <c r="BN263" s="399">
        <f t="shared" si="101"/>
        <v>0</v>
      </c>
    </row>
    <row r="264" spans="1:66" ht="21" customHeight="1" x14ac:dyDescent="0.3">
      <c r="A264" s="400"/>
      <c r="B264" s="397"/>
      <c r="C264" s="397" t="s">
        <v>1554</v>
      </c>
      <c r="D264" s="526">
        <f>IFERROR(VLOOKUP($C264,'2019'!$D:$G,4,0),0)</f>
        <v>0</v>
      </c>
      <c r="E264" s="398">
        <f>SUMIFS('2019'!$I:$I,'2019'!$E:$E,Category!$B$246,'2019'!$N:$N,Category!E$1,'2019'!$D:$D,Category!$C264)</f>
        <v>0</v>
      </c>
      <c r="F264" s="398">
        <f>SUMIFS('2019'!$I:$I,'2019'!$E:$E,Category!$B$246,'2019'!$N:$N,Category!F$1,'2019'!$D:$D,Category!$C264)</f>
        <v>0</v>
      </c>
      <c r="G264" s="398">
        <f>SUMIFS('2019'!$I:$I,'2019'!$E:$E,Category!$B$246,'2019'!$N:$N,Category!G$1,'2019'!$D:$D,Category!$C264)</f>
        <v>0</v>
      </c>
      <c r="H264" s="398">
        <f>SUMIFS('2019'!$I:$I,'2019'!$E:$E,Category!$B$246,'2019'!$N:$N,Category!H$1,'2019'!$D:$D,Category!$C264)</f>
        <v>0</v>
      </c>
      <c r="I264" s="398">
        <f>SUMIFS('2019'!$I:$I,'2019'!$E:$E,Category!$B$246,'2019'!$N:$N,Category!I$1,'2019'!$D:$D,Category!$C264)</f>
        <v>0</v>
      </c>
      <c r="J264" s="399">
        <f t="shared" si="104"/>
        <v>0</v>
      </c>
      <c r="K264" s="509">
        <f>IFERROR(VLOOKUP($C264,'2020'!$D:$G,4,0),0)</f>
        <v>0</v>
      </c>
      <c r="L264" s="398">
        <f>SUMIFS('2020'!$I:$I,'2020'!$E:$E,Category!$B$246,'2020'!$N:$N,Category!L$1,'2020'!$D:$D,Category!$C264)</f>
        <v>0</v>
      </c>
      <c r="M264" s="398">
        <f>SUMIFS('2020'!$I:$I,'2020'!$E:$E,Category!$B$246,'2020'!$N:$N,Category!M$1,'2020'!$D:$D,Category!$C264)</f>
        <v>0</v>
      </c>
      <c r="N264" s="398">
        <f>SUMIFS('2020'!$I:$I,'2020'!$E:$E,Category!$B$246,'2020'!$N:$N,Category!N$1,'2020'!$D:$D,Category!$C264)</f>
        <v>0</v>
      </c>
      <c r="O264" s="398">
        <f>SUMIFS('2020'!$I:$I,'2020'!$E:$E,Category!$B$246,'2020'!$N:$N,Category!O$1,'2020'!$D:$D,Category!$C264)</f>
        <v>0</v>
      </c>
      <c r="P264" s="398">
        <f>SUMIFS('2020'!$I:$I,'2020'!$E:$E,Category!$B$246,'2020'!$N:$N,Category!P$1,'2020'!$D:$D,Category!$C264)</f>
        <v>0</v>
      </c>
      <c r="Q264" s="398">
        <f>SUMIFS('2020'!$I:$I,'2020'!$E:$E,Category!$B$246,'2020'!$N:$N,Category!Q$1,'2020'!$D:$D,Category!$C264)</f>
        <v>0</v>
      </c>
      <c r="R264" s="398">
        <f>SUMIFS('2020'!$I:$I,'2020'!$E:$E,Category!$B$246,'2020'!$N:$N,Category!R$1,'2020'!$D:$D,Category!$C264)</f>
        <v>0</v>
      </c>
      <c r="S264" s="398">
        <f>SUMIFS('2020'!$I:$I,'2020'!$E:$E,Category!$B$246,'2020'!$N:$N,Category!S$1,'2020'!$D:$D,Category!$C264)</f>
        <v>0</v>
      </c>
      <c r="T264" s="398">
        <f>SUMIFS('2020'!$I:$I,'2020'!$E:$E,Category!$B$246,'2020'!$N:$N,Category!T$1,'2020'!$D:$D,Category!$C264)</f>
        <v>0</v>
      </c>
      <c r="U264" s="398">
        <f>SUMIFS('2020'!$I:$I,'2020'!$E:$E,Category!$B$246,'2020'!$N:$N,Category!U$1,'2020'!$D:$D,Category!$C264)</f>
        <v>0</v>
      </c>
      <c r="V264" s="398">
        <f>SUMIFS('2020'!$I:$I,'2020'!$E:$E,Category!$B$246,'2020'!$N:$N,Category!V$1,'2020'!$D:$D,Category!$C264)</f>
        <v>0</v>
      </c>
      <c r="W264" s="398">
        <f>SUMIFS('2020'!$I:$I,'2020'!$E:$E,Category!$B$246,'2020'!$N:$N,Category!W$1,'2020'!$D:$D,Category!$C264)</f>
        <v>0</v>
      </c>
      <c r="X264" s="399">
        <f t="shared" si="105"/>
        <v>0</v>
      </c>
      <c r="Y264" s="509">
        <f>IFERROR(VLOOKUP(C264,'2021'!$D:$G,4,0),0)</f>
        <v>0</v>
      </c>
      <c r="Z264" s="398">
        <f>SUMIFS('2021'!$I:$I,'2021'!$E:$E,Category!$B$246,'2021'!$N:$N,Category!Z$1,'2021'!$D:$D,Category!$C264)</f>
        <v>0</v>
      </c>
      <c r="AA264" s="398">
        <f>SUMIFS('2021'!$I:$I,'2021'!$E:$E,Category!$B$246,'2021'!$N:$N,Category!AA$1,'2021'!$D:$D,Category!$C264)</f>
        <v>0</v>
      </c>
      <c r="AB264" s="398">
        <f>SUMIFS('2021'!$I:$I,'2021'!$E:$E,Category!$B$246,'2021'!$N:$N,Category!AB$1,'2021'!$D:$D,Category!$C264)</f>
        <v>0</v>
      </c>
      <c r="AC264" s="398">
        <f>SUMIFS('2021'!$I:$I,'2021'!$E:$E,Category!$B$246,'2021'!$N:$N,Category!AC$1,'2021'!$D:$D,Category!$C264)</f>
        <v>0</v>
      </c>
      <c r="AD264" s="398">
        <f>SUMIFS('2021'!$I:$I,'2021'!$E:$E,Category!$B$246,'2021'!$N:$N,Category!AD$1,'2021'!$D:$D,Category!$C264)</f>
        <v>0</v>
      </c>
      <c r="AE264" s="398">
        <f>SUMIFS('2021'!$I:$I,'2021'!$E:$E,Category!$B$246,'2021'!$N:$N,Category!AE$1,'2021'!$D:$D,Category!$C264)</f>
        <v>0</v>
      </c>
      <c r="AF264" s="398">
        <f>SUMIFS('2021'!$I:$I,'2021'!$E:$E,Category!$B$246,'2021'!$N:$N,Category!AF$1,'2021'!$D:$D,Category!$C264)</f>
        <v>0</v>
      </c>
      <c r="AG264" s="398">
        <f>SUMIFS('2021'!$I:$I,'2021'!$E:$E,Category!$B$246,'2021'!$N:$N,Category!AG$1,'2021'!$D:$D,Category!$C264)</f>
        <v>0</v>
      </c>
      <c r="AH264" s="398">
        <f>SUMIFS('2021'!$I:$I,'2021'!$E:$E,Category!$B$246,'2021'!$N:$N,Category!AH$1,'2021'!$D:$D,Category!$C264)</f>
        <v>0</v>
      </c>
      <c r="AI264" s="398">
        <f>SUMIFS('2021'!$I:$I,'2021'!$E:$E,Category!$B$246,'2021'!$N:$N,Category!AI$1,'2021'!$D:$D,Category!$C264)</f>
        <v>0</v>
      </c>
      <c r="AJ264" s="398">
        <f>SUMIFS('2021'!$I:$I,'2021'!$E:$E,Category!$B$246,'2021'!$N:$N,Category!AJ$1,'2021'!$D:$D,Category!$C264)</f>
        <v>0</v>
      </c>
      <c r="AK264" s="398">
        <f>SUMIFS('2021'!$I:$I,'2021'!$E:$E,Category!$B$246,'2021'!$N:$N,Category!AK$1,'2021'!$D:$D,Category!$C264)</f>
        <v>0</v>
      </c>
      <c r="AL264" s="399">
        <f t="shared" si="106"/>
        <v>0</v>
      </c>
      <c r="AM264" s="509">
        <f>IFERROR(VLOOKUP(C264,'2022'!$D:$G,4,0),0)</f>
        <v>0</v>
      </c>
      <c r="AN264" s="398">
        <f>SUMIFS('2022'!$I:$I,'2022'!$E:$E,Category!$B$246,'2022'!$N:$N,Category!AN$1,'2022'!$D:$D,Category!$C264)</f>
        <v>0</v>
      </c>
      <c r="AO264" s="398">
        <f>SUMIFS('2022'!$I:$I,'2022'!$E:$E,Category!$B$246,'2022'!$N:$N,Category!AO$1,'2022'!$D:$D,Category!$C264)</f>
        <v>0</v>
      </c>
      <c r="AP264" s="398">
        <f>SUMIFS('2022'!$I:$I,'2022'!$E:$E,Category!$B$246,'2022'!$N:$N,Category!AP$1,'2022'!$D:$D,Category!$C264)</f>
        <v>0</v>
      </c>
      <c r="AQ264" s="398">
        <f>SUMIFS('2022'!$I:$I,'2022'!$E:$E,Category!$B$246,'2022'!$N:$N,Category!AQ$1,'2022'!$D:$D,Category!$C264)</f>
        <v>0</v>
      </c>
      <c r="AR264" s="398">
        <f>SUMIFS('2022'!$I:$I,'2022'!$E:$E,Category!$B$246,'2022'!$N:$N,Category!AR$1,'2022'!$D:$D,Category!$C264)</f>
        <v>0</v>
      </c>
      <c r="AS264" s="398">
        <f>SUMIFS('2022'!$I:$I,'2022'!$E:$E,Category!$B$246,'2022'!$N:$N,Category!AS$1,'2022'!$D:$D,Category!$C264)</f>
        <v>0</v>
      </c>
      <c r="AT264" s="398">
        <f>SUMIFS('2022'!$I:$I,'2022'!$E:$E,Category!$B$246,'2022'!$N:$N,Category!AT$1,'2022'!$D:$D,Category!$C264)</f>
        <v>0</v>
      </c>
      <c r="AU264" s="398">
        <f>SUMIFS('2022'!$I:$I,'2022'!$E:$E,Category!$B$246,'2022'!$N:$N,Category!AU$1,'2022'!$D:$D,Category!$C264)</f>
        <v>0</v>
      </c>
      <c r="AV264" s="398">
        <f>SUMIFS('2022'!$I:$I,'2022'!$E:$E,Category!$B$246,'2022'!$N:$N,Category!AV$1,'2022'!$D:$D,Category!$C264)</f>
        <v>33300000</v>
      </c>
      <c r="AW264" s="398">
        <f>SUMIFS('2022'!$I:$I,'2022'!$E:$E,Category!$B$246,'2022'!$N:$N,Category!AW$1,'2022'!$D:$D,Category!$C264)</f>
        <v>0</v>
      </c>
      <c r="AX264" s="398">
        <f>SUMIFS('2022'!$I:$I,'2022'!$E:$E,Category!$B$246,'2022'!$N:$N,Category!AX$1,'2022'!$D:$D,Category!$C264)</f>
        <v>0</v>
      </c>
      <c r="AY264" s="398">
        <f>SUMIFS('2022'!$I:$I,'2022'!$E:$E,Category!$B$246,'2022'!$N:$N,Category!AY$1,'2022'!$D:$D,Category!$C264)</f>
        <v>0</v>
      </c>
      <c r="AZ264" s="399">
        <f t="shared" si="107"/>
        <v>33300000</v>
      </c>
      <c r="BA264" s="509">
        <f>IFERROR(VLOOKUP(C264,'2023'!$D:$G,4,0),0)</f>
        <v>0</v>
      </c>
      <c r="BB264" s="398">
        <f>SUMIFS('2023'!$I:$I,'2023'!$E:$E,Category!$B$246,'2023'!$N:$N,Category!BB$1,'2023'!$D:$D,Category!$C264)</f>
        <v>0</v>
      </c>
      <c r="BC264" s="398">
        <f>SUMIFS('2023'!$I:$I,'2023'!$E:$E,Category!$B$246,'2023'!$N:$N,Category!BC$1,'2023'!$D:$D,Category!$C264)</f>
        <v>0</v>
      </c>
      <c r="BD264" s="398">
        <f>SUMIFS('2023'!$I:$I,'2023'!$E:$E,Category!$B$246,'2023'!$N:$N,Category!BD$1,'2023'!$D:$D,Category!$C264)</f>
        <v>0</v>
      </c>
      <c r="BE264" s="398">
        <f>SUMIFS('2023'!$I:$I,'2023'!$E:$E,Category!$B$246,'2023'!$N:$N,Category!BE$1,'2023'!$D:$D,Category!$C264)</f>
        <v>0</v>
      </c>
      <c r="BF264" s="398">
        <f>SUMIFS('2023'!$I:$I,'2023'!$E:$E,Category!$B$246,'2023'!$N:$N,Category!BF$1,'2023'!$D:$D,Category!$C264)</f>
        <v>0</v>
      </c>
      <c r="BG264" s="398">
        <f>SUMIFS('2023'!$I:$I,'2023'!$E:$E,Category!$B$246,'2023'!$N:$N,Category!BG$1,'2023'!$D:$D,Category!$C264)</f>
        <v>0</v>
      </c>
      <c r="BH264" s="398">
        <f>SUMIFS('2023'!$I:$I,'2023'!$E:$E,Category!$B$246,'2023'!$N:$N,Category!BH$1,'2023'!$D:$D,Category!$C264)</f>
        <v>0</v>
      </c>
      <c r="BI264" s="398">
        <f>SUMIFS('2023'!$I:$I,'2023'!$E:$E,Category!$B$246,'2023'!$N:$N,Category!BI$1,'2023'!$D:$D,Category!$C264)</f>
        <v>0</v>
      </c>
      <c r="BJ264" s="398">
        <f>SUMIFS('2023'!$I:$I,'2023'!$E:$E,Category!$B$246,'2023'!$N:$N,Category!BJ$1,'2023'!$D:$D,Category!$C264)</f>
        <v>0</v>
      </c>
      <c r="BK264" s="398">
        <f>SUMIFS('2023'!$I:$I,'2023'!$E:$E,Category!$B$246,'2023'!$N:$N,Category!BK$1,'2023'!$D:$D,Category!$C264)</f>
        <v>0</v>
      </c>
      <c r="BL264" s="398">
        <f>SUMIFS('2023'!$I:$I,'2023'!$E:$E,Category!$B$246,'2023'!$N:$N,Category!BL$1,'2023'!$D:$D,Category!$C264)</f>
        <v>0</v>
      </c>
      <c r="BM264" s="398">
        <f>SUMIFS('2023'!$I:$I,'2023'!$E:$E,Category!$B$246,'2023'!$N:$N,Category!BM$1,'2023'!$D:$D,Category!$C264)</f>
        <v>0</v>
      </c>
      <c r="BN264" s="399">
        <f t="shared" si="101"/>
        <v>0</v>
      </c>
    </row>
    <row r="265" spans="1:66" ht="21" customHeight="1" x14ac:dyDescent="0.3">
      <c r="A265" s="400"/>
      <c r="B265" s="397"/>
      <c r="C265" s="397" t="s">
        <v>1558</v>
      </c>
      <c r="D265" s="526">
        <f>IFERROR(VLOOKUP($C265,'2019'!$D:$G,4,0),0)</f>
        <v>0</v>
      </c>
      <c r="E265" s="398">
        <f>SUMIFS('2019'!$I:$I,'2019'!$E:$E,Category!$B$246,'2019'!$N:$N,Category!E$1,'2019'!$D:$D,Category!$C265)</f>
        <v>0</v>
      </c>
      <c r="F265" s="398">
        <f>SUMIFS('2019'!$I:$I,'2019'!$E:$E,Category!$B$246,'2019'!$N:$N,Category!F$1,'2019'!$D:$D,Category!$C265)</f>
        <v>0</v>
      </c>
      <c r="G265" s="398">
        <f>SUMIFS('2019'!$I:$I,'2019'!$E:$E,Category!$B$246,'2019'!$N:$N,Category!G$1,'2019'!$D:$D,Category!$C265)</f>
        <v>0</v>
      </c>
      <c r="H265" s="398">
        <f>SUMIFS('2019'!$I:$I,'2019'!$E:$E,Category!$B$246,'2019'!$N:$N,Category!H$1,'2019'!$D:$D,Category!$C265)</f>
        <v>0</v>
      </c>
      <c r="I265" s="398">
        <f>SUMIFS('2019'!$I:$I,'2019'!$E:$E,Category!$B$246,'2019'!$N:$N,Category!I$1,'2019'!$D:$D,Category!$C265)</f>
        <v>0</v>
      </c>
      <c r="J265" s="399">
        <f t="shared" si="104"/>
        <v>0</v>
      </c>
      <c r="K265" s="509">
        <f>IFERROR(VLOOKUP($C265,'2020'!$D:$G,4,0),0)</f>
        <v>0</v>
      </c>
      <c r="L265" s="398">
        <f>SUMIFS('2020'!$I:$I,'2020'!$E:$E,Category!$B$246,'2020'!$N:$N,Category!L$1,'2020'!$D:$D,Category!$C265)</f>
        <v>0</v>
      </c>
      <c r="M265" s="398">
        <f>SUMIFS('2020'!$I:$I,'2020'!$E:$E,Category!$B$246,'2020'!$N:$N,Category!M$1,'2020'!$D:$D,Category!$C265)</f>
        <v>0</v>
      </c>
      <c r="N265" s="398">
        <f>SUMIFS('2020'!$I:$I,'2020'!$E:$E,Category!$B$246,'2020'!$N:$N,Category!N$1,'2020'!$D:$D,Category!$C265)</f>
        <v>0</v>
      </c>
      <c r="O265" s="398">
        <f>SUMIFS('2020'!$I:$I,'2020'!$E:$E,Category!$B$246,'2020'!$N:$N,Category!O$1,'2020'!$D:$D,Category!$C265)</f>
        <v>0</v>
      </c>
      <c r="P265" s="398">
        <f>SUMIFS('2020'!$I:$I,'2020'!$E:$E,Category!$B$246,'2020'!$N:$N,Category!P$1,'2020'!$D:$D,Category!$C265)</f>
        <v>0</v>
      </c>
      <c r="Q265" s="398">
        <f>SUMIFS('2020'!$I:$I,'2020'!$E:$E,Category!$B$246,'2020'!$N:$N,Category!Q$1,'2020'!$D:$D,Category!$C265)</f>
        <v>0</v>
      </c>
      <c r="R265" s="398">
        <f>SUMIFS('2020'!$I:$I,'2020'!$E:$E,Category!$B$246,'2020'!$N:$N,Category!R$1,'2020'!$D:$D,Category!$C265)</f>
        <v>0</v>
      </c>
      <c r="S265" s="398">
        <f>SUMIFS('2020'!$I:$I,'2020'!$E:$E,Category!$B$246,'2020'!$N:$N,Category!S$1,'2020'!$D:$D,Category!$C265)</f>
        <v>0</v>
      </c>
      <c r="T265" s="398">
        <f>SUMIFS('2020'!$I:$I,'2020'!$E:$E,Category!$B$246,'2020'!$N:$N,Category!T$1,'2020'!$D:$D,Category!$C265)</f>
        <v>0</v>
      </c>
      <c r="U265" s="398">
        <f>SUMIFS('2020'!$I:$I,'2020'!$E:$E,Category!$B$246,'2020'!$N:$N,Category!U$1,'2020'!$D:$D,Category!$C265)</f>
        <v>0</v>
      </c>
      <c r="V265" s="398">
        <f>SUMIFS('2020'!$I:$I,'2020'!$E:$E,Category!$B$246,'2020'!$N:$N,Category!V$1,'2020'!$D:$D,Category!$C265)</f>
        <v>0</v>
      </c>
      <c r="W265" s="398">
        <f>SUMIFS('2020'!$I:$I,'2020'!$E:$E,Category!$B$246,'2020'!$N:$N,Category!W$1,'2020'!$D:$D,Category!$C265)</f>
        <v>0</v>
      </c>
      <c r="X265" s="399">
        <f t="shared" si="105"/>
        <v>0</v>
      </c>
      <c r="Y265" s="509">
        <f>IFERROR(VLOOKUP(C265,'2021'!$D:$G,4,0),0)</f>
        <v>0</v>
      </c>
      <c r="Z265" s="398">
        <f>SUMIFS('2021'!$I:$I,'2021'!$E:$E,Category!$B$246,'2021'!$N:$N,Category!Z$1,'2021'!$D:$D,Category!$C265)</f>
        <v>0</v>
      </c>
      <c r="AA265" s="398">
        <f>SUMIFS('2021'!$I:$I,'2021'!$E:$E,Category!$B$246,'2021'!$N:$N,Category!AA$1,'2021'!$D:$D,Category!$C265)</f>
        <v>0</v>
      </c>
      <c r="AB265" s="398">
        <f>SUMIFS('2021'!$I:$I,'2021'!$E:$E,Category!$B$246,'2021'!$N:$N,Category!AB$1,'2021'!$D:$D,Category!$C265)</f>
        <v>0</v>
      </c>
      <c r="AC265" s="398">
        <f>SUMIFS('2021'!$I:$I,'2021'!$E:$E,Category!$B$246,'2021'!$N:$N,Category!AC$1,'2021'!$D:$D,Category!$C265)</f>
        <v>0</v>
      </c>
      <c r="AD265" s="398">
        <f>SUMIFS('2021'!$I:$I,'2021'!$E:$E,Category!$B$246,'2021'!$N:$N,Category!AD$1,'2021'!$D:$D,Category!$C265)</f>
        <v>0</v>
      </c>
      <c r="AE265" s="398">
        <f>SUMIFS('2021'!$I:$I,'2021'!$E:$E,Category!$B$246,'2021'!$N:$N,Category!AE$1,'2021'!$D:$D,Category!$C265)</f>
        <v>0</v>
      </c>
      <c r="AF265" s="398">
        <f>SUMIFS('2021'!$I:$I,'2021'!$E:$E,Category!$B$246,'2021'!$N:$N,Category!AF$1,'2021'!$D:$D,Category!$C265)</f>
        <v>0</v>
      </c>
      <c r="AG265" s="398">
        <f>SUMIFS('2021'!$I:$I,'2021'!$E:$E,Category!$B$246,'2021'!$N:$N,Category!AG$1,'2021'!$D:$D,Category!$C265)</f>
        <v>0</v>
      </c>
      <c r="AH265" s="398">
        <f>SUMIFS('2021'!$I:$I,'2021'!$E:$E,Category!$B$246,'2021'!$N:$N,Category!AH$1,'2021'!$D:$D,Category!$C265)</f>
        <v>0</v>
      </c>
      <c r="AI265" s="398">
        <f>SUMIFS('2021'!$I:$I,'2021'!$E:$E,Category!$B$246,'2021'!$N:$N,Category!AI$1,'2021'!$D:$D,Category!$C265)</f>
        <v>0</v>
      </c>
      <c r="AJ265" s="398">
        <f>SUMIFS('2021'!$I:$I,'2021'!$E:$E,Category!$B$246,'2021'!$N:$N,Category!AJ$1,'2021'!$D:$D,Category!$C265)</f>
        <v>0</v>
      </c>
      <c r="AK265" s="398">
        <f>SUMIFS('2021'!$I:$I,'2021'!$E:$E,Category!$B$246,'2021'!$N:$N,Category!AK$1,'2021'!$D:$D,Category!$C265)</f>
        <v>0</v>
      </c>
      <c r="AL265" s="399">
        <f t="shared" si="106"/>
        <v>0</v>
      </c>
      <c r="AM265" s="509">
        <f>IFERROR(VLOOKUP(C265,'2022'!$D:$G,4,0),0)</f>
        <v>0</v>
      </c>
      <c r="AN265" s="398">
        <f>SUMIFS('2022'!$I:$I,'2022'!$E:$E,Category!$B$246,'2022'!$N:$N,Category!AN$1,'2022'!$D:$D,Category!$C265)</f>
        <v>0</v>
      </c>
      <c r="AO265" s="398">
        <f>SUMIFS('2022'!$I:$I,'2022'!$E:$E,Category!$B$246,'2022'!$N:$N,Category!AO$1,'2022'!$D:$D,Category!$C265)</f>
        <v>0</v>
      </c>
      <c r="AP265" s="398">
        <f>SUMIFS('2022'!$I:$I,'2022'!$E:$E,Category!$B$246,'2022'!$N:$N,Category!AP$1,'2022'!$D:$D,Category!$C265)</f>
        <v>0</v>
      </c>
      <c r="AQ265" s="398">
        <f>SUMIFS('2022'!$I:$I,'2022'!$E:$E,Category!$B$246,'2022'!$N:$N,Category!AQ$1,'2022'!$D:$D,Category!$C265)</f>
        <v>0</v>
      </c>
      <c r="AR265" s="398">
        <f>SUMIFS('2022'!$I:$I,'2022'!$E:$E,Category!$B$246,'2022'!$N:$N,Category!AR$1,'2022'!$D:$D,Category!$C265)</f>
        <v>0</v>
      </c>
      <c r="AS265" s="398">
        <f>SUMIFS('2022'!$I:$I,'2022'!$E:$E,Category!$B$246,'2022'!$N:$N,Category!AS$1,'2022'!$D:$D,Category!$C265)</f>
        <v>0</v>
      </c>
      <c r="AT265" s="398">
        <f>SUMIFS('2022'!$I:$I,'2022'!$E:$E,Category!$B$246,'2022'!$N:$N,Category!AT$1,'2022'!$D:$D,Category!$C265)</f>
        <v>0</v>
      </c>
      <c r="AU265" s="398">
        <f>SUMIFS('2022'!$I:$I,'2022'!$E:$E,Category!$B$246,'2022'!$N:$N,Category!AU$1,'2022'!$D:$D,Category!$C265)</f>
        <v>0</v>
      </c>
      <c r="AV265" s="398">
        <f>SUMIFS('2022'!$I:$I,'2022'!$E:$E,Category!$B$246,'2022'!$N:$N,Category!AV$1,'2022'!$D:$D,Category!$C265)</f>
        <v>35547750</v>
      </c>
      <c r="AW265" s="398">
        <f>SUMIFS('2022'!$I:$I,'2022'!$E:$E,Category!$B$246,'2022'!$N:$N,Category!AW$1,'2022'!$D:$D,Category!$C265)</f>
        <v>0</v>
      </c>
      <c r="AX265" s="398">
        <f>SUMIFS('2022'!$I:$I,'2022'!$E:$E,Category!$B$246,'2022'!$N:$N,Category!AX$1,'2022'!$D:$D,Category!$C265)</f>
        <v>0</v>
      </c>
      <c r="AY265" s="398">
        <f>SUMIFS('2022'!$I:$I,'2022'!$E:$E,Category!$B$246,'2022'!$N:$N,Category!AY$1,'2022'!$D:$D,Category!$C265)</f>
        <v>0</v>
      </c>
      <c r="AZ265" s="399">
        <f t="shared" si="107"/>
        <v>35547750</v>
      </c>
      <c r="BA265" s="509">
        <f>IFERROR(VLOOKUP(C265,'2023'!$D:$G,4,0),0)</f>
        <v>0</v>
      </c>
      <c r="BB265" s="398">
        <f>SUMIFS('2023'!$I:$I,'2023'!$E:$E,Category!$B$246,'2023'!$N:$N,Category!BB$1,'2023'!$D:$D,Category!$C265)</f>
        <v>0</v>
      </c>
      <c r="BC265" s="398">
        <f>SUMIFS('2023'!$I:$I,'2023'!$E:$E,Category!$B$246,'2023'!$N:$N,Category!BC$1,'2023'!$D:$D,Category!$C265)</f>
        <v>0</v>
      </c>
      <c r="BD265" s="398">
        <f>SUMIFS('2023'!$I:$I,'2023'!$E:$E,Category!$B$246,'2023'!$N:$N,Category!BD$1,'2023'!$D:$D,Category!$C265)</f>
        <v>0</v>
      </c>
      <c r="BE265" s="398">
        <f>SUMIFS('2023'!$I:$I,'2023'!$E:$E,Category!$B$246,'2023'!$N:$N,Category!BE$1,'2023'!$D:$D,Category!$C265)</f>
        <v>0</v>
      </c>
      <c r="BF265" s="398">
        <f>SUMIFS('2023'!$I:$I,'2023'!$E:$E,Category!$B$246,'2023'!$N:$N,Category!BF$1,'2023'!$D:$D,Category!$C265)</f>
        <v>0</v>
      </c>
      <c r="BG265" s="398">
        <f>SUMIFS('2023'!$I:$I,'2023'!$E:$E,Category!$B$246,'2023'!$N:$N,Category!BG$1,'2023'!$D:$D,Category!$C265)</f>
        <v>0</v>
      </c>
      <c r="BH265" s="398">
        <f>SUMIFS('2023'!$I:$I,'2023'!$E:$E,Category!$B$246,'2023'!$N:$N,Category!BH$1,'2023'!$D:$D,Category!$C265)</f>
        <v>0</v>
      </c>
      <c r="BI265" s="398">
        <f>SUMIFS('2023'!$I:$I,'2023'!$E:$E,Category!$B$246,'2023'!$N:$N,Category!BI$1,'2023'!$D:$D,Category!$C265)</f>
        <v>0</v>
      </c>
      <c r="BJ265" s="398">
        <f>SUMIFS('2023'!$I:$I,'2023'!$E:$E,Category!$B$246,'2023'!$N:$N,Category!BJ$1,'2023'!$D:$D,Category!$C265)</f>
        <v>0</v>
      </c>
      <c r="BK265" s="398">
        <f>SUMIFS('2023'!$I:$I,'2023'!$E:$E,Category!$B$246,'2023'!$N:$N,Category!BK$1,'2023'!$D:$D,Category!$C265)</f>
        <v>0</v>
      </c>
      <c r="BL265" s="398">
        <f>SUMIFS('2023'!$I:$I,'2023'!$E:$E,Category!$B$246,'2023'!$N:$N,Category!BL$1,'2023'!$D:$D,Category!$C265)</f>
        <v>0</v>
      </c>
      <c r="BM265" s="398">
        <f>SUMIFS('2023'!$I:$I,'2023'!$E:$E,Category!$B$246,'2023'!$N:$N,Category!BM$1,'2023'!$D:$D,Category!$C265)</f>
        <v>0</v>
      </c>
      <c r="BN265" s="399">
        <f t="shared" si="101"/>
        <v>0</v>
      </c>
    </row>
    <row r="266" spans="1:66" ht="21" customHeight="1" x14ac:dyDescent="0.3">
      <c r="A266" s="400"/>
      <c r="B266" s="397"/>
      <c r="C266" s="397" t="s">
        <v>1701</v>
      </c>
      <c r="D266" s="526">
        <f>IFERROR(VLOOKUP($C266,'2019'!$D:$G,4,0),0)</f>
        <v>0</v>
      </c>
      <c r="E266" s="398">
        <f>SUMIFS('2019'!$I:$I,'2019'!$E:$E,Category!$B$246,'2019'!$N:$N,Category!E$1,'2019'!$D:$D,Category!$C266)</f>
        <v>0</v>
      </c>
      <c r="F266" s="398">
        <f>SUMIFS('2019'!$I:$I,'2019'!$E:$E,Category!$B$246,'2019'!$N:$N,Category!F$1,'2019'!$D:$D,Category!$C266)</f>
        <v>0</v>
      </c>
      <c r="G266" s="398">
        <f>SUMIFS('2019'!$I:$I,'2019'!$E:$E,Category!$B$246,'2019'!$N:$N,Category!G$1,'2019'!$D:$D,Category!$C266)</f>
        <v>0</v>
      </c>
      <c r="H266" s="398">
        <f>SUMIFS('2019'!$I:$I,'2019'!$E:$E,Category!$B$246,'2019'!$N:$N,Category!H$1,'2019'!$D:$D,Category!$C266)</f>
        <v>0</v>
      </c>
      <c r="I266" s="398">
        <f>SUMIFS('2019'!$I:$I,'2019'!$E:$E,Category!$B$246,'2019'!$N:$N,Category!I$1,'2019'!$D:$D,Category!$C266)</f>
        <v>0</v>
      </c>
      <c r="J266" s="399">
        <f t="shared" si="104"/>
        <v>0</v>
      </c>
      <c r="K266" s="509">
        <f>IFERROR(VLOOKUP($C266,'2020'!$D:$G,4,0),0)</f>
        <v>0</v>
      </c>
      <c r="L266" s="398">
        <f>SUMIFS('2020'!$I:$I,'2020'!$E:$E,Category!$B$246,'2020'!$N:$N,Category!L$1,'2020'!$D:$D,Category!$C266)</f>
        <v>0</v>
      </c>
      <c r="M266" s="398">
        <f>SUMIFS('2020'!$I:$I,'2020'!$E:$E,Category!$B$246,'2020'!$N:$N,Category!M$1,'2020'!$D:$D,Category!$C266)</f>
        <v>0</v>
      </c>
      <c r="N266" s="398">
        <f>SUMIFS('2020'!$I:$I,'2020'!$E:$E,Category!$B$246,'2020'!$N:$N,Category!N$1,'2020'!$D:$D,Category!$C266)</f>
        <v>0</v>
      </c>
      <c r="O266" s="398">
        <f>SUMIFS('2020'!$I:$I,'2020'!$E:$E,Category!$B$246,'2020'!$N:$N,Category!O$1,'2020'!$D:$D,Category!$C266)</f>
        <v>0</v>
      </c>
      <c r="P266" s="398">
        <f>SUMIFS('2020'!$I:$I,'2020'!$E:$E,Category!$B$246,'2020'!$N:$N,Category!P$1,'2020'!$D:$D,Category!$C266)</f>
        <v>0</v>
      </c>
      <c r="Q266" s="398">
        <f>SUMIFS('2020'!$I:$I,'2020'!$E:$E,Category!$B$246,'2020'!$N:$N,Category!Q$1,'2020'!$D:$D,Category!$C266)</f>
        <v>0</v>
      </c>
      <c r="R266" s="398">
        <f>SUMIFS('2020'!$I:$I,'2020'!$E:$E,Category!$B$246,'2020'!$N:$N,Category!R$1,'2020'!$D:$D,Category!$C266)</f>
        <v>0</v>
      </c>
      <c r="S266" s="398">
        <f>SUMIFS('2020'!$I:$I,'2020'!$E:$E,Category!$B$246,'2020'!$N:$N,Category!S$1,'2020'!$D:$D,Category!$C266)</f>
        <v>0</v>
      </c>
      <c r="T266" s="398">
        <f>SUMIFS('2020'!$I:$I,'2020'!$E:$E,Category!$B$246,'2020'!$N:$N,Category!T$1,'2020'!$D:$D,Category!$C266)</f>
        <v>0</v>
      </c>
      <c r="U266" s="398">
        <f>SUMIFS('2020'!$I:$I,'2020'!$E:$E,Category!$B$246,'2020'!$N:$N,Category!U$1,'2020'!$D:$D,Category!$C266)</f>
        <v>0</v>
      </c>
      <c r="V266" s="398">
        <f>SUMIFS('2020'!$I:$I,'2020'!$E:$E,Category!$B$246,'2020'!$N:$N,Category!V$1,'2020'!$D:$D,Category!$C266)</f>
        <v>0</v>
      </c>
      <c r="W266" s="398">
        <f>SUMIFS('2020'!$I:$I,'2020'!$E:$E,Category!$B$246,'2020'!$N:$N,Category!W$1,'2020'!$D:$D,Category!$C266)</f>
        <v>0</v>
      </c>
      <c r="X266" s="399">
        <f t="shared" si="105"/>
        <v>0</v>
      </c>
      <c r="Y266" s="509">
        <f>IFERROR(VLOOKUP(C266,'2021'!$D:$G,4,0),0)</f>
        <v>0</v>
      </c>
      <c r="Z266" s="398">
        <f>SUMIFS('2021'!$I:$I,'2021'!$E:$E,Category!$B$246,'2021'!$N:$N,Category!Z$1,'2021'!$D:$D,Category!$C266)</f>
        <v>0</v>
      </c>
      <c r="AA266" s="398">
        <f>SUMIFS('2021'!$I:$I,'2021'!$E:$E,Category!$B$246,'2021'!$N:$N,Category!AA$1,'2021'!$D:$D,Category!$C266)</f>
        <v>0</v>
      </c>
      <c r="AB266" s="398">
        <f>SUMIFS('2021'!$I:$I,'2021'!$E:$E,Category!$B$246,'2021'!$N:$N,Category!AB$1,'2021'!$D:$D,Category!$C266)</f>
        <v>0</v>
      </c>
      <c r="AC266" s="398">
        <f>SUMIFS('2021'!$I:$I,'2021'!$E:$E,Category!$B$246,'2021'!$N:$N,Category!AC$1,'2021'!$D:$D,Category!$C266)</f>
        <v>0</v>
      </c>
      <c r="AD266" s="398">
        <f>SUMIFS('2021'!$I:$I,'2021'!$E:$E,Category!$B$246,'2021'!$N:$N,Category!AD$1,'2021'!$D:$D,Category!$C266)</f>
        <v>0</v>
      </c>
      <c r="AE266" s="398">
        <f>SUMIFS('2021'!$I:$I,'2021'!$E:$E,Category!$B$246,'2021'!$N:$N,Category!AE$1,'2021'!$D:$D,Category!$C266)</f>
        <v>0</v>
      </c>
      <c r="AF266" s="398">
        <f>SUMIFS('2021'!$I:$I,'2021'!$E:$E,Category!$B$246,'2021'!$N:$N,Category!AF$1,'2021'!$D:$D,Category!$C266)</f>
        <v>0</v>
      </c>
      <c r="AG266" s="398">
        <f>SUMIFS('2021'!$I:$I,'2021'!$E:$E,Category!$B$246,'2021'!$N:$N,Category!AG$1,'2021'!$D:$D,Category!$C266)</f>
        <v>0</v>
      </c>
      <c r="AH266" s="398">
        <f>SUMIFS('2021'!$I:$I,'2021'!$E:$E,Category!$B$246,'2021'!$N:$N,Category!AH$1,'2021'!$D:$D,Category!$C266)</f>
        <v>0</v>
      </c>
      <c r="AI266" s="398">
        <f>SUMIFS('2021'!$I:$I,'2021'!$E:$E,Category!$B$246,'2021'!$N:$N,Category!AI$1,'2021'!$D:$D,Category!$C266)</f>
        <v>0</v>
      </c>
      <c r="AJ266" s="398">
        <f>SUMIFS('2021'!$I:$I,'2021'!$E:$E,Category!$B$246,'2021'!$N:$N,Category!AJ$1,'2021'!$D:$D,Category!$C266)</f>
        <v>0</v>
      </c>
      <c r="AK266" s="398">
        <f>SUMIFS('2021'!$I:$I,'2021'!$E:$E,Category!$B$246,'2021'!$N:$N,Category!AK$1,'2021'!$D:$D,Category!$C266)</f>
        <v>0</v>
      </c>
      <c r="AL266" s="399">
        <f t="shared" si="106"/>
        <v>0</v>
      </c>
      <c r="AM266" s="509">
        <f>IFERROR(VLOOKUP(C266,'2022'!$D:$G,4,0),0)</f>
        <v>0</v>
      </c>
      <c r="AN266" s="398">
        <f>SUMIFS('2022'!$I:$I,'2022'!$E:$E,Category!$B$246,'2022'!$N:$N,Category!AN$1,'2022'!$D:$D,Category!$C266)</f>
        <v>0</v>
      </c>
      <c r="AO266" s="398">
        <f>SUMIFS('2022'!$I:$I,'2022'!$E:$E,Category!$B$246,'2022'!$N:$N,Category!AO$1,'2022'!$D:$D,Category!$C266)</f>
        <v>0</v>
      </c>
      <c r="AP266" s="398">
        <f>SUMIFS('2022'!$I:$I,'2022'!$E:$E,Category!$B$246,'2022'!$N:$N,Category!AP$1,'2022'!$D:$D,Category!$C266)</f>
        <v>0</v>
      </c>
      <c r="AQ266" s="398">
        <f>SUMIFS('2022'!$I:$I,'2022'!$E:$E,Category!$B$246,'2022'!$N:$N,Category!AQ$1,'2022'!$D:$D,Category!$C266)</f>
        <v>0</v>
      </c>
      <c r="AR266" s="398">
        <f>SUMIFS('2022'!$I:$I,'2022'!$E:$E,Category!$B$246,'2022'!$N:$N,Category!AR$1,'2022'!$D:$D,Category!$C266)</f>
        <v>0</v>
      </c>
      <c r="AS266" s="398">
        <f>SUMIFS('2022'!$I:$I,'2022'!$E:$E,Category!$B$246,'2022'!$N:$N,Category!AS$1,'2022'!$D:$D,Category!$C266)</f>
        <v>0</v>
      </c>
      <c r="AT266" s="398">
        <f>SUMIFS('2022'!$I:$I,'2022'!$E:$E,Category!$B$246,'2022'!$N:$N,Category!AT$1,'2022'!$D:$D,Category!$C266)</f>
        <v>0</v>
      </c>
      <c r="AU266" s="398">
        <f>SUMIFS('2022'!$I:$I,'2022'!$E:$E,Category!$B$246,'2022'!$N:$N,Category!AU$1,'2022'!$D:$D,Category!$C266)</f>
        <v>0</v>
      </c>
      <c r="AV266" s="398">
        <f>SUMIFS('2022'!$I:$I,'2022'!$E:$E,Category!$B$246,'2022'!$N:$N,Category!AV$1,'2022'!$D:$D,Category!$C266)</f>
        <v>0</v>
      </c>
      <c r="AW266" s="398">
        <f>SUMIFS('2022'!$I:$I,'2022'!$E:$E,Category!$B$246,'2022'!$N:$N,Category!AW$1,'2022'!$D:$D,Category!$C266)</f>
        <v>0</v>
      </c>
      <c r="AX266" s="398">
        <f>SUMIFS('2022'!$I:$I,'2022'!$E:$E,Category!$B$246,'2022'!$N:$N,Category!AX$1,'2022'!$D:$D,Category!$C266)</f>
        <v>33000000</v>
      </c>
      <c r="AY266" s="398">
        <f>SUMIFS('2022'!$I:$I,'2022'!$E:$E,Category!$B$246,'2022'!$N:$N,Category!AY$1,'2022'!$D:$D,Category!$C266)</f>
        <v>0</v>
      </c>
      <c r="AZ266" s="399">
        <f t="shared" si="107"/>
        <v>33000000</v>
      </c>
      <c r="BA266" s="509">
        <f>IFERROR(VLOOKUP(C266,'2023'!$D:$G,4,0),0)</f>
        <v>0</v>
      </c>
      <c r="BB266" s="398">
        <f>SUMIFS('2023'!$I:$I,'2023'!$E:$E,Category!$B$246,'2023'!$N:$N,Category!BB$1,'2023'!$D:$D,Category!$C266)</f>
        <v>0</v>
      </c>
      <c r="BC266" s="398">
        <f>SUMIFS('2023'!$I:$I,'2023'!$E:$E,Category!$B$246,'2023'!$N:$N,Category!BC$1,'2023'!$D:$D,Category!$C266)</f>
        <v>0</v>
      </c>
      <c r="BD266" s="398">
        <f>SUMIFS('2023'!$I:$I,'2023'!$E:$E,Category!$B$246,'2023'!$N:$N,Category!BD$1,'2023'!$D:$D,Category!$C266)</f>
        <v>0</v>
      </c>
      <c r="BE266" s="398">
        <f>SUMIFS('2023'!$I:$I,'2023'!$E:$E,Category!$B$246,'2023'!$N:$N,Category!BE$1,'2023'!$D:$D,Category!$C266)</f>
        <v>0</v>
      </c>
      <c r="BF266" s="398">
        <f>SUMIFS('2023'!$I:$I,'2023'!$E:$E,Category!$B$246,'2023'!$N:$N,Category!BF$1,'2023'!$D:$D,Category!$C266)</f>
        <v>0</v>
      </c>
      <c r="BG266" s="398">
        <f>SUMIFS('2023'!$I:$I,'2023'!$E:$E,Category!$B$246,'2023'!$N:$N,Category!BG$1,'2023'!$D:$D,Category!$C266)</f>
        <v>0</v>
      </c>
      <c r="BH266" s="398">
        <f>SUMIFS('2023'!$I:$I,'2023'!$E:$E,Category!$B$246,'2023'!$N:$N,Category!BH$1,'2023'!$D:$D,Category!$C266)</f>
        <v>0</v>
      </c>
      <c r="BI266" s="398">
        <f>SUMIFS('2023'!$I:$I,'2023'!$E:$E,Category!$B$246,'2023'!$N:$N,Category!BI$1,'2023'!$D:$D,Category!$C266)</f>
        <v>0</v>
      </c>
      <c r="BJ266" s="398">
        <f>SUMIFS('2023'!$I:$I,'2023'!$E:$E,Category!$B$246,'2023'!$N:$N,Category!BJ$1,'2023'!$D:$D,Category!$C266)</f>
        <v>0</v>
      </c>
      <c r="BK266" s="398">
        <f>SUMIFS('2023'!$I:$I,'2023'!$E:$E,Category!$B$246,'2023'!$N:$N,Category!BK$1,'2023'!$D:$D,Category!$C266)</f>
        <v>0</v>
      </c>
      <c r="BL266" s="398">
        <f>SUMIFS('2023'!$I:$I,'2023'!$E:$E,Category!$B$246,'2023'!$N:$N,Category!BL$1,'2023'!$D:$D,Category!$C266)</f>
        <v>0</v>
      </c>
      <c r="BM266" s="398">
        <f>SUMIFS('2023'!$I:$I,'2023'!$E:$E,Category!$B$246,'2023'!$N:$N,Category!BM$1,'2023'!$D:$D,Category!$C266)</f>
        <v>0</v>
      </c>
      <c r="BN266" s="399">
        <f t="shared" si="101"/>
        <v>0</v>
      </c>
    </row>
    <row r="267" spans="1:66" ht="21" customHeight="1" x14ac:dyDescent="0.3">
      <c r="A267" s="400"/>
      <c r="B267" s="397"/>
      <c r="C267" s="397" t="s">
        <v>1707</v>
      </c>
      <c r="D267" s="526">
        <f>IFERROR(VLOOKUP($C267,'2019'!$D:$G,4,0),0)</f>
        <v>0</v>
      </c>
      <c r="E267" s="398">
        <f>SUMIFS('2019'!$I:$I,'2019'!$E:$E,Category!$B$246,'2019'!$N:$N,Category!E$1,'2019'!$D:$D,Category!$C267)</f>
        <v>0</v>
      </c>
      <c r="F267" s="398">
        <f>SUMIFS('2019'!$I:$I,'2019'!$E:$E,Category!$B$246,'2019'!$N:$N,Category!F$1,'2019'!$D:$D,Category!$C267)</f>
        <v>0</v>
      </c>
      <c r="G267" s="398">
        <f>SUMIFS('2019'!$I:$I,'2019'!$E:$E,Category!$B$246,'2019'!$N:$N,Category!G$1,'2019'!$D:$D,Category!$C267)</f>
        <v>0</v>
      </c>
      <c r="H267" s="398">
        <f>SUMIFS('2019'!$I:$I,'2019'!$E:$E,Category!$B$246,'2019'!$N:$N,Category!H$1,'2019'!$D:$D,Category!$C267)</f>
        <v>0</v>
      </c>
      <c r="I267" s="398">
        <f>SUMIFS('2019'!$I:$I,'2019'!$E:$E,Category!$B$246,'2019'!$N:$N,Category!I$1,'2019'!$D:$D,Category!$C267)</f>
        <v>0</v>
      </c>
      <c r="J267" s="399">
        <f t="shared" si="104"/>
        <v>0</v>
      </c>
      <c r="K267" s="509">
        <f>IFERROR(VLOOKUP($C267,'2020'!$D:$G,4,0),0)</f>
        <v>0</v>
      </c>
      <c r="L267" s="398">
        <f>SUMIFS('2020'!$I:$I,'2020'!$E:$E,Category!$B$246,'2020'!$N:$N,Category!L$1,'2020'!$D:$D,Category!$C267)</f>
        <v>0</v>
      </c>
      <c r="M267" s="398">
        <f>SUMIFS('2020'!$I:$I,'2020'!$E:$E,Category!$B$246,'2020'!$N:$N,Category!M$1,'2020'!$D:$D,Category!$C267)</f>
        <v>0</v>
      </c>
      <c r="N267" s="398">
        <f>SUMIFS('2020'!$I:$I,'2020'!$E:$E,Category!$B$246,'2020'!$N:$N,Category!N$1,'2020'!$D:$D,Category!$C267)</f>
        <v>0</v>
      </c>
      <c r="O267" s="398">
        <f>SUMIFS('2020'!$I:$I,'2020'!$E:$E,Category!$B$246,'2020'!$N:$N,Category!O$1,'2020'!$D:$D,Category!$C267)</f>
        <v>0</v>
      </c>
      <c r="P267" s="398">
        <f>SUMIFS('2020'!$I:$I,'2020'!$E:$E,Category!$B$246,'2020'!$N:$N,Category!P$1,'2020'!$D:$D,Category!$C267)</f>
        <v>0</v>
      </c>
      <c r="Q267" s="398">
        <f>SUMIFS('2020'!$I:$I,'2020'!$E:$E,Category!$B$246,'2020'!$N:$N,Category!Q$1,'2020'!$D:$D,Category!$C267)</f>
        <v>0</v>
      </c>
      <c r="R267" s="398">
        <f>SUMIFS('2020'!$I:$I,'2020'!$E:$E,Category!$B$246,'2020'!$N:$N,Category!R$1,'2020'!$D:$D,Category!$C267)</f>
        <v>0</v>
      </c>
      <c r="S267" s="398">
        <f>SUMIFS('2020'!$I:$I,'2020'!$E:$E,Category!$B$246,'2020'!$N:$N,Category!S$1,'2020'!$D:$D,Category!$C267)</f>
        <v>0</v>
      </c>
      <c r="T267" s="398">
        <f>SUMIFS('2020'!$I:$I,'2020'!$E:$E,Category!$B$246,'2020'!$N:$N,Category!T$1,'2020'!$D:$D,Category!$C267)</f>
        <v>0</v>
      </c>
      <c r="U267" s="398">
        <f>SUMIFS('2020'!$I:$I,'2020'!$E:$E,Category!$B$246,'2020'!$N:$N,Category!U$1,'2020'!$D:$D,Category!$C267)</f>
        <v>0</v>
      </c>
      <c r="V267" s="398">
        <f>SUMIFS('2020'!$I:$I,'2020'!$E:$E,Category!$B$246,'2020'!$N:$N,Category!V$1,'2020'!$D:$D,Category!$C267)</f>
        <v>0</v>
      </c>
      <c r="W267" s="398">
        <f>SUMIFS('2020'!$I:$I,'2020'!$E:$E,Category!$B$246,'2020'!$N:$N,Category!W$1,'2020'!$D:$D,Category!$C267)</f>
        <v>0</v>
      </c>
      <c r="X267" s="399">
        <f t="shared" si="98"/>
        <v>0</v>
      </c>
      <c r="Y267" s="509">
        <f>IFERROR(VLOOKUP(C267,'2021'!$D:$G,4,0),0)</f>
        <v>0</v>
      </c>
      <c r="Z267" s="398">
        <f>SUMIFS('2021'!$I:$I,'2021'!$E:$E,Category!$B$246,'2021'!$N:$N,Category!Z$1,'2021'!$D:$D,Category!$C267)</f>
        <v>0</v>
      </c>
      <c r="AA267" s="398">
        <f>SUMIFS('2021'!$I:$I,'2021'!$E:$E,Category!$B$246,'2021'!$N:$N,Category!AA$1,'2021'!$D:$D,Category!$C267)</f>
        <v>0</v>
      </c>
      <c r="AB267" s="398">
        <f>SUMIFS('2021'!$I:$I,'2021'!$E:$E,Category!$B$246,'2021'!$N:$N,Category!AB$1,'2021'!$D:$D,Category!$C267)</f>
        <v>0</v>
      </c>
      <c r="AC267" s="398">
        <f>SUMIFS('2021'!$I:$I,'2021'!$E:$E,Category!$B$246,'2021'!$N:$N,Category!AC$1,'2021'!$D:$D,Category!$C267)</f>
        <v>0</v>
      </c>
      <c r="AD267" s="398">
        <f>SUMIFS('2021'!$I:$I,'2021'!$E:$E,Category!$B$246,'2021'!$N:$N,Category!AD$1,'2021'!$D:$D,Category!$C267)</f>
        <v>0</v>
      </c>
      <c r="AE267" s="398">
        <f>SUMIFS('2021'!$I:$I,'2021'!$E:$E,Category!$B$246,'2021'!$N:$N,Category!AE$1,'2021'!$D:$D,Category!$C267)</f>
        <v>0</v>
      </c>
      <c r="AF267" s="398">
        <f>SUMIFS('2021'!$I:$I,'2021'!$E:$E,Category!$B$246,'2021'!$N:$N,Category!AF$1,'2021'!$D:$D,Category!$C267)</f>
        <v>0</v>
      </c>
      <c r="AG267" s="398">
        <f>SUMIFS('2021'!$I:$I,'2021'!$E:$E,Category!$B$246,'2021'!$N:$N,Category!AG$1,'2021'!$D:$D,Category!$C267)</f>
        <v>0</v>
      </c>
      <c r="AH267" s="398">
        <f>SUMIFS('2021'!$I:$I,'2021'!$E:$E,Category!$B$246,'2021'!$N:$N,Category!AH$1,'2021'!$D:$D,Category!$C267)</f>
        <v>0</v>
      </c>
      <c r="AI267" s="398">
        <f>SUMIFS('2021'!$I:$I,'2021'!$E:$E,Category!$B$246,'2021'!$N:$N,Category!AI$1,'2021'!$D:$D,Category!$C267)</f>
        <v>0</v>
      </c>
      <c r="AJ267" s="398">
        <f>SUMIFS('2021'!$I:$I,'2021'!$E:$E,Category!$B$246,'2021'!$N:$N,Category!AJ$1,'2021'!$D:$D,Category!$C267)</f>
        <v>0</v>
      </c>
      <c r="AK267" s="398">
        <f>SUMIFS('2021'!$I:$I,'2021'!$E:$E,Category!$B$246,'2021'!$N:$N,Category!AK$1,'2021'!$D:$D,Category!$C267)</f>
        <v>0</v>
      </c>
      <c r="AL267" s="399">
        <f t="shared" si="99"/>
        <v>0</v>
      </c>
      <c r="AM267" s="509">
        <f>IFERROR(VLOOKUP(C267,'2022'!$D:$G,4,0),0)</f>
        <v>0</v>
      </c>
      <c r="AN267" s="398">
        <f>SUMIFS('2022'!$I:$I,'2022'!$E:$E,Category!$B$246,'2022'!$N:$N,Category!AN$1,'2022'!$D:$D,Category!$C267)</f>
        <v>0</v>
      </c>
      <c r="AO267" s="398">
        <f>SUMIFS('2022'!$I:$I,'2022'!$E:$E,Category!$B$246,'2022'!$N:$N,Category!AO$1,'2022'!$D:$D,Category!$C267)</f>
        <v>0</v>
      </c>
      <c r="AP267" s="398">
        <f>SUMIFS('2022'!$I:$I,'2022'!$E:$E,Category!$B$246,'2022'!$N:$N,Category!AP$1,'2022'!$D:$D,Category!$C267)</f>
        <v>0</v>
      </c>
      <c r="AQ267" s="398">
        <f>SUMIFS('2022'!$I:$I,'2022'!$E:$E,Category!$B$246,'2022'!$N:$N,Category!AQ$1,'2022'!$D:$D,Category!$C267)</f>
        <v>0</v>
      </c>
      <c r="AR267" s="398">
        <f>SUMIFS('2022'!$I:$I,'2022'!$E:$E,Category!$B$246,'2022'!$N:$N,Category!AR$1,'2022'!$D:$D,Category!$C267)</f>
        <v>0</v>
      </c>
      <c r="AS267" s="398">
        <f>SUMIFS('2022'!$I:$I,'2022'!$E:$E,Category!$B$246,'2022'!$N:$N,Category!AS$1,'2022'!$D:$D,Category!$C267)</f>
        <v>0</v>
      </c>
      <c r="AT267" s="398">
        <f>SUMIFS('2022'!$I:$I,'2022'!$E:$E,Category!$B$246,'2022'!$N:$N,Category!AT$1,'2022'!$D:$D,Category!$C267)</f>
        <v>0</v>
      </c>
      <c r="AU267" s="398">
        <f>SUMIFS('2022'!$I:$I,'2022'!$E:$E,Category!$B$246,'2022'!$N:$N,Category!AU$1,'2022'!$D:$D,Category!$C267)</f>
        <v>0</v>
      </c>
      <c r="AV267" s="398">
        <f>SUMIFS('2022'!$I:$I,'2022'!$E:$E,Category!$B$246,'2022'!$N:$N,Category!AV$1,'2022'!$D:$D,Category!$C267)</f>
        <v>0</v>
      </c>
      <c r="AW267" s="398">
        <f>SUMIFS('2022'!$I:$I,'2022'!$E:$E,Category!$B$246,'2022'!$N:$N,Category!AW$1,'2022'!$D:$D,Category!$C267)</f>
        <v>0</v>
      </c>
      <c r="AX267" s="398">
        <f>SUMIFS('2022'!$I:$I,'2022'!$E:$E,Category!$B$246,'2022'!$N:$N,Category!AX$1,'2022'!$D:$D,Category!$C267)</f>
        <v>50400000</v>
      </c>
      <c r="AY267" s="398">
        <f>SUMIFS('2022'!$I:$I,'2022'!$E:$E,Category!$B$246,'2022'!$N:$N,Category!AY$1,'2022'!$D:$D,Category!$C267)</f>
        <v>0</v>
      </c>
      <c r="AZ267" s="399">
        <f t="shared" si="103"/>
        <v>50400000</v>
      </c>
      <c r="BA267" s="509">
        <f>IFERROR(VLOOKUP(C267,'2023'!$D:$G,4,0),0)</f>
        <v>0</v>
      </c>
      <c r="BB267" s="398">
        <f>SUMIFS('2023'!$I:$I,'2023'!$E:$E,Category!$B$246,'2023'!$N:$N,Category!BB$1,'2023'!$D:$D,Category!$C267)</f>
        <v>0</v>
      </c>
      <c r="BC267" s="398">
        <f>SUMIFS('2023'!$I:$I,'2023'!$E:$E,Category!$B$246,'2023'!$N:$N,Category!BC$1,'2023'!$D:$D,Category!$C267)</f>
        <v>0</v>
      </c>
      <c r="BD267" s="398">
        <f>SUMIFS('2023'!$I:$I,'2023'!$E:$E,Category!$B$246,'2023'!$N:$N,Category!BD$1,'2023'!$D:$D,Category!$C267)</f>
        <v>0</v>
      </c>
      <c r="BE267" s="398">
        <f>SUMIFS('2023'!$I:$I,'2023'!$E:$E,Category!$B$246,'2023'!$N:$N,Category!BE$1,'2023'!$D:$D,Category!$C267)</f>
        <v>0</v>
      </c>
      <c r="BF267" s="398">
        <f>SUMIFS('2023'!$I:$I,'2023'!$E:$E,Category!$B$246,'2023'!$N:$N,Category!BF$1,'2023'!$D:$D,Category!$C267)</f>
        <v>0</v>
      </c>
      <c r="BG267" s="398">
        <f>SUMIFS('2023'!$I:$I,'2023'!$E:$E,Category!$B$246,'2023'!$N:$N,Category!BG$1,'2023'!$D:$D,Category!$C267)</f>
        <v>0</v>
      </c>
      <c r="BH267" s="398">
        <f>SUMIFS('2023'!$I:$I,'2023'!$E:$E,Category!$B$246,'2023'!$N:$N,Category!BH$1,'2023'!$D:$D,Category!$C267)</f>
        <v>0</v>
      </c>
      <c r="BI267" s="398">
        <f>SUMIFS('2023'!$I:$I,'2023'!$E:$E,Category!$B$246,'2023'!$N:$N,Category!BI$1,'2023'!$D:$D,Category!$C267)</f>
        <v>0</v>
      </c>
      <c r="BJ267" s="398">
        <f>SUMIFS('2023'!$I:$I,'2023'!$E:$E,Category!$B$246,'2023'!$N:$N,Category!BJ$1,'2023'!$D:$D,Category!$C267)</f>
        <v>0</v>
      </c>
      <c r="BK267" s="398">
        <f>SUMIFS('2023'!$I:$I,'2023'!$E:$E,Category!$B$246,'2023'!$N:$N,Category!BK$1,'2023'!$D:$D,Category!$C267)</f>
        <v>0</v>
      </c>
      <c r="BL267" s="398">
        <f>SUMIFS('2023'!$I:$I,'2023'!$E:$E,Category!$B$246,'2023'!$N:$N,Category!BL$1,'2023'!$D:$D,Category!$C267)</f>
        <v>0</v>
      </c>
      <c r="BM267" s="398">
        <f>SUMIFS('2023'!$I:$I,'2023'!$E:$E,Category!$B$246,'2023'!$N:$N,Category!BM$1,'2023'!$D:$D,Category!$C267)</f>
        <v>0</v>
      </c>
      <c r="BN267" s="399">
        <f t="shared" si="101"/>
        <v>0</v>
      </c>
    </row>
    <row r="268" spans="1:66" ht="21" customHeight="1" x14ac:dyDescent="0.3">
      <c r="A268" s="400"/>
      <c r="B268" s="397"/>
      <c r="C268" s="397" t="s">
        <v>1726</v>
      </c>
      <c r="D268" s="526">
        <f>IFERROR(VLOOKUP($C268,'2019'!$D:$G,4,0),0)</f>
        <v>0</v>
      </c>
      <c r="E268" s="398">
        <f>SUMIFS('2019'!$I:$I,'2019'!$E:$E,Category!$B$246,'2019'!$N:$N,Category!E$1,'2019'!$D:$D,Category!$C268)</f>
        <v>0</v>
      </c>
      <c r="F268" s="398">
        <f>SUMIFS('2019'!$I:$I,'2019'!$E:$E,Category!$B$246,'2019'!$N:$N,Category!F$1,'2019'!$D:$D,Category!$C268)</f>
        <v>0</v>
      </c>
      <c r="G268" s="398">
        <f>SUMIFS('2019'!$I:$I,'2019'!$E:$E,Category!$B$246,'2019'!$N:$N,Category!G$1,'2019'!$D:$D,Category!$C268)</f>
        <v>0</v>
      </c>
      <c r="H268" s="398">
        <f>SUMIFS('2019'!$I:$I,'2019'!$E:$E,Category!$B$246,'2019'!$N:$N,Category!H$1,'2019'!$D:$D,Category!$C268)</f>
        <v>0</v>
      </c>
      <c r="I268" s="398">
        <f>SUMIFS('2019'!$I:$I,'2019'!$E:$E,Category!$B$246,'2019'!$N:$N,Category!I$1,'2019'!$D:$D,Category!$C268)</f>
        <v>0</v>
      </c>
      <c r="J268" s="399">
        <f t="shared" si="104"/>
        <v>0</v>
      </c>
      <c r="K268" s="509">
        <f>IFERROR(VLOOKUP($C268,'2020'!$D:$G,4,0),0)</f>
        <v>0</v>
      </c>
      <c r="L268" s="398">
        <f>SUMIFS('2020'!$I:$I,'2020'!$E:$E,Category!$B$246,'2020'!$N:$N,Category!L$1,'2020'!$D:$D,Category!$C268)</f>
        <v>0</v>
      </c>
      <c r="M268" s="398">
        <f>SUMIFS('2020'!$I:$I,'2020'!$E:$E,Category!$B$246,'2020'!$N:$N,Category!M$1,'2020'!$D:$D,Category!$C268)</f>
        <v>0</v>
      </c>
      <c r="N268" s="398">
        <f>SUMIFS('2020'!$I:$I,'2020'!$E:$E,Category!$B$246,'2020'!$N:$N,Category!N$1,'2020'!$D:$D,Category!$C268)</f>
        <v>0</v>
      </c>
      <c r="O268" s="398">
        <f>SUMIFS('2020'!$I:$I,'2020'!$E:$E,Category!$B$246,'2020'!$N:$N,Category!O$1,'2020'!$D:$D,Category!$C268)</f>
        <v>0</v>
      </c>
      <c r="P268" s="398">
        <f>SUMIFS('2020'!$I:$I,'2020'!$E:$E,Category!$B$246,'2020'!$N:$N,Category!P$1,'2020'!$D:$D,Category!$C268)</f>
        <v>0</v>
      </c>
      <c r="Q268" s="398">
        <f>SUMIFS('2020'!$I:$I,'2020'!$E:$E,Category!$B$246,'2020'!$N:$N,Category!Q$1,'2020'!$D:$D,Category!$C268)</f>
        <v>0</v>
      </c>
      <c r="R268" s="398">
        <f>SUMIFS('2020'!$I:$I,'2020'!$E:$E,Category!$B$246,'2020'!$N:$N,Category!R$1,'2020'!$D:$D,Category!$C268)</f>
        <v>0</v>
      </c>
      <c r="S268" s="398">
        <f>SUMIFS('2020'!$I:$I,'2020'!$E:$E,Category!$B$246,'2020'!$N:$N,Category!S$1,'2020'!$D:$D,Category!$C268)</f>
        <v>0</v>
      </c>
      <c r="T268" s="398">
        <f>SUMIFS('2020'!$I:$I,'2020'!$E:$E,Category!$B$246,'2020'!$N:$N,Category!T$1,'2020'!$D:$D,Category!$C268)</f>
        <v>0</v>
      </c>
      <c r="U268" s="398">
        <f>SUMIFS('2020'!$I:$I,'2020'!$E:$E,Category!$B$246,'2020'!$N:$N,Category!U$1,'2020'!$D:$D,Category!$C268)</f>
        <v>0</v>
      </c>
      <c r="V268" s="398">
        <f>SUMIFS('2020'!$I:$I,'2020'!$E:$E,Category!$B$246,'2020'!$N:$N,Category!V$1,'2020'!$D:$D,Category!$C268)</f>
        <v>0</v>
      </c>
      <c r="W268" s="398">
        <f>SUMIFS('2020'!$I:$I,'2020'!$E:$E,Category!$B$246,'2020'!$N:$N,Category!W$1,'2020'!$D:$D,Category!$C268)</f>
        <v>0</v>
      </c>
      <c r="X268" s="399">
        <f t="shared" si="98"/>
        <v>0</v>
      </c>
      <c r="Y268" s="509">
        <f>IFERROR(VLOOKUP(C268,'2021'!$D:$G,4,0),0)</f>
        <v>0</v>
      </c>
      <c r="Z268" s="398">
        <f>SUMIFS('2021'!$I:$I,'2021'!$E:$E,Category!$B$246,'2021'!$N:$N,Category!Z$1,'2021'!$D:$D,Category!$C268)</f>
        <v>0</v>
      </c>
      <c r="AA268" s="398">
        <f>SUMIFS('2021'!$I:$I,'2021'!$E:$E,Category!$B$246,'2021'!$N:$N,Category!AA$1,'2021'!$D:$D,Category!$C268)</f>
        <v>0</v>
      </c>
      <c r="AB268" s="398">
        <f>SUMIFS('2021'!$I:$I,'2021'!$E:$E,Category!$B$246,'2021'!$N:$N,Category!AB$1,'2021'!$D:$D,Category!$C268)</f>
        <v>0</v>
      </c>
      <c r="AC268" s="398">
        <f>SUMIFS('2021'!$I:$I,'2021'!$E:$E,Category!$B$246,'2021'!$N:$N,Category!AC$1,'2021'!$D:$D,Category!$C268)</f>
        <v>0</v>
      </c>
      <c r="AD268" s="398">
        <f>SUMIFS('2021'!$I:$I,'2021'!$E:$E,Category!$B$246,'2021'!$N:$N,Category!AD$1,'2021'!$D:$D,Category!$C268)</f>
        <v>0</v>
      </c>
      <c r="AE268" s="398">
        <f>SUMIFS('2021'!$I:$I,'2021'!$E:$E,Category!$B$246,'2021'!$N:$N,Category!AE$1,'2021'!$D:$D,Category!$C268)</f>
        <v>0</v>
      </c>
      <c r="AF268" s="398">
        <f>SUMIFS('2021'!$I:$I,'2021'!$E:$E,Category!$B$246,'2021'!$N:$N,Category!AF$1,'2021'!$D:$D,Category!$C268)</f>
        <v>0</v>
      </c>
      <c r="AG268" s="398">
        <f>SUMIFS('2021'!$I:$I,'2021'!$E:$E,Category!$B$246,'2021'!$N:$N,Category!AG$1,'2021'!$D:$D,Category!$C268)</f>
        <v>0</v>
      </c>
      <c r="AH268" s="398">
        <f>SUMIFS('2021'!$I:$I,'2021'!$E:$E,Category!$B$246,'2021'!$N:$N,Category!AH$1,'2021'!$D:$D,Category!$C268)</f>
        <v>0</v>
      </c>
      <c r="AI268" s="398">
        <f>SUMIFS('2021'!$I:$I,'2021'!$E:$E,Category!$B$246,'2021'!$N:$N,Category!AI$1,'2021'!$D:$D,Category!$C268)</f>
        <v>0</v>
      </c>
      <c r="AJ268" s="398">
        <f>SUMIFS('2021'!$I:$I,'2021'!$E:$E,Category!$B$246,'2021'!$N:$N,Category!AJ$1,'2021'!$D:$D,Category!$C268)</f>
        <v>0</v>
      </c>
      <c r="AK268" s="398">
        <f>SUMIFS('2021'!$I:$I,'2021'!$E:$E,Category!$B$246,'2021'!$N:$N,Category!AK$1,'2021'!$D:$D,Category!$C268)</f>
        <v>0</v>
      </c>
      <c r="AL268" s="399">
        <f t="shared" si="99"/>
        <v>0</v>
      </c>
      <c r="AM268" s="509">
        <f>IFERROR(VLOOKUP(C268,'2022'!$D:$G,4,0),0)</f>
        <v>0</v>
      </c>
      <c r="AN268" s="398">
        <f>SUMIFS('2022'!$I:$I,'2022'!$E:$E,Category!$B$246,'2022'!$N:$N,Category!AN$1,'2022'!$D:$D,Category!$C268)</f>
        <v>0</v>
      </c>
      <c r="AO268" s="398">
        <f>SUMIFS('2022'!$I:$I,'2022'!$E:$E,Category!$B$246,'2022'!$N:$N,Category!AO$1,'2022'!$D:$D,Category!$C268)</f>
        <v>0</v>
      </c>
      <c r="AP268" s="398">
        <f>SUMIFS('2022'!$I:$I,'2022'!$E:$E,Category!$B$246,'2022'!$N:$N,Category!AP$1,'2022'!$D:$D,Category!$C268)</f>
        <v>0</v>
      </c>
      <c r="AQ268" s="398">
        <f>SUMIFS('2022'!$I:$I,'2022'!$E:$E,Category!$B$246,'2022'!$N:$N,Category!AQ$1,'2022'!$D:$D,Category!$C268)</f>
        <v>0</v>
      </c>
      <c r="AR268" s="398">
        <f>SUMIFS('2022'!$I:$I,'2022'!$E:$E,Category!$B$246,'2022'!$N:$N,Category!AR$1,'2022'!$D:$D,Category!$C268)</f>
        <v>0</v>
      </c>
      <c r="AS268" s="398">
        <f>SUMIFS('2022'!$I:$I,'2022'!$E:$E,Category!$B$246,'2022'!$N:$N,Category!AS$1,'2022'!$D:$D,Category!$C268)</f>
        <v>0</v>
      </c>
      <c r="AT268" s="398">
        <f>SUMIFS('2022'!$I:$I,'2022'!$E:$E,Category!$B$246,'2022'!$N:$N,Category!AT$1,'2022'!$D:$D,Category!$C268)</f>
        <v>0</v>
      </c>
      <c r="AU268" s="398">
        <f>SUMIFS('2022'!$I:$I,'2022'!$E:$E,Category!$B$246,'2022'!$N:$N,Category!AU$1,'2022'!$D:$D,Category!$C268)</f>
        <v>0</v>
      </c>
      <c r="AV268" s="398">
        <f>SUMIFS('2022'!$I:$I,'2022'!$E:$E,Category!$B$246,'2022'!$N:$N,Category!AV$1,'2022'!$D:$D,Category!$C268)</f>
        <v>0</v>
      </c>
      <c r="AW268" s="398">
        <f>SUMIFS('2022'!$I:$I,'2022'!$E:$E,Category!$B$246,'2022'!$N:$N,Category!AW$1,'2022'!$D:$D,Category!$C268)</f>
        <v>0</v>
      </c>
      <c r="AX268" s="398">
        <f>SUMIFS('2022'!$I:$I,'2022'!$E:$E,Category!$B$246,'2022'!$N:$N,Category!AX$1,'2022'!$D:$D,Category!$C268)</f>
        <v>2238950</v>
      </c>
      <c r="AY268" s="398">
        <f>SUMIFS('2022'!$I:$I,'2022'!$E:$E,Category!$B$246,'2022'!$N:$N,Category!AY$1,'2022'!$D:$D,Category!$C268)</f>
        <v>0</v>
      </c>
      <c r="AZ268" s="399">
        <f t="shared" si="103"/>
        <v>2238950</v>
      </c>
      <c r="BA268" s="509">
        <f>IFERROR(VLOOKUP(C268,'2023'!$D:$G,4,0),0)</f>
        <v>0</v>
      </c>
      <c r="BB268" s="398">
        <f>SUMIFS('2023'!$I:$I,'2023'!$E:$E,Category!$B$246,'2023'!$N:$N,Category!BB$1,'2023'!$D:$D,Category!$C268)</f>
        <v>0</v>
      </c>
      <c r="BC268" s="398">
        <f>SUMIFS('2023'!$I:$I,'2023'!$E:$E,Category!$B$246,'2023'!$N:$N,Category!BC$1,'2023'!$D:$D,Category!$C268)</f>
        <v>0</v>
      </c>
      <c r="BD268" s="398">
        <f>SUMIFS('2023'!$I:$I,'2023'!$E:$E,Category!$B$246,'2023'!$N:$N,Category!BD$1,'2023'!$D:$D,Category!$C268)</f>
        <v>0</v>
      </c>
      <c r="BE268" s="398">
        <f>SUMIFS('2023'!$I:$I,'2023'!$E:$E,Category!$B$246,'2023'!$N:$N,Category!BE$1,'2023'!$D:$D,Category!$C268)</f>
        <v>0</v>
      </c>
      <c r="BF268" s="398">
        <f>SUMIFS('2023'!$I:$I,'2023'!$E:$E,Category!$B$246,'2023'!$N:$N,Category!BF$1,'2023'!$D:$D,Category!$C268)</f>
        <v>0</v>
      </c>
      <c r="BG268" s="398">
        <f>SUMIFS('2023'!$I:$I,'2023'!$E:$E,Category!$B$246,'2023'!$N:$N,Category!BG$1,'2023'!$D:$D,Category!$C268)</f>
        <v>0</v>
      </c>
      <c r="BH268" s="398">
        <f>SUMIFS('2023'!$I:$I,'2023'!$E:$E,Category!$B$246,'2023'!$N:$N,Category!BH$1,'2023'!$D:$D,Category!$C268)</f>
        <v>0</v>
      </c>
      <c r="BI268" s="398">
        <f>SUMIFS('2023'!$I:$I,'2023'!$E:$E,Category!$B$246,'2023'!$N:$N,Category!BI$1,'2023'!$D:$D,Category!$C268)</f>
        <v>0</v>
      </c>
      <c r="BJ268" s="398">
        <f>SUMIFS('2023'!$I:$I,'2023'!$E:$E,Category!$B$246,'2023'!$N:$N,Category!BJ$1,'2023'!$D:$D,Category!$C268)</f>
        <v>0</v>
      </c>
      <c r="BK268" s="398">
        <f>SUMIFS('2023'!$I:$I,'2023'!$E:$E,Category!$B$246,'2023'!$N:$N,Category!BK$1,'2023'!$D:$D,Category!$C268)</f>
        <v>0</v>
      </c>
      <c r="BL268" s="398">
        <f>SUMIFS('2023'!$I:$I,'2023'!$E:$E,Category!$B$246,'2023'!$N:$N,Category!BL$1,'2023'!$D:$D,Category!$C268)</f>
        <v>0</v>
      </c>
      <c r="BM268" s="398">
        <f>SUMIFS('2023'!$I:$I,'2023'!$E:$E,Category!$B$246,'2023'!$N:$N,Category!BM$1,'2023'!$D:$D,Category!$C268)</f>
        <v>0</v>
      </c>
      <c r="BN268" s="399">
        <f t="shared" si="101"/>
        <v>0</v>
      </c>
    </row>
    <row r="269" spans="1:66" ht="21" customHeight="1" x14ac:dyDescent="0.3">
      <c r="A269" s="400"/>
      <c r="B269" s="397"/>
      <c r="C269" s="397" t="s">
        <v>1646</v>
      </c>
      <c r="D269" s="526">
        <f>IFERROR(VLOOKUP($C269,'2019'!$D:$G,4,0),0)</f>
        <v>0</v>
      </c>
      <c r="E269" s="398">
        <f>SUMIFS('2019'!$I:$I,'2019'!$E:$E,Category!$B$246,'2019'!$N:$N,Category!E$1,'2019'!$D:$D,Category!$C269)</f>
        <v>0</v>
      </c>
      <c r="F269" s="398">
        <f>SUMIFS('2019'!$I:$I,'2019'!$E:$E,Category!$B$246,'2019'!$N:$N,Category!F$1,'2019'!$D:$D,Category!$C269)</f>
        <v>0</v>
      </c>
      <c r="G269" s="398">
        <f>SUMIFS('2019'!$I:$I,'2019'!$E:$E,Category!$B$246,'2019'!$N:$N,Category!G$1,'2019'!$D:$D,Category!$C269)</f>
        <v>0</v>
      </c>
      <c r="H269" s="398">
        <f>SUMIFS('2019'!$I:$I,'2019'!$E:$E,Category!$B$246,'2019'!$N:$N,Category!H$1,'2019'!$D:$D,Category!$C269)</f>
        <v>0</v>
      </c>
      <c r="I269" s="398">
        <f>SUMIFS('2019'!$I:$I,'2019'!$E:$E,Category!$B$246,'2019'!$N:$N,Category!I$1,'2019'!$D:$D,Category!$C269)</f>
        <v>0</v>
      </c>
      <c r="J269" s="399">
        <f t="shared" si="104"/>
        <v>0</v>
      </c>
      <c r="K269" s="509">
        <f>IFERROR(VLOOKUP($C269,'2020'!$D:$G,4,0),0)</f>
        <v>0</v>
      </c>
      <c r="L269" s="398">
        <f>SUMIFS('2020'!$I:$I,'2020'!$E:$E,Category!$B$246,'2020'!$N:$N,Category!L$1,'2020'!$D:$D,Category!$C269)</f>
        <v>0</v>
      </c>
      <c r="M269" s="398">
        <f>SUMIFS('2020'!$I:$I,'2020'!$E:$E,Category!$B$246,'2020'!$N:$N,Category!M$1,'2020'!$D:$D,Category!$C269)</f>
        <v>0</v>
      </c>
      <c r="N269" s="398">
        <f>SUMIFS('2020'!$I:$I,'2020'!$E:$E,Category!$B$246,'2020'!$N:$N,Category!N$1,'2020'!$D:$D,Category!$C269)</f>
        <v>0</v>
      </c>
      <c r="O269" s="398">
        <f>SUMIFS('2020'!$I:$I,'2020'!$E:$E,Category!$B$246,'2020'!$N:$N,Category!O$1,'2020'!$D:$D,Category!$C269)</f>
        <v>0</v>
      </c>
      <c r="P269" s="398">
        <f>SUMIFS('2020'!$I:$I,'2020'!$E:$E,Category!$B$246,'2020'!$N:$N,Category!P$1,'2020'!$D:$D,Category!$C269)</f>
        <v>0</v>
      </c>
      <c r="Q269" s="398">
        <f>SUMIFS('2020'!$I:$I,'2020'!$E:$E,Category!$B$246,'2020'!$N:$N,Category!Q$1,'2020'!$D:$D,Category!$C269)</f>
        <v>0</v>
      </c>
      <c r="R269" s="398">
        <f>SUMIFS('2020'!$I:$I,'2020'!$E:$E,Category!$B$246,'2020'!$N:$N,Category!R$1,'2020'!$D:$D,Category!$C269)</f>
        <v>0</v>
      </c>
      <c r="S269" s="398">
        <f>SUMIFS('2020'!$I:$I,'2020'!$E:$E,Category!$B$246,'2020'!$N:$N,Category!S$1,'2020'!$D:$D,Category!$C269)</f>
        <v>0</v>
      </c>
      <c r="T269" s="398">
        <f>SUMIFS('2020'!$I:$I,'2020'!$E:$E,Category!$B$246,'2020'!$N:$N,Category!T$1,'2020'!$D:$D,Category!$C269)</f>
        <v>0</v>
      </c>
      <c r="U269" s="398">
        <f>SUMIFS('2020'!$I:$I,'2020'!$E:$E,Category!$B$246,'2020'!$N:$N,Category!U$1,'2020'!$D:$D,Category!$C269)</f>
        <v>0</v>
      </c>
      <c r="V269" s="398">
        <f>SUMIFS('2020'!$I:$I,'2020'!$E:$E,Category!$B$246,'2020'!$N:$N,Category!V$1,'2020'!$D:$D,Category!$C269)</f>
        <v>0</v>
      </c>
      <c r="W269" s="398">
        <f>SUMIFS('2020'!$I:$I,'2020'!$E:$E,Category!$B$246,'2020'!$N:$N,Category!W$1,'2020'!$D:$D,Category!$C269)</f>
        <v>0</v>
      </c>
      <c r="X269" s="399">
        <f t="shared" si="98"/>
        <v>0</v>
      </c>
      <c r="Y269" s="509">
        <f>IFERROR(VLOOKUP(C269,'2021'!$D:$G,4,0),0)</f>
        <v>0</v>
      </c>
      <c r="Z269" s="398">
        <f>SUMIFS('2021'!$I:$I,'2021'!$E:$E,Category!$B$246,'2021'!$N:$N,Category!Z$1,'2021'!$D:$D,Category!$C269)</f>
        <v>0</v>
      </c>
      <c r="AA269" s="398">
        <f>SUMIFS('2021'!$I:$I,'2021'!$E:$E,Category!$B$246,'2021'!$N:$N,Category!AA$1,'2021'!$D:$D,Category!$C269)</f>
        <v>0</v>
      </c>
      <c r="AB269" s="398">
        <f>SUMIFS('2021'!$I:$I,'2021'!$E:$E,Category!$B$246,'2021'!$N:$N,Category!AB$1,'2021'!$D:$D,Category!$C269)</f>
        <v>0</v>
      </c>
      <c r="AC269" s="398">
        <f>SUMIFS('2021'!$I:$I,'2021'!$E:$E,Category!$B$246,'2021'!$N:$N,Category!AC$1,'2021'!$D:$D,Category!$C269)</f>
        <v>0</v>
      </c>
      <c r="AD269" s="398">
        <f>SUMIFS('2021'!$I:$I,'2021'!$E:$E,Category!$B$246,'2021'!$N:$N,Category!AD$1,'2021'!$D:$D,Category!$C269)</f>
        <v>0</v>
      </c>
      <c r="AE269" s="398">
        <f>SUMIFS('2021'!$I:$I,'2021'!$E:$E,Category!$B$246,'2021'!$N:$N,Category!AE$1,'2021'!$D:$D,Category!$C269)</f>
        <v>0</v>
      </c>
      <c r="AF269" s="398">
        <f>SUMIFS('2021'!$I:$I,'2021'!$E:$E,Category!$B$246,'2021'!$N:$N,Category!AF$1,'2021'!$D:$D,Category!$C269)</f>
        <v>0</v>
      </c>
      <c r="AG269" s="398">
        <f>SUMIFS('2021'!$I:$I,'2021'!$E:$E,Category!$B$246,'2021'!$N:$N,Category!AG$1,'2021'!$D:$D,Category!$C269)</f>
        <v>0</v>
      </c>
      <c r="AH269" s="398">
        <f>SUMIFS('2021'!$I:$I,'2021'!$E:$E,Category!$B$246,'2021'!$N:$N,Category!AH$1,'2021'!$D:$D,Category!$C269)</f>
        <v>0</v>
      </c>
      <c r="AI269" s="398">
        <f>SUMIFS('2021'!$I:$I,'2021'!$E:$E,Category!$B$246,'2021'!$N:$N,Category!AI$1,'2021'!$D:$D,Category!$C269)</f>
        <v>0</v>
      </c>
      <c r="AJ269" s="398">
        <f>SUMIFS('2021'!$I:$I,'2021'!$E:$E,Category!$B$246,'2021'!$N:$N,Category!AJ$1,'2021'!$D:$D,Category!$C269)</f>
        <v>0</v>
      </c>
      <c r="AK269" s="398">
        <f>SUMIFS('2021'!$I:$I,'2021'!$E:$E,Category!$B$246,'2021'!$N:$N,Category!AK$1,'2021'!$D:$D,Category!$C269)</f>
        <v>0</v>
      </c>
      <c r="AL269" s="399">
        <f t="shared" si="99"/>
        <v>0</v>
      </c>
      <c r="AM269" s="509">
        <f>IFERROR(VLOOKUP(C269,'2022'!$D:$G,4,0),0)</f>
        <v>0</v>
      </c>
      <c r="AN269" s="398">
        <f>SUMIFS('2022'!$I:$I,'2022'!$E:$E,Category!$B$246,'2022'!$N:$N,Category!AN$1,'2022'!$D:$D,Category!$C269)</f>
        <v>0</v>
      </c>
      <c r="AO269" s="398">
        <f>SUMIFS('2022'!$I:$I,'2022'!$E:$E,Category!$B$246,'2022'!$N:$N,Category!AO$1,'2022'!$D:$D,Category!$C269)</f>
        <v>0</v>
      </c>
      <c r="AP269" s="398">
        <f>SUMIFS('2022'!$I:$I,'2022'!$E:$E,Category!$B$246,'2022'!$N:$N,Category!AP$1,'2022'!$D:$D,Category!$C269)</f>
        <v>0</v>
      </c>
      <c r="AQ269" s="398">
        <f>SUMIFS('2022'!$I:$I,'2022'!$E:$E,Category!$B$246,'2022'!$N:$N,Category!AQ$1,'2022'!$D:$D,Category!$C269)</f>
        <v>0</v>
      </c>
      <c r="AR269" s="398">
        <f>SUMIFS('2022'!$I:$I,'2022'!$E:$E,Category!$B$246,'2022'!$N:$N,Category!AR$1,'2022'!$D:$D,Category!$C269)</f>
        <v>0</v>
      </c>
      <c r="AS269" s="398">
        <f>SUMIFS('2022'!$I:$I,'2022'!$E:$E,Category!$B$246,'2022'!$N:$N,Category!AS$1,'2022'!$D:$D,Category!$C269)</f>
        <v>0</v>
      </c>
      <c r="AT269" s="398">
        <f>SUMIFS('2022'!$I:$I,'2022'!$E:$E,Category!$B$246,'2022'!$N:$N,Category!AT$1,'2022'!$D:$D,Category!$C269)</f>
        <v>0</v>
      </c>
      <c r="AU269" s="398">
        <f>SUMIFS('2022'!$I:$I,'2022'!$E:$E,Category!$B$246,'2022'!$N:$N,Category!AU$1,'2022'!$D:$D,Category!$C269)</f>
        <v>0</v>
      </c>
      <c r="AV269" s="398">
        <f>SUMIFS('2022'!$I:$I,'2022'!$E:$E,Category!$B$246,'2022'!$N:$N,Category!AV$1,'2022'!$D:$D,Category!$C269)</f>
        <v>0</v>
      </c>
      <c r="AW269" s="398">
        <f>SUMIFS('2022'!$I:$I,'2022'!$E:$E,Category!$B$246,'2022'!$N:$N,Category!AW$1,'2022'!$D:$D,Category!$C269)</f>
        <v>669000</v>
      </c>
      <c r="AX269" s="398">
        <f>SUMIFS('2022'!$I:$I,'2022'!$E:$E,Category!$B$246,'2022'!$N:$N,Category!AX$1,'2022'!$D:$D,Category!$C269)</f>
        <v>0</v>
      </c>
      <c r="AY269" s="398">
        <f>SUMIFS('2022'!$I:$I,'2022'!$E:$E,Category!$B$246,'2022'!$N:$N,Category!AY$1,'2022'!$D:$D,Category!$C269)</f>
        <v>0</v>
      </c>
      <c r="AZ269" s="399">
        <f t="shared" si="103"/>
        <v>669000</v>
      </c>
      <c r="BA269" s="509">
        <f>IFERROR(VLOOKUP(C269,'2023'!$D:$G,4,0),0)</f>
        <v>0</v>
      </c>
      <c r="BB269" s="398">
        <f>SUMIFS('2023'!$I:$I,'2023'!$E:$E,Category!$B$246,'2023'!$N:$N,Category!BB$1,'2023'!$D:$D,Category!$C269)</f>
        <v>0</v>
      </c>
      <c r="BC269" s="398">
        <f>SUMIFS('2023'!$I:$I,'2023'!$E:$E,Category!$B$246,'2023'!$N:$N,Category!BC$1,'2023'!$D:$D,Category!$C269)</f>
        <v>0</v>
      </c>
      <c r="BD269" s="398">
        <f>SUMIFS('2023'!$I:$I,'2023'!$E:$E,Category!$B$246,'2023'!$N:$N,Category!BD$1,'2023'!$D:$D,Category!$C269)</f>
        <v>0</v>
      </c>
      <c r="BE269" s="398">
        <f>SUMIFS('2023'!$I:$I,'2023'!$E:$E,Category!$B$246,'2023'!$N:$N,Category!BE$1,'2023'!$D:$D,Category!$C269)</f>
        <v>0</v>
      </c>
      <c r="BF269" s="398">
        <f>SUMIFS('2023'!$I:$I,'2023'!$E:$E,Category!$B$246,'2023'!$N:$N,Category!BF$1,'2023'!$D:$D,Category!$C269)</f>
        <v>0</v>
      </c>
      <c r="BG269" s="398">
        <f>SUMIFS('2023'!$I:$I,'2023'!$E:$E,Category!$B$246,'2023'!$N:$N,Category!BG$1,'2023'!$D:$D,Category!$C269)</f>
        <v>0</v>
      </c>
      <c r="BH269" s="398">
        <f>SUMIFS('2023'!$I:$I,'2023'!$E:$E,Category!$B$246,'2023'!$N:$N,Category!BH$1,'2023'!$D:$D,Category!$C269)</f>
        <v>0</v>
      </c>
      <c r="BI269" s="398">
        <f>SUMIFS('2023'!$I:$I,'2023'!$E:$E,Category!$B$246,'2023'!$N:$N,Category!BI$1,'2023'!$D:$D,Category!$C269)</f>
        <v>0</v>
      </c>
      <c r="BJ269" s="398">
        <f>SUMIFS('2023'!$I:$I,'2023'!$E:$E,Category!$B$246,'2023'!$N:$N,Category!BJ$1,'2023'!$D:$D,Category!$C269)</f>
        <v>0</v>
      </c>
      <c r="BK269" s="398">
        <f>SUMIFS('2023'!$I:$I,'2023'!$E:$E,Category!$B$246,'2023'!$N:$N,Category!BK$1,'2023'!$D:$D,Category!$C269)</f>
        <v>0</v>
      </c>
      <c r="BL269" s="398">
        <f>SUMIFS('2023'!$I:$I,'2023'!$E:$E,Category!$B$246,'2023'!$N:$N,Category!BL$1,'2023'!$D:$D,Category!$C269)</f>
        <v>0</v>
      </c>
      <c r="BM269" s="398">
        <f>SUMIFS('2023'!$I:$I,'2023'!$E:$E,Category!$B$246,'2023'!$N:$N,Category!BM$1,'2023'!$D:$D,Category!$C269)</f>
        <v>0</v>
      </c>
      <c r="BN269" s="399">
        <f t="shared" si="101"/>
        <v>0</v>
      </c>
    </row>
    <row r="270" spans="1:66" ht="21" customHeight="1" x14ac:dyDescent="0.3">
      <c r="A270" s="400"/>
      <c r="B270" s="397"/>
      <c r="C270" s="397" t="s">
        <v>1731</v>
      </c>
      <c r="D270" s="526">
        <f>IFERROR(VLOOKUP($C270,'2019'!$D:$G,4,0),0)</f>
        <v>0</v>
      </c>
      <c r="E270" s="398">
        <f>SUMIFS('2019'!$I:$I,'2019'!$E:$E,Category!$B$246,'2019'!$N:$N,Category!E$1,'2019'!$D:$D,Category!$C270)</f>
        <v>0</v>
      </c>
      <c r="F270" s="398">
        <f>SUMIFS('2019'!$I:$I,'2019'!$E:$E,Category!$B$246,'2019'!$N:$N,Category!F$1,'2019'!$D:$D,Category!$C270)</f>
        <v>0</v>
      </c>
      <c r="G270" s="398">
        <f>SUMIFS('2019'!$I:$I,'2019'!$E:$E,Category!$B$246,'2019'!$N:$N,Category!G$1,'2019'!$D:$D,Category!$C270)</f>
        <v>0</v>
      </c>
      <c r="H270" s="398">
        <f>SUMIFS('2019'!$I:$I,'2019'!$E:$E,Category!$B$246,'2019'!$N:$N,Category!H$1,'2019'!$D:$D,Category!$C270)</f>
        <v>0</v>
      </c>
      <c r="I270" s="398">
        <f>SUMIFS('2019'!$I:$I,'2019'!$E:$E,Category!$B$246,'2019'!$N:$N,Category!I$1,'2019'!$D:$D,Category!$C270)</f>
        <v>0</v>
      </c>
      <c r="J270" s="399">
        <f t="shared" si="104"/>
        <v>0</v>
      </c>
      <c r="K270" s="509">
        <f>IFERROR(VLOOKUP($C270,'2020'!$D:$G,4,0),0)</f>
        <v>0</v>
      </c>
      <c r="L270" s="398">
        <f>SUMIFS('2020'!$I:$I,'2020'!$E:$E,Category!$B$246,'2020'!$N:$N,Category!L$1,'2020'!$D:$D,Category!$C270)</f>
        <v>0</v>
      </c>
      <c r="M270" s="398">
        <f>SUMIFS('2020'!$I:$I,'2020'!$E:$E,Category!$B$246,'2020'!$N:$N,Category!M$1,'2020'!$D:$D,Category!$C270)</f>
        <v>0</v>
      </c>
      <c r="N270" s="398">
        <f>SUMIFS('2020'!$I:$I,'2020'!$E:$E,Category!$B$246,'2020'!$N:$N,Category!N$1,'2020'!$D:$D,Category!$C270)</f>
        <v>0</v>
      </c>
      <c r="O270" s="398">
        <f>SUMIFS('2020'!$I:$I,'2020'!$E:$E,Category!$B$246,'2020'!$N:$N,Category!O$1,'2020'!$D:$D,Category!$C270)</f>
        <v>0</v>
      </c>
      <c r="P270" s="398">
        <f>SUMIFS('2020'!$I:$I,'2020'!$E:$E,Category!$B$246,'2020'!$N:$N,Category!P$1,'2020'!$D:$D,Category!$C270)</f>
        <v>0</v>
      </c>
      <c r="Q270" s="398">
        <f>SUMIFS('2020'!$I:$I,'2020'!$E:$E,Category!$B$246,'2020'!$N:$N,Category!Q$1,'2020'!$D:$D,Category!$C270)</f>
        <v>0</v>
      </c>
      <c r="R270" s="398">
        <f>SUMIFS('2020'!$I:$I,'2020'!$E:$E,Category!$B$246,'2020'!$N:$N,Category!R$1,'2020'!$D:$D,Category!$C270)</f>
        <v>0</v>
      </c>
      <c r="S270" s="398">
        <f>SUMIFS('2020'!$I:$I,'2020'!$E:$E,Category!$B$246,'2020'!$N:$N,Category!S$1,'2020'!$D:$D,Category!$C270)</f>
        <v>0</v>
      </c>
      <c r="T270" s="398">
        <f>SUMIFS('2020'!$I:$I,'2020'!$E:$E,Category!$B$246,'2020'!$N:$N,Category!T$1,'2020'!$D:$D,Category!$C270)</f>
        <v>0</v>
      </c>
      <c r="U270" s="398">
        <f>SUMIFS('2020'!$I:$I,'2020'!$E:$E,Category!$B$246,'2020'!$N:$N,Category!U$1,'2020'!$D:$D,Category!$C270)</f>
        <v>0</v>
      </c>
      <c r="V270" s="398">
        <f>SUMIFS('2020'!$I:$I,'2020'!$E:$E,Category!$B$246,'2020'!$N:$N,Category!V$1,'2020'!$D:$D,Category!$C270)</f>
        <v>0</v>
      </c>
      <c r="W270" s="398">
        <f>SUMIFS('2020'!$I:$I,'2020'!$E:$E,Category!$B$246,'2020'!$N:$N,Category!W$1,'2020'!$D:$D,Category!$C270)</f>
        <v>0</v>
      </c>
      <c r="X270" s="399">
        <f t="shared" si="98"/>
        <v>0</v>
      </c>
      <c r="Y270" s="509">
        <f>IFERROR(VLOOKUP(C270,'2021'!$D:$G,4,0),0)</f>
        <v>0</v>
      </c>
      <c r="Z270" s="398">
        <f>SUMIFS('2021'!$I:$I,'2021'!$E:$E,Category!$B$246,'2021'!$N:$N,Category!Z$1,'2021'!$D:$D,Category!$C270)</f>
        <v>0</v>
      </c>
      <c r="AA270" s="398">
        <f>SUMIFS('2021'!$I:$I,'2021'!$E:$E,Category!$B$246,'2021'!$N:$N,Category!AA$1,'2021'!$D:$D,Category!$C270)</f>
        <v>0</v>
      </c>
      <c r="AB270" s="398">
        <f>SUMIFS('2021'!$I:$I,'2021'!$E:$E,Category!$B$246,'2021'!$N:$N,Category!AB$1,'2021'!$D:$D,Category!$C270)</f>
        <v>0</v>
      </c>
      <c r="AC270" s="398">
        <f>SUMIFS('2021'!$I:$I,'2021'!$E:$E,Category!$B$246,'2021'!$N:$N,Category!AC$1,'2021'!$D:$D,Category!$C270)</f>
        <v>0</v>
      </c>
      <c r="AD270" s="398">
        <f>SUMIFS('2021'!$I:$I,'2021'!$E:$E,Category!$B$246,'2021'!$N:$N,Category!AD$1,'2021'!$D:$D,Category!$C270)</f>
        <v>0</v>
      </c>
      <c r="AE270" s="398">
        <f>SUMIFS('2021'!$I:$I,'2021'!$E:$E,Category!$B$246,'2021'!$N:$N,Category!AE$1,'2021'!$D:$D,Category!$C270)</f>
        <v>0</v>
      </c>
      <c r="AF270" s="398">
        <f>SUMIFS('2021'!$I:$I,'2021'!$E:$E,Category!$B$246,'2021'!$N:$N,Category!AF$1,'2021'!$D:$D,Category!$C270)</f>
        <v>0</v>
      </c>
      <c r="AG270" s="398">
        <f>SUMIFS('2021'!$I:$I,'2021'!$E:$E,Category!$B$246,'2021'!$N:$N,Category!AG$1,'2021'!$D:$D,Category!$C270)</f>
        <v>0</v>
      </c>
      <c r="AH270" s="398">
        <f>SUMIFS('2021'!$I:$I,'2021'!$E:$E,Category!$B$246,'2021'!$N:$N,Category!AH$1,'2021'!$D:$D,Category!$C270)</f>
        <v>0</v>
      </c>
      <c r="AI270" s="398">
        <f>SUMIFS('2021'!$I:$I,'2021'!$E:$E,Category!$B$246,'2021'!$N:$N,Category!AI$1,'2021'!$D:$D,Category!$C270)</f>
        <v>0</v>
      </c>
      <c r="AJ270" s="398">
        <f>SUMIFS('2021'!$I:$I,'2021'!$E:$E,Category!$B$246,'2021'!$N:$N,Category!AJ$1,'2021'!$D:$D,Category!$C270)</f>
        <v>0</v>
      </c>
      <c r="AK270" s="398">
        <f>SUMIFS('2021'!$I:$I,'2021'!$E:$E,Category!$B$246,'2021'!$N:$N,Category!AK$1,'2021'!$D:$D,Category!$C270)</f>
        <v>0</v>
      </c>
      <c r="AL270" s="399">
        <f t="shared" si="99"/>
        <v>0</v>
      </c>
      <c r="AM270" s="509">
        <f>IFERROR(VLOOKUP(C270,'2022'!$D:$G,4,0),0)</f>
        <v>0</v>
      </c>
      <c r="AN270" s="398">
        <f>SUMIFS('2022'!$I:$I,'2022'!$E:$E,Category!$B$246,'2022'!$N:$N,Category!AN$1,'2022'!$D:$D,Category!$C270)</f>
        <v>0</v>
      </c>
      <c r="AO270" s="398">
        <f>SUMIFS('2022'!$I:$I,'2022'!$E:$E,Category!$B$246,'2022'!$N:$N,Category!AO$1,'2022'!$D:$D,Category!$C270)</f>
        <v>0</v>
      </c>
      <c r="AP270" s="398">
        <f>SUMIFS('2022'!$I:$I,'2022'!$E:$E,Category!$B$246,'2022'!$N:$N,Category!AP$1,'2022'!$D:$D,Category!$C270)</f>
        <v>0</v>
      </c>
      <c r="AQ270" s="398">
        <f>SUMIFS('2022'!$I:$I,'2022'!$E:$E,Category!$B$246,'2022'!$N:$N,Category!AQ$1,'2022'!$D:$D,Category!$C270)</f>
        <v>0</v>
      </c>
      <c r="AR270" s="398">
        <f>SUMIFS('2022'!$I:$I,'2022'!$E:$E,Category!$B$246,'2022'!$N:$N,Category!AR$1,'2022'!$D:$D,Category!$C270)</f>
        <v>0</v>
      </c>
      <c r="AS270" s="398">
        <f>SUMIFS('2022'!$I:$I,'2022'!$E:$E,Category!$B$246,'2022'!$N:$N,Category!AS$1,'2022'!$D:$D,Category!$C270)</f>
        <v>0</v>
      </c>
      <c r="AT270" s="398">
        <f>SUMIFS('2022'!$I:$I,'2022'!$E:$E,Category!$B$246,'2022'!$N:$N,Category!AT$1,'2022'!$D:$D,Category!$C270)</f>
        <v>0</v>
      </c>
      <c r="AU270" s="398">
        <f>SUMIFS('2022'!$I:$I,'2022'!$E:$E,Category!$B$246,'2022'!$N:$N,Category!AU$1,'2022'!$D:$D,Category!$C270)</f>
        <v>0</v>
      </c>
      <c r="AV270" s="398">
        <f>SUMIFS('2022'!$I:$I,'2022'!$E:$E,Category!$B$246,'2022'!$N:$N,Category!AV$1,'2022'!$D:$D,Category!$C270)</f>
        <v>0</v>
      </c>
      <c r="AW270" s="398">
        <f>SUMIFS('2022'!$I:$I,'2022'!$E:$E,Category!$B$246,'2022'!$N:$N,Category!AW$1,'2022'!$D:$D,Category!$C270)</f>
        <v>0</v>
      </c>
      <c r="AX270" s="398">
        <f>SUMIFS('2022'!$I:$I,'2022'!$E:$E,Category!$B$246,'2022'!$N:$N,Category!AX$1,'2022'!$D:$D,Category!$C270)</f>
        <v>0</v>
      </c>
      <c r="AY270" s="398">
        <f>SUMIFS('2022'!$I:$I,'2022'!$E:$E,Category!$B$246,'2022'!$N:$N,Category!AY$1,'2022'!$D:$D,Category!$C270)</f>
        <v>168000</v>
      </c>
      <c r="AZ270" s="399">
        <f t="shared" si="103"/>
        <v>168000</v>
      </c>
      <c r="BA270" s="509">
        <f>IFERROR(VLOOKUP(C270,'2023'!$D:$G,4,0),0)</f>
        <v>0</v>
      </c>
      <c r="BB270" s="398">
        <f>SUMIFS('2023'!$I:$I,'2023'!$E:$E,Category!$B$246,'2023'!$N:$N,Category!BB$1,'2023'!$D:$D,Category!$C270)</f>
        <v>0</v>
      </c>
      <c r="BC270" s="398">
        <f>SUMIFS('2023'!$I:$I,'2023'!$E:$E,Category!$B$246,'2023'!$N:$N,Category!BC$1,'2023'!$D:$D,Category!$C270)</f>
        <v>0</v>
      </c>
      <c r="BD270" s="398">
        <f>SUMIFS('2023'!$I:$I,'2023'!$E:$E,Category!$B$246,'2023'!$N:$N,Category!BD$1,'2023'!$D:$D,Category!$C270)</f>
        <v>0</v>
      </c>
      <c r="BE270" s="398">
        <f>SUMIFS('2023'!$I:$I,'2023'!$E:$E,Category!$B$246,'2023'!$N:$N,Category!BE$1,'2023'!$D:$D,Category!$C270)</f>
        <v>0</v>
      </c>
      <c r="BF270" s="398">
        <f>SUMIFS('2023'!$I:$I,'2023'!$E:$E,Category!$B$246,'2023'!$N:$N,Category!BF$1,'2023'!$D:$D,Category!$C270)</f>
        <v>0</v>
      </c>
      <c r="BG270" s="398">
        <f>SUMIFS('2023'!$I:$I,'2023'!$E:$E,Category!$B$246,'2023'!$N:$N,Category!BG$1,'2023'!$D:$D,Category!$C270)</f>
        <v>0</v>
      </c>
      <c r="BH270" s="398">
        <f>SUMIFS('2023'!$I:$I,'2023'!$E:$E,Category!$B$246,'2023'!$N:$N,Category!BH$1,'2023'!$D:$D,Category!$C270)</f>
        <v>0</v>
      </c>
      <c r="BI270" s="398">
        <f>SUMIFS('2023'!$I:$I,'2023'!$E:$E,Category!$B$246,'2023'!$N:$N,Category!BI$1,'2023'!$D:$D,Category!$C270)</f>
        <v>0</v>
      </c>
      <c r="BJ270" s="398">
        <f>SUMIFS('2023'!$I:$I,'2023'!$E:$E,Category!$B$246,'2023'!$N:$N,Category!BJ$1,'2023'!$D:$D,Category!$C270)</f>
        <v>0</v>
      </c>
      <c r="BK270" s="398">
        <f>SUMIFS('2023'!$I:$I,'2023'!$E:$E,Category!$B$246,'2023'!$N:$N,Category!BK$1,'2023'!$D:$D,Category!$C270)</f>
        <v>0</v>
      </c>
      <c r="BL270" s="398">
        <f>SUMIFS('2023'!$I:$I,'2023'!$E:$E,Category!$B$246,'2023'!$N:$N,Category!BL$1,'2023'!$D:$D,Category!$C270)</f>
        <v>0</v>
      </c>
      <c r="BM270" s="398">
        <f>SUMIFS('2023'!$I:$I,'2023'!$E:$E,Category!$B$246,'2023'!$N:$N,Category!BM$1,'2023'!$D:$D,Category!$C270)</f>
        <v>0</v>
      </c>
      <c r="BN270" s="399">
        <f t="shared" si="101"/>
        <v>0</v>
      </c>
    </row>
    <row r="271" spans="1:66" ht="21" customHeight="1" x14ac:dyDescent="0.3">
      <c r="A271" s="400"/>
      <c r="B271" s="397"/>
      <c r="C271" s="397" t="s">
        <v>1767</v>
      </c>
      <c r="D271" s="526">
        <f>IFERROR(VLOOKUP($C271,'2019'!$D:$G,4,0),0)</f>
        <v>0</v>
      </c>
      <c r="E271" s="398">
        <f>SUMIFS('2019'!$I:$I,'2019'!$E:$E,Category!$B$246,'2019'!$N:$N,Category!E$1,'2019'!$D:$D,Category!$C271)</f>
        <v>0</v>
      </c>
      <c r="F271" s="398">
        <f>SUMIFS('2019'!$I:$I,'2019'!$E:$E,Category!$B$246,'2019'!$N:$N,Category!F$1,'2019'!$D:$D,Category!$C271)</f>
        <v>0</v>
      </c>
      <c r="G271" s="398">
        <f>SUMIFS('2019'!$I:$I,'2019'!$E:$E,Category!$B$246,'2019'!$N:$N,Category!G$1,'2019'!$D:$D,Category!$C271)</f>
        <v>0</v>
      </c>
      <c r="H271" s="398">
        <f>SUMIFS('2019'!$I:$I,'2019'!$E:$E,Category!$B$246,'2019'!$N:$N,Category!H$1,'2019'!$D:$D,Category!$C271)</f>
        <v>0</v>
      </c>
      <c r="I271" s="398">
        <f>SUMIFS('2019'!$I:$I,'2019'!$E:$E,Category!$B$246,'2019'!$N:$N,Category!I$1,'2019'!$D:$D,Category!$C271)</f>
        <v>0</v>
      </c>
      <c r="J271" s="399">
        <f t="shared" si="104"/>
        <v>0</v>
      </c>
      <c r="K271" s="509">
        <f>IFERROR(VLOOKUP($C271,'2020'!$D:$G,4,0),0)</f>
        <v>0</v>
      </c>
      <c r="L271" s="398">
        <f>SUMIFS('2020'!$I:$I,'2020'!$E:$E,Category!$B$246,'2020'!$N:$N,Category!L$1,'2020'!$D:$D,Category!$C271)</f>
        <v>0</v>
      </c>
      <c r="M271" s="398">
        <f>SUMIFS('2020'!$I:$I,'2020'!$E:$E,Category!$B$246,'2020'!$N:$N,Category!M$1,'2020'!$D:$D,Category!$C271)</f>
        <v>0</v>
      </c>
      <c r="N271" s="398">
        <f>SUMIFS('2020'!$I:$I,'2020'!$E:$E,Category!$B$246,'2020'!$N:$N,Category!N$1,'2020'!$D:$D,Category!$C271)</f>
        <v>0</v>
      </c>
      <c r="O271" s="398">
        <f>SUMIFS('2020'!$I:$I,'2020'!$E:$E,Category!$B$246,'2020'!$N:$N,Category!O$1,'2020'!$D:$D,Category!$C271)</f>
        <v>0</v>
      </c>
      <c r="P271" s="398">
        <f>SUMIFS('2020'!$I:$I,'2020'!$E:$E,Category!$B$246,'2020'!$N:$N,Category!P$1,'2020'!$D:$D,Category!$C271)</f>
        <v>0</v>
      </c>
      <c r="Q271" s="398">
        <f>SUMIFS('2020'!$I:$I,'2020'!$E:$E,Category!$B$246,'2020'!$N:$N,Category!Q$1,'2020'!$D:$D,Category!$C271)</f>
        <v>0</v>
      </c>
      <c r="R271" s="398">
        <f>SUMIFS('2020'!$I:$I,'2020'!$E:$E,Category!$B$246,'2020'!$N:$N,Category!R$1,'2020'!$D:$D,Category!$C271)</f>
        <v>0</v>
      </c>
      <c r="S271" s="398">
        <f>SUMIFS('2020'!$I:$I,'2020'!$E:$E,Category!$B$246,'2020'!$N:$N,Category!S$1,'2020'!$D:$D,Category!$C271)</f>
        <v>0</v>
      </c>
      <c r="T271" s="398">
        <f>SUMIFS('2020'!$I:$I,'2020'!$E:$E,Category!$B$246,'2020'!$N:$N,Category!T$1,'2020'!$D:$D,Category!$C271)</f>
        <v>0</v>
      </c>
      <c r="U271" s="398">
        <f>SUMIFS('2020'!$I:$I,'2020'!$E:$E,Category!$B$246,'2020'!$N:$N,Category!U$1,'2020'!$D:$D,Category!$C271)</f>
        <v>0</v>
      </c>
      <c r="V271" s="398">
        <f>SUMIFS('2020'!$I:$I,'2020'!$E:$E,Category!$B$246,'2020'!$N:$N,Category!V$1,'2020'!$D:$D,Category!$C271)</f>
        <v>0</v>
      </c>
      <c r="W271" s="398">
        <f>SUMIFS('2020'!$I:$I,'2020'!$E:$E,Category!$B$246,'2020'!$N:$N,Category!W$1,'2020'!$D:$D,Category!$C271)</f>
        <v>0</v>
      </c>
      <c r="X271" s="399">
        <f t="shared" si="98"/>
        <v>0</v>
      </c>
      <c r="Y271" s="509">
        <f>IFERROR(VLOOKUP(C271,'2021'!$D:$G,4,0),0)</f>
        <v>0</v>
      </c>
      <c r="Z271" s="398">
        <f>SUMIFS('2021'!$I:$I,'2021'!$E:$E,Category!$B$246,'2021'!$N:$N,Category!Z$1,'2021'!$D:$D,Category!$C271)</f>
        <v>0</v>
      </c>
      <c r="AA271" s="398">
        <f>SUMIFS('2021'!$I:$I,'2021'!$E:$E,Category!$B$246,'2021'!$N:$N,Category!AA$1,'2021'!$D:$D,Category!$C271)</f>
        <v>0</v>
      </c>
      <c r="AB271" s="398">
        <f>SUMIFS('2021'!$I:$I,'2021'!$E:$E,Category!$B$246,'2021'!$N:$N,Category!AB$1,'2021'!$D:$D,Category!$C271)</f>
        <v>0</v>
      </c>
      <c r="AC271" s="398">
        <f>SUMIFS('2021'!$I:$I,'2021'!$E:$E,Category!$B$246,'2021'!$N:$N,Category!AC$1,'2021'!$D:$D,Category!$C271)</f>
        <v>0</v>
      </c>
      <c r="AD271" s="398">
        <f>SUMIFS('2021'!$I:$I,'2021'!$E:$E,Category!$B$246,'2021'!$N:$N,Category!AD$1,'2021'!$D:$D,Category!$C271)</f>
        <v>0</v>
      </c>
      <c r="AE271" s="398">
        <f>SUMIFS('2021'!$I:$I,'2021'!$E:$E,Category!$B$246,'2021'!$N:$N,Category!AE$1,'2021'!$D:$D,Category!$C271)</f>
        <v>0</v>
      </c>
      <c r="AF271" s="398">
        <f>SUMIFS('2021'!$I:$I,'2021'!$E:$E,Category!$B$246,'2021'!$N:$N,Category!AF$1,'2021'!$D:$D,Category!$C271)</f>
        <v>0</v>
      </c>
      <c r="AG271" s="398">
        <f>SUMIFS('2021'!$I:$I,'2021'!$E:$E,Category!$B$246,'2021'!$N:$N,Category!AG$1,'2021'!$D:$D,Category!$C271)</f>
        <v>0</v>
      </c>
      <c r="AH271" s="398">
        <f>SUMIFS('2021'!$I:$I,'2021'!$E:$E,Category!$B$246,'2021'!$N:$N,Category!AH$1,'2021'!$D:$D,Category!$C271)</f>
        <v>0</v>
      </c>
      <c r="AI271" s="398">
        <f>SUMIFS('2021'!$I:$I,'2021'!$E:$E,Category!$B$246,'2021'!$N:$N,Category!AI$1,'2021'!$D:$D,Category!$C271)</f>
        <v>0</v>
      </c>
      <c r="AJ271" s="398">
        <f>SUMIFS('2021'!$I:$I,'2021'!$E:$E,Category!$B$246,'2021'!$N:$N,Category!AJ$1,'2021'!$D:$D,Category!$C271)</f>
        <v>0</v>
      </c>
      <c r="AK271" s="398">
        <f>SUMIFS('2021'!$I:$I,'2021'!$E:$E,Category!$B$246,'2021'!$N:$N,Category!AK$1,'2021'!$D:$D,Category!$C271)</f>
        <v>0</v>
      </c>
      <c r="AL271" s="399">
        <f t="shared" si="99"/>
        <v>0</v>
      </c>
      <c r="AM271" s="509">
        <f>IFERROR(VLOOKUP(C271,'2022'!$D:$G,4,0),0)</f>
        <v>0</v>
      </c>
      <c r="AN271" s="398">
        <f>SUMIFS('2022'!$I:$I,'2022'!$E:$E,Category!$B$246,'2022'!$N:$N,Category!AN$1,'2022'!$D:$D,Category!$C271)</f>
        <v>0</v>
      </c>
      <c r="AO271" s="398">
        <f>SUMIFS('2022'!$I:$I,'2022'!$E:$E,Category!$B$246,'2022'!$N:$N,Category!AO$1,'2022'!$D:$D,Category!$C271)</f>
        <v>0</v>
      </c>
      <c r="AP271" s="398">
        <f>SUMIFS('2022'!$I:$I,'2022'!$E:$E,Category!$B$246,'2022'!$N:$N,Category!AP$1,'2022'!$D:$D,Category!$C271)</f>
        <v>0</v>
      </c>
      <c r="AQ271" s="398">
        <f>SUMIFS('2022'!$I:$I,'2022'!$E:$E,Category!$B$246,'2022'!$N:$N,Category!AQ$1,'2022'!$D:$D,Category!$C271)</f>
        <v>0</v>
      </c>
      <c r="AR271" s="398">
        <f>SUMIFS('2022'!$I:$I,'2022'!$E:$E,Category!$B$246,'2022'!$N:$N,Category!AR$1,'2022'!$D:$D,Category!$C271)</f>
        <v>0</v>
      </c>
      <c r="AS271" s="398">
        <f>SUMIFS('2022'!$I:$I,'2022'!$E:$E,Category!$B$246,'2022'!$N:$N,Category!AS$1,'2022'!$D:$D,Category!$C271)</f>
        <v>0</v>
      </c>
      <c r="AT271" s="398">
        <f>SUMIFS('2022'!$I:$I,'2022'!$E:$E,Category!$B$246,'2022'!$N:$N,Category!AT$1,'2022'!$D:$D,Category!$C271)</f>
        <v>0</v>
      </c>
      <c r="AU271" s="398">
        <f>SUMIFS('2022'!$I:$I,'2022'!$E:$E,Category!$B$246,'2022'!$N:$N,Category!AU$1,'2022'!$D:$D,Category!$C271)</f>
        <v>0</v>
      </c>
      <c r="AV271" s="398">
        <f>SUMIFS('2022'!$I:$I,'2022'!$E:$E,Category!$B$246,'2022'!$N:$N,Category!AV$1,'2022'!$D:$D,Category!$C271)</f>
        <v>0</v>
      </c>
      <c r="AW271" s="398">
        <f>SUMIFS('2022'!$I:$I,'2022'!$E:$E,Category!$B$246,'2022'!$N:$N,Category!AW$1,'2022'!$D:$D,Category!$C271)</f>
        <v>0</v>
      </c>
      <c r="AX271" s="398">
        <f>SUMIFS('2022'!$I:$I,'2022'!$E:$E,Category!$B$246,'2022'!$N:$N,Category!AX$1,'2022'!$D:$D,Category!$C271)</f>
        <v>0</v>
      </c>
      <c r="AY271" s="398">
        <f>SUMIFS('2022'!$I:$I,'2022'!$E:$E,Category!$B$246,'2022'!$N:$N,Category!AY$1,'2022'!$D:$D,Category!$C271)</f>
        <v>5078250</v>
      </c>
      <c r="AZ271" s="399">
        <f t="shared" si="103"/>
        <v>5078250</v>
      </c>
      <c r="BA271" s="509">
        <f>IFERROR(VLOOKUP(C271,'2023'!$D:$G,4,0),0)</f>
        <v>0</v>
      </c>
      <c r="BB271" s="398">
        <f>SUMIFS('2023'!$I:$I,'2023'!$E:$E,Category!$B$246,'2023'!$N:$N,Category!BB$1,'2023'!$D:$D,Category!$C271)</f>
        <v>0</v>
      </c>
      <c r="BC271" s="398">
        <f>SUMIFS('2023'!$I:$I,'2023'!$E:$E,Category!$B$246,'2023'!$N:$N,Category!BC$1,'2023'!$D:$D,Category!$C271)</f>
        <v>0</v>
      </c>
      <c r="BD271" s="398">
        <f>SUMIFS('2023'!$I:$I,'2023'!$E:$E,Category!$B$246,'2023'!$N:$N,Category!BD$1,'2023'!$D:$D,Category!$C271)</f>
        <v>0</v>
      </c>
      <c r="BE271" s="398">
        <f>SUMIFS('2023'!$I:$I,'2023'!$E:$E,Category!$B$246,'2023'!$N:$N,Category!BE$1,'2023'!$D:$D,Category!$C271)</f>
        <v>0</v>
      </c>
      <c r="BF271" s="398">
        <f>SUMIFS('2023'!$I:$I,'2023'!$E:$E,Category!$B$246,'2023'!$N:$N,Category!BF$1,'2023'!$D:$D,Category!$C271)</f>
        <v>0</v>
      </c>
      <c r="BG271" s="398">
        <f>SUMIFS('2023'!$I:$I,'2023'!$E:$E,Category!$B$246,'2023'!$N:$N,Category!BG$1,'2023'!$D:$D,Category!$C271)</f>
        <v>0</v>
      </c>
      <c r="BH271" s="398">
        <f>SUMIFS('2023'!$I:$I,'2023'!$E:$E,Category!$B$246,'2023'!$N:$N,Category!BH$1,'2023'!$D:$D,Category!$C271)</f>
        <v>0</v>
      </c>
      <c r="BI271" s="398">
        <f>SUMIFS('2023'!$I:$I,'2023'!$E:$E,Category!$B$246,'2023'!$N:$N,Category!BI$1,'2023'!$D:$D,Category!$C271)</f>
        <v>0</v>
      </c>
      <c r="BJ271" s="398">
        <f>SUMIFS('2023'!$I:$I,'2023'!$E:$E,Category!$B$246,'2023'!$N:$N,Category!BJ$1,'2023'!$D:$D,Category!$C271)</f>
        <v>0</v>
      </c>
      <c r="BK271" s="398">
        <f>SUMIFS('2023'!$I:$I,'2023'!$E:$E,Category!$B$246,'2023'!$N:$N,Category!BK$1,'2023'!$D:$D,Category!$C271)</f>
        <v>0</v>
      </c>
      <c r="BL271" s="398">
        <f>SUMIFS('2023'!$I:$I,'2023'!$E:$E,Category!$B$246,'2023'!$N:$N,Category!BL$1,'2023'!$D:$D,Category!$C271)</f>
        <v>0</v>
      </c>
      <c r="BM271" s="398">
        <f>SUMIFS('2023'!$I:$I,'2023'!$E:$E,Category!$B$246,'2023'!$N:$N,Category!BM$1,'2023'!$D:$D,Category!$C271)</f>
        <v>0</v>
      </c>
      <c r="BN271" s="399">
        <f t="shared" si="101"/>
        <v>0</v>
      </c>
    </row>
    <row r="272" spans="1:66" ht="21" customHeight="1" x14ac:dyDescent="0.3">
      <c r="A272" s="400"/>
      <c r="B272" s="397"/>
      <c r="C272" s="397" t="s">
        <v>2109</v>
      </c>
      <c r="D272" s="526">
        <f>IFERROR(VLOOKUP($C272,'2019'!$D:$G,4,0),0)</f>
        <v>0</v>
      </c>
      <c r="E272" s="398">
        <f>SUMIFS('2019'!$I:$I,'2019'!$E:$E,Category!$B$246,'2019'!$N:$N,Category!E$1,'2019'!$D:$D,Category!$C272)</f>
        <v>0</v>
      </c>
      <c r="F272" s="398">
        <f>SUMIFS('2019'!$I:$I,'2019'!$E:$E,Category!$B$246,'2019'!$N:$N,Category!F$1,'2019'!$D:$D,Category!$C272)</f>
        <v>0</v>
      </c>
      <c r="G272" s="398">
        <f>SUMIFS('2019'!$I:$I,'2019'!$E:$E,Category!$B$246,'2019'!$N:$N,Category!G$1,'2019'!$D:$D,Category!$C272)</f>
        <v>0</v>
      </c>
      <c r="H272" s="398">
        <f>SUMIFS('2019'!$I:$I,'2019'!$E:$E,Category!$B$246,'2019'!$N:$N,Category!H$1,'2019'!$D:$D,Category!$C272)</f>
        <v>0</v>
      </c>
      <c r="I272" s="398">
        <f>SUMIFS('2019'!$I:$I,'2019'!$E:$E,Category!$B$246,'2019'!$N:$N,Category!I$1,'2019'!$D:$D,Category!$C272)</f>
        <v>0</v>
      </c>
      <c r="J272" s="399">
        <f t="shared" si="104"/>
        <v>0</v>
      </c>
      <c r="K272" s="509">
        <f>IFERROR(VLOOKUP($C272,'2020'!$D:$G,4,0),0)</f>
        <v>0</v>
      </c>
      <c r="L272" s="398">
        <f>SUMIFS('2020'!$I:$I,'2020'!$E:$E,Category!$B$246,'2020'!$N:$N,Category!L$1,'2020'!$D:$D,Category!$C272)</f>
        <v>0</v>
      </c>
      <c r="M272" s="398">
        <f>SUMIFS('2020'!$I:$I,'2020'!$E:$E,Category!$B$246,'2020'!$N:$N,Category!M$1,'2020'!$D:$D,Category!$C272)</f>
        <v>0</v>
      </c>
      <c r="N272" s="398">
        <f>SUMIFS('2020'!$I:$I,'2020'!$E:$E,Category!$B$246,'2020'!$N:$N,Category!N$1,'2020'!$D:$D,Category!$C272)</f>
        <v>0</v>
      </c>
      <c r="O272" s="398">
        <f>SUMIFS('2020'!$I:$I,'2020'!$E:$E,Category!$B$246,'2020'!$N:$N,Category!O$1,'2020'!$D:$D,Category!$C272)</f>
        <v>0</v>
      </c>
      <c r="P272" s="398">
        <f>SUMIFS('2020'!$I:$I,'2020'!$E:$E,Category!$B$246,'2020'!$N:$N,Category!P$1,'2020'!$D:$D,Category!$C272)</f>
        <v>0</v>
      </c>
      <c r="Q272" s="398">
        <f>SUMIFS('2020'!$I:$I,'2020'!$E:$E,Category!$B$246,'2020'!$N:$N,Category!Q$1,'2020'!$D:$D,Category!$C272)</f>
        <v>0</v>
      </c>
      <c r="R272" s="398">
        <f>SUMIFS('2020'!$I:$I,'2020'!$E:$E,Category!$B$246,'2020'!$N:$N,Category!R$1,'2020'!$D:$D,Category!$C272)</f>
        <v>0</v>
      </c>
      <c r="S272" s="398">
        <f>SUMIFS('2020'!$I:$I,'2020'!$E:$E,Category!$B$246,'2020'!$N:$N,Category!S$1,'2020'!$D:$D,Category!$C272)</f>
        <v>0</v>
      </c>
      <c r="T272" s="398">
        <f>SUMIFS('2020'!$I:$I,'2020'!$E:$E,Category!$B$246,'2020'!$N:$N,Category!T$1,'2020'!$D:$D,Category!$C272)</f>
        <v>0</v>
      </c>
      <c r="U272" s="398">
        <f>SUMIFS('2020'!$I:$I,'2020'!$E:$E,Category!$B$246,'2020'!$N:$N,Category!U$1,'2020'!$D:$D,Category!$C272)</f>
        <v>0</v>
      </c>
      <c r="V272" s="398">
        <f>SUMIFS('2020'!$I:$I,'2020'!$E:$E,Category!$B$246,'2020'!$N:$N,Category!V$1,'2020'!$D:$D,Category!$C272)</f>
        <v>0</v>
      </c>
      <c r="W272" s="398">
        <f>SUMIFS('2020'!$I:$I,'2020'!$E:$E,Category!$B$246,'2020'!$N:$N,Category!W$1,'2020'!$D:$D,Category!$C272)</f>
        <v>0</v>
      </c>
      <c r="X272" s="399">
        <f t="shared" si="98"/>
        <v>0</v>
      </c>
      <c r="Y272" s="509">
        <f>IFERROR(VLOOKUP(C272,'2021'!$D:$G,4,0),0)</f>
        <v>0</v>
      </c>
      <c r="Z272" s="398">
        <f>SUMIFS('2021'!$I:$I,'2021'!$E:$E,Category!$B$246,'2021'!$N:$N,Category!Z$1,'2021'!$D:$D,Category!$C272)</f>
        <v>0</v>
      </c>
      <c r="AA272" s="398">
        <f>SUMIFS('2021'!$I:$I,'2021'!$E:$E,Category!$B$246,'2021'!$N:$N,Category!AA$1,'2021'!$D:$D,Category!$C272)</f>
        <v>0</v>
      </c>
      <c r="AB272" s="398">
        <f>SUMIFS('2021'!$I:$I,'2021'!$E:$E,Category!$B$246,'2021'!$N:$N,Category!AB$1,'2021'!$D:$D,Category!$C272)</f>
        <v>0</v>
      </c>
      <c r="AC272" s="398">
        <f>SUMIFS('2021'!$I:$I,'2021'!$E:$E,Category!$B$246,'2021'!$N:$N,Category!AC$1,'2021'!$D:$D,Category!$C272)</f>
        <v>0</v>
      </c>
      <c r="AD272" s="398">
        <f>SUMIFS('2021'!$I:$I,'2021'!$E:$E,Category!$B$246,'2021'!$N:$N,Category!AD$1,'2021'!$D:$D,Category!$C272)</f>
        <v>0</v>
      </c>
      <c r="AE272" s="398">
        <f>SUMIFS('2021'!$I:$I,'2021'!$E:$E,Category!$B$246,'2021'!$N:$N,Category!AE$1,'2021'!$D:$D,Category!$C272)</f>
        <v>0</v>
      </c>
      <c r="AF272" s="398">
        <f>SUMIFS('2021'!$I:$I,'2021'!$E:$E,Category!$B$246,'2021'!$N:$N,Category!AF$1,'2021'!$D:$D,Category!$C272)</f>
        <v>0</v>
      </c>
      <c r="AG272" s="398">
        <f>SUMIFS('2021'!$I:$I,'2021'!$E:$E,Category!$B$246,'2021'!$N:$N,Category!AG$1,'2021'!$D:$D,Category!$C272)</f>
        <v>0</v>
      </c>
      <c r="AH272" s="398">
        <f>SUMIFS('2021'!$I:$I,'2021'!$E:$E,Category!$B$246,'2021'!$N:$N,Category!AH$1,'2021'!$D:$D,Category!$C272)</f>
        <v>0</v>
      </c>
      <c r="AI272" s="398">
        <f>SUMIFS('2021'!$I:$I,'2021'!$E:$E,Category!$B$246,'2021'!$N:$N,Category!AI$1,'2021'!$D:$D,Category!$C272)</f>
        <v>0</v>
      </c>
      <c r="AJ272" s="398">
        <f>SUMIFS('2021'!$I:$I,'2021'!$E:$E,Category!$B$246,'2021'!$N:$N,Category!AJ$1,'2021'!$D:$D,Category!$C272)</f>
        <v>0</v>
      </c>
      <c r="AK272" s="398">
        <f>SUMIFS('2021'!$I:$I,'2021'!$E:$E,Category!$B$246,'2021'!$N:$N,Category!AK$1,'2021'!$D:$D,Category!$C272)</f>
        <v>0</v>
      </c>
      <c r="AL272" s="399">
        <f t="shared" si="99"/>
        <v>0</v>
      </c>
      <c r="AM272" s="509">
        <f>IFERROR(VLOOKUP(C272,'2022'!$D:$G,4,0),0)</f>
        <v>0</v>
      </c>
      <c r="AN272" s="398">
        <f>SUMIFS('2022'!$I:$I,'2022'!$E:$E,Category!$B$246,'2022'!$N:$N,Category!AN$1,'2022'!$D:$D,Category!$C272)</f>
        <v>0</v>
      </c>
      <c r="AO272" s="398">
        <f>SUMIFS('2022'!$I:$I,'2022'!$E:$E,Category!$B$246,'2022'!$N:$N,Category!AO$1,'2022'!$D:$D,Category!$C272)</f>
        <v>0</v>
      </c>
      <c r="AP272" s="398">
        <f>SUMIFS('2022'!$I:$I,'2022'!$E:$E,Category!$B$246,'2022'!$N:$N,Category!AP$1,'2022'!$D:$D,Category!$C272)</f>
        <v>0</v>
      </c>
      <c r="AQ272" s="398">
        <f>SUMIFS('2022'!$I:$I,'2022'!$E:$E,Category!$B$246,'2022'!$N:$N,Category!AQ$1,'2022'!$D:$D,Category!$C272)</f>
        <v>0</v>
      </c>
      <c r="AR272" s="398">
        <f>SUMIFS('2022'!$I:$I,'2022'!$E:$E,Category!$B$246,'2022'!$N:$N,Category!AR$1,'2022'!$D:$D,Category!$C272)</f>
        <v>0</v>
      </c>
      <c r="AS272" s="398">
        <f>SUMIFS('2022'!$I:$I,'2022'!$E:$E,Category!$B$246,'2022'!$N:$N,Category!AS$1,'2022'!$D:$D,Category!$C272)</f>
        <v>0</v>
      </c>
      <c r="AT272" s="398">
        <f>SUMIFS('2022'!$I:$I,'2022'!$E:$E,Category!$B$246,'2022'!$N:$N,Category!AT$1,'2022'!$D:$D,Category!$C272)</f>
        <v>0</v>
      </c>
      <c r="AU272" s="398">
        <f>SUMIFS('2022'!$I:$I,'2022'!$E:$E,Category!$B$246,'2022'!$N:$N,Category!AU$1,'2022'!$D:$D,Category!$C272)</f>
        <v>0</v>
      </c>
      <c r="AV272" s="398">
        <f>SUMIFS('2022'!$I:$I,'2022'!$E:$E,Category!$B$246,'2022'!$N:$N,Category!AV$1,'2022'!$D:$D,Category!$C272)</f>
        <v>0</v>
      </c>
      <c r="AW272" s="398">
        <f>SUMIFS('2022'!$I:$I,'2022'!$E:$E,Category!$B$246,'2022'!$N:$N,Category!AW$1,'2022'!$D:$D,Category!$C272)</f>
        <v>0</v>
      </c>
      <c r="AX272" s="398">
        <f>SUMIFS('2022'!$I:$I,'2022'!$E:$E,Category!$B$246,'2022'!$N:$N,Category!AX$1,'2022'!$D:$D,Category!$C272)</f>
        <v>0</v>
      </c>
      <c r="AY272" s="398">
        <f>SUMIFS('2022'!$I:$I,'2022'!$E:$E,Category!$B$246,'2022'!$N:$N,Category!AY$1,'2022'!$D:$D,Category!$C272)</f>
        <v>0</v>
      </c>
      <c r="AZ272" s="399">
        <f t="shared" si="103"/>
        <v>0</v>
      </c>
      <c r="BA272" s="509">
        <f>IFERROR(VLOOKUP(C272,'2023'!$D:$G,4,0),0)</f>
        <v>0</v>
      </c>
      <c r="BB272" s="398">
        <f>SUMIFS('2023'!$I:$I,'2023'!$E:$E,Category!$B$246,'2023'!$N:$N,Category!BB$1,'2023'!$D:$D,Category!$C272)</f>
        <v>3000000</v>
      </c>
      <c r="BC272" s="398">
        <f>SUMIFS('2023'!$I:$I,'2023'!$E:$E,Category!$B$246,'2023'!$N:$N,Category!BC$1,'2023'!$D:$D,Category!$C272)</f>
        <v>0</v>
      </c>
      <c r="BD272" s="398">
        <f>SUMIFS('2023'!$I:$I,'2023'!$E:$E,Category!$B$246,'2023'!$N:$N,Category!BD$1,'2023'!$D:$D,Category!$C272)</f>
        <v>0</v>
      </c>
      <c r="BE272" s="398">
        <f>SUMIFS('2023'!$I:$I,'2023'!$E:$E,Category!$B$246,'2023'!$N:$N,Category!BE$1,'2023'!$D:$D,Category!$C272)</f>
        <v>0</v>
      </c>
      <c r="BF272" s="398">
        <f>SUMIFS('2023'!$I:$I,'2023'!$E:$E,Category!$B$246,'2023'!$N:$N,Category!BF$1,'2023'!$D:$D,Category!$C272)</f>
        <v>0</v>
      </c>
      <c r="BG272" s="398">
        <f>SUMIFS('2023'!$I:$I,'2023'!$E:$E,Category!$B$246,'2023'!$N:$N,Category!BG$1,'2023'!$D:$D,Category!$C272)</f>
        <v>0</v>
      </c>
      <c r="BH272" s="398">
        <f>SUMIFS('2023'!$I:$I,'2023'!$E:$E,Category!$B$246,'2023'!$N:$N,Category!BH$1,'2023'!$D:$D,Category!$C272)</f>
        <v>0</v>
      </c>
      <c r="BI272" s="398">
        <f>SUMIFS('2023'!$I:$I,'2023'!$E:$E,Category!$B$246,'2023'!$N:$N,Category!BI$1,'2023'!$D:$D,Category!$C272)</f>
        <v>0</v>
      </c>
      <c r="BJ272" s="398">
        <f>SUMIFS('2023'!$I:$I,'2023'!$E:$E,Category!$B$246,'2023'!$N:$N,Category!BJ$1,'2023'!$D:$D,Category!$C272)</f>
        <v>0</v>
      </c>
      <c r="BK272" s="398">
        <f>SUMIFS('2023'!$I:$I,'2023'!$E:$E,Category!$B$246,'2023'!$N:$N,Category!BK$1,'2023'!$D:$D,Category!$C272)</f>
        <v>0</v>
      </c>
      <c r="BL272" s="398">
        <f>SUMIFS('2023'!$I:$I,'2023'!$E:$E,Category!$B$246,'2023'!$N:$N,Category!BL$1,'2023'!$D:$D,Category!$C272)</f>
        <v>0</v>
      </c>
      <c r="BM272" s="398">
        <f>SUMIFS('2023'!$I:$I,'2023'!$E:$E,Category!$B$246,'2023'!$N:$N,Category!BM$1,'2023'!$D:$D,Category!$C272)</f>
        <v>0</v>
      </c>
      <c r="BN272" s="399">
        <f t="shared" si="101"/>
        <v>3000000</v>
      </c>
    </row>
    <row r="273" spans="1:66" ht="21" customHeight="1" x14ac:dyDescent="0.3">
      <c r="A273" s="400"/>
      <c r="B273" s="397"/>
      <c r="C273" s="397"/>
      <c r="D273" s="526">
        <f>IFERROR(VLOOKUP($C273,'2019'!$D:$G,4,0),0)</f>
        <v>0</v>
      </c>
      <c r="E273" s="398">
        <f>SUMIFS('2019'!$I:$I,'2019'!$E:$E,Category!$B$246,'2019'!$N:$N,Category!E$1,'2019'!$D:$D,Category!$C273)</f>
        <v>0</v>
      </c>
      <c r="F273" s="398">
        <f>SUMIFS('2019'!$I:$I,'2019'!$E:$E,Category!$B$246,'2019'!$N:$N,Category!F$1,'2019'!$D:$D,Category!$C273)</f>
        <v>0</v>
      </c>
      <c r="G273" s="398">
        <f>SUMIFS('2019'!$I:$I,'2019'!$E:$E,Category!$B$246,'2019'!$N:$N,Category!G$1,'2019'!$D:$D,Category!$C273)</f>
        <v>0</v>
      </c>
      <c r="H273" s="398">
        <f>SUMIFS('2019'!$I:$I,'2019'!$E:$E,Category!$B$246,'2019'!$N:$N,Category!H$1,'2019'!$D:$D,Category!$C273)</f>
        <v>0</v>
      </c>
      <c r="I273" s="398">
        <f>SUMIFS('2019'!$I:$I,'2019'!$E:$E,Category!$B$246,'2019'!$N:$N,Category!I$1,'2019'!$D:$D,Category!$C273)</f>
        <v>0</v>
      </c>
      <c r="J273" s="399">
        <f t="shared" si="104"/>
        <v>0</v>
      </c>
      <c r="K273" s="509">
        <f>IFERROR(VLOOKUP($C273,'2020'!$D:$G,4,0),0)</f>
        <v>0</v>
      </c>
      <c r="L273" s="398">
        <f>SUMIFS('2020'!$I:$I,'2020'!$E:$E,Category!$B$246,'2020'!$N:$N,Category!L$1,'2020'!$D:$D,Category!$C273)</f>
        <v>0</v>
      </c>
      <c r="M273" s="398">
        <f>SUMIFS('2020'!$I:$I,'2020'!$E:$E,Category!$B$246,'2020'!$N:$N,Category!M$1,'2020'!$D:$D,Category!$C273)</f>
        <v>0</v>
      </c>
      <c r="N273" s="398">
        <f>SUMIFS('2020'!$I:$I,'2020'!$E:$E,Category!$B$246,'2020'!$N:$N,Category!N$1,'2020'!$D:$D,Category!$C273)</f>
        <v>0</v>
      </c>
      <c r="O273" s="398">
        <f>SUMIFS('2020'!$I:$I,'2020'!$E:$E,Category!$B$246,'2020'!$N:$N,Category!O$1,'2020'!$D:$D,Category!$C273)</f>
        <v>0</v>
      </c>
      <c r="P273" s="398">
        <f>SUMIFS('2020'!$I:$I,'2020'!$E:$E,Category!$B$246,'2020'!$N:$N,Category!P$1,'2020'!$D:$D,Category!$C273)</f>
        <v>0</v>
      </c>
      <c r="Q273" s="398">
        <f>SUMIFS('2020'!$I:$I,'2020'!$E:$E,Category!$B$246,'2020'!$N:$N,Category!Q$1,'2020'!$D:$D,Category!$C273)</f>
        <v>0</v>
      </c>
      <c r="R273" s="398">
        <f>SUMIFS('2020'!$I:$I,'2020'!$E:$E,Category!$B$246,'2020'!$N:$N,Category!R$1,'2020'!$D:$D,Category!$C273)</f>
        <v>0</v>
      </c>
      <c r="S273" s="398">
        <f>SUMIFS('2020'!$I:$I,'2020'!$E:$E,Category!$B$246,'2020'!$N:$N,Category!S$1,'2020'!$D:$D,Category!$C273)</f>
        <v>0</v>
      </c>
      <c r="T273" s="398">
        <f>SUMIFS('2020'!$I:$I,'2020'!$E:$E,Category!$B$246,'2020'!$N:$N,Category!T$1,'2020'!$D:$D,Category!$C273)</f>
        <v>0</v>
      </c>
      <c r="U273" s="398">
        <f>SUMIFS('2020'!$I:$I,'2020'!$E:$E,Category!$B$246,'2020'!$N:$N,Category!U$1,'2020'!$D:$D,Category!$C273)</f>
        <v>0</v>
      </c>
      <c r="V273" s="398">
        <f>SUMIFS('2020'!$I:$I,'2020'!$E:$E,Category!$B$246,'2020'!$N:$N,Category!V$1,'2020'!$D:$D,Category!$C273)</f>
        <v>0</v>
      </c>
      <c r="W273" s="398">
        <f>SUMIFS('2020'!$I:$I,'2020'!$E:$E,Category!$B$246,'2020'!$N:$N,Category!W$1,'2020'!$D:$D,Category!$C273)</f>
        <v>0</v>
      </c>
      <c r="X273" s="399">
        <f t="shared" si="98"/>
        <v>0</v>
      </c>
      <c r="Y273" s="509">
        <f>IFERROR(VLOOKUP(C273,'2021'!$D:$G,4,0),0)</f>
        <v>0</v>
      </c>
      <c r="Z273" s="398">
        <f>SUMIFS('2021'!$I:$I,'2021'!$E:$E,Category!$B$246,'2021'!$N:$N,Category!Z$1,'2021'!$D:$D,Category!$C273)</f>
        <v>0</v>
      </c>
      <c r="AA273" s="398">
        <f>SUMIFS('2021'!$I:$I,'2021'!$E:$E,Category!$B$246,'2021'!$N:$N,Category!AA$1,'2021'!$D:$D,Category!$C273)</f>
        <v>0</v>
      </c>
      <c r="AB273" s="398">
        <f>SUMIFS('2021'!$I:$I,'2021'!$E:$E,Category!$B$246,'2021'!$N:$N,Category!AB$1,'2021'!$D:$D,Category!$C273)</f>
        <v>0</v>
      </c>
      <c r="AC273" s="398">
        <f>SUMIFS('2021'!$I:$I,'2021'!$E:$E,Category!$B$246,'2021'!$N:$N,Category!AC$1,'2021'!$D:$D,Category!$C273)</f>
        <v>0</v>
      </c>
      <c r="AD273" s="398">
        <f>SUMIFS('2021'!$I:$I,'2021'!$E:$E,Category!$B$246,'2021'!$N:$N,Category!AD$1,'2021'!$D:$D,Category!$C273)</f>
        <v>0</v>
      </c>
      <c r="AE273" s="398">
        <f>SUMIFS('2021'!$I:$I,'2021'!$E:$E,Category!$B$246,'2021'!$N:$N,Category!AE$1,'2021'!$D:$D,Category!$C273)</f>
        <v>0</v>
      </c>
      <c r="AF273" s="398">
        <f>SUMIFS('2021'!$I:$I,'2021'!$E:$E,Category!$B$246,'2021'!$N:$N,Category!AF$1,'2021'!$D:$D,Category!$C273)</f>
        <v>0</v>
      </c>
      <c r="AG273" s="398">
        <f>SUMIFS('2021'!$I:$I,'2021'!$E:$E,Category!$B$246,'2021'!$N:$N,Category!AG$1,'2021'!$D:$D,Category!$C273)</f>
        <v>0</v>
      </c>
      <c r="AH273" s="398">
        <f>SUMIFS('2021'!$I:$I,'2021'!$E:$E,Category!$B$246,'2021'!$N:$N,Category!AH$1,'2021'!$D:$D,Category!$C273)</f>
        <v>0</v>
      </c>
      <c r="AI273" s="398">
        <f>SUMIFS('2021'!$I:$I,'2021'!$E:$E,Category!$B$246,'2021'!$N:$N,Category!AI$1,'2021'!$D:$D,Category!$C273)</f>
        <v>0</v>
      </c>
      <c r="AJ273" s="398">
        <f>SUMIFS('2021'!$I:$I,'2021'!$E:$E,Category!$B$246,'2021'!$N:$N,Category!AJ$1,'2021'!$D:$D,Category!$C273)</f>
        <v>0</v>
      </c>
      <c r="AK273" s="398">
        <f>SUMIFS('2021'!$I:$I,'2021'!$E:$E,Category!$B$246,'2021'!$N:$N,Category!AK$1,'2021'!$D:$D,Category!$C273)</f>
        <v>0</v>
      </c>
      <c r="AL273" s="399">
        <f t="shared" si="99"/>
        <v>0</v>
      </c>
      <c r="AM273" s="509">
        <f>IFERROR(VLOOKUP(C273,'2022'!$D:$G,4,0),0)</f>
        <v>0</v>
      </c>
      <c r="AN273" s="398">
        <f>SUMIFS('2022'!$I:$I,'2022'!$E:$E,Category!$B$246,'2022'!$N:$N,Category!AN$1,'2022'!$D:$D,Category!$C273)</f>
        <v>0</v>
      </c>
      <c r="AO273" s="398">
        <f>SUMIFS('2022'!$I:$I,'2022'!$E:$E,Category!$B$246,'2022'!$N:$N,Category!AO$1,'2022'!$D:$D,Category!$C273)</f>
        <v>0</v>
      </c>
      <c r="AP273" s="398">
        <f>SUMIFS('2022'!$I:$I,'2022'!$E:$E,Category!$B$246,'2022'!$N:$N,Category!AP$1,'2022'!$D:$D,Category!$C273)</f>
        <v>0</v>
      </c>
      <c r="AQ273" s="398">
        <f>SUMIFS('2022'!$I:$I,'2022'!$E:$E,Category!$B$246,'2022'!$N:$N,Category!AQ$1,'2022'!$D:$D,Category!$C273)</f>
        <v>0</v>
      </c>
      <c r="AR273" s="398">
        <f>SUMIFS('2022'!$I:$I,'2022'!$E:$E,Category!$B$246,'2022'!$N:$N,Category!AR$1,'2022'!$D:$D,Category!$C273)</f>
        <v>0</v>
      </c>
      <c r="AS273" s="398">
        <f>SUMIFS('2022'!$I:$I,'2022'!$E:$E,Category!$B$246,'2022'!$N:$N,Category!AS$1,'2022'!$D:$D,Category!$C273)</f>
        <v>0</v>
      </c>
      <c r="AT273" s="398">
        <f>SUMIFS('2022'!$I:$I,'2022'!$E:$E,Category!$B$246,'2022'!$N:$N,Category!AT$1,'2022'!$D:$D,Category!$C273)</f>
        <v>0</v>
      </c>
      <c r="AU273" s="398">
        <f>SUMIFS('2022'!$I:$I,'2022'!$E:$E,Category!$B$246,'2022'!$N:$N,Category!AU$1,'2022'!$D:$D,Category!$C273)</f>
        <v>0</v>
      </c>
      <c r="AV273" s="398">
        <f>SUMIFS('2022'!$I:$I,'2022'!$E:$E,Category!$B$246,'2022'!$N:$N,Category!AV$1,'2022'!$D:$D,Category!$C273)</f>
        <v>0</v>
      </c>
      <c r="AW273" s="398">
        <f>SUMIFS('2022'!$I:$I,'2022'!$E:$E,Category!$B$246,'2022'!$N:$N,Category!AW$1,'2022'!$D:$D,Category!$C273)</f>
        <v>0</v>
      </c>
      <c r="AX273" s="398">
        <f>SUMIFS('2022'!$I:$I,'2022'!$E:$E,Category!$B$246,'2022'!$N:$N,Category!AX$1,'2022'!$D:$D,Category!$C273)</f>
        <v>0</v>
      </c>
      <c r="AY273" s="398">
        <f>SUMIFS('2022'!$I:$I,'2022'!$E:$E,Category!$B$246,'2022'!$N:$N,Category!AY$1,'2022'!$D:$D,Category!$C273)</f>
        <v>0</v>
      </c>
      <c r="AZ273" s="399">
        <f t="shared" si="103"/>
        <v>0</v>
      </c>
      <c r="BA273" s="509">
        <f>IFERROR(VLOOKUP(C273,'2023'!$D:$G,4,0),0)</f>
        <v>0</v>
      </c>
      <c r="BB273" s="398">
        <f>SUMIFS('2023'!$I:$I,'2023'!$E:$E,Category!$B$246,'2023'!$N:$N,Category!BB$1,'2023'!$D:$D,Category!$C273)</f>
        <v>0</v>
      </c>
      <c r="BC273" s="398">
        <f>SUMIFS('2023'!$I:$I,'2023'!$E:$E,Category!$B$246,'2023'!$N:$N,Category!BC$1,'2023'!$D:$D,Category!$C273)</f>
        <v>0</v>
      </c>
      <c r="BD273" s="398">
        <f>SUMIFS('2023'!$I:$I,'2023'!$E:$E,Category!$B$246,'2023'!$N:$N,Category!BD$1,'2023'!$D:$D,Category!$C273)</f>
        <v>0</v>
      </c>
      <c r="BE273" s="398">
        <f>SUMIFS('2023'!$I:$I,'2023'!$E:$E,Category!$B$246,'2023'!$N:$N,Category!BE$1,'2023'!$D:$D,Category!$C273)</f>
        <v>0</v>
      </c>
      <c r="BF273" s="398">
        <f>SUMIFS('2023'!$I:$I,'2023'!$E:$E,Category!$B$246,'2023'!$N:$N,Category!BF$1,'2023'!$D:$D,Category!$C273)</f>
        <v>0</v>
      </c>
      <c r="BG273" s="398">
        <f>SUMIFS('2023'!$I:$I,'2023'!$E:$E,Category!$B$246,'2023'!$N:$N,Category!BG$1,'2023'!$D:$D,Category!$C273)</f>
        <v>0</v>
      </c>
      <c r="BH273" s="398">
        <f>SUMIFS('2023'!$I:$I,'2023'!$E:$E,Category!$B$246,'2023'!$N:$N,Category!BH$1,'2023'!$D:$D,Category!$C273)</f>
        <v>0</v>
      </c>
      <c r="BI273" s="398">
        <f>SUMIFS('2023'!$I:$I,'2023'!$E:$E,Category!$B$246,'2023'!$N:$N,Category!BI$1,'2023'!$D:$D,Category!$C273)</f>
        <v>0</v>
      </c>
      <c r="BJ273" s="398">
        <f>SUMIFS('2023'!$I:$I,'2023'!$E:$E,Category!$B$246,'2023'!$N:$N,Category!BJ$1,'2023'!$D:$D,Category!$C273)</f>
        <v>0</v>
      </c>
      <c r="BK273" s="398">
        <f>SUMIFS('2023'!$I:$I,'2023'!$E:$E,Category!$B$246,'2023'!$N:$N,Category!BK$1,'2023'!$D:$D,Category!$C273)</f>
        <v>0</v>
      </c>
      <c r="BL273" s="398">
        <f>SUMIFS('2023'!$I:$I,'2023'!$E:$E,Category!$B$246,'2023'!$N:$N,Category!BL$1,'2023'!$D:$D,Category!$C273)</f>
        <v>0</v>
      </c>
      <c r="BM273" s="398">
        <f>SUMIFS('2023'!$I:$I,'2023'!$E:$E,Category!$B$246,'2023'!$N:$N,Category!BM$1,'2023'!$D:$D,Category!$C273)</f>
        <v>0</v>
      </c>
      <c r="BN273" s="399">
        <f t="shared" si="101"/>
        <v>0</v>
      </c>
    </row>
    <row r="274" spans="1:66" ht="21" customHeight="1" x14ac:dyDescent="0.3">
      <c r="A274" s="400"/>
      <c r="B274" s="397"/>
      <c r="C274" s="397"/>
      <c r="D274" s="526">
        <f>IFERROR(VLOOKUP($C274,'2019'!$D:$G,4,0),0)</f>
        <v>0</v>
      </c>
      <c r="E274" s="398">
        <f>SUMIFS('2019'!$I:$I,'2019'!$E:$E,Category!$B$246,'2019'!$N:$N,Category!E$1,'2019'!$D:$D,Category!$C274)</f>
        <v>0</v>
      </c>
      <c r="F274" s="398">
        <f>SUMIFS('2019'!$I:$I,'2019'!$E:$E,Category!$B$246,'2019'!$N:$N,Category!F$1,'2019'!$D:$D,Category!$C274)</f>
        <v>0</v>
      </c>
      <c r="G274" s="398">
        <f>SUMIFS('2019'!$I:$I,'2019'!$E:$E,Category!$B$246,'2019'!$N:$N,Category!G$1,'2019'!$D:$D,Category!$C274)</f>
        <v>0</v>
      </c>
      <c r="H274" s="398">
        <f>SUMIFS('2019'!$I:$I,'2019'!$E:$E,Category!$B$246,'2019'!$N:$N,Category!H$1,'2019'!$D:$D,Category!$C274)</f>
        <v>0</v>
      </c>
      <c r="I274" s="398">
        <f>SUMIFS('2019'!$I:$I,'2019'!$E:$E,Category!$B$246,'2019'!$N:$N,Category!I$1,'2019'!$D:$D,Category!$C274)</f>
        <v>0</v>
      </c>
      <c r="J274" s="399">
        <f t="shared" si="104"/>
        <v>0</v>
      </c>
      <c r="K274" s="509">
        <f>IFERROR(VLOOKUP($C274,'2020'!$D:$G,4,0),0)</f>
        <v>0</v>
      </c>
      <c r="L274" s="398">
        <f>SUMIFS('2020'!$I:$I,'2020'!$E:$E,Category!$B$246,'2020'!$N:$N,Category!L$1,'2020'!$D:$D,Category!$C274)</f>
        <v>0</v>
      </c>
      <c r="M274" s="398">
        <f>SUMIFS('2020'!$I:$I,'2020'!$E:$E,Category!$B$246,'2020'!$N:$N,Category!M$1,'2020'!$D:$D,Category!$C274)</f>
        <v>0</v>
      </c>
      <c r="N274" s="398">
        <f>SUMIFS('2020'!$I:$I,'2020'!$E:$E,Category!$B$246,'2020'!$N:$N,Category!N$1,'2020'!$D:$D,Category!$C274)</f>
        <v>0</v>
      </c>
      <c r="O274" s="398">
        <f>SUMIFS('2020'!$I:$I,'2020'!$E:$E,Category!$B$246,'2020'!$N:$N,Category!O$1,'2020'!$D:$D,Category!$C274)</f>
        <v>0</v>
      </c>
      <c r="P274" s="398">
        <f>SUMIFS('2020'!$I:$I,'2020'!$E:$E,Category!$B$246,'2020'!$N:$N,Category!P$1,'2020'!$D:$D,Category!$C274)</f>
        <v>0</v>
      </c>
      <c r="Q274" s="398">
        <f>SUMIFS('2020'!$I:$I,'2020'!$E:$E,Category!$B$246,'2020'!$N:$N,Category!Q$1,'2020'!$D:$D,Category!$C274)</f>
        <v>0</v>
      </c>
      <c r="R274" s="398">
        <f>SUMIFS('2020'!$I:$I,'2020'!$E:$E,Category!$B$246,'2020'!$N:$N,Category!R$1,'2020'!$D:$D,Category!$C274)</f>
        <v>0</v>
      </c>
      <c r="S274" s="398">
        <f>SUMIFS('2020'!$I:$I,'2020'!$E:$E,Category!$B$246,'2020'!$N:$N,Category!S$1,'2020'!$D:$D,Category!$C274)</f>
        <v>0</v>
      </c>
      <c r="T274" s="398">
        <f>SUMIFS('2020'!$I:$I,'2020'!$E:$E,Category!$B$246,'2020'!$N:$N,Category!T$1,'2020'!$D:$D,Category!$C274)</f>
        <v>0</v>
      </c>
      <c r="U274" s="398">
        <f>SUMIFS('2020'!$I:$I,'2020'!$E:$E,Category!$B$246,'2020'!$N:$N,Category!U$1,'2020'!$D:$D,Category!$C274)</f>
        <v>0</v>
      </c>
      <c r="V274" s="398">
        <f>SUMIFS('2020'!$I:$I,'2020'!$E:$E,Category!$B$246,'2020'!$N:$N,Category!V$1,'2020'!$D:$D,Category!$C274)</f>
        <v>0</v>
      </c>
      <c r="W274" s="398">
        <f>SUMIFS('2020'!$I:$I,'2020'!$E:$E,Category!$B$246,'2020'!$N:$N,Category!W$1,'2020'!$D:$D,Category!$C274)</f>
        <v>0</v>
      </c>
      <c r="X274" s="399">
        <f t="shared" si="98"/>
        <v>0</v>
      </c>
      <c r="Y274" s="509">
        <f>IFERROR(VLOOKUP(C274,'2021'!$D:$G,4,0),0)</f>
        <v>0</v>
      </c>
      <c r="Z274" s="398">
        <f>SUMIFS('2021'!$I:$I,'2021'!$E:$E,Category!$B$246,'2021'!$N:$N,Category!Z$1,'2021'!$D:$D,Category!$C274)</f>
        <v>0</v>
      </c>
      <c r="AA274" s="398">
        <f>SUMIFS('2021'!$I:$I,'2021'!$E:$E,Category!$B$246,'2021'!$N:$N,Category!AA$1,'2021'!$D:$D,Category!$C274)</f>
        <v>0</v>
      </c>
      <c r="AB274" s="398">
        <f>SUMIFS('2021'!$I:$I,'2021'!$E:$E,Category!$B$246,'2021'!$N:$N,Category!AB$1,'2021'!$D:$D,Category!$C274)</f>
        <v>0</v>
      </c>
      <c r="AC274" s="398">
        <f>SUMIFS('2021'!$I:$I,'2021'!$E:$E,Category!$B$246,'2021'!$N:$N,Category!AC$1,'2021'!$D:$D,Category!$C274)</f>
        <v>0</v>
      </c>
      <c r="AD274" s="398">
        <f>SUMIFS('2021'!$I:$I,'2021'!$E:$E,Category!$B$246,'2021'!$N:$N,Category!AD$1,'2021'!$D:$D,Category!$C274)</f>
        <v>0</v>
      </c>
      <c r="AE274" s="398">
        <f>SUMIFS('2021'!$I:$I,'2021'!$E:$E,Category!$B$246,'2021'!$N:$N,Category!AE$1,'2021'!$D:$D,Category!$C274)</f>
        <v>0</v>
      </c>
      <c r="AF274" s="398">
        <f>SUMIFS('2021'!$I:$I,'2021'!$E:$E,Category!$B$246,'2021'!$N:$N,Category!AF$1,'2021'!$D:$D,Category!$C274)</f>
        <v>0</v>
      </c>
      <c r="AG274" s="398">
        <f>SUMIFS('2021'!$I:$I,'2021'!$E:$E,Category!$B$246,'2021'!$N:$N,Category!AG$1,'2021'!$D:$D,Category!$C274)</f>
        <v>0</v>
      </c>
      <c r="AH274" s="398">
        <f>SUMIFS('2021'!$I:$I,'2021'!$E:$E,Category!$B$246,'2021'!$N:$N,Category!AH$1,'2021'!$D:$D,Category!$C274)</f>
        <v>0</v>
      </c>
      <c r="AI274" s="398">
        <f>SUMIFS('2021'!$I:$I,'2021'!$E:$E,Category!$B$246,'2021'!$N:$N,Category!AI$1,'2021'!$D:$D,Category!$C274)</f>
        <v>0</v>
      </c>
      <c r="AJ274" s="398">
        <f>SUMIFS('2021'!$I:$I,'2021'!$E:$E,Category!$B$246,'2021'!$N:$N,Category!AJ$1,'2021'!$D:$D,Category!$C274)</f>
        <v>0</v>
      </c>
      <c r="AK274" s="398">
        <f>SUMIFS('2021'!$I:$I,'2021'!$E:$E,Category!$B$246,'2021'!$N:$N,Category!AK$1,'2021'!$D:$D,Category!$C274)</f>
        <v>0</v>
      </c>
      <c r="AL274" s="399">
        <f t="shared" si="99"/>
        <v>0</v>
      </c>
      <c r="AM274" s="509">
        <f>IFERROR(VLOOKUP(C274,'2022'!$D:$G,4,0),0)</f>
        <v>0</v>
      </c>
      <c r="AN274" s="398">
        <f>SUMIFS('2022'!$I:$I,'2022'!$E:$E,Category!$B$246,'2022'!$N:$N,Category!AN$1,'2022'!$D:$D,Category!$C274)</f>
        <v>0</v>
      </c>
      <c r="AO274" s="398">
        <f>SUMIFS('2022'!$I:$I,'2022'!$E:$E,Category!$B$246,'2022'!$N:$N,Category!AO$1,'2022'!$D:$D,Category!$C274)</f>
        <v>0</v>
      </c>
      <c r="AP274" s="398">
        <f>SUMIFS('2022'!$I:$I,'2022'!$E:$E,Category!$B$246,'2022'!$N:$N,Category!AP$1,'2022'!$D:$D,Category!$C274)</f>
        <v>0</v>
      </c>
      <c r="AQ274" s="398">
        <f>SUMIFS('2022'!$I:$I,'2022'!$E:$E,Category!$B$246,'2022'!$N:$N,Category!AQ$1,'2022'!$D:$D,Category!$C274)</f>
        <v>0</v>
      </c>
      <c r="AR274" s="398">
        <f>SUMIFS('2022'!$I:$I,'2022'!$E:$E,Category!$B$246,'2022'!$N:$N,Category!AR$1,'2022'!$D:$D,Category!$C274)</f>
        <v>0</v>
      </c>
      <c r="AS274" s="398">
        <f>SUMIFS('2022'!$I:$I,'2022'!$E:$E,Category!$B$246,'2022'!$N:$N,Category!AS$1,'2022'!$D:$D,Category!$C274)</f>
        <v>0</v>
      </c>
      <c r="AT274" s="398">
        <f>SUMIFS('2022'!$I:$I,'2022'!$E:$E,Category!$B$246,'2022'!$N:$N,Category!AT$1,'2022'!$D:$D,Category!$C274)</f>
        <v>0</v>
      </c>
      <c r="AU274" s="398">
        <f>SUMIFS('2022'!$I:$I,'2022'!$E:$E,Category!$B$246,'2022'!$N:$N,Category!AU$1,'2022'!$D:$D,Category!$C274)</f>
        <v>0</v>
      </c>
      <c r="AV274" s="398">
        <f>SUMIFS('2022'!$I:$I,'2022'!$E:$E,Category!$B$246,'2022'!$N:$N,Category!AV$1,'2022'!$D:$D,Category!$C274)</f>
        <v>0</v>
      </c>
      <c r="AW274" s="398">
        <f>SUMIFS('2022'!$I:$I,'2022'!$E:$E,Category!$B$246,'2022'!$N:$N,Category!AW$1,'2022'!$D:$D,Category!$C274)</f>
        <v>0</v>
      </c>
      <c r="AX274" s="398">
        <f>SUMIFS('2022'!$I:$I,'2022'!$E:$E,Category!$B$246,'2022'!$N:$N,Category!AX$1,'2022'!$D:$D,Category!$C274)</f>
        <v>0</v>
      </c>
      <c r="AY274" s="398">
        <f>SUMIFS('2022'!$I:$I,'2022'!$E:$E,Category!$B$246,'2022'!$N:$N,Category!AY$1,'2022'!$D:$D,Category!$C274)</f>
        <v>0</v>
      </c>
      <c r="AZ274" s="399">
        <f>SUM(AN274:AY274)</f>
        <v>0</v>
      </c>
      <c r="BA274" s="509">
        <f>IFERROR(VLOOKUP(C274,'2023'!$D:$G,4,0),0)</f>
        <v>0</v>
      </c>
      <c r="BB274" s="398">
        <f>SUMIFS('2023'!$I:$I,'2023'!$E:$E,Category!$B$246,'2023'!$N:$N,Category!BB$1,'2023'!$D:$D,Category!$C274)</f>
        <v>0</v>
      </c>
      <c r="BC274" s="398">
        <f>SUMIFS('2023'!$I:$I,'2023'!$E:$E,Category!$B$246,'2023'!$N:$N,Category!BC$1,'2023'!$D:$D,Category!$C274)</f>
        <v>0</v>
      </c>
      <c r="BD274" s="398">
        <f>SUMIFS('2023'!$I:$I,'2023'!$E:$E,Category!$B$246,'2023'!$N:$N,Category!BD$1,'2023'!$D:$D,Category!$C274)</f>
        <v>0</v>
      </c>
      <c r="BE274" s="398">
        <f>SUMIFS('2023'!$I:$I,'2023'!$E:$E,Category!$B$246,'2023'!$N:$N,Category!BE$1,'2023'!$D:$D,Category!$C274)</f>
        <v>0</v>
      </c>
      <c r="BF274" s="398">
        <f>SUMIFS('2023'!$I:$I,'2023'!$E:$E,Category!$B$246,'2023'!$N:$N,Category!BF$1,'2023'!$D:$D,Category!$C274)</f>
        <v>0</v>
      </c>
      <c r="BG274" s="398">
        <f>SUMIFS('2023'!$I:$I,'2023'!$E:$E,Category!$B$246,'2023'!$N:$N,Category!BG$1,'2023'!$D:$D,Category!$C274)</f>
        <v>0</v>
      </c>
      <c r="BH274" s="398">
        <f>SUMIFS('2023'!$I:$I,'2023'!$E:$E,Category!$B$246,'2023'!$N:$N,Category!BH$1,'2023'!$D:$D,Category!$C274)</f>
        <v>0</v>
      </c>
      <c r="BI274" s="398">
        <f>SUMIFS('2023'!$I:$I,'2023'!$E:$E,Category!$B$246,'2023'!$N:$N,Category!BI$1,'2023'!$D:$D,Category!$C274)</f>
        <v>0</v>
      </c>
      <c r="BJ274" s="398">
        <f>SUMIFS('2023'!$I:$I,'2023'!$E:$E,Category!$B$246,'2023'!$N:$N,Category!BJ$1,'2023'!$D:$D,Category!$C274)</f>
        <v>0</v>
      </c>
      <c r="BK274" s="398">
        <f>SUMIFS('2023'!$I:$I,'2023'!$E:$E,Category!$B$246,'2023'!$N:$N,Category!BK$1,'2023'!$D:$D,Category!$C274)</f>
        <v>0</v>
      </c>
      <c r="BL274" s="398">
        <f>SUMIFS('2023'!$I:$I,'2023'!$E:$E,Category!$B$246,'2023'!$N:$N,Category!BL$1,'2023'!$D:$D,Category!$C274)</f>
        <v>0</v>
      </c>
      <c r="BM274" s="398">
        <f>SUMIFS('2023'!$I:$I,'2023'!$E:$E,Category!$B$246,'2023'!$N:$N,Category!BM$1,'2023'!$D:$D,Category!$C274)</f>
        <v>0</v>
      </c>
      <c r="BN274" s="399">
        <f t="shared" si="101"/>
        <v>0</v>
      </c>
    </row>
    <row r="275" spans="1:66" ht="21" customHeight="1" x14ac:dyDescent="0.3">
      <c r="A275" s="400"/>
      <c r="B275" s="397"/>
      <c r="C275" s="397"/>
      <c r="D275" s="526">
        <f>IFERROR(VLOOKUP($C275,'2019'!$D:$G,4,0),0)</f>
        <v>0</v>
      </c>
      <c r="E275" s="398">
        <f>SUMIFS('2019'!$I:$I,'2019'!$E:$E,Category!$B$246,'2019'!$N:$N,Category!E$1,'2019'!$D:$D,Category!$C275)</f>
        <v>0</v>
      </c>
      <c r="F275" s="398">
        <f>SUMIFS('2019'!$I:$I,'2019'!$E:$E,Category!$B$246,'2019'!$N:$N,Category!F$1,'2019'!$D:$D,Category!$C275)</f>
        <v>0</v>
      </c>
      <c r="G275" s="398">
        <f>SUMIFS('2019'!$I:$I,'2019'!$E:$E,Category!$B$246,'2019'!$N:$N,Category!G$1,'2019'!$D:$D,Category!$C275)</f>
        <v>0</v>
      </c>
      <c r="H275" s="398">
        <f>SUMIFS('2019'!$I:$I,'2019'!$E:$E,Category!$B$246,'2019'!$N:$N,Category!H$1,'2019'!$D:$D,Category!$C275)</f>
        <v>0</v>
      </c>
      <c r="I275" s="398">
        <f>SUMIFS('2019'!$I:$I,'2019'!$E:$E,Category!$B$246,'2019'!$N:$N,Category!I$1,'2019'!$D:$D,Category!$C275)</f>
        <v>0</v>
      </c>
      <c r="J275" s="399">
        <f t="shared" si="104"/>
        <v>0</v>
      </c>
      <c r="K275" s="509">
        <f>IFERROR(VLOOKUP($C275,'2020'!$D:$G,4,0),0)</f>
        <v>0</v>
      </c>
      <c r="L275" s="398">
        <f>SUMIFS('2020'!$I:$I,'2020'!$E:$E,Category!$B$246,'2020'!$N:$N,Category!L$1,'2020'!$D:$D,Category!$C275)</f>
        <v>0</v>
      </c>
      <c r="M275" s="398">
        <f>SUMIFS('2020'!$I:$I,'2020'!$E:$E,Category!$B$246,'2020'!$N:$N,Category!M$1,'2020'!$D:$D,Category!$C275)</f>
        <v>0</v>
      </c>
      <c r="N275" s="398">
        <f>SUMIFS('2020'!$I:$I,'2020'!$E:$E,Category!$B$246,'2020'!$N:$N,Category!N$1,'2020'!$D:$D,Category!$C275)</f>
        <v>0</v>
      </c>
      <c r="O275" s="398">
        <f>SUMIFS('2020'!$I:$I,'2020'!$E:$E,Category!$B$246,'2020'!$N:$N,Category!O$1,'2020'!$D:$D,Category!$C275)</f>
        <v>0</v>
      </c>
      <c r="P275" s="398">
        <f>SUMIFS('2020'!$I:$I,'2020'!$E:$E,Category!$B$246,'2020'!$N:$N,Category!P$1,'2020'!$D:$D,Category!$C275)</f>
        <v>0</v>
      </c>
      <c r="Q275" s="398">
        <f>SUMIFS('2020'!$I:$I,'2020'!$E:$E,Category!$B$246,'2020'!$N:$N,Category!Q$1,'2020'!$D:$D,Category!$C275)</f>
        <v>0</v>
      </c>
      <c r="R275" s="398">
        <f>SUMIFS('2020'!$I:$I,'2020'!$E:$E,Category!$B$246,'2020'!$N:$N,Category!R$1,'2020'!$D:$D,Category!$C275)</f>
        <v>0</v>
      </c>
      <c r="S275" s="398">
        <f>SUMIFS('2020'!$I:$I,'2020'!$E:$E,Category!$B$246,'2020'!$N:$N,Category!S$1,'2020'!$D:$D,Category!$C275)</f>
        <v>0</v>
      </c>
      <c r="T275" s="398">
        <f>SUMIFS('2020'!$I:$I,'2020'!$E:$E,Category!$B$246,'2020'!$N:$N,Category!T$1,'2020'!$D:$D,Category!$C275)</f>
        <v>0</v>
      </c>
      <c r="U275" s="398">
        <f>SUMIFS('2020'!$I:$I,'2020'!$E:$E,Category!$B$246,'2020'!$N:$N,Category!U$1,'2020'!$D:$D,Category!$C275)</f>
        <v>0</v>
      </c>
      <c r="V275" s="398">
        <f>SUMIFS('2020'!$I:$I,'2020'!$E:$E,Category!$B$246,'2020'!$N:$N,Category!V$1,'2020'!$D:$D,Category!$C275)</f>
        <v>0</v>
      </c>
      <c r="W275" s="398">
        <f>SUMIFS('2020'!$I:$I,'2020'!$E:$E,Category!$B$246,'2020'!$N:$N,Category!W$1,'2020'!$D:$D,Category!$C275)</f>
        <v>0</v>
      </c>
      <c r="X275" s="399">
        <f t="shared" si="98"/>
        <v>0</v>
      </c>
      <c r="Y275" s="509">
        <f>IFERROR(VLOOKUP(C275,'2021'!$D:$G,4,0),0)</f>
        <v>0</v>
      </c>
      <c r="Z275" s="398">
        <f>SUMIFS('2021'!$I:$I,'2021'!$E:$E,Category!$B$246,'2021'!$N:$N,Category!Z$1,'2021'!$D:$D,Category!$C275)</f>
        <v>0</v>
      </c>
      <c r="AA275" s="398">
        <f>SUMIFS('2021'!$I:$I,'2021'!$E:$E,Category!$B$246,'2021'!$N:$N,Category!AA$1,'2021'!$D:$D,Category!$C275)</f>
        <v>0</v>
      </c>
      <c r="AB275" s="398">
        <f>SUMIFS('2021'!$I:$I,'2021'!$E:$E,Category!$B$246,'2021'!$N:$N,Category!AB$1,'2021'!$D:$D,Category!$C275)</f>
        <v>0</v>
      </c>
      <c r="AC275" s="398">
        <f>SUMIFS('2021'!$I:$I,'2021'!$E:$E,Category!$B$246,'2021'!$N:$N,Category!AC$1,'2021'!$D:$D,Category!$C275)</f>
        <v>0</v>
      </c>
      <c r="AD275" s="398">
        <f>SUMIFS('2021'!$I:$I,'2021'!$E:$E,Category!$B$246,'2021'!$N:$N,Category!AD$1,'2021'!$D:$D,Category!$C275)</f>
        <v>0</v>
      </c>
      <c r="AE275" s="398">
        <f>SUMIFS('2021'!$I:$I,'2021'!$E:$E,Category!$B$246,'2021'!$N:$N,Category!AE$1,'2021'!$D:$D,Category!$C275)</f>
        <v>0</v>
      </c>
      <c r="AF275" s="398">
        <f>SUMIFS('2021'!$I:$I,'2021'!$E:$E,Category!$B$246,'2021'!$N:$N,Category!AF$1,'2021'!$D:$D,Category!$C275)</f>
        <v>0</v>
      </c>
      <c r="AG275" s="398">
        <f>SUMIFS('2021'!$I:$I,'2021'!$E:$E,Category!$B$246,'2021'!$N:$N,Category!AG$1,'2021'!$D:$D,Category!$C275)</f>
        <v>0</v>
      </c>
      <c r="AH275" s="398">
        <f>SUMIFS('2021'!$I:$I,'2021'!$E:$E,Category!$B$246,'2021'!$N:$N,Category!AH$1,'2021'!$D:$D,Category!$C275)</f>
        <v>0</v>
      </c>
      <c r="AI275" s="398">
        <f>SUMIFS('2021'!$I:$I,'2021'!$E:$E,Category!$B$246,'2021'!$N:$N,Category!AI$1,'2021'!$D:$D,Category!$C275)</f>
        <v>0</v>
      </c>
      <c r="AJ275" s="398">
        <f>SUMIFS('2021'!$I:$I,'2021'!$E:$E,Category!$B$246,'2021'!$N:$N,Category!AJ$1,'2021'!$D:$D,Category!$C275)</f>
        <v>0</v>
      </c>
      <c r="AK275" s="398">
        <f>SUMIFS('2021'!$I:$I,'2021'!$E:$E,Category!$B$246,'2021'!$N:$N,Category!AK$1,'2021'!$D:$D,Category!$C275)</f>
        <v>0</v>
      </c>
      <c r="AL275" s="399">
        <f t="shared" si="99"/>
        <v>0</v>
      </c>
      <c r="AM275" s="509">
        <f>IFERROR(VLOOKUP(C275,'2022'!$D:$G,4,0),0)</f>
        <v>0</v>
      </c>
      <c r="AN275" s="398">
        <f>SUMIFS('2022'!$I:$I,'2022'!$E:$E,Category!$B$246,'2022'!$N:$N,Category!AN$1,'2022'!$D:$D,Category!$C275)</f>
        <v>0</v>
      </c>
      <c r="AO275" s="398">
        <f>SUMIFS('2022'!$I:$I,'2022'!$E:$E,Category!$B$246,'2022'!$N:$N,Category!AO$1,'2022'!$D:$D,Category!$C275)</f>
        <v>0</v>
      </c>
      <c r="AP275" s="398">
        <f>SUMIFS('2022'!$I:$I,'2022'!$E:$E,Category!$B$246,'2022'!$N:$N,Category!AP$1,'2022'!$D:$D,Category!$C275)</f>
        <v>0</v>
      </c>
      <c r="AQ275" s="398">
        <f>SUMIFS('2022'!$I:$I,'2022'!$E:$E,Category!$B$246,'2022'!$N:$N,Category!AQ$1,'2022'!$D:$D,Category!$C275)</f>
        <v>0</v>
      </c>
      <c r="AR275" s="398">
        <f>SUMIFS('2022'!$I:$I,'2022'!$E:$E,Category!$B$246,'2022'!$N:$N,Category!AR$1,'2022'!$D:$D,Category!$C275)</f>
        <v>0</v>
      </c>
      <c r="AS275" s="398">
        <f>SUMIFS('2022'!$I:$I,'2022'!$E:$E,Category!$B$246,'2022'!$N:$N,Category!AS$1,'2022'!$D:$D,Category!$C275)</f>
        <v>0</v>
      </c>
      <c r="AT275" s="398">
        <f>SUMIFS('2022'!$I:$I,'2022'!$E:$E,Category!$B$246,'2022'!$N:$N,Category!AT$1,'2022'!$D:$D,Category!$C275)</f>
        <v>0</v>
      </c>
      <c r="AU275" s="398">
        <f>SUMIFS('2022'!$I:$I,'2022'!$E:$E,Category!$B$246,'2022'!$N:$N,Category!AU$1,'2022'!$D:$D,Category!$C275)</f>
        <v>0</v>
      </c>
      <c r="AV275" s="398">
        <f>SUMIFS('2022'!$I:$I,'2022'!$E:$E,Category!$B$246,'2022'!$N:$N,Category!AV$1,'2022'!$D:$D,Category!$C275)</f>
        <v>0</v>
      </c>
      <c r="AW275" s="398">
        <f>SUMIFS('2022'!$I:$I,'2022'!$E:$E,Category!$B$246,'2022'!$N:$N,Category!AW$1,'2022'!$D:$D,Category!$C275)</f>
        <v>0</v>
      </c>
      <c r="AX275" s="398">
        <f>SUMIFS('2022'!$I:$I,'2022'!$E:$E,Category!$B$246,'2022'!$N:$N,Category!AX$1,'2022'!$D:$D,Category!$C275)</f>
        <v>0</v>
      </c>
      <c r="AY275" s="398">
        <f>SUMIFS('2022'!$I:$I,'2022'!$E:$E,Category!$B$246,'2022'!$N:$N,Category!AY$1,'2022'!$D:$D,Category!$C275)</f>
        <v>0</v>
      </c>
      <c r="AZ275" s="399">
        <f>SUM(AN275:AY275)</f>
        <v>0</v>
      </c>
      <c r="BA275" s="509">
        <f>IFERROR(VLOOKUP(C275,'2023'!$D:$G,4,0),0)</f>
        <v>0</v>
      </c>
      <c r="BB275" s="398">
        <f>SUMIFS('2023'!$I:$I,'2023'!$E:$E,Category!$B$246,'2023'!$N:$N,Category!BB$1,'2023'!$D:$D,Category!$C275)</f>
        <v>0</v>
      </c>
      <c r="BC275" s="398">
        <f>SUMIFS('2023'!$I:$I,'2023'!$E:$E,Category!$B$246,'2023'!$N:$N,Category!BC$1,'2023'!$D:$D,Category!$C275)</f>
        <v>0</v>
      </c>
      <c r="BD275" s="398">
        <f>SUMIFS('2023'!$I:$I,'2023'!$E:$E,Category!$B$246,'2023'!$N:$N,Category!BD$1,'2023'!$D:$D,Category!$C275)</f>
        <v>0</v>
      </c>
      <c r="BE275" s="398">
        <f>SUMIFS('2023'!$I:$I,'2023'!$E:$E,Category!$B$246,'2023'!$N:$N,Category!BE$1,'2023'!$D:$D,Category!$C275)</f>
        <v>0</v>
      </c>
      <c r="BF275" s="398">
        <f>SUMIFS('2023'!$I:$I,'2023'!$E:$E,Category!$B$246,'2023'!$N:$N,Category!BF$1,'2023'!$D:$D,Category!$C275)</f>
        <v>0</v>
      </c>
      <c r="BG275" s="398">
        <f>SUMIFS('2023'!$I:$I,'2023'!$E:$E,Category!$B$246,'2023'!$N:$N,Category!BG$1,'2023'!$D:$D,Category!$C275)</f>
        <v>0</v>
      </c>
      <c r="BH275" s="398">
        <f>SUMIFS('2023'!$I:$I,'2023'!$E:$E,Category!$B$246,'2023'!$N:$N,Category!BH$1,'2023'!$D:$D,Category!$C275)</f>
        <v>0</v>
      </c>
      <c r="BI275" s="398">
        <f>SUMIFS('2023'!$I:$I,'2023'!$E:$E,Category!$B$246,'2023'!$N:$N,Category!BI$1,'2023'!$D:$D,Category!$C275)</f>
        <v>0</v>
      </c>
      <c r="BJ275" s="398">
        <f>SUMIFS('2023'!$I:$I,'2023'!$E:$E,Category!$B$246,'2023'!$N:$N,Category!BJ$1,'2023'!$D:$D,Category!$C275)</f>
        <v>0</v>
      </c>
      <c r="BK275" s="398">
        <f>SUMIFS('2023'!$I:$I,'2023'!$E:$E,Category!$B$246,'2023'!$N:$N,Category!BK$1,'2023'!$D:$D,Category!$C275)</f>
        <v>0</v>
      </c>
      <c r="BL275" s="398">
        <f>SUMIFS('2023'!$I:$I,'2023'!$E:$E,Category!$B$246,'2023'!$N:$N,Category!BL$1,'2023'!$D:$D,Category!$C275)</f>
        <v>0</v>
      </c>
      <c r="BM275" s="398">
        <f>SUMIFS('2023'!$I:$I,'2023'!$E:$E,Category!$B$246,'2023'!$N:$N,Category!BM$1,'2023'!$D:$D,Category!$C275)</f>
        <v>0</v>
      </c>
      <c r="BN275" s="399">
        <f t="shared" si="101"/>
        <v>0</v>
      </c>
    </row>
    <row r="276" spans="1:66" ht="21" customHeight="1" x14ac:dyDescent="0.3">
      <c r="A276" s="400"/>
      <c r="B276" s="397"/>
      <c r="C276" s="397"/>
      <c r="D276" s="526">
        <f>IFERROR(VLOOKUP($C276,'2019'!$D:$G,4,0),0)</f>
        <v>0</v>
      </c>
      <c r="E276" s="398">
        <f>SUMIFS('2019'!$I:$I,'2019'!$E:$E,Category!$B$246,'2019'!$N:$N,Category!E$1,'2019'!$D:$D,Category!$C276)</f>
        <v>0</v>
      </c>
      <c r="F276" s="398">
        <f>SUMIFS('2019'!$I:$I,'2019'!$E:$E,Category!$B$246,'2019'!$N:$N,Category!F$1,'2019'!$D:$D,Category!$C276)</f>
        <v>0</v>
      </c>
      <c r="G276" s="398">
        <f>SUMIFS('2019'!$I:$I,'2019'!$E:$E,Category!$B$246,'2019'!$N:$N,Category!G$1,'2019'!$D:$D,Category!$C276)</f>
        <v>0</v>
      </c>
      <c r="H276" s="398">
        <f>SUMIFS('2019'!$I:$I,'2019'!$E:$E,Category!$B$246,'2019'!$N:$N,Category!H$1,'2019'!$D:$D,Category!$C276)</f>
        <v>0</v>
      </c>
      <c r="I276" s="398">
        <f>SUMIFS('2019'!$I:$I,'2019'!$E:$E,Category!$B$246,'2019'!$N:$N,Category!I$1,'2019'!$D:$D,Category!$C276)</f>
        <v>0</v>
      </c>
      <c r="J276" s="399">
        <f t="shared" si="104"/>
        <v>0</v>
      </c>
      <c r="K276" s="509">
        <f>IFERROR(VLOOKUP($C276,'2020'!$D:$G,4,0),0)</f>
        <v>0</v>
      </c>
      <c r="L276" s="398">
        <f>SUMIFS('2020'!$I:$I,'2020'!$E:$E,Category!$B$246,'2020'!$N:$N,Category!L$1,'2020'!$D:$D,Category!$C276)</f>
        <v>0</v>
      </c>
      <c r="M276" s="398">
        <f>SUMIFS('2020'!$I:$I,'2020'!$E:$E,Category!$B$246,'2020'!$N:$N,Category!M$1,'2020'!$D:$D,Category!$C276)</f>
        <v>0</v>
      </c>
      <c r="N276" s="398">
        <f>SUMIFS('2020'!$I:$I,'2020'!$E:$E,Category!$B$246,'2020'!$N:$N,Category!N$1,'2020'!$D:$D,Category!$C276)</f>
        <v>0</v>
      </c>
      <c r="O276" s="398">
        <f>SUMIFS('2020'!$I:$I,'2020'!$E:$E,Category!$B$246,'2020'!$N:$N,Category!O$1,'2020'!$D:$D,Category!$C276)</f>
        <v>0</v>
      </c>
      <c r="P276" s="398">
        <f>SUMIFS('2020'!$I:$I,'2020'!$E:$E,Category!$B$246,'2020'!$N:$N,Category!P$1,'2020'!$D:$D,Category!$C276)</f>
        <v>0</v>
      </c>
      <c r="Q276" s="398">
        <f>SUMIFS('2020'!$I:$I,'2020'!$E:$E,Category!$B$246,'2020'!$N:$N,Category!Q$1,'2020'!$D:$D,Category!$C276)</f>
        <v>0</v>
      </c>
      <c r="R276" s="398">
        <f>SUMIFS('2020'!$I:$I,'2020'!$E:$E,Category!$B$246,'2020'!$N:$N,Category!R$1,'2020'!$D:$D,Category!$C276)</f>
        <v>0</v>
      </c>
      <c r="S276" s="398">
        <f>SUMIFS('2020'!$I:$I,'2020'!$E:$E,Category!$B$246,'2020'!$N:$N,Category!S$1,'2020'!$D:$D,Category!$C276)</f>
        <v>0</v>
      </c>
      <c r="T276" s="398">
        <f>SUMIFS('2020'!$I:$I,'2020'!$E:$E,Category!$B$246,'2020'!$N:$N,Category!T$1,'2020'!$D:$D,Category!$C276)</f>
        <v>0</v>
      </c>
      <c r="U276" s="398">
        <f>SUMIFS('2020'!$I:$I,'2020'!$E:$E,Category!$B$246,'2020'!$N:$N,Category!U$1,'2020'!$D:$D,Category!$C276)</f>
        <v>0</v>
      </c>
      <c r="V276" s="398">
        <f>SUMIFS('2020'!$I:$I,'2020'!$E:$E,Category!$B$246,'2020'!$N:$N,Category!V$1,'2020'!$D:$D,Category!$C276)</f>
        <v>0</v>
      </c>
      <c r="W276" s="398">
        <f>SUMIFS('2020'!$I:$I,'2020'!$E:$E,Category!$B$246,'2020'!$N:$N,Category!W$1,'2020'!$D:$D,Category!$C276)</f>
        <v>0</v>
      </c>
      <c r="X276" s="398">
        <v>0</v>
      </c>
      <c r="Y276" s="509">
        <f>IFERROR(VLOOKUP(C276,'2021'!$D:$G,4,0),0)</f>
        <v>0</v>
      </c>
      <c r="Z276" s="398">
        <f>SUMIFS('2021'!$I:$I,'2021'!$E:$E,Category!$B$246,'2021'!$N:$N,Category!Z$1,'2021'!$D:$D,Category!$C276)</f>
        <v>0</v>
      </c>
      <c r="AA276" s="398">
        <f>SUMIFS('2021'!$I:$I,'2021'!$E:$E,Category!$B$246,'2021'!$N:$N,Category!AA$1,'2021'!$D:$D,Category!$C276)</f>
        <v>0</v>
      </c>
      <c r="AB276" s="398">
        <f>SUMIFS('2021'!$I:$I,'2021'!$E:$E,Category!$B$246,'2021'!$N:$N,Category!AB$1,'2021'!$D:$D,Category!$C276)</f>
        <v>0</v>
      </c>
      <c r="AC276" s="398">
        <f>SUMIFS('2021'!$I:$I,'2021'!$E:$E,Category!$B$246,'2021'!$N:$N,Category!AC$1,'2021'!$D:$D,Category!$C276)</f>
        <v>0</v>
      </c>
      <c r="AD276" s="398">
        <f>SUMIFS('2021'!$I:$I,'2021'!$E:$E,Category!$B$246,'2021'!$N:$N,Category!AD$1,'2021'!$D:$D,Category!$C276)</f>
        <v>0</v>
      </c>
      <c r="AE276" s="398">
        <f>SUMIFS('2021'!$I:$I,'2021'!$E:$E,Category!$B$246,'2021'!$N:$N,Category!AE$1,'2021'!$D:$D,Category!$C276)</f>
        <v>0</v>
      </c>
      <c r="AF276" s="398">
        <f>SUMIFS('2021'!$I:$I,'2021'!$E:$E,Category!$B$246,'2021'!$N:$N,Category!AF$1,'2021'!$D:$D,Category!$C276)</f>
        <v>0</v>
      </c>
      <c r="AG276" s="398">
        <f>SUMIFS('2021'!$I:$I,'2021'!$E:$E,Category!$B$246,'2021'!$N:$N,Category!AG$1,'2021'!$D:$D,Category!$C276)</f>
        <v>0</v>
      </c>
      <c r="AH276" s="398">
        <f>SUMIFS('2021'!$I:$I,'2021'!$E:$E,Category!$B$246,'2021'!$N:$N,Category!AH$1,'2021'!$D:$D,Category!$C276)</f>
        <v>0</v>
      </c>
      <c r="AI276" s="398">
        <f>SUMIFS('2021'!$I:$I,'2021'!$E:$E,Category!$B$246,'2021'!$N:$N,Category!AI$1,'2021'!$D:$D,Category!$C276)</f>
        <v>0</v>
      </c>
      <c r="AJ276" s="398">
        <f>SUMIFS('2021'!$I:$I,'2021'!$E:$E,Category!$B$246,'2021'!$N:$N,Category!AJ$1,'2021'!$D:$D,Category!$C276)</f>
        <v>0</v>
      </c>
      <c r="AK276" s="398">
        <f>SUMIFS('2021'!$I:$I,'2021'!$E:$E,Category!$B$246,'2021'!$N:$N,Category!AK$1,'2021'!$D:$D,Category!$C276)</f>
        <v>0</v>
      </c>
      <c r="AL276" s="399">
        <f t="shared" si="99"/>
        <v>0</v>
      </c>
      <c r="AM276" s="509">
        <f>IFERROR(VLOOKUP(C276,'2022'!$D:$G,4,0),0)</f>
        <v>0</v>
      </c>
      <c r="AN276" s="398">
        <f>SUMIFS('2022'!$I:$I,'2022'!$E:$E,Category!$B$246,'2022'!$N:$N,Category!AN$1,'2022'!$D:$D,Category!$C276)</f>
        <v>0</v>
      </c>
      <c r="AO276" s="398">
        <f>SUMIFS('2022'!$I:$I,'2022'!$E:$E,Category!$B$246,'2022'!$N:$N,Category!AO$1,'2022'!$D:$D,Category!$C276)</f>
        <v>0</v>
      </c>
      <c r="AP276" s="398">
        <f>SUMIFS('2022'!$I:$I,'2022'!$E:$E,Category!$B$246,'2022'!$N:$N,Category!AP$1,'2022'!$D:$D,Category!$C276)</f>
        <v>0</v>
      </c>
      <c r="AQ276" s="398">
        <f>SUMIFS('2022'!$I:$I,'2022'!$E:$E,Category!$B$246,'2022'!$N:$N,Category!AQ$1,'2022'!$D:$D,Category!$C276)</f>
        <v>0</v>
      </c>
      <c r="AR276" s="398">
        <f>SUMIFS('2022'!$I:$I,'2022'!$E:$E,Category!$B$246,'2022'!$N:$N,Category!AR$1,'2022'!$D:$D,Category!$C276)</f>
        <v>0</v>
      </c>
      <c r="AS276" s="398">
        <f>SUMIFS('2022'!$I:$I,'2022'!$E:$E,Category!$B$246,'2022'!$N:$N,Category!AS$1,'2022'!$D:$D,Category!$C276)</f>
        <v>0</v>
      </c>
      <c r="AT276" s="398">
        <f>SUMIFS('2022'!$I:$I,'2022'!$E:$E,Category!$B$246,'2022'!$N:$N,Category!AT$1,'2022'!$D:$D,Category!$C276)</f>
        <v>0</v>
      </c>
      <c r="AU276" s="398">
        <f>SUMIFS('2022'!$I:$I,'2022'!$E:$E,Category!$B$246,'2022'!$N:$N,Category!AU$1,'2022'!$D:$D,Category!$C276)</f>
        <v>0</v>
      </c>
      <c r="AV276" s="398">
        <f>SUMIFS('2022'!$I:$I,'2022'!$E:$E,Category!$B$246,'2022'!$N:$N,Category!AV$1,'2022'!$D:$D,Category!$C276)</f>
        <v>0</v>
      </c>
      <c r="AW276" s="398">
        <f>SUMIFS('2022'!$I:$I,'2022'!$E:$E,Category!$B$246,'2022'!$N:$N,Category!AW$1,'2022'!$D:$D,Category!$C276)</f>
        <v>0</v>
      </c>
      <c r="AX276" s="398">
        <f>SUMIFS('2022'!$I:$I,'2022'!$E:$E,Category!$B$246,'2022'!$N:$N,Category!AX$1,'2022'!$D:$D,Category!$C276)</f>
        <v>0</v>
      </c>
      <c r="AY276" s="398">
        <f>SUMIFS('2022'!$I:$I,'2022'!$E:$E,Category!$B$246,'2022'!$N:$N,Category!AY$1,'2022'!$D:$D,Category!$C276)</f>
        <v>0</v>
      </c>
      <c r="AZ276" s="399">
        <f>SUM(AN276:AY276)</f>
        <v>0</v>
      </c>
      <c r="BA276" s="509">
        <f>IFERROR(VLOOKUP(C276,'2023'!$D:$G,4,0),0)</f>
        <v>0</v>
      </c>
      <c r="BB276" s="398">
        <f>SUMIFS('2023'!$I:$I,'2023'!$E:$E,Category!$B$246,'2023'!$N:$N,Category!BB$1,'2023'!$D:$D,Category!$C276)</f>
        <v>0</v>
      </c>
      <c r="BC276" s="398">
        <f>SUMIFS('2023'!$I:$I,'2023'!$E:$E,Category!$B$246,'2023'!$N:$N,Category!BC$1,'2023'!$D:$D,Category!$C276)</f>
        <v>0</v>
      </c>
      <c r="BD276" s="398">
        <f>SUMIFS('2023'!$I:$I,'2023'!$E:$E,Category!$B$246,'2023'!$N:$N,Category!BD$1,'2023'!$D:$D,Category!$C276)</f>
        <v>0</v>
      </c>
      <c r="BE276" s="398">
        <f>SUMIFS('2023'!$I:$I,'2023'!$E:$E,Category!$B$246,'2023'!$N:$N,Category!BE$1,'2023'!$D:$D,Category!$C276)</f>
        <v>0</v>
      </c>
      <c r="BF276" s="398">
        <f>SUMIFS('2023'!$I:$I,'2023'!$E:$E,Category!$B$246,'2023'!$N:$N,Category!BF$1,'2023'!$D:$D,Category!$C276)</f>
        <v>0</v>
      </c>
      <c r="BG276" s="398">
        <f>SUMIFS('2023'!$I:$I,'2023'!$E:$E,Category!$B$246,'2023'!$N:$N,Category!BG$1,'2023'!$D:$D,Category!$C276)</f>
        <v>0</v>
      </c>
      <c r="BH276" s="398">
        <f>SUMIFS('2023'!$I:$I,'2023'!$E:$E,Category!$B$246,'2023'!$N:$N,Category!BH$1,'2023'!$D:$D,Category!$C276)</f>
        <v>0</v>
      </c>
      <c r="BI276" s="398">
        <f>SUMIFS('2023'!$I:$I,'2023'!$E:$E,Category!$B$246,'2023'!$N:$N,Category!BI$1,'2023'!$D:$D,Category!$C276)</f>
        <v>0</v>
      </c>
      <c r="BJ276" s="398">
        <f>SUMIFS('2023'!$I:$I,'2023'!$E:$E,Category!$B$246,'2023'!$N:$N,Category!BJ$1,'2023'!$D:$D,Category!$C276)</f>
        <v>0</v>
      </c>
      <c r="BK276" s="398">
        <f>SUMIFS('2023'!$I:$I,'2023'!$E:$E,Category!$B$246,'2023'!$N:$N,Category!BK$1,'2023'!$D:$D,Category!$C276)</f>
        <v>0</v>
      </c>
      <c r="BL276" s="398">
        <f>SUMIFS('2023'!$I:$I,'2023'!$E:$E,Category!$B$246,'2023'!$N:$N,Category!BL$1,'2023'!$D:$D,Category!$C276)</f>
        <v>0</v>
      </c>
      <c r="BM276" s="398">
        <f>SUMIFS('2023'!$I:$I,'2023'!$E:$E,Category!$B$246,'2023'!$N:$N,Category!BM$1,'2023'!$D:$D,Category!$C276)</f>
        <v>0</v>
      </c>
      <c r="BN276" s="399">
        <f t="shared" si="101"/>
        <v>0</v>
      </c>
    </row>
    <row r="277" spans="1:66" x14ac:dyDescent="0.3">
      <c r="A277" s="400"/>
      <c r="B277" s="397"/>
      <c r="C277" s="397"/>
      <c r="D277" s="526">
        <f>IFERROR(VLOOKUP($C277,'2019'!$D:$G,4,0),0)</f>
        <v>0</v>
      </c>
      <c r="E277" s="398">
        <f>SUMIFS('2019'!$I:$I,'2019'!$E:$E,Category!$B$246,'2019'!$N:$N,Category!E$1,'2019'!$D:$D,Category!$C277)</f>
        <v>0</v>
      </c>
      <c r="F277" s="398">
        <f>SUMIFS('2019'!$I:$I,'2019'!$E:$E,Category!$B$246,'2019'!$N:$N,Category!F$1,'2019'!$D:$D,Category!$C277)</f>
        <v>0</v>
      </c>
      <c r="G277" s="398">
        <f>SUMIFS('2019'!$I:$I,'2019'!$E:$E,Category!$B$246,'2019'!$N:$N,Category!G$1,'2019'!$D:$D,Category!$C277)</f>
        <v>0</v>
      </c>
      <c r="H277" s="398">
        <f>SUMIFS('2019'!$I:$I,'2019'!$E:$E,Category!$B$246,'2019'!$N:$N,Category!H$1,'2019'!$D:$D,Category!$C277)</f>
        <v>0</v>
      </c>
      <c r="I277" s="398">
        <f>SUMIFS('2019'!$I:$I,'2019'!$E:$E,Category!$B$246,'2019'!$N:$N,Category!I$1,'2019'!$D:$D,Category!$C277)</f>
        <v>0</v>
      </c>
      <c r="J277" s="399">
        <f t="shared" si="104"/>
        <v>0</v>
      </c>
      <c r="K277" s="509">
        <f>IFERROR(VLOOKUP($C277,'2020'!$D:$G,4,0),0)</f>
        <v>0</v>
      </c>
      <c r="L277" s="398">
        <f>SUMIFS('2020'!$I:$I,'2020'!$E:$E,Category!$B$246,'2020'!$N:$N,Category!L$1,'2020'!$D:$D,Category!$C277)</f>
        <v>0</v>
      </c>
      <c r="M277" s="398">
        <f>SUMIFS('2020'!$I:$I,'2020'!$E:$E,Category!$B$246,'2020'!$N:$N,Category!M$1,'2020'!$D:$D,Category!$C277)</f>
        <v>0</v>
      </c>
      <c r="N277" s="398">
        <f>SUMIFS('2020'!$I:$I,'2020'!$E:$E,Category!$B$246,'2020'!$N:$N,Category!N$1,'2020'!$D:$D,Category!$C277)</f>
        <v>0</v>
      </c>
      <c r="O277" s="398">
        <f>SUMIFS('2020'!$I:$I,'2020'!$E:$E,Category!$B$246,'2020'!$N:$N,Category!O$1,'2020'!$D:$D,Category!$C277)</f>
        <v>0</v>
      </c>
      <c r="P277" s="398">
        <f>SUMIFS('2020'!$I:$I,'2020'!$E:$E,Category!$B$246,'2020'!$N:$N,Category!P$1,'2020'!$D:$D,Category!$C277)</f>
        <v>0</v>
      </c>
      <c r="Q277" s="398">
        <f>SUMIFS('2020'!$I:$I,'2020'!$E:$E,Category!$B$246,'2020'!$N:$N,Category!Q$1,'2020'!$D:$D,Category!$C277)</f>
        <v>0</v>
      </c>
      <c r="R277" s="398">
        <f>SUMIFS('2020'!$I:$I,'2020'!$E:$E,Category!$B$246,'2020'!$N:$N,Category!R$1,'2020'!$D:$D,Category!$C277)</f>
        <v>0</v>
      </c>
      <c r="S277" s="398">
        <f>SUMIFS('2020'!$I:$I,'2020'!$E:$E,Category!$B$246,'2020'!$N:$N,Category!S$1,'2020'!$D:$D,Category!$C277)</f>
        <v>0</v>
      </c>
      <c r="T277" s="398">
        <f>SUMIFS('2020'!$I:$I,'2020'!$E:$E,Category!$B$246,'2020'!$N:$N,Category!T$1,'2020'!$D:$D,Category!$C277)</f>
        <v>0</v>
      </c>
      <c r="U277" s="398">
        <f>SUMIFS('2020'!$I:$I,'2020'!$E:$E,Category!$B$246,'2020'!$N:$N,Category!U$1,'2020'!$D:$D,Category!$C277)</f>
        <v>0</v>
      </c>
      <c r="V277" s="398">
        <f>SUMIFS('2020'!$I:$I,'2020'!$E:$E,Category!$B$246,'2020'!$N:$N,Category!V$1,'2020'!$D:$D,Category!$C277)</f>
        <v>0</v>
      </c>
      <c r="W277" s="398">
        <f>SUMIFS('2020'!$I:$I,'2020'!$E:$E,Category!$B$246,'2020'!$N:$N,Category!W$1,'2020'!$D:$D,Category!$C277)</f>
        <v>0</v>
      </c>
      <c r="X277" s="398">
        <v>0</v>
      </c>
      <c r="Y277" s="509">
        <f>IFERROR(VLOOKUP(C277,'2021'!$D:$G,4,0),0)</f>
        <v>0</v>
      </c>
      <c r="Z277" s="398">
        <f>SUMIFS('2021'!$I:$I,'2021'!$E:$E,Category!$B$246,'2021'!$N:$N,Category!Z$1,'2021'!$D:$D,Category!$C277)</f>
        <v>0</v>
      </c>
      <c r="AA277" s="398">
        <f>SUMIFS('2021'!$I:$I,'2021'!$E:$E,Category!$B$246,'2021'!$N:$N,Category!AA$1,'2021'!$D:$D,Category!$C277)</f>
        <v>0</v>
      </c>
      <c r="AB277" s="398">
        <f>SUMIFS('2021'!$I:$I,'2021'!$E:$E,Category!$B$246,'2021'!$N:$N,Category!AB$1,'2021'!$D:$D,Category!$C277)</f>
        <v>0</v>
      </c>
      <c r="AC277" s="398">
        <f>SUMIFS('2021'!$I:$I,'2021'!$E:$E,Category!$B$246,'2021'!$N:$N,Category!AC$1,'2021'!$D:$D,Category!$C277)</f>
        <v>0</v>
      </c>
      <c r="AD277" s="398">
        <f>SUMIFS('2021'!$I:$I,'2021'!$E:$E,Category!$B$246,'2021'!$N:$N,Category!AD$1,'2021'!$D:$D,Category!$C277)</f>
        <v>0</v>
      </c>
      <c r="AE277" s="398">
        <f>SUMIFS('2021'!$I:$I,'2021'!$E:$E,Category!$B$246,'2021'!$N:$N,Category!AE$1,'2021'!$D:$D,Category!$C277)</f>
        <v>0</v>
      </c>
      <c r="AF277" s="398">
        <f>SUMIFS('2021'!$I:$I,'2021'!$E:$E,Category!$B$246,'2021'!$N:$N,Category!AF$1,'2021'!$D:$D,Category!$C277)</f>
        <v>0</v>
      </c>
      <c r="AG277" s="398">
        <f>SUMIFS('2021'!$I:$I,'2021'!$E:$E,Category!$B$246,'2021'!$N:$N,Category!AG$1,'2021'!$D:$D,Category!$C277)</f>
        <v>0</v>
      </c>
      <c r="AH277" s="398">
        <f>SUMIFS('2021'!$I:$I,'2021'!$E:$E,Category!$B$246,'2021'!$N:$N,Category!AH$1,'2021'!$D:$D,Category!$C277)</f>
        <v>0</v>
      </c>
      <c r="AI277" s="398">
        <f>SUMIFS('2021'!$I:$I,'2021'!$E:$E,Category!$B$246,'2021'!$N:$N,Category!AI$1,'2021'!$D:$D,Category!$C277)</f>
        <v>0</v>
      </c>
      <c r="AJ277" s="398">
        <f>SUMIFS('2021'!$I:$I,'2021'!$E:$E,Category!$B$246,'2021'!$N:$N,Category!AJ$1,'2021'!$D:$D,Category!$C277)</f>
        <v>0</v>
      </c>
      <c r="AK277" s="398">
        <f>SUMIFS('2021'!$I:$I,'2021'!$E:$E,Category!$B$246,'2021'!$N:$N,Category!AK$1,'2021'!$D:$D,Category!$C277)</f>
        <v>0</v>
      </c>
      <c r="AL277" s="399">
        <f>SUM(Z277:AK277)</f>
        <v>0</v>
      </c>
      <c r="AM277" s="509">
        <f>IFERROR(VLOOKUP(C277,'2022'!$D:$G,4,0),0)</f>
        <v>0</v>
      </c>
      <c r="AN277" s="398">
        <f>SUMIFS('2022'!$I:$I,'2022'!$E:$E,Category!$B$246,'2022'!$N:$N,Category!AN$1,'2022'!$D:$D,Category!$C277)</f>
        <v>0</v>
      </c>
      <c r="AO277" s="398">
        <f>SUMIFS('2022'!$I:$I,'2022'!$E:$E,Category!$B$246,'2022'!$N:$N,Category!AO$1,'2022'!$D:$D,Category!$C277)</f>
        <v>0</v>
      </c>
      <c r="AP277" s="398">
        <f>SUMIFS('2022'!$I:$I,'2022'!$E:$E,Category!$B$246,'2022'!$N:$N,Category!AP$1,'2022'!$D:$D,Category!$C277)</f>
        <v>0</v>
      </c>
      <c r="AQ277" s="398">
        <f>SUMIFS('2022'!$I:$I,'2022'!$E:$E,Category!$B$246,'2022'!$N:$N,Category!AQ$1,'2022'!$D:$D,Category!$C277)</f>
        <v>0</v>
      </c>
      <c r="AR277" s="398">
        <f>SUMIFS('2022'!$I:$I,'2022'!$E:$E,Category!$B$246,'2022'!$N:$N,Category!AR$1,'2022'!$D:$D,Category!$C277)</f>
        <v>0</v>
      </c>
      <c r="AS277" s="398">
        <f>SUMIFS('2022'!$I:$I,'2022'!$E:$E,Category!$B$246,'2022'!$N:$N,Category!AS$1,'2022'!$D:$D,Category!$C277)</f>
        <v>0</v>
      </c>
      <c r="AT277" s="398">
        <f>SUMIFS('2022'!$I:$I,'2022'!$E:$E,Category!$B$246,'2022'!$N:$N,Category!AT$1,'2022'!$D:$D,Category!$C277)</f>
        <v>0</v>
      </c>
      <c r="AU277" s="398">
        <f>SUMIFS('2022'!$I:$I,'2022'!$E:$E,Category!$B$246,'2022'!$N:$N,Category!AU$1,'2022'!$D:$D,Category!$C277)</f>
        <v>0</v>
      </c>
      <c r="AV277" s="398">
        <f>SUMIFS('2022'!$I:$I,'2022'!$E:$E,Category!$B$246,'2022'!$N:$N,Category!AV$1,'2022'!$D:$D,Category!$C277)</f>
        <v>0</v>
      </c>
      <c r="AW277" s="398">
        <f>SUMIFS('2022'!$I:$I,'2022'!$E:$E,Category!$B$246,'2022'!$N:$N,Category!AW$1,'2022'!$D:$D,Category!$C277)</f>
        <v>0</v>
      </c>
      <c r="AX277" s="398">
        <f>SUMIFS('2022'!$I:$I,'2022'!$E:$E,Category!$B$246,'2022'!$N:$N,Category!AX$1,'2022'!$D:$D,Category!$C277)</f>
        <v>0</v>
      </c>
      <c r="AY277" s="398">
        <f>SUMIFS('2022'!$I:$I,'2022'!$E:$E,Category!$B$246,'2022'!$N:$N,Category!AY$1,'2022'!$D:$D,Category!$C277)</f>
        <v>0</v>
      </c>
      <c r="AZ277" s="399">
        <f>SUM(AN277:AY277)</f>
        <v>0</v>
      </c>
      <c r="BA277" s="509">
        <f>IFERROR(VLOOKUP(C277,'2023'!$D:$G,4,0),0)</f>
        <v>0</v>
      </c>
      <c r="BB277" s="398">
        <f>SUMIFS('2023'!$I:$I,'2023'!$E:$E,Category!$B$246,'2023'!$N:$N,Category!BB$1,'2023'!$D:$D,Category!$C277)</f>
        <v>0</v>
      </c>
      <c r="BC277" s="398">
        <f>SUMIFS('2023'!$I:$I,'2023'!$E:$E,Category!$B$246,'2023'!$N:$N,Category!BC$1,'2023'!$D:$D,Category!$C277)</f>
        <v>0</v>
      </c>
      <c r="BD277" s="398">
        <f>SUMIFS('2023'!$I:$I,'2023'!$E:$E,Category!$B$246,'2023'!$N:$N,Category!BD$1,'2023'!$D:$D,Category!$C277)</f>
        <v>0</v>
      </c>
      <c r="BE277" s="398">
        <f>SUMIFS('2023'!$I:$I,'2023'!$E:$E,Category!$B$246,'2023'!$N:$N,Category!BE$1,'2023'!$D:$D,Category!$C277)</f>
        <v>0</v>
      </c>
      <c r="BF277" s="398">
        <f>SUMIFS('2023'!$I:$I,'2023'!$E:$E,Category!$B$246,'2023'!$N:$N,Category!BF$1,'2023'!$D:$D,Category!$C277)</f>
        <v>0</v>
      </c>
      <c r="BG277" s="398">
        <f>SUMIFS('2023'!$I:$I,'2023'!$E:$E,Category!$B$246,'2023'!$N:$N,Category!BG$1,'2023'!$D:$D,Category!$C277)</f>
        <v>0</v>
      </c>
      <c r="BH277" s="398">
        <f>SUMIFS('2023'!$I:$I,'2023'!$E:$E,Category!$B$246,'2023'!$N:$N,Category!BH$1,'2023'!$D:$D,Category!$C277)</f>
        <v>0</v>
      </c>
      <c r="BI277" s="398">
        <f>SUMIFS('2023'!$I:$I,'2023'!$E:$E,Category!$B$246,'2023'!$N:$N,Category!BI$1,'2023'!$D:$D,Category!$C277)</f>
        <v>0</v>
      </c>
      <c r="BJ277" s="398">
        <f>SUMIFS('2023'!$I:$I,'2023'!$E:$E,Category!$B$246,'2023'!$N:$N,Category!BJ$1,'2023'!$D:$D,Category!$C277)</f>
        <v>0</v>
      </c>
      <c r="BK277" s="398">
        <f>SUMIFS('2023'!$I:$I,'2023'!$E:$E,Category!$B$246,'2023'!$N:$N,Category!BK$1,'2023'!$D:$D,Category!$C277)</f>
        <v>0</v>
      </c>
      <c r="BL277" s="398">
        <f>SUMIFS('2023'!$I:$I,'2023'!$E:$E,Category!$B$246,'2023'!$N:$N,Category!BL$1,'2023'!$D:$D,Category!$C277)</f>
        <v>0</v>
      </c>
      <c r="BM277" s="398">
        <f>SUMIFS('2023'!$I:$I,'2023'!$E:$E,Category!$B$246,'2023'!$N:$N,Category!BM$1,'2023'!$D:$D,Category!$C277)</f>
        <v>0</v>
      </c>
      <c r="BN277" s="399">
        <f>SUM(BB277:BM277)</f>
        <v>0</v>
      </c>
    </row>
    <row r="278" spans="1:66" x14ac:dyDescent="0.3">
      <c r="A278" s="348">
        <v>8</v>
      </c>
      <c r="B278" s="349" t="s">
        <v>1055</v>
      </c>
      <c r="C278" s="349"/>
      <c r="D278" s="349">
        <f>SUM(D279:D337)</f>
        <v>0</v>
      </c>
      <c r="E278" s="350">
        <f>SUM(E279:E337)</f>
        <v>0</v>
      </c>
      <c r="F278" s="350">
        <f>SUM(F279:F337)</f>
        <v>13187300</v>
      </c>
      <c r="G278" s="350">
        <f>SUM(G279:G337)</f>
        <v>91973450</v>
      </c>
      <c r="H278" s="350">
        <f>SUM(H279:H337)</f>
        <v>0</v>
      </c>
      <c r="I278" s="350">
        <f t="shared" ref="I278:AS278" si="108">SUM(I279:I337)</f>
        <v>69996360</v>
      </c>
      <c r="J278" s="350">
        <f t="shared" si="108"/>
        <v>175157110</v>
      </c>
      <c r="K278" s="510">
        <f t="shared" si="108"/>
        <v>0</v>
      </c>
      <c r="L278" s="350">
        <f t="shared" si="108"/>
        <v>27748259</v>
      </c>
      <c r="M278" s="350">
        <f t="shared" si="108"/>
        <v>6721990</v>
      </c>
      <c r="N278" s="350">
        <f t="shared" si="108"/>
        <v>0</v>
      </c>
      <c r="O278" s="350">
        <f t="shared" si="108"/>
        <v>0</v>
      </c>
      <c r="P278" s="350">
        <f t="shared" si="108"/>
        <v>0</v>
      </c>
      <c r="Q278" s="350">
        <f t="shared" si="108"/>
        <v>14453000</v>
      </c>
      <c r="R278" s="350">
        <f t="shared" si="108"/>
        <v>0</v>
      </c>
      <c r="S278" s="350">
        <f t="shared" si="108"/>
        <v>3000000</v>
      </c>
      <c r="T278" s="350">
        <f t="shared" si="108"/>
        <v>0</v>
      </c>
      <c r="U278" s="350">
        <f t="shared" si="108"/>
        <v>3000000</v>
      </c>
      <c r="V278" s="350">
        <f t="shared" si="108"/>
        <v>14453000</v>
      </c>
      <c r="W278" s="350">
        <f t="shared" si="108"/>
        <v>0</v>
      </c>
      <c r="X278" s="350">
        <f t="shared" si="108"/>
        <v>69376249</v>
      </c>
      <c r="Y278" s="510">
        <f t="shared" si="108"/>
        <v>0</v>
      </c>
      <c r="Z278" s="350">
        <f t="shared" si="108"/>
        <v>100000000</v>
      </c>
      <c r="AA278" s="350">
        <f t="shared" si="108"/>
        <v>27732700</v>
      </c>
      <c r="AB278" s="350">
        <f t="shared" si="108"/>
        <v>4022400</v>
      </c>
      <c r="AC278" s="350">
        <f t="shared" si="108"/>
        <v>0</v>
      </c>
      <c r="AD278" s="350">
        <f t="shared" si="108"/>
        <v>5025300</v>
      </c>
      <c r="AE278" s="350">
        <f t="shared" si="108"/>
        <v>6018100</v>
      </c>
      <c r="AF278" s="350">
        <f t="shared" si="108"/>
        <v>0</v>
      </c>
      <c r="AG278" s="350">
        <f t="shared" si="108"/>
        <v>0</v>
      </c>
      <c r="AH278" s="350">
        <f t="shared" si="108"/>
        <v>7034700</v>
      </c>
      <c r="AI278" s="350">
        <f t="shared" si="108"/>
        <v>0</v>
      </c>
      <c r="AJ278" s="350">
        <f t="shared" si="108"/>
        <v>0</v>
      </c>
      <c r="AK278" s="350">
        <f t="shared" si="108"/>
        <v>0</v>
      </c>
      <c r="AL278" s="350">
        <f t="shared" si="108"/>
        <v>149833200</v>
      </c>
      <c r="AM278" s="510">
        <f t="shared" si="108"/>
        <v>0</v>
      </c>
      <c r="AN278" s="350">
        <f t="shared" si="108"/>
        <v>100000000</v>
      </c>
      <c r="AO278" s="350">
        <f t="shared" si="108"/>
        <v>0</v>
      </c>
      <c r="AP278" s="350">
        <f t="shared" si="108"/>
        <v>9080900</v>
      </c>
      <c r="AQ278" s="350">
        <f t="shared" si="108"/>
        <v>0</v>
      </c>
      <c r="AR278" s="350">
        <f t="shared" si="108"/>
        <v>8017300</v>
      </c>
      <c r="AS278" s="350">
        <f t="shared" si="108"/>
        <v>3008700</v>
      </c>
      <c r="AT278" s="350">
        <f t="shared" ref="AT278:BG278" si="109">SUM(AT279:AT337)</f>
        <v>0</v>
      </c>
      <c r="AU278" s="350">
        <f t="shared" si="109"/>
        <v>9426600</v>
      </c>
      <c r="AV278" s="350">
        <f t="shared" si="109"/>
        <v>0</v>
      </c>
      <c r="AW278" s="350">
        <f t="shared" si="109"/>
        <v>0</v>
      </c>
      <c r="AX278" s="350">
        <f t="shared" si="109"/>
        <v>0</v>
      </c>
      <c r="AY278" s="350">
        <f t="shared" si="109"/>
        <v>291930000</v>
      </c>
      <c r="AZ278" s="350">
        <f t="shared" si="109"/>
        <v>421463500</v>
      </c>
      <c r="BA278" s="510">
        <f t="shared" si="109"/>
        <v>0</v>
      </c>
      <c r="BB278" s="350">
        <f t="shared" si="109"/>
        <v>0</v>
      </c>
      <c r="BC278" s="350">
        <f t="shared" si="109"/>
        <v>0</v>
      </c>
      <c r="BD278" s="350">
        <f t="shared" si="109"/>
        <v>0</v>
      </c>
      <c r="BE278" s="350">
        <f t="shared" si="109"/>
        <v>0</v>
      </c>
      <c r="BF278" s="350">
        <f t="shared" si="109"/>
        <v>0</v>
      </c>
      <c r="BG278" s="350">
        <f t="shared" si="109"/>
        <v>0</v>
      </c>
      <c r="BH278" s="350">
        <f t="shared" ref="BH278:BN278" si="110">SUM(BH279:BH337)</f>
        <v>0</v>
      </c>
      <c r="BI278" s="350">
        <f t="shared" si="110"/>
        <v>0</v>
      </c>
      <c r="BJ278" s="350">
        <f t="shared" si="110"/>
        <v>0</v>
      </c>
      <c r="BK278" s="350">
        <f t="shared" si="110"/>
        <v>0</v>
      </c>
      <c r="BL278" s="350">
        <f t="shared" si="110"/>
        <v>0</v>
      </c>
      <c r="BM278" s="350">
        <f t="shared" si="110"/>
        <v>0</v>
      </c>
      <c r="BN278" s="350">
        <f t="shared" si="110"/>
        <v>0</v>
      </c>
    </row>
    <row r="279" spans="1:66" x14ac:dyDescent="0.3">
      <c r="A279" s="351"/>
      <c r="B279" s="235"/>
      <c r="C279" s="235" t="s">
        <v>991</v>
      </c>
      <c r="D279" s="527">
        <f>IFERROR(VLOOKUP($C279,'2019'!$D:$G,4,0),0)</f>
        <v>0</v>
      </c>
      <c r="E279" s="234">
        <f>SUMIFS('2019'!$I:$I,'2019'!$E:$E,Category!$B$278,'2019'!$N:$N,Category!E$1,'2019'!$D:$D,Category!$C279)</f>
        <v>0</v>
      </c>
      <c r="F279" s="234">
        <f>SUMIFS('2019'!$I:$I,'2019'!$E:$E,Category!$B$278,'2019'!$N:$N,Category!F$1,'2019'!$D:$D,Category!$C279)</f>
        <v>0</v>
      </c>
      <c r="G279" s="234">
        <f>SUMIFS('2019'!$I:$I,'2019'!$E:$E,Category!$B$278,'2019'!$N:$N,Category!G$1,'2019'!$D:$D,Category!$C279)</f>
        <v>0</v>
      </c>
      <c r="H279" s="234">
        <f>SUMIFS('2019'!$I:$I,'2019'!$E:$E,Category!$B$278,'2019'!$N:$N,Category!H$1,'2019'!$D:$D,Category!$C279)</f>
        <v>0</v>
      </c>
      <c r="I279" s="234">
        <f>SUMIFS('2019'!$I:$I,'2019'!$E:$E,Category!$B$278,'2019'!$N:$N,Category!I$1,'2019'!$D:$D,Category!$C279)</f>
        <v>0</v>
      </c>
      <c r="J279" s="234">
        <f t="shared" ref="J279:J285" si="111">SUM(E279:I279)</f>
        <v>0</v>
      </c>
      <c r="K279" s="507">
        <f>IFERROR(VLOOKUP($C279,'2020'!$D:$G,4,0),0)</f>
        <v>0</v>
      </c>
      <c r="L279" s="234">
        <f>SUMIFS('2020'!$I:$I,'2020'!$E:$E,Category!$B$278,'2020'!$N:$N,Category!L$1,'2020'!$D:$D,Category!$C279)</f>
        <v>0</v>
      </c>
      <c r="M279" s="234">
        <f>SUMIFS('2020'!$I:$I,'2020'!$E:$E,Category!$B$278,'2020'!$N:$N,Category!M$1,'2020'!$D:$D,Category!$C279)</f>
        <v>0</v>
      </c>
      <c r="N279" s="234">
        <f>SUMIFS('2020'!$I:$I,'2020'!$E:$E,Category!$B$278,'2020'!$N:$N,Category!N$1,'2020'!$D:$D,Category!$C279)</f>
        <v>0</v>
      </c>
      <c r="O279" s="234">
        <f>SUMIFS('2020'!$I:$I,'2020'!$E:$E,Category!$B$278,'2020'!$N:$N,Category!O$1,'2020'!$D:$D,Category!$C279)</f>
        <v>0</v>
      </c>
      <c r="P279" s="234">
        <f>SUMIFS('2020'!$I:$I,'2020'!$E:$E,Category!$B$278,'2020'!$N:$N,Category!P$1,'2020'!$D:$D,Category!$C279)</f>
        <v>0</v>
      </c>
      <c r="Q279" s="234">
        <f>SUMIFS('2020'!$I:$I,'2020'!$E:$E,Category!$B$278,'2020'!$N:$N,Category!Q$1,'2020'!$D:$D,Category!$C279)</f>
        <v>0</v>
      </c>
      <c r="R279" s="234">
        <f>SUMIFS('2020'!$I:$I,'2020'!$E:$E,Category!$B$278,'2020'!$N:$N,Category!R$1,'2020'!$D:$D,Category!$C279)</f>
        <v>0</v>
      </c>
      <c r="S279" s="234">
        <f>SUMIFS('2020'!$I:$I,'2020'!$E:$E,Category!$B$278,'2020'!$N:$N,Category!S$1,'2020'!$D:$D,Category!$C279)</f>
        <v>0</v>
      </c>
      <c r="T279" s="234">
        <f>SUMIFS('2020'!$I:$I,'2020'!$E:$E,Category!$B$278,'2020'!$N:$N,Category!T$1,'2020'!$D:$D,Category!$C279)</f>
        <v>0</v>
      </c>
      <c r="U279" s="234">
        <f>SUMIFS('2020'!$I:$I,'2020'!$E:$E,Category!$B$278,'2020'!$N:$N,Category!U$1,'2020'!$D:$D,Category!$C279)</f>
        <v>0</v>
      </c>
      <c r="V279" s="234">
        <f>SUMIFS('2020'!$I:$I,'2020'!$E:$E,Category!$B$278,'2020'!$N:$N,Category!V$1,'2020'!$D:$D,Category!$C279)</f>
        <v>0</v>
      </c>
      <c r="W279" s="234">
        <f>SUMIFS('2020'!$I:$I,'2020'!$E:$E,Category!$B$278,'2020'!$N:$N,Category!W$1,'2020'!$D:$D,Category!$C279)</f>
        <v>0</v>
      </c>
      <c r="X279" s="234">
        <f t="shared" ref="X279:X288" si="112">SUM(L279:W279)</f>
        <v>0</v>
      </c>
      <c r="Y279" s="507">
        <f>IFERROR(VLOOKUP(C279,'2021'!$D:$G,4,0),0)</f>
        <v>0</v>
      </c>
      <c r="Z279" s="234">
        <f>SUMIFS('2021'!$I:$I,'2021'!$E:$E,Category!$B$278,'2021'!$N:$N,Category!Z$1,'2021'!$D:$D,Category!$C279)</f>
        <v>100000000</v>
      </c>
      <c r="AA279" s="234">
        <f>SUMIFS('2021'!$I:$I,'2021'!$E:$E,Category!$B$278,'2021'!$N:$N,Category!AA$1,'2021'!$D:$D,Category!$C279)</f>
        <v>0</v>
      </c>
      <c r="AB279" s="234">
        <f>SUMIFS('2021'!$I:$I,'2021'!$E:$E,Category!$B$278,'2021'!$N:$N,Category!AB$1,'2021'!$D:$D,Category!$C279)</f>
        <v>0</v>
      </c>
      <c r="AC279" s="234">
        <f>SUMIFS('2021'!$I:$I,'2021'!$E:$E,Category!$B$278,'2021'!$N:$N,Category!AC$1,'2021'!$D:$D,Category!$C279)</f>
        <v>0</v>
      </c>
      <c r="AD279" s="234">
        <f>SUMIFS('2021'!$I:$I,'2021'!$E:$E,Category!$B$278,'2021'!$N:$N,Category!AD$1,'2021'!$D:$D,Category!$C279)</f>
        <v>0</v>
      </c>
      <c r="AE279" s="234">
        <f>SUMIFS('2021'!$I:$I,'2021'!$E:$E,Category!$B$278,'2021'!$N:$N,Category!AE$1,'2021'!$D:$D,Category!$C279)</f>
        <v>0</v>
      </c>
      <c r="AF279" s="234">
        <f>SUMIFS('2021'!$I:$I,'2021'!$E:$E,Category!$B$278,'2021'!$N:$N,Category!AF$1,'2021'!$D:$D,Category!$C279)</f>
        <v>0</v>
      </c>
      <c r="AG279" s="234">
        <f>SUMIFS('2021'!$I:$I,'2021'!$E:$E,Category!$B$278,'2021'!$N:$N,Category!AG$1,'2021'!$D:$D,Category!$C279)</f>
        <v>0</v>
      </c>
      <c r="AH279" s="234">
        <f>SUMIFS('2021'!$I:$I,'2021'!$E:$E,Category!$B$278,'2021'!$N:$N,Category!AH$1,'2021'!$D:$D,Category!$C279)</f>
        <v>0</v>
      </c>
      <c r="AI279" s="234">
        <f>SUMIFS('2021'!$I:$I,'2021'!$E:$E,Category!$B$278,'2021'!$N:$N,Category!AI$1,'2021'!$D:$D,Category!$C279)</f>
        <v>0</v>
      </c>
      <c r="AJ279" s="234">
        <f>SUMIFS('2021'!$I:$I,'2021'!$E:$E,Category!$B$278,'2021'!$N:$N,Category!AJ$1,'2021'!$D:$D,Category!$C279)</f>
        <v>0</v>
      </c>
      <c r="AK279" s="234">
        <f>SUMIFS('2021'!$I:$I,'2021'!$E:$E,Category!$B$278,'2021'!$N:$N,Category!AK$1,'2021'!$D:$D,Category!$C279)</f>
        <v>0</v>
      </c>
      <c r="AL279" s="250">
        <f t="shared" ref="AL279:AL290" si="113">SUM(Z279:AK279)</f>
        <v>100000000</v>
      </c>
      <c r="AM279" s="507">
        <f>IFERROR(VLOOKUP(C279,'2022'!$D:$G,4,0),0)</f>
        <v>0</v>
      </c>
      <c r="AN279" s="234">
        <f>SUMIFS('2022'!$I:$I,'2022'!$E:$E,Category!$B$278,'2022'!$N:$N,Category!AN$1,'2022'!$D:$D,Category!$C279)</f>
        <v>0</v>
      </c>
      <c r="AO279" s="234">
        <f>SUMIFS('2022'!$I:$I,'2022'!$E:$E,Category!$B$278,'2022'!$N:$N,Category!AO$1,'2022'!$D:$D,Category!$C279)</f>
        <v>0</v>
      </c>
      <c r="AP279" s="234">
        <f>SUMIFS('2022'!$I:$I,'2022'!$E:$E,Category!$B$278,'2022'!$N:$N,Category!AP$1,'2022'!$D:$D,Category!$C279)</f>
        <v>0</v>
      </c>
      <c r="AQ279" s="234">
        <f>SUMIFS('2022'!$I:$I,'2022'!$E:$E,Category!$B$278,'2022'!$N:$N,Category!AQ$1,'2022'!$D:$D,Category!$C279)</f>
        <v>0</v>
      </c>
      <c r="AR279" s="234">
        <f>SUMIFS('2022'!$I:$I,'2022'!$E:$E,Category!$B$278,'2022'!$N:$N,Category!AR$1,'2022'!$D:$D,Category!$C279)</f>
        <v>0</v>
      </c>
      <c r="AS279" s="234">
        <f>SUMIFS('2022'!$I:$I,'2022'!$E:$E,Category!$B$278,'2022'!$N:$N,Category!AS$1,'2022'!$D:$D,Category!$C279)</f>
        <v>0</v>
      </c>
      <c r="AT279" s="234">
        <f>SUMIFS('2022'!$I:$I,'2022'!$E:$E,Category!$B$278,'2022'!$N:$N,Category!AT$1,'2022'!$D:$D,Category!$C279)</f>
        <v>0</v>
      </c>
      <c r="AU279" s="234">
        <f>SUMIFS('2022'!$I:$I,'2022'!$E:$E,Category!$B$278,'2022'!$N:$N,Category!AU$1,'2022'!$D:$D,Category!$C279)</f>
        <v>0</v>
      </c>
      <c r="AV279" s="234">
        <f>SUMIFS('2022'!$I:$I,'2022'!$E:$E,Category!$B$278,'2022'!$N:$N,Category!AV$1,'2022'!$D:$D,Category!$C279)</f>
        <v>0</v>
      </c>
      <c r="AW279" s="234">
        <f>SUMIFS('2022'!$I:$I,'2022'!$E:$E,Category!$B$278,'2022'!$N:$N,Category!AW$1,'2022'!$D:$D,Category!$C279)</f>
        <v>0</v>
      </c>
      <c r="AX279" s="234">
        <f>SUMIFS('2022'!$I:$I,'2022'!$E:$E,Category!$B$278,'2022'!$N:$N,Category!AX$1,'2022'!$D:$D,Category!$C279)</f>
        <v>0</v>
      </c>
      <c r="AY279" s="234">
        <f>SUMIFS('2022'!$I:$I,'2022'!$E:$E,Category!$B$278,'2022'!$N:$N,Category!AY$1,'2022'!$D:$D,Category!$C279)</f>
        <v>0</v>
      </c>
      <c r="AZ279" s="250">
        <f>SUM(AN279:AY279)</f>
        <v>0</v>
      </c>
      <c r="BA279" s="507">
        <f>IFERROR(VLOOKUP(C279,'2023'!$D:$G,4,0),0)</f>
        <v>0</v>
      </c>
      <c r="BB279" s="234">
        <f>SUMIFS('2023'!$I:$I,'2023'!$E:$E,Category!$B$278,'2023'!$N:$N,Category!BB$1,'2023'!$D:$D,Category!$C279)</f>
        <v>0</v>
      </c>
      <c r="BC279" s="234">
        <f>SUMIFS('2023'!$I:$I,'2023'!$E:$E,Category!$B$278,'2023'!$N:$N,Category!BC$1,'2023'!$D:$D,Category!$C279)</f>
        <v>0</v>
      </c>
      <c r="BD279" s="234">
        <f>SUMIFS('2023'!$I:$I,'2023'!$E:$E,Category!$B$278,'2023'!$N:$N,Category!BD$1,'2023'!$D:$D,Category!$C279)</f>
        <v>0</v>
      </c>
      <c r="BE279" s="234">
        <f>SUMIFS('2023'!$I:$I,'2023'!$E:$E,Category!$B$278,'2023'!$N:$N,Category!BE$1,'2023'!$D:$D,Category!$C279)</f>
        <v>0</v>
      </c>
      <c r="BF279" s="234">
        <f>SUMIFS('2023'!$I:$I,'2023'!$E:$E,Category!$B$278,'2023'!$N:$N,Category!BF$1,'2023'!$D:$D,Category!$C279)</f>
        <v>0</v>
      </c>
      <c r="BG279" s="234">
        <f>SUMIFS('2023'!$I:$I,'2023'!$E:$E,Category!$B$278,'2023'!$N:$N,Category!BG$1,'2023'!$D:$D,Category!$C279)</f>
        <v>0</v>
      </c>
      <c r="BH279" s="234">
        <f>SUMIFS('2023'!$I:$I,'2023'!$E:$E,Category!$B$278,'2023'!$N:$N,Category!BH$1,'2023'!$D:$D,Category!$C279)</f>
        <v>0</v>
      </c>
      <c r="BI279" s="234">
        <f>SUMIFS('2023'!$I:$I,'2023'!$E:$E,Category!$B$278,'2023'!$N:$N,Category!BI$1,'2023'!$D:$D,Category!$C279)</f>
        <v>0</v>
      </c>
      <c r="BJ279" s="234">
        <f>SUMIFS('2023'!$I:$I,'2023'!$E:$E,Category!$B$278,'2023'!$N:$N,Category!BJ$1,'2023'!$D:$D,Category!$C279)</f>
        <v>0</v>
      </c>
      <c r="BK279" s="234">
        <f>SUMIFS('2023'!$I:$I,'2023'!$E:$E,Category!$B$278,'2023'!$N:$N,Category!BK$1,'2023'!$D:$D,Category!$C279)</f>
        <v>0</v>
      </c>
      <c r="BL279" s="234">
        <f>SUMIFS('2023'!$I:$I,'2023'!$E:$E,Category!$B$278,'2023'!$N:$N,Category!BL$1,'2023'!$D:$D,Category!$C279)</f>
        <v>0</v>
      </c>
      <c r="BM279" s="234">
        <f>SUMIFS('2023'!$I:$I,'2023'!$E:$E,Category!$B$278,'2023'!$N:$N,Category!BM$1,'2023'!$D:$D,Category!$C279)</f>
        <v>0</v>
      </c>
      <c r="BN279" s="250">
        <f t="shared" ref="BN279:BN330" si="114">SUM(BB279:BM279)</f>
        <v>0</v>
      </c>
    </row>
    <row r="280" spans="1:66" s="247" customFormat="1" x14ac:dyDescent="0.3">
      <c r="A280" s="352"/>
      <c r="B280" s="353"/>
      <c r="C280" s="235" t="s">
        <v>702</v>
      </c>
      <c r="D280" s="527">
        <f>IFERROR(VLOOKUP($C280,'2019'!$D:$G,4,0),0)</f>
        <v>0</v>
      </c>
      <c r="E280" s="234">
        <f>SUMIFS('2019'!$I:$I,'2019'!$E:$E,Category!$B$278,'2019'!$N:$N,Category!E$1,'2019'!$D:$D,Category!$C280)</f>
        <v>0</v>
      </c>
      <c r="F280" s="234">
        <f>SUMIFS('2019'!$I:$I,'2019'!$E:$E,Category!$B$278,'2019'!$N:$N,Category!F$1,'2019'!$D:$D,Category!$C280)</f>
        <v>0</v>
      </c>
      <c r="G280" s="234">
        <f>SUMIFS('2019'!$I:$I,'2019'!$E:$E,Category!$B$278,'2019'!$N:$N,Category!G$1,'2019'!$D:$D,Category!$C280)</f>
        <v>0</v>
      </c>
      <c r="H280" s="234">
        <f>SUMIFS('2019'!$I:$I,'2019'!$E:$E,Category!$B$278,'2019'!$N:$N,Category!H$1,'2019'!$D:$D,Category!$C280)</f>
        <v>0</v>
      </c>
      <c r="I280" s="234">
        <f>SUMIFS('2019'!$I:$I,'2019'!$E:$E,Category!$B$278,'2019'!$N:$N,Category!I$1,'2019'!$D:$D,Category!$C280)</f>
        <v>0</v>
      </c>
      <c r="J280" s="234">
        <f t="shared" si="111"/>
        <v>0</v>
      </c>
      <c r="K280" s="507">
        <f>IFERROR(VLOOKUP($C280,'2020'!$D:$G,4,0),0)</f>
        <v>0</v>
      </c>
      <c r="L280" s="234">
        <f>SUMIFS('2020'!$I:$I,'2020'!$E:$E,Category!$B$278,'2020'!$N:$N,Category!L$1,'2020'!$D:$D,Category!$C280)</f>
        <v>0</v>
      </c>
      <c r="M280" s="234">
        <f>SUMIFS('2020'!$I:$I,'2020'!$E:$E,Category!$B$278,'2020'!$N:$N,Category!M$1,'2020'!$D:$D,Category!$C280)</f>
        <v>0</v>
      </c>
      <c r="N280" s="234">
        <f>SUMIFS('2020'!$I:$I,'2020'!$E:$E,Category!$B$278,'2020'!$N:$N,Category!N$1,'2020'!$D:$D,Category!$C280)</f>
        <v>0</v>
      </c>
      <c r="O280" s="234">
        <f>SUMIFS('2020'!$I:$I,'2020'!$E:$E,Category!$B$278,'2020'!$N:$N,Category!O$1,'2020'!$D:$D,Category!$C280)</f>
        <v>0</v>
      </c>
      <c r="P280" s="234">
        <f>SUMIFS('2020'!$I:$I,'2020'!$E:$E,Category!$B$278,'2020'!$N:$N,Category!P$1,'2020'!$D:$D,Category!$C280)</f>
        <v>0</v>
      </c>
      <c r="Q280" s="234">
        <f>SUMIFS('2020'!$I:$I,'2020'!$E:$E,Category!$B$278,'2020'!$N:$N,Category!Q$1,'2020'!$D:$D,Category!$C280)</f>
        <v>0</v>
      </c>
      <c r="R280" s="234">
        <f>SUMIFS('2020'!$I:$I,'2020'!$E:$E,Category!$B$278,'2020'!$N:$N,Category!R$1,'2020'!$D:$D,Category!$C280)</f>
        <v>0</v>
      </c>
      <c r="S280" s="234">
        <f>SUMIFS('2020'!$I:$I,'2020'!$E:$E,Category!$B$278,'2020'!$N:$N,Category!S$1,'2020'!$D:$D,Category!$C280)</f>
        <v>0</v>
      </c>
      <c r="T280" s="234">
        <f>SUMIFS('2020'!$I:$I,'2020'!$E:$E,Category!$B$278,'2020'!$N:$N,Category!T$1,'2020'!$D:$D,Category!$C280)</f>
        <v>0</v>
      </c>
      <c r="U280" s="234">
        <f>SUMIFS('2020'!$I:$I,'2020'!$E:$E,Category!$B$278,'2020'!$N:$N,Category!U$1,'2020'!$D:$D,Category!$C280)</f>
        <v>0</v>
      </c>
      <c r="V280" s="234">
        <f>SUMIFS('2020'!$I:$I,'2020'!$E:$E,Category!$B$278,'2020'!$N:$N,Category!V$1,'2020'!$D:$D,Category!$C280)</f>
        <v>0</v>
      </c>
      <c r="W280" s="234">
        <f>SUMIFS('2020'!$I:$I,'2020'!$E:$E,Category!$B$278,'2020'!$N:$N,Category!W$1,'2020'!$D:$D,Category!$C280)</f>
        <v>0</v>
      </c>
      <c r="X280" s="234">
        <f t="shared" si="112"/>
        <v>0</v>
      </c>
      <c r="Y280" s="507">
        <f>IFERROR(VLOOKUP(C280,'2021'!$D:$G,4,0),0)</f>
        <v>0</v>
      </c>
      <c r="Z280" s="234">
        <f>SUMIFS('2021'!$I:$I,'2021'!$E:$E,Category!$B$278,'2021'!$N:$N,Category!Z$1,'2021'!$D:$D,Category!$C280)</f>
        <v>0</v>
      </c>
      <c r="AA280" s="234">
        <f>SUMIFS('2021'!$I:$I,'2021'!$E:$E,Category!$B$278,'2021'!$N:$N,Category!AA$1,'2021'!$D:$D,Category!$C280)</f>
        <v>0</v>
      </c>
      <c r="AB280" s="234">
        <f>SUMIFS('2021'!$I:$I,'2021'!$E:$E,Category!$B$278,'2021'!$N:$N,Category!AB$1,'2021'!$D:$D,Category!$C280)</f>
        <v>0</v>
      </c>
      <c r="AC280" s="234">
        <f>SUMIFS('2021'!$I:$I,'2021'!$E:$E,Category!$B$278,'2021'!$N:$N,Category!AC$1,'2021'!$D:$D,Category!$C280)</f>
        <v>0</v>
      </c>
      <c r="AD280" s="234">
        <f>SUMIFS('2021'!$I:$I,'2021'!$E:$E,Category!$B$278,'2021'!$N:$N,Category!AD$1,'2021'!$D:$D,Category!$C280)</f>
        <v>0</v>
      </c>
      <c r="AE280" s="234">
        <f>SUMIFS('2021'!$I:$I,'2021'!$E:$E,Category!$B$278,'2021'!$N:$N,Category!AE$1,'2021'!$D:$D,Category!$C280)</f>
        <v>0</v>
      </c>
      <c r="AF280" s="234">
        <f>SUMIFS('2021'!$I:$I,'2021'!$E:$E,Category!$B$278,'2021'!$N:$N,Category!AF$1,'2021'!$D:$D,Category!$C280)</f>
        <v>0</v>
      </c>
      <c r="AG280" s="234">
        <f>SUMIFS('2021'!$I:$I,'2021'!$E:$E,Category!$B$278,'2021'!$N:$N,Category!AG$1,'2021'!$D:$D,Category!$C280)</f>
        <v>0</v>
      </c>
      <c r="AH280" s="234">
        <f>SUMIFS('2021'!$I:$I,'2021'!$E:$E,Category!$B$278,'2021'!$N:$N,Category!AH$1,'2021'!$D:$D,Category!$C280)</f>
        <v>0</v>
      </c>
      <c r="AI280" s="234">
        <f>SUMIFS('2021'!$I:$I,'2021'!$E:$E,Category!$B$278,'2021'!$N:$N,Category!AI$1,'2021'!$D:$D,Category!$C280)</f>
        <v>0</v>
      </c>
      <c r="AJ280" s="234">
        <f>SUMIFS('2021'!$I:$I,'2021'!$E:$E,Category!$B$278,'2021'!$N:$N,Category!AJ$1,'2021'!$D:$D,Category!$C280)</f>
        <v>0</v>
      </c>
      <c r="AK280" s="234">
        <f>SUMIFS('2021'!$I:$I,'2021'!$E:$E,Category!$B$278,'2021'!$N:$N,Category!AK$1,'2021'!$D:$D,Category!$C280)</f>
        <v>0</v>
      </c>
      <c r="AL280" s="250">
        <f t="shared" si="113"/>
        <v>0</v>
      </c>
      <c r="AM280" s="507">
        <f>IFERROR(VLOOKUP(C280,'2022'!$D:$G,4,0),0)</f>
        <v>0</v>
      </c>
      <c r="AN280" s="234">
        <f>SUMIFS('2022'!$I:$I,'2022'!$E:$E,Category!$B$278,'2022'!$N:$N,Category!AN$1,'2022'!$D:$D,Category!$C280)</f>
        <v>100000000</v>
      </c>
      <c r="AO280" s="234">
        <f>SUMIFS('2022'!$I:$I,'2022'!$E:$E,Category!$B$278,'2022'!$N:$N,Category!AO$1,'2022'!$D:$D,Category!$C280)</f>
        <v>0</v>
      </c>
      <c r="AP280" s="234">
        <f>SUMIFS('2022'!$I:$I,'2022'!$E:$E,Category!$B$278,'2022'!$N:$N,Category!AP$1,'2022'!$D:$D,Category!$C280)</f>
        <v>0</v>
      </c>
      <c r="AQ280" s="234">
        <f>SUMIFS('2022'!$I:$I,'2022'!$E:$E,Category!$B$278,'2022'!$N:$N,Category!AQ$1,'2022'!$D:$D,Category!$C280)</f>
        <v>0</v>
      </c>
      <c r="AR280" s="234">
        <f>SUMIFS('2022'!$I:$I,'2022'!$E:$E,Category!$B$278,'2022'!$N:$N,Category!AR$1,'2022'!$D:$D,Category!$C280)</f>
        <v>0</v>
      </c>
      <c r="AS280" s="234">
        <f>SUMIFS('2022'!$I:$I,'2022'!$E:$E,Category!$B$278,'2022'!$N:$N,Category!AS$1,'2022'!$D:$D,Category!$C280)</f>
        <v>0</v>
      </c>
      <c r="AT280" s="234">
        <f>SUMIFS('2022'!$I:$I,'2022'!$E:$E,Category!$B$278,'2022'!$N:$N,Category!AT$1,'2022'!$D:$D,Category!$C280)</f>
        <v>0</v>
      </c>
      <c r="AU280" s="234">
        <f>SUMIFS('2022'!$I:$I,'2022'!$E:$E,Category!$B$278,'2022'!$N:$N,Category!AU$1,'2022'!$D:$D,Category!$C280)</f>
        <v>0</v>
      </c>
      <c r="AV280" s="234">
        <f>SUMIFS('2022'!$I:$I,'2022'!$E:$E,Category!$B$278,'2022'!$N:$N,Category!AV$1,'2022'!$D:$D,Category!$C280)</f>
        <v>0</v>
      </c>
      <c r="AW280" s="234">
        <f>SUMIFS('2022'!$I:$I,'2022'!$E:$E,Category!$B$278,'2022'!$N:$N,Category!AW$1,'2022'!$D:$D,Category!$C280)</f>
        <v>0</v>
      </c>
      <c r="AX280" s="234">
        <f>SUMIFS('2022'!$I:$I,'2022'!$E:$E,Category!$B$278,'2022'!$N:$N,Category!AX$1,'2022'!$D:$D,Category!$C280)</f>
        <v>0</v>
      </c>
      <c r="AY280" s="234">
        <f>SUMIFS('2022'!$I:$I,'2022'!$E:$E,Category!$B$278,'2022'!$N:$N,Category!AY$1,'2022'!$D:$D,Category!$C280)</f>
        <v>0</v>
      </c>
      <c r="AZ280" s="250">
        <f>SUM(AN280:AY280)</f>
        <v>100000000</v>
      </c>
      <c r="BA280" s="507">
        <f>IFERROR(VLOOKUP(C280,'2023'!$D:$G,4,0),0)</f>
        <v>0</v>
      </c>
      <c r="BB280" s="234">
        <f>SUMIFS('2023'!$I:$I,'2023'!$E:$E,Category!$B$278,'2023'!$N:$N,Category!BB$1,'2023'!$D:$D,Category!$C280)</f>
        <v>0</v>
      </c>
      <c r="BC280" s="234">
        <f>SUMIFS('2023'!$I:$I,'2023'!$E:$E,Category!$B$278,'2023'!$N:$N,Category!BC$1,'2023'!$D:$D,Category!$C280)</f>
        <v>0</v>
      </c>
      <c r="BD280" s="234">
        <f>SUMIFS('2023'!$I:$I,'2023'!$E:$E,Category!$B$278,'2023'!$N:$N,Category!BD$1,'2023'!$D:$D,Category!$C280)</f>
        <v>0</v>
      </c>
      <c r="BE280" s="234">
        <f>SUMIFS('2023'!$I:$I,'2023'!$E:$E,Category!$B$278,'2023'!$N:$N,Category!BE$1,'2023'!$D:$D,Category!$C280)</f>
        <v>0</v>
      </c>
      <c r="BF280" s="234">
        <f>SUMIFS('2023'!$I:$I,'2023'!$E:$E,Category!$B$278,'2023'!$N:$N,Category!BF$1,'2023'!$D:$D,Category!$C280)</f>
        <v>0</v>
      </c>
      <c r="BG280" s="234">
        <f>SUMIFS('2023'!$I:$I,'2023'!$E:$E,Category!$B$278,'2023'!$N:$N,Category!BG$1,'2023'!$D:$D,Category!$C280)</f>
        <v>0</v>
      </c>
      <c r="BH280" s="234">
        <f>SUMIFS('2023'!$I:$I,'2023'!$E:$E,Category!$B$278,'2023'!$N:$N,Category!BH$1,'2023'!$D:$D,Category!$C280)</f>
        <v>0</v>
      </c>
      <c r="BI280" s="234">
        <f>SUMIFS('2023'!$I:$I,'2023'!$E:$E,Category!$B$278,'2023'!$N:$N,Category!BI$1,'2023'!$D:$D,Category!$C280)</f>
        <v>0</v>
      </c>
      <c r="BJ280" s="234">
        <f>SUMIFS('2023'!$I:$I,'2023'!$E:$E,Category!$B$278,'2023'!$N:$N,Category!BJ$1,'2023'!$D:$D,Category!$C280)</f>
        <v>0</v>
      </c>
      <c r="BK280" s="234">
        <f>SUMIFS('2023'!$I:$I,'2023'!$E:$E,Category!$B$278,'2023'!$N:$N,Category!BK$1,'2023'!$D:$D,Category!$C280)</f>
        <v>0</v>
      </c>
      <c r="BL280" s="234">
        <f>SUMIFS('2023'!$I:$I,'2023'!$E:$E,Category!$B$278,'2023'!$N:$N,Category!BL$1,'2023'!$D:$D,Category!$C280)</f>
        <v>0</v>
      </c>
      <c r="BM280" s="234">
        <f>SUMIFS('2023'!$I:$I,'2023'!$E:$E,Category!$B$278,'2023'!$N:$N,Category!BM$1,'2023'!$D:$D,Category!$C280)</f>
        <v>0</v>
      </c>
      <c r="BN280" s="250">
        <f t="shared" si="114"/>
        <v>0</v>
      </c>
    </row>
    <row r="281" spans="1:66" x14ac:dyDescent="0.3">
      <c r="A281" s="351"/>
      <c r="B281" s="235"/>
      <c r="C281" s="235" t="s">
        <v>994</v>
      </c>
      <c r="D281" s="527">
        <f>IFERROR(VLOOKUP($C281,'2019'!$D:$G,4,0),0)</f>
        <v>0</v>
      </c>
      <c r="E281" s="234">
        <f>SUMIFS('2019'!$I:$I,'2019'!$E:$E,Category!$B$278,'2019'!$N:$N,Category!E$1,'2019'!$D:$D,Category!$C281)</f>
        <v>0</v>
      </c>
      <c r="F281" s="234">
        <f>SUMIFS('2019'!$I:$I,'2019'!$E:$E,Category!$B$278,'2019'!$N:$N,Category!F$1,'2019'!$D:$D,Category!$C281)</f>
        <v>0</v>
      </c>
      <c r="G281" s="234">
        <f>SUMIFS('2019'!$I:$I,'2019'!$E:$E,Category!$B$278,'2019'!$N:$N,Category!G$1,'2019'!$D:$D,Category!$C281)</f>
        <v>0</v>
      </c>
      <c r="H281" s="234">
        <f>SUMIFS('2019'!$I:$I,'2019'!$E:$E,Category!$B$278,'2019'!$N:$N,Category!H$1,'2019'!$D:$D,Category!$C281)</f>
        <v>0</v>
      </c>
      <c r="I281" s="234">
        <f>SUMIFS('2019'!$I:$I,'2019'!$E:$E,Category!$B$278,'2019'!$N:$N,Category!I$1,'2019'!$D:$D,Category!$C281)</f>
        <v>0</v>
      </c>
      <c r="J281" s="234">
        <f t="shared" si="111"/>
        <v>0</v>
      </c>
      <c r="K281" s="507">
        <f>IFERROR(VLOOKUP($C281,'2020'!$D:$G,4,0),0)</f>
        <v>0</v>
      </c>
      <c r="L281" s="234">
        <f>SUMIFS('2020'!$I:$I,'2020'!$E:$E,Category!$B$278,'2020'!$N:$N,Category!L$1,'2020'!$D:$D,Category!$C281)</f>
        <v>0</v>
      </c>
      <c r="M281" s="234">
        <f>SUMIFS('2020'!$I:$I,'2020'!$E:$E,Category!$B$278,'2020'!$N:$N,Category!M$1,'2020'!$D:$D,Category!$C281)</f>
        <v>0</v>
      </c>
      <c r="N281" s="234">
        <f>SUMIFS('2020'!$I:$I,'2020'!$E:$E,Category!$B$278,'2020'!$N:$N,Category!N$1,'2020'!$D:$D,Category!$C281)</f>
        <v>0</v>
      </c>
      <c r="O281" s="234">
        <f>SUMIFS('2020'!$I:$I,'2020'!$E:$E,Category!$B$278,'2020'!$N:$N,Category!O$1,'2020'!$D:$D,Category!$C281)</f>
        <v>0</v>
      </c>
      <c r="P281" s="234">
        <f>SUMIFS('2020'!$I:$I,'2020'!$E:$E,Category!$B$278,'2020'!$N:$N,Category!P$1,'2020'!$D:$D,Category!$C281)</f>
        <v>0</v>
      </c>
      <c r="Q281" s="234">
        <f>SUMIFS('2020'!$I:$I,'2020'!$E:$E,Category!$B$278,'2020'!$N:$N,Category!Q$1,'2020'!$D:$D,Category!$C281)</f>
        <v>0</v>
      </c>
      <c r="R281" s="234">
        <f>SUMIFS('2020'!$I:$I,'2020'!$E:$E,Category!$B$278,'2020'!$N:$N,Category!R$1,'2020'!$D:$D,Category!$C281)</f>
        <v>0</v>
      </c>
      <c r="S281" s="234">
        <f>SUMIFS('2020'!$I:$I,'2020'!$E:$E,Category!$B$278,'2020'!$N:$N,Category!S$1,'2020'!$D:$D,Category!$C281)</f>
        <v>0</v>
      </c>
      <c r="T281" s="234">
        <f>SUMIFS('2020'!$I:$I,'2020'!$E:$E,Category!$B$278,'2020'!$N:$N,Category!T$1,'2020'!$D:$D,Category!$C281)</f>
        <v>0</v>
      </c>
      <c r="U281" s="234">
        <f>SUMIFS('2020'!$I:$I,'2020'!$E:$E,Category!$B$278,'2020'!$N:$N,Category!U$1,'2020'!$D:$D,Category!$C281)</f>
        <v>0</v>
      </c>
      <c r="V281" s="234">
        <f>SUMIFS('2020'!$I:$I,'2020'!$E:$E,Category!$B$278,'2020'!$N:$N,Category!V$1,'2020'!$D:$D,Category!$C281)</f>
        <v>0</v>
      </c>
      <c r="W281" s="234">
        <f>SUMIFS('2020'!$I:$I,'2020'!$E:$E,Category!$B$278,'2020'!$N:$N,Category!W$1,'2020'!$D:$D,Category!$C281)</f>
        <v>0</v>
      </c>
      <c r="X281" s="234">
        <f t="shared" si="112"/>
        <v>0</v>
      </c>
      <c r="Y281" s="507">
        <f>IFERROR(VLOOKUP(C281,'2021'!$D:$G,4,0),0)</f>
        <v>0</v>
      </c>
      <c r="Z281" s="234">
        <f>SUMIFS('2021'!$I:$I,'2021'!$E:$E,Category!$B$278,'2021'!$N:$N,Category!Z$1,'2021'!$D:$D,Category!$C281)</f>
        <v>0</v>
      </c>
      <c r="AA281" s="234">
        <f>SUMIFS('2021'!$I:$I,'2021'!$E:$E,Category!$B$278,'2021'!$N:$N,Category!AA$1,'2021'!$D:$D,Category!$C281)</f>
        <v>0</v>
      </c>
      <c r="AB281" s="234">
        <f>SUMIFS('2021'!$I:$I,'2021'!$E:$E,Category!$B$278,'2021'!$N:$N,Category!AB$1,'2021'!$D:$D,Category!$C281)</f>
        <v>0</v>
      </c>
      <c r="AC281" s="234">
        <f>SUMIFS('2021'!$I:$I,'2021'!$E:$E,Category!$B$278,'2021'!$N:$N,Category!AC$1,'2021'!$D:$D,Category!$C281)</f>
        <v>0</v>
      </c>
      <c r="AD281" s="234">
        <f>SUMIFS('2021'!$I:$I,'2021'!$E:$E,Category!$B$278,'2021'!$N:$N,Category!AD$1,'2021'!$D:$D,Category!$C281)</f>
        <v>0</v>
      </c>
      <c r="AE281" s="234">
        <f>SUMIFS('2021'!$I:$I,'2021'!$E:$E,Category!$B$278,'2021'!$N:$N,Category!AE$1,'2021'!$D:$D,Category!$C281)</f>
        <v>0</v>
      </c>
      <c r="AF281" s="234">
        <f>SUMIFS('2021'!$I:$I,'2021'!$E:$E,Category!$B$278,'2021'!$N:$N,Category!AF$1,'2021'!$D:$D,Category!$C281)</f>
        <v>0</v>
      </c>
      <c r="AG281" s="234">
        <f>SUMIFS('2021'!$I:$I,'2021'!$E:$E,Category!$B$278,'2021'!$N:$N,Category!AG$1,'2021'!$D:$D,Category!$C281)</f>
        <v>0</v>
      </c>
      <c r="AH281" s="234">
        <f>SUMIFS('2021'!$I:$I,'2021'!$E:$E,Category!$B$278,'2021'!$N:$N,Category!AH$1,'2021'!$D:$D,Category!$C281)</f>
        <v>0</v>
      </c>
      <c r="AI281" s="234">
        <f>SUMIFS('2021'!$I:$I,'2021'!$E:$E,Category!$B$278,'2021'!$N:$N,Category!AI$1,'2021'!$D:$D,Category!$C281)</f>
        <v>0</v>
      </c>
      <c r="AJ281" s="234">
        <f>SUMIFS('2021'!$I:$I,'2021'!$E:$E,Category!$B$278,'2021'!$N:$N,Category!AJ$1,'2021'!$D:$D,Category!$C281)</f>
        <v>0</v>
      </c>
      <c r="AK281" s="234">
        <f>SUMIFS('2021'!$I:$I,'2021'!$E:$E,Category!$B$278,'2021'!$N:$N,Category!AK$1,'2021'!$D:$D,Category!$C281)</f>
        <v>0</v>
      </c>
      <c r="AL281" s="250">
        <f t="shared" si="113"/>
        <v>0</v>
      </c>
      <c r="AM281" s="507">
        <f>IFERROR(VLOOKUP(C281,'2022'!$D:$G,4,0),0)</f>
        <v>0</v>
      </c>
      <c r="AN281" s="234">
        <f>SUMIFS('2022'!$I:$I,'2022'!$E:$E,Category!$B$278,'2022'!$N:$N,Category!AN$1,'2022'!$D:$D,Category!$C281)</f>
        <v>0</v>
      </c>
      <c r="AO281" s="234">
        <f>SUMIFS('2022'!$I:$I,'2022'!$E:$E,Category!$B$278,'2022'!$N:$N,Category!AO$1,'2022'!$D:$D,Category!$C281)</f>
        <v>0</v>
      </c>
      <c r="AP281" s="234">
        <f>SUMIFS('2022'!$I:$I,'2022'!$E:$E,Category!$B$278,'2022'!$N:$N,Category!AP$1,'2022'!$D:$D,Category!$C281)</f>
        <v>0</v>
      </c>
      <c r="AQ281" s="234">
        <f>SUMIFS('2022'!$I:$I,'2022'!$E:$E,Category!$B$278,'2022'!$N:$N,Category!AQ$1,'2022'!$D:$D,Category!$C281)</f>
        <v>0</v>
      </c>
      <c r="AR281" s="234">
        <f>SUMIFS('2022'!$I:$I,'2022'!$E:$E,Category!$B$278,'2022'!$N:$N,Category!AR$1,'2022'!$D:$D,Category!$C281)</f>
        <v>3000000</v>
      </c>
      <c r="AS281" s="234">
        <f>SUMIFS('2022'!$I:$I,'2022'!$E:$E,Category!$B$278,'2022'!$N:$N,Category!AS$1,'2022'!$D:$D,Category!$C281)</f>
        <v>0</v>
      </c>
      <c r="AT281" s="234">
        <f>SUMIFS('2022'!$I:$I,'2022'!$E:$E,Category!$B$278,'2022'!$N:$N,Category!AT$1,'2022'!$D:$D,Category!$C281)</f>
        <v>0</v>
      </c>
      <c r="AU281" s="234">
        <f>SUMIFS('2022'!$I:$I,'2022'!$E:$E,Category!$B$278,'2022'!$N:$N,Category!AU$1,'2022'!$D:$D,Category!$C281)</f>
        <v>0</v>
      </c>
      <c r="AV281" s="234">
        <f>SUMIFS('2022'!$I:$I,'2022'!$E:$E,Category!$B$278,'2022'!$N:$N,Category!AV$1,'2022'!$D:$D,Category!$C281)</f>
        <v>0</v>
      </c>
      <c r="AW281" s="234">
        <f>SUMIFS('2022'!$I:$I,'2022'!$E:$E,Category!$B$278,'2022'!$N:$N,Category!AW$1,'2022'!$D:$D,Category!$C281)</f>
        <v>0</v>
      </c>
      <c r="AX281" s="234">
        <f>SUMIFS('2022'!$I:$I,'2022'!$E:$E,Category!$B$278,'2022'!$N:$N,Category!AX$1,'2022'!$D:$D,Category!$C281)</f>
        <v>0</v>
      </c>
      <c r="AY281" s="234">
        <f>SUMIFS('2022'!$I:$I,'2022'!$E:$E,Category!$B$278,'2022'!$N:$N,Category!AY$1,'2022'!$D:$D,Category!$C281)</f>
        <v>0</v>
      </c>
      <c r="AZ281" s="250">
        <f>SUM(AN281:AY281)</f>
        <v>3000000</v>
      </c>
      <c r="BA281" s="507">
        <f>IFERROR(VLOOKUP(C281,'2023'!$D:$G,4,0),0)</f>
        <v>0</v>
      </c>
      <c r="BB281" s="234">
        <f>SUMIFS('2023'!$I:$I,'2023'!$E:$E,Category!$B$278,'2023'!$N:$N,Category!BB$1,'2023'!$D:$D,Category!$C281)</f>
        <v>0</v>
      </c>
      <c r="BC281" s="234">
        <f>SUMIFS('2023'!$I:$I,'2023'!$E:$E,Category!$B$278,'2023'!$N:$N,Category!BC$1,'2023'!$D:$D,Category!$C281)</f>
        <v>0</v>
      </c>
      <c r="BD281" s="234">
        <f>SUMIFS('2023'!$I:$I,'2023'!$E:$E,Category!$B$278,'2023'!$N:$N,Category!BD$1,'2023'!$D:$D,Category!$C281)</f>
        <v>0</v>
      </c>
      <c r="BE281" s="234">
        <f>SUMIFS('2023'!$I:$I,'2023'!$E:$E,Category!$B$278,'2023'!$N:$N,Category!BE$1,'2023'!$D:$D,Category!$C281)</f>
        <v>0</v>
      </c>
      <c r="BF281" s="234">
        <f>SUMIFS('2023'!$I:$I,'2023'!$E:$E,Category!$B$278,'2023'!$N:$N,Category!BF$1,'2023'!$D:$D,Category!$C281)</f>
        <v>0</v>
      </c>
      <c r="BG281" s="234">
        <f>SUMIFS('2023'!$I:$I,'2023'!$E:$E,Category!$B$278,'2023'!$N:$N,Category!BG$1,'2023'!$D:$D,Category!$C281)</f>
        <v>0</v>
      </c>
      <c r="BH281" s="234">
        <f>SUMIFS('2023'!$I:$I,'2023'!$E:$E,Category!$B$278,'2023'!$N:$N,Category!BH$1,'2023'!$D:$D,Category!$C281)</f>
        <v>0</v>
      </c>
      <c r="BI281" s="234">
        <f>SUMIFS('2023'!$I:$I,'2023'!$E:$E,Category!$B$278,'2023'!$N:$N,Category!BI$1,'2023'!$D:$D,Category!$C281)</f>
        <v>0</v>
      </c>
      <c r="BJ281" s="234">
        <f>SUMIFS('2023'!$I:$I,'2023'!$E:$E,Category!$B$278,'2023'!$N:$N,Category!BJ$1,'2023'!$D:$D,Category!$C281)</f>
        <v>0</v>
      </c>
      <c r="BK281" s="234">
        <f>SUMIFS('2023'!$I:$I,'2023'!$E:$E,Category!$B$278,'2023'!$N:$N,Category!BK$1,'2023'!$D:$D,Category!$C281)</f>
        <v>0</v>
      </c>
      <c r="BL281" s="234">
        <f>SUMIFS('2023'!$I:$I,'2023'!$E:$E,Category!$B$278,'2023'!$N:$N,Category!BL$1,'2023'!$D:$D,Category!$C281)</f>
        <v>0</v>
      </c>
      <c r="BM281" s="234">
        <f>SUMIFS('2023'!$I:$I,'2023'!$E:$E,Category!$B$278,'2023'!$N:$N,Category!BM$1,'2023'!$D:$D,Category!$C281)</f>
        <v>0</v>
      </c>
      <c r="BN281" s="250">
        <f t="shared" si="114"/>
        <v>0</v>
      </c>
    </row>
    <row r="282" spans="1:66" x14ac:dyDescent="0.3">
      <c r="A282" s="351"/>
      <c r="B282" s="235"/>
      <c r="C282" s="235" t="s">
        <v>1059</v>
      </c>
      <c r="D282" s="527">
        <f>IFERROR(VLOOKUP($C282,'2019'!$D:$G,4,0),0)</f>
        <v>0</v>
      </c>
      <c r="E282" s="234">
        <f>SUMIFS('2019'!$I:$I,'2019'!$E:$E,Category!$B$278,'2019'!$N:$N,Category!E$1,'2019'!$D:$D,Category!$C282)</f>
        <v>0</v>
      </c>
      <c r="F282" s="234">
        <f>SUMIFS('2019'!$I:$I,'2019'!$E:$E,Category!$B$278,'2019'!$N:$N,Category!F$1,'2019'!$D:$D,Category!$C282)</f>
        <v>0</v>
      </c>
      <c r="G282" s="234">
        <f>SUMIFS('2019'!$I:$I,'2019'!$E:$E,Category!$B$278,'2019'!$N:$N,Category!G$1,'2019'!$D:$D,Category!$C282)</f>
        <v>21203450</v>
      </c>
      <c r="H282" s="234">
        <f>SUMIFS('2019'!$I:$I,'2019'!$E:$E,Category!$B$278,'2019'!$N:$N,Category!H$1,'2019'!$D:$D,Category!$C282)</f>
        <v>0</v>
      </c>
      <c r="I282" s="234">
        <f>SUMIFS('2019'!$I:$I,'2019'!$E:$E,Category!$B$278,'2019'!$N:$N,Category!I$1,'2019'!$D:$D,Category!$C282)</f>
        <v>0</v>
      </c>
      <c r="J282" s="234">
        <f t="shared" si="111"/>
        <v>21203450</v>
      </c>
      <c r="K282" s="507">
        <f>IFERROR(VLOOKUP($C282,'2020'!$D:$G,4,0),0)</f>
        <v>0</v>
      </c>
      <c r="L282" s="234">
        <f>SUMIFS('2020'!$I:$I,'2020'!$E:$E,Category!$B$278,'2020'!$N:$N,Category!L$1,'2020'!$D:$D,Category!$C282)</f>
        <v>17129259</v>
      </c>
      <c r="M282" s="234">
        <f>SUMIFS('2020'!$I:$I,'2020'!$E:$E,Category!$B$278,'2020'!$N:$N,Category!M$1,'2020'!$D:$D,Category!$C282)</f>
        <v>6721990</v>
      </c>
      <c r="N282" s="234">
        <f>SUMIFS('2020'!$I:$I,'2020'!$E:$E,Category!$B$278,'2020'!$N:$N,Category!N$1,'2020'!$D:$D,Category!$C282)</f>
        <v>0</v>
      </c>
      <c r="O282" s="234">
        <f>SUMIFS('2020'!$I:$I,'2020'!$E:$E,Category!$B$278,'2020'!$N:$N,Category!O$1,'2020'!$D:$D,Category!$C282)</f>
        <v>0</v>
      </c>
      <c r="P282" s="234">
        <f>SUMIFS('2020'!$I:$I,'2020'!$E:$E,Category!$B$278,'2020'!$N:$N,Category!P$1,'2020'!$D:$D,Category!$C282)</f>
        <v>0</v>
      </c>
      <c r="Q282" s="234">
        <f>SUMIFS('2020'!$I:$I,'2020'!$E:$E,Category!$B$278,'2020'!$N:$N,Category!Q$1,'2020'!$D:$D,Category!$C282)</f>
        <v>14453000</v>
      </c>
      <c r="R282" s="234">
        <f>SUMIFS('2020'!$I:$I,'2020'!$E:$E,Category!$B$278,'2020'!$N:$N,Category!R$1,'2020'!$D:$D,Category!$C282)</f>
        <v>0</v>
      </c>
      <c r="S282" s="234">
        <f>SUMIFS('2020'!$I:$I,'2020'!$E:$E,Category!$B$278,'2020'!$N:$N,Category!S$1,'2020'!$D:$D,Category!$C282)</f>
        <v>0</v>
      </c>
      <c r="T282" s="234">
        <f>SUMIFS('2020'!$I:$I,'2020'!$E:$E,Category!$B$278,'2020'!$N:$N,Category!T$1,'2020'!$D:$D,Category!$C282)</f>
        <v>0</v>
      </c>
      <c r="U282" s="234">
        <f>SUMIFS('2020'!$I:$I,'2020'!$E:$E,Category!$B$278,'2020'!$N:$N,Category!U$1,'2020'!$D:$D,Category!$C282)</f>
        <v>0</v>
      </c>
      <c r="V282" s="234">
        <f>SUMIFS('2020'!$I:$I,'2020'!$E:$E,Category!$B$278,'2020'!$N:$N,Category!V$1,'2020'!$D:$D,Category!$C282)</f>
        <v>14453000</v>
      </c>
      <c r="W282" s="234">
        <f>SUMIFS('2020'!$I:$I,'2020'!$E:$E,Category!$B$278,'2020'!$N:$N,Category!W$1,'2020'!$D:$D,Category!$C282)</f>
        <v>0</v>
      </c>
      <c r="X282" s="234">
        <f t="shared" si="112"/>
        <v>52757249</v>
      </c>
      <c r="Y282" s="507">
        <f>IFERROR(VLOOKUP(C282,'2021'!$D:$G,4,0),0)</f>
        <v>0</v>
      </c>
      <c r="Z282" s="234">
        <f>SUMIFS('2021'!$I:$I,'2021'!$E:$E,Category!$B$278,'2021'!$N:$N,Category!Z$1,'2021'!$D:$D,Category!$C282)</f>
        <v>0</v>
      </c>
      <c r="AA282" s="234">
        <f>SUMIFS('2021'!$I:$I,'2021'!$E:$E,Category!$B$278,'2021'!$N:$N,Category!AA$1,'2021'!$D:$D,Category!$C282)</f>
        <v>27732700</v>
      </c>
      <c r="AB282" s="234">
        <f>SUMIFS('2021'!$I:$I,'2021'!$E:$E,Category!$B$278,'2021'!$N:$N,Category!AB$1,'2021'!$D:$D,Category!$C282)</f>
        <v>4022400</v>
      </c>
      <c r="AC282" s="234">
        <f>SUMIFS('2021'!$I:$I,'2021'!$E:$E,Category!$B$278,'2021'!$N:$N,Category!AC$1,'2021'!$D:$D,Category!$C282)</f>
        <v>0</v>
      </c>
      <c r="AD282" s="234">
        <f>SUMIFS('2021'!$I:$I,'2021'!$E:$E,Category!$B$278,'2021'!$N:$N,Category!AD$1,'2021'!$D:$D,Category!$C282)</f>
        <v>5025300</v>
      </c>
      <c r="AE282" s="234">
        <f>SUMIFS('2021'!$I:$I,'2021'!$E:$E,Category!$B$278,'2021'!$N:$N,Category!AE$1,'2021'!$D:$D,Category!$C282)</f>
        <v>6018100</v>
      </c>
      <c r="AF282" s="234">
        <f>SUMIFS('2021'!$I:$I,'2021'!$E:$E,Category!$B$278,'2021'!$N:$N,Category!AF$1,'2021'!$D:$D,Category!$C282)</f>
        <v>0</v>
      </c>
      <c r="AG282" s="234">
        <f>SUMIFS('2021'!$I:$I,'2021'!$E:$E,Category!$B$278,'2021'!$N:$N,Category!AG$1,'2021'!$D:$D,Category!$C282)</f>
        <v>0</v>
      </c>
      <c r="AH282" s="234">
        <f>SUMIFS('2021'!$I:$I,'2021'!$E:$E,Category!$B$278,'2021'!$N:$N,Category!AH$1,'2021'!$D:$D,Category!$C282)</f>
        <v>7034700</v>
      </c>
      <c r="AI282" s="234">
        <f>SUMIFS('2021'!$I:$I,'2021'!$E:$E,Category!$B$278,'2021'!$N:$N,Category!AI$1,'2021'!$D:$D,Category!$C282)</f>
        <v>0</v>
      </c>
      <c r="AJ282" s="234">
        <f>SUMIFS('2021'!$I:$I,'2021'!$E:$E,Category!$B$278,'2021'!$N:$N,Category!AJ$1,'2021'!$D:$D,Category!$C282)</f>
        <v>0</v>
      </c>
      <c r="AK282" s="234">
        <f>SUMIFS('2021'!$I:$I,'2021'!$E:$E,Category!$B$278,'2021'!$N:$N,Category!AK$1,'2021'!$D:$D,Category!$C282)</f>
        <v>0</v>
      </c>
      <c r="AL282" s="250">
        <f t="shared" si="113"/>
        <v>49833200</v>
      </c>
      <c r="AM282" s="507">
        <f>IFERROR(VLOOKUP(C282,'2022'!$D:$G,4,0),0)</f>
        <v>0</v>
      </c>
      <c r="AN282" s="234">
        <f>SUMIFS('2022'!$I:$I,'2022'!$E:$E,Category!$B$278,'2022'!$N:$N,Category!AN$1,'2022'!$D:$D,Category!$C282)</f>
        <v>0</v>
      </c>
      <c r="AO282" s="234">
        <f>SUMIFS('2022'!$I:$I,'2022'!$E:$E,Category!$B$278,'2022'!$N:$N,Category!AO$1,'2022'!$D:$D,Category!$C282)</f>
        <v>0</v>
      </c>
      <c r="AP282" s="234">
        <f>SUMIFS('2022'!$I:$I,'2022'!$E:$E,Category!$B$278,'2022'!$N:$N,Category!AP$1,'2022'!$D:$D,Category!$C282)</f>
        <v>9080900</v>
      </c>
      <c r="AQ282" s="234">
        <f>SUMIFS('2022'!$I:$I,'2022'!$E:$E,Category!$B$278,'2022'!$N:$N,Category!AQ$1,'2022'!$D:$D,Category!$C282)</f>
        <v>0</v>
      </c>
      <c r="AR282" s="234">
        <f>SUMIFS('2022'!$I:$I,'2022'!$E:$E,Category!$B$278,'2022'!$N:$N,Category!AR$1,'2022'!$D:$D,Category!$C282)</f>
        <v>5017300</v>
      </c>
      <c r="AS282" s="234">
        <f>SUMIFS('2022'!$I:$I,'2022'!$E:$E,Category!$B$278,'2022'!$N:$N,Category!AS$1,'2022'!$D:$D,Category!$C282)</f>
        <v>3008700</v>
      </c>
      <c r="AT282" s="234">
        <f>SUMIFS('2022'!$I:$I,'2022'!$E:$E,Category!$B$278,'2022'!$N:$N,Category!AT$1,'2022'!$D:$D,Category!$C282)</f>
        <v>0</v>
      </c>
      <c r="AU282" s="234">
        <f>SUMIFS('2022'!$I:$I,'2022'!$E:$E,Category!$B$278,'2022'!$N:$N,Category!AU$1,'2022'!$D:$D,Category!$C282)</f>
        <v>9426600</v>
      </c>
      <c r="AV282" s="234">
        <f>SUMIFS('2022'!$I:$I,'2022'!$E:$E,Category!$B$278,'2022'!$N:$N,Category!AV$1,'2022'!$D:$D,Category!$C282)</f>
        <v>0</v>
      </c>
      <c r="AW282" s="234">
        <f>SUMIFS('2022'!$I:$I,'2022'!$E:$E,Category!$B$278,'2022'!$N:$N,Category!AW$1,'2022'!$D:$D,Category!$C282)</f>
        <v>0</v>
      </c>
      <c r="AX282" s="234">
        <f>SUMIFS('2022'!$I:$I,'2022'!$E:$E,Category!$B$278,'2022'!$N:$N,Category!AX$1,'2022'!$D:$D,Category!$C282)</f>
        <v>0</v>
      </c>
      <c r="AY282" s="234">
        <f>SUMIFS('2022'!$I:$I,'2022'!$E:$E,Category!$B$278,'2022'!$N:$N,Category!AY$1,'2022'!$D:$D,Category!$C282)</f>
        <v>0</v>
      </c>
      <c r="AZ282" s="250">
        <f>SUM(AN282:AY282)</f>
        <v>26533500</v>
      </c>
      <c r="BA282" s="507">
        <f>IFERROR(VLOOKUP(C282,'2023'!$D:$G,4,0),0)</f>
        <v>0</v>
      </c>
      <c r="BB282" s="234">
        <f>SUMIFS('2023'!$I:$I,'2023'!$E:$E,Category!$B$278,'2023'!$N:$N,Category!BB$1,'2023'!$D:$D,Category!$C282)</f>
        <v>0</v>
      </c>
      <c r="BC282" s="234">
        <f>SUMIFS('2023'!$I:$I,'2023'!$E:$E,Category!$B$278,'2023'!$N:$N,Category!BC$1,'2023'!$D:$D,Category!$C282)</f>
        <v>0</v>
      </c>
      <c r="BD282" s="234">
        <f>SUMIFS('2023'!$I:$I,'2023'!$E:$E,Category!$B$278,'2023'!$N:$N,Category!BD$1,'2023'!$D:$D,Category!$C282)</f>
        <v>0</v>
      </c>
      <c r="BE282" s="234">
        <f>SUMIFS('2023'!$I:$I,'2023'!$E:$E,Category!$B$278,'2023'!$N:$N,Category!BE$1,'2023'!$D:$D,Category!$C282)</f>
        <v>0</v>
      </c>
      <c r="BF282" s="234">
        <f>SUMIFS('2023'!$I:$I,'2023'!$E:$E,Category!$B$278,'2023'!$N:$N,Category!BF$1,'2023'!$D:$D,Category!$C282)</f>
        <v>0</v>
      </c>
      <c r="BG282" s="234">
        <f>SUMIFS('2023'!$I:$I,'2023'!$E:$E,Category!$B$278,'2023'!$N:$N,Category!BG$1,'2023'!$D:$D,Category!$C282)</f>
        <v>0</v>
      </c>
      <c r="BH282" s="234">
        <f>SUMIFS('2023'!$I:$I,'2023'!$E:$E,Category!$B$278,'2023'!$N:$N,Category!BH$1,'2023'!$D:$D,Category!$C282)</f>
        <v>0</v>
      </c>
      <c r="BI282" s="234">
        <f>SUMIFS('2023'!$I:$I,'2023'!$E:$E,Category!$B$278,'2023'!$N:$N,Category!BI$1,'2023'!$D:$D,Category!$C282)</f>
        <v>0</v>
      </c>
      <c r="BJ282" s="234">
        <f>SUMIFS('2023'!$I:$I,'2023'!$E:$E,Category!$B$278,'2023'!$N:$N,Category!BJ$1,'2023'!$D:$D,Category!$C282)</f>
        <v>0</v>
      </c>
      <c r="BK282" s="234">
        <f>SUMIFS('2023'!$I:$I,'2023'!$E:$E,Category!$B$278,'2023'!$N:$N,Category!BK$1,'2023'!$D:$D,Category!$C282)</f>
        <v>0</v>
      </c>
      <c r="BL282" s="234">
        <f>SUMIFS('2023'!$I:$I,'2023'!$E:$E,Category!$B$278,'2023'!$N:$N,Category!BL$1,'2023'!$D:$D,Category!$C282)</f>
        <v>0</v>
      </c>
      <c r="BM282" s="234">
        <f>SUMIFS('2023'!$I:$I,'2023'!$E:$E,Category!$B$278,'2023'!$N:$N,Category!BM$1,'2023'!$D:$D,Category!$C282)</f>
        <v>0</v>
      </c>
      <c r="BN282" s="250">
        <f t="shared" si="114"/>
        <v>0</v>
      </c>
    </row>
    <row r="283" spans="1:66" x14ac:dyDescent="0.3">
      <c r="A283" s="351"/>
      <c r="B283" s="235"/>
      <c r="C283" s="235" t="s">
        <v>1326</v>
      </c>
      <c r="D283" s="527">
        <f>IFERROR(VLOOKUP($C283,'2019'!$D:$G,4,0),0)</f>
        <v>0</v>
      </c>
      <c r="E283" s="234">
        <f>SUMIFS('2019'!$I:$I,'2019'!$E:$E,Category!$B$278,'2019'!$N:$N,Category!E$1,'2019'!$D:$D,Category!$C283)</f>
        <v>0</v>
      </c>
      <c r="F283" s="234">
        <f>SUMIFS('2019'!$I:$I,'2019'!$E:$E,Category!$B$278,'2019'!$N:$N,Category!F$1,'2019'!$D:$D,Category!$C283)</f>
        <v>0</v>
      </c>
      <c r="G283" s="234">
        <f>SUMIFS('2019'!$I:$I,'2019'!$E:$E,Category!$B$278,'2019'!$N:$N,Category!G$1,'2019'!$D:$D,Category!$C283)</f>
        <v>70770000</v>
      </c>
      <c r="H283" s="234">
        <f>SUMIFS('2019'!$I:$I,'2019'!$E:$E,Category!$B$278,'2019'!$N:$N,Category!H$1,'2019'!$D:$D,Category!$C283)</f>
        <v>0</v>
      </c>
      <c r="I283" s="234">
        <f>SUMIFS('2019'!$I:$I,'2019'!$E:$E,Category!$B$278,'2019'!$N:$N,Category!I$1,'2019'!$D:$D,Category!$C283)</f>
        <v>0</v>
      </c>
      <c r="J283" s="234">
        <f t="shared" si="111"/>
        <v>70770000</v>
      </c>
      <c r="K283" s="507">
        <f>IFERROR(VLOOKUP($C283,'2020'!$D:$G,4,0),0)</f>
        <v>0</v>
      </c>
      <c r="L283" s="234">
        <f>SUMIFS('2020'!$I:$I,'2020'!$E:$E,Category!$B$278,'2020'!$N:$N,Category!L$1,'2020'!$D:$D,Category!$C283)</f>
        <v>0</v>
      </c>
      <c r="M283" s="234">
        <f>SUMIFS('2020'!$I:$I,'2020'!$E:$E,Category!$B$278,'2020'!$N:$N,Category!M$1,'2020'!$D:$D,Category!$C283)</f>
        <v>0</v>
      </c>
      <c r="N283" s="234">
        <f>SUMIFS('2020'!$I:$I,'2020'!$E:$E,Category!$B$278,'2020'!$N:$N,Category!N$1,'2020'!$D:$D,Category!$C283)</f>
        <v>0</v>
      </c>
      <c r="O283" s="234">
        <f>SUMIFS('2020'!$I:$I,'2020'!$E:$E,Category!$B$278,'2020'!$N:$N,Category!O$1,'2020'!$D:$D,Category!$C283)</f>
        <v>0</v>
      </c>
      <c r="P283" s="234">
        <f>SUMIFS('2020'!$I:$I,'2020'!$E:$E,Category!$B$278,'2020'!$N:$N,Category!P$1,'2020'!$D:$D,Category!$C283)</f>
        <v>0</v>
      </c>
      <c r="Q283" s="234">
        <f>SUMIFS('2020'!$I:$I,'2020'!$E:$E,Category!$B$278,'2020'!$N:$N,Category!Q$1,'2020'!$D:$D,Category!$C283)</f>
        <v>0</v>
      </c>
      <c r="R283" s="234">
        <f>SUMIFS('2020'!$I:$I,'2020'!$E:$E,Category!$B$278,'2020'!$N:$N,Category!R$1,'2020'!$D:$D,Category!$C283)</f>
        <v>0</v>
      </c>
      <c r="S283" s="234">
        <f>SUMIFS('2020'!$I:$I,'2020'!$E:$E,Category!$B$278,'2020'!$N:$N,Category!S$1,'2020'!$D:$D,Category!$C283)</f>
        <v>0</v>
      </c>
      <c r="T283" s="234">
        <f>SUMIFS('2020'!$I:$I,'2020'!$E:$E,Category!$B$278,'2020'!$N:$N,Category!T$1,'2020'!$D:$D,Category!$C283)</f>
        <v>0</v>
      </c>
      <c r="U283" s="234">
        <f>SUMIFS('2020'!$I:$I,'2020'!$E:$E,Category!$B$278,'2020'!$N:$N,Category!U$1,'2020'!$D:$D,Category!$C283)</f>
        <v>0</v>
      </c>
      <c r="V283" s="234">
        <f>SUMIFS('2020'!$I:$I,'2020'!$E:$E,Category!$B$278,'2020'!$N:$N,Category!V$1,'2020'!$D:$D,Category!$C283)</f>
        <v>0</v>
      </c>
      <c r="W283" s="234">
        <f>SUMIFS('2020'!$I:$I,'2020'!$E:$E,Category!$B$278,'2020'!$N:$N,Category!W$1,'2020'!$D:$D,Category!$C283)</f>
        <v>0</v>
      </c>
      <c r="X283" s="234">
        <f t="shared" si="112"/>
        <v>0</v>
      </c>
      <c r="Y283" s="507">
        <f>IFERROR(VLOOKUP(C283,'2021'!$D:$G,4,0),0)</f>
        <v>0</v>
      </c>
      <c r="Z283" s="234">
        <f>SUMIFS('2021'!$I:$I,'2021'!$E:$E,Category!$B$278,'2021'!$N:$N,Category!Z$1,'2021'!$D:$D,Category!$C283)</f>
        <v>0</v>
      </c>
      <c r="AA283" s="234">
        <f>SUMIFS('2021'!$I:$I,'2021'!$E:$E,Category!$B$278,'2021'!$N:$N,Category!AA$1,'2021'!$D:$D,Category!$C283)</f>
        <v>0</v>
      </c>
      <c r="AB283" s="234">
        <f>SUMIFS('2021'!$I:$I,'2021'!$E:$E,Category!$B$278,'2021'!$N:$N,Category!AB$1,'2021'!$D:$D,Category!$C283)</f>
        <v>0</v>
      </c>
      <c r="AC283" s="234">
        <f>SUMIFS('2021'!$I:$I,'2021'!$E:$E,Category!$B$278,'2021'!$N:$N,Category!AC$1,'2021'!$D:$D,Category!$C283)</f>
        <v>0</v>
      </c>
      <c r="AD283" s="234">
        <f>SUMIFS('2021'!$I:$I,'2021'!$E:$E,Category!$B$278,'2021'!$N:$N,Category!AD$1,'2021'!$D:$D,Category!$C283)</f>
        <v>0</v>
      </c>
      <c r="AE283" s="234">
        <f>SUMIFS('2021'!$I:$I,'2021'!$E:$E,Category!$B$278,'2021'!$N:$N,Category!AE$1,'2021'!$D:$D,Category!$C283)</f>
        <v>0</v>
      </c>
      <c r="AF283" s="234">
        <f>SUMIFS('2021'!$I:$I,'2021'!$E:$E,Category!$B$278,'2021'!$N:$N,Category!AF$1,'2021'!$D:$D,Category!$C283)</f>
        <v>0</v>
      </c>
      <c r="AG283" s="234">
        <f>SUMIFS('2021'!$I:$I,'2021'!$E:$E,Category!$B$278,'2021'!$N:$N,Category!AG$1,'2021'!$D:$D,Category!$C283)</f>
        <v>0</v>
      </c>
      <c r="AH283" s="234">
        <f>SUMIFS('2021'!$I:$I,'2021'!$E:$E,Category!$B$278,'2021'!$N:$N,Category!AH$1,'2021'!$D:$D,Category!$C283)</f>
        <v>0</v>
      </c>
      <c r="AI283" s="234">
        <f>SUMIFS('2021'!$I:$I,'2021'!$E:$E,Category!$B$278,'2021'!$N:$N,Category!AI$1,'2021'!$D:$D,Category!$C283)</f>
        <v>0</v>
      </c>
      <c r="AJ283" s="234">
        <f>SUMIFS('2021'!$I:$I,'2021'!$E:$E,Category!$B$278,'2021'!$N:$N,Category!AJ$1,'2021'!$D:$D,Category!$C283)</f>
        <v>0</v>
      </c>
      <c r="AK283" s="234">
        <f>SUMIFS('2021'!$I:$I,'2021'!$E:$E,Category!$B$278,'2021'!$N:$N,Category!AK$1,'2021'!$D:$D,Category!$C283)</f>
        <v>0</v>
      </c>
      <c r="AL283" s="250">
        <f t="shared" si="113"/>
        <v>0</v>
      </c>
      <c r="AM283" s="507">
        <f>IFERROR(VLOOKUP(C283,'2022'!$D:$G,4,0),0)</f>
        <v>0</v>
      </c>
      <c r="AN283" s="234">
        <f>SUMIFS('2022'!$I:$I,'2022'!$E:$E,Category!$B$278,'2022'!$N:$N,Category!AN$1,'2022'!$D:$D,Category!$C283)</f>
        <v>0</v>
      </c>
      <c r="AO283" s="234">
        <f>SUMIFS('2022'!$I:$I,'2022'!$E:$E,Category!$B$278,'2022'!$N:$N,Category!AO$1,'2022'!$D:$D,Category!$C283)</f>
        <v>0</v>
      </c>
      <c r="AP283" s="234">
        <f>SUMIFS('2022'!$I:$I,'2022'!$E:$E,Category!$B$278,'2022'!$N:$N,Category!AP$1,'2022'!$D:$D,Category!$C283)</f>
        <v>0</v>
      </c>
      <c r="AQ283" s="234">
        <f>SUMIFS('2022'!$I:$I,'2022'!$E:$E,Category!$B$278,'2022'!$N:$N,Category!AQ$1,'2022'!$D:$D,Category!$C283)</f>
        <v>0</v>
      </c>
      <c r="AR283" s="234">
        <f>SUMIFS('2022'!$I:$I,'2022'!$E:$E,Category!$B$278,'2022'!$N:$N,Category!AR$1,'2022'!$D:$D,Category!$C283)</f>
        <v>0</v>
      </c>
      <c r="AS283" s="234">
        <f>SUMIFS('2022'!$I:$I,'2022'!$E:$E,Category!$B$278,'2022'!$N:$N,Category!AS$1,'2022'!$D:$D,Category!$C283)</f>
        <v>0</v>
      </c>
      <c r="AT283" s="234">
        <f>SUMIFS('2022'!$I:$I,'2022'!$E:$E,Category!$B$278,'2022'!$N:$N,Category!AT$1,'2022'!$D:$D,Category!$C283)</f>
        <v>0</v>
      </c>
      <c r="AU283" s="234">
        <f>SUMIFS('2022'!$I:$I,'2022'!$E:$E,Category!$B$278,'2022'!$N:$N,Category!AU$1,'2022'!$D:$D,Category!$C283)</f>
        <v>0</v>
      </c>
      <c r="AV283" s="234">
        <f>SUMIFS('2022'!$I:$I,'2022'!$E:$E,Category!$B$278,'2022'!$N:$N,Category!AV$1,'2022'!$D:$D,Category!$C283)</f>
        <v>0</v>
      </c>
      <c r="AW283" s="234">
        <f>SUMIFS('2022'!$I:$I,'2022'!$E:$E,Category!$B$278,'2022'!$N:$N,Category!AW$1,'2022'!$D:$D,Category!$C283)</f>
        <v>0</v>
      </c>
      <c r="AX283" s="234">
        <f>SUMIFS('2022'!$I:$I,'2022'!$E:$E,Category!$B$278,'2022'!$N:$N,Category!AX$1,'2022'!$D:$D,Category!$C283)</f>
        <v>0</v>
      </c>
      <c r="AY283" s="234">
        <f>SUMIFS('2022'!$I:$I,'2022'!$E:$E,Category!$B$278,'2022'!$N:$N,Category!AY$1,'2022'!$D:$D,Category!$C283)</f>
        <v>0</v>
      </c>
      <c r="AZ283" s="250">
        <f t="shared" ref="AZ283:AZ288" si="115">SUM(AN283:AY283)</f>
        <v>0</v>
      </c>
      <c r="BA283" s="507">
        <f>IFERROR(VLOOKUP(C283,'2023'!$D:$G,4,0),0)</f>
        <v>0</v>
      </c>
      <c r="BB283" s="234">
        <f>SUMIFS('2023'!$I:$I,'2023'!$E:$E,Category!$B$278,'2023'!$N:$N,Category!BB$1,'2023'!$D:$D,Category!$C283)</f>
        <v>0</v>
      </c>
      <c r="BC283" s="234">
        <f>SUMIFS('2023'!$I:$I,'2023'!$E:$E,Category!$B$278,'2023'!$N:$N,Category!BC$1,'2023'!$D:$D,Category!$C283)</f>
        <v>0</v>
      </c>
      <c r="BD283" s="234">
        <f>SUMIFS('2023'!$I:$I,'2023'!$E:$E,Category!$B$278,'2023'!$N:$N,Category!BD$1,'2023'!$D:$D,Category!$C283)</f>
        <v>0</v>
      </c>
      <c r="BE283" s="234">
        <f>SUMIFS('2023'!$I:$I,'2023'!$E:$E,Category!$B$278,'2023'!$N:$N,Category!BE$1,'2023'!$D:$D,Category!$C283)</f>
        <v>0</v>
      </c>
      <c r="BF283" s="234">
        <f>SUMIFS('2023'!$I:$I,'2023'!$E:$E,Category!$B$278,'2023'!$N:$N,Category!BF$1,'2023'!$D:$D,Category!$C283)</f>
        <v>0</v>
      </c>
      <c r="BG283" s="234">
        <f>SUMIFS('2023'!$I:$I,'2023'!$E:$E,Category!$B$278,'2023'!$N:$N,Category!BG$1,'2023'!$D:$D,Category!$C283)</f>
        <v>0</v>
      </c>
      <c r="BH283" s="234">
        <f>SUMIFS('2023'!$I:$I,'2023'!$E:$E,Category!$B$278,'2023'!$N:$N,Category!BH$1,'2023'!$D:$D,Category!$C283)</f>
        <v>0</v>
      </c>
      <c r="BI283" s="234">
        <f>SUMIFS('2023'!$I:$I,'2023'!$E:$E,Category!$B$278,'2023'!$N:$N,Category!BI$1,'2023'!$D:$D,Category!$C283)</f>
        <v>0</v>
      </c>
      <c r="BJ283" s="234">
        <f>SUMIFS('2023'!$I:$I,'2023'!$E:$E,Category!$B$278,'2023'!$N:$N,Category!BJ$1,'2023'!$D:$D,Category!$C283)</f>
        <v>0</v>
      </c>
      <c r="BK283" s="234">
        <f>SUMIFS('2023'!$I:$I,'2023'!$E:$E,Category!$B$278,'2023'!$N:$N,Category!BK$1,'2023'!$D:$D,Category!$C283)</f>
        <v>0</v>
      </c>
      <c r="BL283" s="234">
        <f>SUMIFS('2023'!$I:$I,'2023'!$E:$E,Category!$B$278,'2023'!$N:$N,Category!BL$1,'2023'!$D:$D,Category!$C283)</f>
        <v>0</v>
      </c>
      <c r="BM283" s="234">
        <f>SUMIFS('2023'!$I:$I,'2023'!$E:$E,Category!$B$278,'2023'!$N:$N,Category!BM$1,'2023'!$D:$D,Category!$C283)</f>
        <v>0</v>
      </c>
      <c r="BN283" s="250">
        <f t="shared" si="114"/>
        <v>0</v>
      </c>
    </row>
    <row r="284" spans="1:66" x14ac:dyDescent="0.3">
      <c r="A284" s="351"/>
      <c r="B284" s="235"/>
      <c r="C284" s="235" t="s">
        <v>1340</v>
      </c>
      <c r="D284" s="527">
        <f>IFERROR(VLOOKUP($C284,'2019'!$D:$G,4,0),0)</f>
        <v>0</v>
      </c>
      <c r="E284" s="234">
        <f>SUMIFS('2019'!$I:$I,'2019'!$E:$E,Category!$B$278,'2019'!$N:$N,Category!E$1,'2019'!$D:$D,Category!$C284)</f>
        <v>0</v>
      </c>
      <c r="F284" s="234">
        <f>SUMIFS('2019'!$I:$I,'2019'!$E:$E,Category!$B$278,'2019'!$N:$N,Category!F$1,'2019'!$D:$D,Category!$C284)</f>
        <v>0</v>
      </c>
      <c r="G284" s="234">
        <f>SUMIFS('2019'!$I:$I,'2019'!$E:$E,Category!$B$278,'2019'!$N:$N,Category!G$1,'2019'!$D:$D,Category!$C284)</f>
        <v>0</v>
      </c>
      <c r="H284" s="234">
        <f>SUMIFS('2019'!$I:$I,'2019'!$E:$E,Category!$B$278,'2019'!$N:$N,Category!H$1,'2019'!$D:$D,Category!$C284)</f>
        <v>0</v>
      </c>
      <c r="I284" s="234">
        <f>SUMIFS('2019'!$I:$I,'2019'!$E:$E,Category!$B$278,'2019'!$N:$N,Category!I$1,'2019'!$D:$D,Category!$C284)</f>
        <v>20000000</v>
      </c>
      <c r="J284" s="234">
        <f t="shared" si="111"/>
        <v>20000000</v>
      </c>
      <c r="K284" s="507">
        <f>IFERROR(VLOOKUP($C284,'2020'!$D:$G,4,0),0)</f>
        <v>0</v>
      </c>
      <c r="L284" s="234">
        <f>SUMIFS('2020'!$I:$I,'2020'!$E:$E,Category!$B$278,'2020'!$N:$N,Category!L$1,'2020'!$D:$D,Category!$C284)</f>
        <v>0</v>
      </c>
      <c r="M284" s="234">
        <f>SUMIFS('2020'!$I:$I,'2020'!$E:$E,Category!$B$278,'2020'!$N:$N,Category!M$1,'2020'!$D:$D,Category!$C284)</f>
        <v>0</v>
      </c>
      <c r="N284" s="234">
        <f>SUMIFS('2020'!$I:$I,'2020'!$E:$E,Category!$B$278,'2020'!$N:$N,Category!N$1,'2020'!$D:$D,Category!$C284)</f>
        <v>0</v>
      </c>
      <c r="O284" s="234">
        <f>SUMIFS('2020'!$I:$I,'2020'!$E:$E,Category!$B$278,'2020'!$N:$N,Category!O$1,'2020'!$D:$D,Category!$C284)</f>
        <v>0</v>
      </c>
      <c r="P284" s="234">
        <f>SUMIFS('2020'!$I:$I,'2020'!$E:$E,Category!$B$278,'2020'!$N:$N,Category!P$1,'2020'!$D:$D,Category!$C284)</f>
        <v>0</v>
      </c>
      <c r="Q284" s="234">
        <f>SUMIFS('2020'!$I:$I,'2020'!$E:$E,Category!$B$278,'2020'!$N:$N,Category!Q$1,'2020'!$D:$D,Category!$C284)</f>
        <v>0</v>
      </c>
      <c r="R284" s="234">
        <f>SUMIFS('2020'!$I:$I,'2020'!$E:$E,Category!$B$278,'2020'!$N:$N,Category!R$1,'2020'!$D:$D,Category!$C284)</f>
        <v>0</v>
      </c>
      <c r="S284" s="234">
        <f>SUMIFS('2020'!$I:$I,'2020'!$E:$E,Category!$B$278,'2020'!$N:$N,Category!S$1,'2020'!$D:$D,Category!$C284)</f>
        <v>0</v>
      </c>
      <c r="T284" s="234">
        <f>SUMIFS('2020'!$I:$I,'2020'!$E:$E,Category!$B$278,'2020'!$N:$N,Category!T$1,'2020'!$D:$D,Category!$C284)</f>
        <v>0</v>
      </c>
      <c r="U284" s="234">
        <f>SUMIFS('2020'!$I:$I,'2020'!$E:$E,Category!$B$278,'2020'!$N:$N,Category!U$1,'2020'!$D:$D,Category!$C284)</f>
        <v>0</v>
      </c>
      <c r="V284" s="234">
        <f>SUMIFS('2020'!$I:$I,'2020'!$E:$E,Category!$B$278,'2020'!$N:$N,Category!V$1,'2020'!$D:$D,Category!$C284)</f>
        <v>0</v>
      </c>
      <c r="W284" s="234">
        <f>SUMIFS('2020'!$I:$I,'2020'!$E:$E,Category!$B$278,'2020'!$N:$N,Category!W$1,'2020'!$D:$D,Category!$C284)</f>
        <v>0</v>
      </c>
      <c r="X284" s="234">
        <f t="shared" si="112"/>
        <v>0</v>
      </c>
      <c r="Y284" s="507">
        <f>IFERROR(VLOOKUP(C284,'2021'!$D:$G,4,0),0)</f>
        <v>0</v>
      </c>
      <c r="Z284" s="234">
        <f>SUMIFS('2021'!$I:$I,'2021'!$E:$E,Category!$B$278,'2021'!$N:$N,Category!Z$1,'2021'!$D:$D,Category!$C284)</f>
        <v>0</v>
      </c>
      <c r="AA284" s="234">
        <f>SUMIFS('2021'!$I:$I,'2021'!$E:$E,Category!$B$278,'2021'!$N:$N,Category!AA$1,'2021'!$D:$D,Category!$C284)</f>
        <v>0</v>
      </c>
      <c r="AB284" s="234">
        <f>SUMIFS('2021'!$I:$I,'2021'!$E:$E,Category!$B$278,'2021'!$N:$N,Category!AB$1,'2021'!$D:$D,Category!$C284)</f>
        <v>0</v>
      </c>
      <c r="AC284" s="234">
        <f>SUMIFS('2021'!$I:$I,'2021'!$E:$E,Category!$B$278,'2021'!$N:$N,Category!AC$1,'2021'!$D:$D,Category!$C284)</f>
        <v>0</v>
      </c>
      <c r="AD284" s="234">
        <f>SUMIFS('2021'!$I:$I,'2021'!$E:$E,Category!$B$278,'2021'!$N:$N,Category!AD$1,'2021'!$D:$D,Category!$C284)</f>
        <v>0</v>
      </c>
      <c r="AE284" s="234">
        <f>SUMIFS('2021'!$I:$I,'2021'!$E:$E,Category!$B$278,'2021'!$N:$N,Category!AE$1,'2021'!$D:$D,Category!$C284)</f>
        <v>0</v>
      </c>
      <c r="AF284" s="234">
        <f>SUMIFS('2021'!$I:$I,'2021'!$E:$E,Category!$B$278,'2021'!$N:$N,Category!AF$1,'2021'!$D:$D,Category!$C284)</f>
        <v>0</v>
      </c>
      <c r="AG284" s="234">
        <f>SUMIFS('2021'!$I:$I,'2021'!$E:$E,Category!$B$278,'2021'!$N:$N,Category!AG$1,'2021'!$D:$D,Category!$C284)</f>
        <v>0</v>
      </c>
      <c r="AH284" s="234">
        <f>SUMIFS('2021'!$I:$I,'2021'!$E:$E,Category!$B$278,'2021'!$N:$N,Category!AH$1,'2021'!$D:$D,Category!$C284)</f>
        <v>0</v>
      </c>
      <c r="AI284" s="234">
        <f>SUMIFS('2021'!$I:$I,'2021'!$E:$E,Category!$B$278,'2021'!$N:$N,Category!AI$1,'2021'!$D:$D,Category!$C284)</f>
        <v>0</v>
      </c>
      <c r="AJ284" s="234">
        <f>SUMIFS('2021'!$I:$I,'2021'!$E:$E,Category!$B$278,'2021'!$N:$N,Category!AJ$1,'2021'!$D:$D,Category!$C284)</f>
        <v>0</v>
      </c>
      <c r="AK284" s="234">
        <f>SUMIFS('2021'!$I:$I,'2021'!$E:$E,Category!$B$278,'2021'!$N:$N,Category!AK$1,'2021'!$D:$D,Category!$C284)</f>
        <v>0</v>
      </c>
      <c r="AL284" s="250">
        <f t="shared" si="113"/>
        <v>0</v>
      </c>
      <c r="AM284" s="507">
        <f>IFERROR(VLOOKUP(C284,'2022'!$D:$G,4,0),0)</f>
        <v>0</v>
      </c>
      <c r="AN284" s="234">
        <f>SUMIFS('2022'!$I:$I,'2022'!$E:$E,Category!$B$278,'2022'!$N:$N,Category!AN$1,'2022'!$D:$D,Category!$C284)</f>
        <v>0</v>
      </c>
      <c r="AO284" s="234">
        <f>SUMIFS('2022'!$I:$I,'2022'!$E:$E,Category!$B$278,'2022'!$N:$N,Category!AO$1,'2022'!$D:$D,Category!$C284)</f>
        <v>0</v>
      </c>
      <c r="AP284" s="234">
        <f>SUMIFS('2022'!$I:$I,'2022'!$E:$E,Category!$B$278,'2022'!$N:$N,Category!AP$1,'2022'!$D:$D,Category!$C284)</f>
        <v>0</v>
      </c>
      <c r="AQ284" s="234">
        <f>SUMIFS('2022'!$I:$I,'2022'!$E:$E,Category!$B$278,'2022'!$N:$N,Category!AQ$1,'2022'!$D:$D,Category!$C284)</f>
        <v>0</v>
      </c>
      <c r="AR284" s="234">
        <f>SUMIFS('2022'!$I:$I,'2022'!$E:$E,Category!$B$278,'2022'!$N:$N,Category!AR$1,'2022'!$D:$D,Category!$C284)</f>
        <v>0</v>
      </c>
      <c r="AS284" s="234">
        <f>SUMIFS('2022'!$I:$I,'2022'!$E:$E,Category!$B$278,'2022'!$N:$N,Category!AS$1,'2022'!$D:$D,Category!$C284)</f>
        <v>0</v>
      </c>
      <c r="AT284" s="234">
        <f>SUMIFS('2022'!$I:$I,'2022'!$E:$E,Category!$B$278,'2022'!$N:$N,Category!AT$1,'2022'!$D:$D,Category!$C284)</f>
        <v>0</v>
      </c>
      <c r="AU284" s="234">
        <f>SUMIFS('2022'!$I:$I,'2022'!$E:$E,Category!$B$278,'2022'!$N:$N,Category!AU$1,'2022'!$D:$D,Category!$C284)</f>
        <v>0</v>
      </c>
      <c r="AV284" s="234">
        <f>SUMIFS('2022'!$I:$I,'2022'!$E:$E,Category!$B$278,'2022'!$N:$N,Category!AV$1,'2022'!$D:$D,Category!$C284)</f>
        <v>0</v>
      </c>
      <c r="AW284" s="234">
        <f>SUMIFS('2022'!$I:$I,'2022'!$E:$E,Category!$B$278,'2022'!$N:$N,Category!AW$1,'2022'!$D:$D,Category!$C284)</f>
        <v>0</v>
      </c>
      <c r="AX284" s="234">
        <f>SUMIFS('2022'!$I:$I,'2022'!$E:$E,Category!$B$278,'2022'!$N:$N,Category!AX$1,'2022'!$D:$D,Category!$C284)</f>
        <v>0</v>
      </c>
      <c r="AY284" s="234">
        <f>SUMIFS('2022'!$I:$I,'2022'!$E:$E,Category!$B$278,'2022'!$N:$N,Category!AY$1,'2022'!$D:$D,Category!$C284)</f>
        <v>0</v>
      </c>
      <c r="AZ284" s="250">
        <f t="shared" si="115"/>
        <v>0</v>
      </c>
      <c r="BA284" s="507">
        <f>IFERROR(VLOOKUP(C284,'2023'!$D:$G,4,0),0)</f>
        <v>0</v>
      </c>
      <c r="BB284" s="234">
        <f>SUMIFS('2023'!$I:$I,'2023'!$E:$E,Category!$B$278,'2023'!$N:$N,Category!BB$1,'2023'!$D:$D,Category!$C284)</f>
        <v>0</v>
      </c>
      <c r="BC284" s="234">
        <f>SUMIFS('2023'!$I:$I,'2023'!$E:$E,Category!$B$278,'2023'!$N:$N,Category!BC$1,'2023'!$D:$D,Category!$C284)</f>
        <v>0</v>
      </c>
      <c r="BD284" s="234">
        <f>SUMIFS('2023'!$I:$I,'2023'!$E:$E,Category!$B$278,'2023'!$N:$N,Category!BD$1,'2023'!$D:$D,Category!$C284)</f>
        <v>0</v>
      </c>
      <c r="BE284" s="234">
        <f>SUMIFS('2023'!$I:$I,'2023'!$E:$E,Category!$B$278,'2023'!$N:$N,Category!BE$1,'2023'!$D:$D,Category!$C284)</f>
        <v>0</v>
      </c>
      <c r="BF284" s="234">
        <f>SUMIFS('2023'!$I:$I,'2023'!$E:$E,Category!$B$278,'2023'!$N:$N,Category!BF$1,'2023'!$D:$D,Category!$C284)</f>
        <v>0</v>
      </c>
      <c r="BG284" s="234">
        <f>SUMIFS('2023'!$I:$I,'2023'!$E:$E,Category!$B$278,'2023'!$N:$N,Category!BG$1,'2023'!$D:$D,Category!$C284)</f>
        <v>0</v>
      </c>
      <c r="BH284" s="234">
        <f>SUMIFS('2023'!$I:$I,'2023'!$E:$E,Category!$B$278,'2023'!$N:$N,Category!BH$1,'2023'!$D:$D,Category!$C284)</f>
        <v>0</v>
      </c>
      <c r="BI284" s="234">
        <f>SUMIFS('2023'!$I:$I,'2023'!$E:$E,Category!$B$278,'2023'!$N:$N,Category!BI$1,'2023'!$D:$D,Category!$C284)</f>
        <v>0</v>
      </c>
      <c r="BJ284" s="234">
        <f>SUMIFS('2023'!$I:$I,'2023'!$E:$E,Category!$B$278,'2023'!$N:$N,Category!BJ$1,'2023'!$D:$D,Category!$C284)</f>
        <v>0</v>
      </c>
      <c r="BK284" s="234">
        <f>SUMIFS('2023'!$I:$I,'2023'!$E:$E,Category!$B$278,'2023'!$N:$N,Category!BK$1,'2023'!$D:$D,Category!$C284)</f>
        <v>0</v>
      </c>
      <c r="BL284" s="234">
        <f>SUMIFS('2023'!$I:$I,'2023'!$E:$E,Category!$B$278,'2023'!$N:$N,Category!BL$1,'2023'!$D:$D,Category!$C284)</f>
        <v>0</v>
      </c>
      <c r="BM284" s="234">
        <f>SUMIFS('2023'!$I:$I,'2023'!$E:$E,Category!$B$278,'2023'!$N:$N,Category!BM$1,'2023'!$D:$D,Category!$C284)</f>
        <v>0</v>
      </c>
      <c r="BN284" s="250">
        <f t="shared" si="114"/>
        <v>0</v>
      </c>
    </row>
    <row r="285" spans="1:66" x14ac:dyDescent="0.3">
      <c r="A285" s="351"/>
      <c r="B285" s="235"/>
      <c r="C285" s="235" t="s">
        <v>1342</v>
      </c>
      <c r="D285" s="527">
        <f>IFERROR(VLOOKUP($C285,'2019'!$D:$G,4,0),0)</f>
        <v>0</v>
      </c>
      <c r="E285" s="234">
        <f>SUMIFS('2019'!$I:$I,'2019'!$E:$E,Category!$B$278,'2019'!$N:$N,Category!E$1,'2019'!$D:$D,Category!$C285)</f>
        <v>0</v>
      </c>
      <c r="F285" s="234">
        <f>SUMIFS('2019'!$I:$I,'2019'!$E:$E,Category!$B$278,'2019'!$N:$N,Category!F$1,'2019'!$D:$D,Category!$C285)</f>
        <v>0</v>
      </c>
      <c r="G285" s="234">
        <f>SUMIFS('2019'!$I:$I,'2019'!$E:$E,Category!$B$278,'2019'!$N:$N,Category!G$1,'2019'!$D:$D,Category!$C285)</f>
        <v>0</v>
      </c>
      <c r="H285" s="234">
        <f>SUMIFS('2019'!$I:$I,'2019'!$E:$E,Category!$B$278,'2019'!$N:$N,Category!H$1,'2019'!$D:$D,Category!$C285)</f>
        <v>0</v>
      </c>
      <c r="I285" s="234">
        <f>SUMIFS('2019'!$I:$I,'2019'!$E:$E,Category!$B$278,'2019'!$N:$N,Category!I$1,'2019'!$D:$D,Category!$C285)</f>
        <v>-8803640</v>
      </c>
      <c r="J285" s="234">
        <f t="shared" si="111"/>
        <v>-8803640</v>
      </c>
      <c r="K285" s="507">
        <f>IFERROR(VLOOKUP($C285,'2020'!$D:$G,4,0),0)</f>
        <v>0</v>
      </c>
      <c r="L285" s="234">
        <f>SUMIFS('2020'!$I:$I,'2020'!$E:$E,Category!$B$278,'2020'!$N:$N,Category!L$1,'2020'!$D:$D,Category!$C285)</f>
        <v>0</v>
      </c>
      <c r="M285" s="234">
        <f>SUMIFS('2020'!$I:$I,'2020'!$E:$E,Category!$B$278,'2020'!$N:$N,Category!M$1,'2020'!$D:$D,Category!$C285)</f>
        <v>0</v>
      </c>
      <c r="N285" s="234">
        <f>SUMIFS('2020'!$I:$I,'2020'!$E:$E,Category!$B$278,'2020'!$N:$N,Category!N$1,'2020'!$D:$D,Category!$C285)</f>
        <v>0</v>
      </c>
      <c r="O285" s="234">
        <f>SUMIFS('2020'!$I:$I,'2020'!$E:$E,Category!$B$278,'2020'!$N:$N,Category!O$1,'2020'!$D:$D,Category!$C285)</f>
        <v>0</v>
      </c>
      <c r="P285" s="234">
        <f>SUMIFS('2020'!$I:$I,'2020'!$E:$E,Category!$B$278,'2020'!$N:$N,Category!P$1,'2020'!$D:$D,Category!$C285)</f>
        <v>0</v>
      </c>
      <c r="Q285" s="234">
        <f>SUMIFS('2020'!$I:$I,'2020'!$E:$E,Category!$B$278,'2020'!$N:$N,Category!Q$1,'2020'!$D:$D,Category!$C285)</f>
        <v>0</v>
      </c>
      <c r="R285" s="234">
        <f>SUMIFS('2020'!$I:$I,'2020'!$E:$E,Category!$B$278,'2020'!$N:$N,Category!R$1,'2020'!$D:$D,Category!$C285)</f>
        <v>0</v>
      </c>
      <c r="S285" s="234">
        <f>SUMIFS('2020'!$I:$I,'2020'!$E:$E,Category!$B$278,'2020'!$N:$N,Category!S$1,'2020'!$D:$D,Category!$C285)</f>
        <v>0</v>
      </c>
      <c r="T285" s="234">
        <f>SUMIFS('2020'!$I:$I,'2020'!$E:$E,Category!$B$278,'2020'!$N:$N,Category!T$1,'2020'!$D:$D,Category!$C285)</f>
        <v>0</v>
      </c>
      <c r="U285" s="234">
        <f>SUMIFS('2020'!$I:$I,'2020'!$E:$E,Category!$B$278,'2020'!$N:$N,Category!U$1,'2020'!$D:$D,Category!$C285)</f>
        <v>0</v>
      </c>
      <c r="V285" s="234">
        <f>SUMIFS('2020'!$I:$I,'2020'!$E:$E,Category!$B$278,'2020'!$N:$N,Category!V$1,'2020'!$D:$D,Category!$C285)</f>
        <v>0</v>
      </c>
      <c r="W285" s="234">
        <f>SUMIFS('2020'!$I:$I,'2020'!$E:$E,Category!$B$278,'2020'!$N:$N,Category!W$1,'2020'!$D:$D,Category!$C285)</f>
        <v>0</v>
      </c>
      <c r="X285" s="234">
        <f t="shared" si="112"/>
        <v>0</v>
      </c>
      <c r="Y285" s="507">
        <f>IFERROR(VLOOKUP(C285,'2021'!$D:$G,4,0),0)</f>
        <v>0</v>
      </c>
      <c r="Z285" s="234">
        <f>SUMIFS('2021'!$I:$I,'2021'!$E:$E,Category!$B$278,'2021'!$N:$N,Category!Z$1,'2021'!$D:$D,Category!$C285)</f>
        <v>0</v>
      </c>
      <c r="AA285" s="234">
        <f>SUMIFS('2021'!$I:$I,'2021'!$E:$E,Category!$B$278,'2021'!$N:$N,Category!AA$1,'2021'!$D:$D,Category!$C285)</f>
        <v>0</v>
      </c>
      <c r="AB285" s="234">
        <f>SUMIFS('2021'!$I:$I,'2021'!$E:$E,Category!$B$278,'2021'!$N:$N,Category!AB$1,'2021'!$D:$D,Category!$C285)</f>
        <v>0</v>
      </c>
      <c r="AC285" s="234">
        <f>SUMIFS('2021'!$I:$I,'2021'!$E:$E,Category!$B$278,'2021'!$N:$N,Category!AC$1,'2021'!$D:$D,Category!$C285)</f>
        <v>0</v>
      </c>
      <c r="AD285" s="234">
        <f>SUMIFS('2021'!$I:$I,'2021'!$E:$E,Category!$B$278,'2021'!$N:$N,Category!AD$1,'2021'!$D:$D,Category!$C285)</f>
        <v>0</v>
      </c>
      <c r="AE285" s="234">
        <f>SUMIFS('2021'!$I:$I,'2021'!$E:$E,Category!$B$278,'2021'!$N:$N,Category!AE$1,'2021'!$D:$D,Category!$C285)</f>
        <v>0</v>
      </c>
      <c r="AF285" s="234">
        <f>SUMIFS('2021'!$I:$I,'2021'!$E:$E,Category!$B$278,'2021'!$N:$N,Category!AF$1,'2021'!$D:$D,Category!$C285)</f>
        <v>0</v>
      </c>
      <c r="AG285" s="234">
        <f>SUMIFS('2021'!$I:$I,'2021'!$E:$E,Category!$B$278,'2021'!$N:$N,Category!AG$1,'2021'!$D:$D,Category!$C285)</f>
        <v>0</v>
      </c>
      <c r="AH285" s="234">
        <f>SUMIFS('2021'!$I:$I,'2021'!$E:$E,Category!$B$278,'2021'!$N:$N,Category!AH$1,'2021'!$D:$D,Category!$C285)</f>
        <v>0</v>
      </c>
      <c r="AI285" s="234">
        <f>SUMIFS('2021'!$I:$I,'2021'!$E:$E,Category!$B$278,'2021'!$N:$N,Category!AI$1,'2021'!$D:$D,Category!$C285)</f>
        <v>0</v>
      </c>
      <c r="AJ285" s="234">
        <f>SUMIFS('2021'!$I:$I,'2021'!$E:$E,Category!$B$278,'2021'!$N:$N,Category!AJ$1,'2021'!$D:$D,Category!$C285)</f>
        <v>0</v>
      </c>
      <c r="AK285" s="234">
        <f>SUMIFS('2021'!$I:$I,'2021'!$E:$E,Category!$B$278,'2021'!$N:$N,Category!AK$1,'2021'!$D:$D,Category!$C285)</f>
        <v>0</v>
      </c>
      <c r="AL285" s="250">
        <f t="shared" si="113"/>
        <v>0</v>
      </c>
      <c r="AM285" s="507">
        <f>IFERROR(VLOOKUP(C285,'2022'!$D:$G,4,0),0)</f>
        <v>0</v>
      </c>
      <c r="AN285" s="234">
        <f>SUMIFS('2022'!$I:$I,'2022'!$E:$E,Category!$B$278,'2022'!$N:$N,Category!AN$1,'2022'!$D:$D,Category!$C285)</f>
        <v>0</v>
      </c>
      <c r="AO285" s="234">
        <f>SUMIFS('2022'!$I:$I,'2022'!$E:$E,Category!$B$278,'2022'!$N:$N,Category!AO$1,'2022'!$D:$D,Category!$C285)</f>
        <v>0</v>
      </c>
      <c r="AP285" s="234">
        <f>SUMIFS('2022'!$I:$I,'2022'!$E:$E,Category!$B$278,'2022'!$N:$N,Category!AP$1,'2022'!$D:$D,Category!$C285)</f>
        <v>0</v>
      </c>
      <c r="AQ285" s="234">
        <f>SUMIFS('2022'!$I:$I,'2022'!$E:$E,Category!$B$278,'2022'!$N:$N,Category!AQ$1,'2022'!$D:$D,Category!$C285)</f>
        <v>0</v>
      </c>
      <c r="AR285" s="234">
        <f>SUMIFS('2022'!$I:$I,'2022'!$E:$E,Category!$B$278,'2022'!$N:$N,Category!AR$1,'2022'!$D:$D,Category!$C285)</f>
        <v>0</v>
      </c>
      <c r="AS285" s="234">
        <f>SUMIFS('2022'!$I:$I,'2022'!$E:$E,Category!$B$278,'2022'!$N:$N,Category!AS$1,'2022'!$D:$D,Category!$C285)</f>
        <v>0</v>
      </c>
      <c r="AT285" s="234">
        <f>SUMIFS('2022'!$I:$I,'2022'!$E:$E,Category!$B$278,'2022'!$N:$N,Category!AT$1,'2022'!$D:$D,Category!$C285)</f>
        <v>0</v>
      </c>
      <c r="AU285" s="234">
        <f>SUMIFS('2022'!$I:$I,'2022'!$E:$E,Category!$B$278,'2022'!$N:$N,Category!AU$1,'2022'!$D:$D,Category!$C285)</f>
        <v>0</v>
      </c>
      <c r="AV285" s="234">
        <f>SUMIFS('2022'!$I:$I,'2022'!$E:$E,Category!$B$278,'2022'!$N:$N,Category!AV$1,'2022'!$D:$D,Category!$C285)</f>
        <v>0</v>
      </c>
      <c r="AW285" s="234">
        <f>SUMIFS('2022'!$I:$I,'2022'!$E:$E,Category!$B$278,'2022'!$N:$N,Category!AW$1,'2022'!$D:$D,Category!$C285)</f>
        <v>0</v>
      </c>
      <c r="AX285" s="234">
        <f>SUMIFS('2022'!$I:$I,'2022'!$E:$E,Category!$B$278,'2022'!$N:$N,Category!AX$1,'2022'!$D:$D,Category!$C285)</f>
        <v>0</v>
      </c>
      <c r="AY285" s="234">
        <f>SUMIFS('2022'!$I:$I,'2022'!$E:$E,Category!$B$278,'2022'!$N:$N,Category!AY$1,'2022'!$D:$D,Category!$C285)</f>
        <v>0</v>
      </c>
      <c r="AZ285" s="250">
        <f t="shared" si="115"/>
        <v>0</v>
      </c>
      <c r="BA285" s="507">
        <f>IFERROR(VLOOKUP(C285,'2023'!$D:$G,4,0),0)</f>
        <v>0</v>
      </c>
      <c r="BB285" s="234">
        <f>SUMIFS('2023'!$I:$I,'2023'!$E:$E,Category!$B$278,'2023'!$N:$N,Category!BB$1,'2023'!$D:$D,Category!$C285)</f>
        <v>0</v>
      </c>
      <c r="BC285" s="234">
        <f>SUMIFS('2023'!$I:$I,'2023'!$E:$E,Category!$B$278,'2023'!$N:$N,Category!BC$1,'2023'!$D:$D,Category!$C285)</f>
        <v>0</v>
      </c>
      <c r="BD285" s="234">
        <f>SUMIFS('2023'!$I:$I,'2023'!$E:$E,Category!$B$278,'2023'!$N:$N,Category!BD$1,'2023'!$D:$D,Category!$C285)</f>
        <v>0</v>
      </c>
      <c r="BE285" s="234">
        <f>SUMIFS('2023'!$I:$I,'2023'!$E:$E,Category!$B$278,'2023'!$N:$N,Category!BE$1,'2023'!$D:$D,Category!$C285)</f>
        <v>0</v>
      </c>
      <c r="BF285" s="234">
        <f>SUMIFS('2023'!$I:$I,'2023'!$E:$E,Category!$B$278,'2023'!$N:$N,Category!BF$1,'2023'!$D:$D,Category!$C285)</f>
        <v>0</v>
      </c>
      <c r="BG285" s="234">
        <f>SUMIFS('2023'!$I:$I,'2023'!$E:$E,Category!$B$278,'2023'!$N:$N,Category!BG$1,'2023'!$D:$D,Category!$C285)</f>
        <v>0</v>
      </c>
      <c r="BH285" s="234">
        <f>SUMIFS('2023'!$I:$I,'2023'!$E:$E,Category!$B$278,'2023'!$N:$N,Category!BH$1,'2023'!$D:$D,Category!$C285)</f>
        <v>0</v>
      </c>
      <c r="BI285" s="234">
        <f>SUMIFS('2023'!$I:$I,'2023'!$E:$E,Category!$B$278,'2023'!$N:$N,Category!BI$1,'2023'!$D:$D,Category!$C285)</f>
        <v>0</v>
      </c>
      <c r="BJ285" s="234">
        <f>SUMIFS('2023'!$I:$I,'2023'!$E:$E,Category!$B$278,'2023'!$N:$N,Category!BJ$1,'2023'!$D:$D,Category!$C285)</f>
        <v>0</v>
      </c>
      <c r="BK285" s="234">
        <f>SUMIFS('2023'!$I:$I,'2023'!$E:$E,Category!$B$278,'2023'!$N:$N,Category!BK$1,'2023'!$D:$D,Category!$C285)</f>
        <v>0</v>
      </c>
      <c r="BL285" s="234">
        <f>SUMIFS('2023'!$I:$I,'2023'!$E:$E,Category!$B$278,'2023'!$N:$N,Category!BL$1,'2023'!$D:$D,Category!$C285)</f>
        <v>0</v>
      </c>
      <c r="BM285" s="234">
        <f>SUMIFS('2023'!$I:$I,'2023'!$E:$E,Category!$B$278,'2023'!$N:$N,Category!BM$1,'2023'!$D:$D,Category!$C285)</f>
        <v>0</v>
      </c>
      <c r="BN285" s="250">
        <f t="shared" si="114"/>
        <v>0</v>
      </c>
    </row>
    <row r="286" spans="1:66" x14ac:dyDescent="0.3">
      <c r="A286" s="351"/>
      <c r="B286" s="235"/>
      <c r="C286" s="235" t="s">
        <v>1343</v>
      </c>
      <c r="D286" s="527">
        <f>IFERROR(VLOOKUP($C286,'2019'!$D:$G,4,0),0)</f>
        <v>0</v>
      </c>
      <c r="E286" s="234">
        <f>SUMIFS('2019'!$I:$I,'2019'!$E:$E,Category!$B$278,'2019'!$N:$N,Category!E$1,'2019'!$D:$D,Category!$C286)</f>
        <v>0</v>
      </c>
      <c r="F286" s="234">
        <f>SUMIFS('2019'!$I:$I,'2019'!$E:$E,Category!$B$278,'2019'!$N:$N,Category!F$1,'2019'!$D:$D,Category!$C286)</f>
        <v>0</v>
      </c>
      <c r="G286" s="234">
        <f>SUMIFS('2019'!$I:$I,'2019'!$E:$E,Category!$B$278,'2019'!$N:$N,Category!G$1,'2019'!$D:$D,Category!$C286)</f>
        <v>0</v>
      </c>
      <c r="H286" s="234">
        <f>SUMIFS('2019'!$I:$I,'2019'!$E:$E,Category!$B$278,'2019'!$N:$N,Category!H$1,'2019'!$D:$D,Category!$C286)</f>
        <v>0</v>
      </c>
      <c r="I286" s="234">
        <f>SUMIFS('2019'!$I:$I,'2019'!$E:$E,Category!$B$278,'2019'!$N:$N,Category!I$1,'2019'!$D:$D,Category!$C286)</f>
        <v>58800000</v>
      </c>
      <c r="J286" s="234">
        <f t="shared" ref="J286:J330" si="116">SUM(E286:I286)</f>
        <v>58800000</v>
      </c>
      <c r="K286" s="507">
        <f>IFERROR(VLOOKUP($C286,'2020'!$D:$G,4,0),0)</f>
        <v>0</v>
      </c>
      <c r="L286" s="234">
        <f>SUMIFS('2020'!$I:$I,'2020'!$E:$E,Category!$B$278,'2020'!$N:$N,Category!L$1,'2020'!$D:$D,Category!$C286)</f>
        <v>0</v>
      </c>
      <c r="M286" s="234">
        <f>SUMIFS('2020'!$I:$I,'2020'!$E:$E,Category!$B$278,'2020'!$N:$N,Category!M$1,'2020'!$D:$D,Category!$C286)</f>
        <v>0</v>
      </c>
      <c r="N286" s="234">
        <f>SUMIFS('2020'!$I:$I,'2020'!$E:$E,Category!$B$278,'2020'!$N:$N,Category!N$1,'2020'!$D:$D,Category!$C286)</f>
        <v>0</v>
      </c>
      <c r="O286" s="234">
        <f>SUMIFS('2020'!$I:$I,'2020'!$E:$E,Category!$B$278,'2020'!$N:$N,Category!O$1,'2020'!$D:$D,Category!$C286)</f>
        <v>0</v>
      </c>
      <c r="P286" s="234">
        <f>SUMIFS('2020'!$I:$I,'2020'!$E:$E,Category!$B$278,'2020'!$N:$N,Category!P$1,'2020'!$D:$D,Category!$C286)</f>
        <v>0</v>
      </c>
      <c r="Q286" s="234">
        <f>SUMIFS('2020'!$I:$I,'2020'!$E:$E,Category!$B$278,'2020'!$N:$N,Category!Q$1,'2020'!$D:$D,Category!$C286)</f>
        <v>0</v>
      </c>
      <c r="R286" s="234">
        <f>SUMIFS('2020'!$I:$I,'2020'!$E:$E,Category!$B$278,'2020'!$N:$N,Category!R$1,'2020'!$D:$D,Category!$C286)</f>
        <v>0</v>
      </c>
      <c r="S286" s="234">
        <f>SUMIFS('2020'!$I:$I,'2020'!$E:$E,Category!$B$278,'2020'!$N:$N,Category!S$1,'2020'!$D:$D,Category!$C286)</f>
        <v>0</v>
      </c>
      <c r="T286" s="234">
        <f>SUMIFS('2020'!$I:$I,'2020'!$E:$E,Category!$B$278,'2020'!$N:$N,Category!T$1,'2020'!$D:$D,Category!$C286)</f>
        <v>0</v>
      </c>
      <c r="U286" s="234">
        <f>SUMIFS('2020'!$I:$I,'2020'!$E:$E,Category!$B$278,'2020'!$N:$N,Category!U$1,'2020'!$D:$D,Category!$C286)</f>
        <v>0</v>
      </c>
      <c r="V286" s="234">
        <f>SUMIFS('2020'!$I:$I,'2020'!$E:$E,Category!$B$278,'2020'!$N:$N,Category!V$1,'2020'!$D:$D,Category!$C286)</f>
        <v>0</v>
      </c>
      <c r="W286" s="234">
        <f>SUMIFS('2020'!$I:$I,'2020'!$E:$E,Category!$B$278,'2020'!$N:$N,Category!W$1,'2020'!$D:$D,Category!$C286)</f>
        <v>0</v>
      </c>
      <c r="X286" s="234">
        <f t="shared" si="112"/>
        <v>0</v>
      </c>
      <c r="Y286" s="507">
        <f>IFERROR(VLOOKUP(C286,'2021'!$D:$G,4,0),0)</f>
        <v>0</v>
      </c>
      <c r="Z286" s="234">
        <f>SUMIFS('2021'!$I:$I,'2021'!$E:$E,Category!$B$278,'2021'!$N:$N,Category!Z$1,'2021'!$D:$D,Category!$C286)</f>
        <v>0</v>
      </c>
      <c r="AA286" s="234">
        <f>SUMIFS('2021'!$I:$I,'2021'!$E:$E,Category!$B$278,'2021'!$N:$N,Category!AA$1,'2021'!$D:$D,Category!$C286)</f>
        <v>0</v>
      </c>
      <c r="AB286" s="234">
        <f>SUMIFS('2021'!$I:$I,'2021'!$E:$E,Category!$B$278,'2021'!$N:$N,Category!AB$1,'2021'!$D:$D,Category!$C286)</f>
        <v>0</v>
      </c>
      <c r="AC286" s="234">
        <f>SUMIFS('2021'!$I:$I,'2021'!$E:$E,Category!$B$278,'2021'!$N:$N,Category!AC$1,'2021'!$D:$D,Category!$C286)</f>
        <v>0</v>
      </c>
      <c r="AD286" s="234">
        <f>SUMIFS('2021'!$I:$I,'2021'!$E:$E,Category!$B$278,'2021'!$N:$N,Category!AD$1,'2021'!$D:$D,Category!$C286)</f>
        <v>0</v>
      </c>
      <c r="AE286" s="234">
        <f>SUMIFS('2021'!$I:$I,'2021'!$E:$E,Category!$B$278,'2021'!$N:$N,Category!AE$1,'2021'!$D:$D,Category!$C286)</f>
        <v>0</v>
      </c>
      <c r="AF286" s="234">
        <f>SUMIFS('2021'!$I:$I,'2021'!$E:$E,Category!$B$278,'2021'!$N:$N,Category!AF$1,'2021'!$D:$D,Category!$C286)</f>
        <v>0</v>
      </c>
      <c r="AG286" s="234">
        <f>SUMIFS('2021'!$I:$I,'2021'!$E:$E,Category!$B$278,'2021'!$N:$N,Category!AG$1,'2021'!$D:$D,Category!$C286)</f>
        <v>0</v>
      </c>
      <c r="AH286" s="234">
        <f>SUMIFS('2021'!$I:$I,'2021'!$E:$E,Category!$B$278,'2021'!$N:$N,Category!AH$1,'2021'!$D:$D,Category!$C286)</f>
        <v>0</v>
      </c>
      <c r="AI286" s="234">
        <f>SUMIFS('2021'!$I:$I,'2021'!$E:$E,Category!$B$278,'2021'!$N:$N,Category!AI$1,'2021'!$D:$D,Category!$C286)</f>
        <v>0</v>
      </c>
      <c r="AJ286" s="234">
        <f>SUMIFS('2021'!$I:$I,'2021'!$E:$E,Category!$B$278,'2021'!$N:$N,Category!AJ$1,'2021'!$D:$D,Category!$C286)</f>
        <v>0</v>
      </c>
      <c r="AK286" s="234">
        <f>SUMIFS('2021'!$I:$I,'2021'!$E:$E,Category!$B$278,'2021'!$N:$N,Category!AK$1,'2021'!$D:$D,Category!$C286)</f>
        <v>0</v>
      </c>
      <c r="AL286" s="250">
        <f t="shared" si="113"/>
        <v>0</v>
      </c>
      <c r="AM286" s="507">
        <f>IFERROR(VLOOKUP(C286,'2022'!$D:$G,4,0),0)</f>
        <v>0</v>
      </c>
      <c r="AN286" s="234">
        <f>SUMIFS('2022'!$I:$I,'2022'!$E:$E,Category!$B$278,'2022'!$N:$N,Category!AN$1,'2022'!$D:$D,Category!$C286)</f>
        <v>0</v>
      </c>
      <c r="AO286" s="234">
        <f>SUMIFS('2022'!$I:$I,'2022'!$E:$E,Category!$B$278,'2022'!$N:$N,Category!AO$1,'2022'!$D:$D,Category!$C286)</f>
        <v>0</v>
      </c>
      <c r="AP286" s="234">
        <f>SUMIFS('2022'!$I:$I,'2022'!$E:$E,Category!$B$278,'2022'!$N:$N,Category!AP$1,'2022'!$D:$D,Category!$C286)</f>
        <v>0</v>
      </c>
      <c r="AQ286" s="234">
        <f>SUMIFS('2022'!$I:$I,'2022'!$E:$E,Category!$B$278,'2022'!$N:$N,Category!AQ$1,'2022'!$D:$D,Category!$C286)</f>
        <v>0</v>
      </c>
      <c r="AR286" s="234">
        <f>SUMIFS('2022'!$I:$I,'2022'!$E:$E,Category!$B$278,'2022'!$N:$N,Category!AR$1,'2022'!$D:$D,Category!$C286)</f>
        <v>0</v>
      </c>
      <c r="AS286" s="234">
        <f>SUMIFS('2022'!$I:$I,'2022'!$E:$E,Category!$B$278,'2022'!$N:$N,Category!AS$1,'2022'!$D:$D,Category!$C286)</f>
        <v>0</v>
      </c>
      <c r="AT286" s="234">
        <f>SUMIFS('2022'!$I:$I,'2022'!$E:$E,Category!$B$278,'2022'!$N:$N,Category!AT$1,'2022'!$D:$D,Category!$C286)</f>
        <v>0</v>
      </c>
      <c r="AU286" s="234">
        <f>SUMIFS('2022'!$I:$I,'2022'!$E:$E,Category!$B$278,'2022'!$N:$N,Category!AU$1,'2022'!$D:$D,Category!$C286)</f>
        <v>0</v>
      </c>
      <c r="AV286" s="234">
        <f>SUMIFS('2022'!$I:$I,'2022'!$E:$E,Category!$B$278,'2022'!$N:$N,Category!AV$1,'2022'!$D:$D,Category!$C286)</f>
        <v>0</v>
      </c>
      <c r="AW286" s="234">
        <f>SUMIFS('2022'!$I:$I,'2022'!$E:$E,Category!$B$278,'2022'!$N:$N,Category!AW$1,'2022'!$D:$D,Category!$C286)</f>
        <v>0</v>
      </c>
      <c r="AX286" s="234">
        <f>SUMIFS('2022'!$I:$I,'2022'!$E:$E,Category!$B$278,'2022'!$N:$N,Category!AX$1,'2022'!$D:$D,Category!$C286)</f>
        <v>0</v>
      </c>
      <c r="AY286" s="234">
        <f>SUMIFS('2022'!$I:$I,'2022'!$E:$E,Category!$B$278,'2022'!$N:$N,Category!AY$1,'2022'!$D:$D,Category!$C286)</f>
        <v>0</v>
      </c>
      <c r="AZ286" s="250">
        <f t="shared" si="115"/>
        <v>0</v>
      </c>
      <c r="BA286" s="507">
        <f>IFERROR(VLOOKUP(C286,'2023'!$D:$G,4,0),0)</f>
        <v>0</v>
      </c>
      <c r="BB286" s="234">
        <f>SUMIFS('2023'!$I:$I,'2023'!$E:$E,Category!$B$278,'2023'!$N:$N,Category!BB$1,'2023'!$D:$D,Category!$C286)</f>
        <v>0</v>
      </c>
      <c r="BC286" s="234">
        <f>SUMIFS('2023'!$I:$I,'2023'!$E:$E,Category!$B$278,'2023'!$N:$N,Category!BC$1,'2023'!$D:$D,Category!$C286)</f>
        <v>0</v>
      </c>
      <c r="BD286" s="234">
        <f>SUMIFS('2023'!$I:$I,'2023'!$E:$E,Category!$B$278,'2023'!$N:$N,Category!BD$1,'2023'!$D:$D,Category!$C286)</f>
        <v>0</v>
      </c>
      <c r="BE286" s="234">
        <f>SUMIFS('2023'!$I:$I,'2023'!$E:$E,Category!$B$278,'2023'!$N:$N,Category!BE$1,'2023'!$D:$D,Category!$C286)</f>
        <v>0</v>
      </c>
      <c r="BF286" s="234">
        <f>SUMIFS('2023'!$I:$I,'2023'!$E:$E,Category!$B$278,'2023'!$N:$N,Category!BF$1,'2023'!$D:$D,Category!$C286)</f>
        <v>0</v>
      </c>
      <c r="BG286" s="234">
        <f>SUMIFS('2023'!$I:$I,'2023'!$E:$E,Category!$B$278,'2023'!$N:$N,Category!BG$1,'2023'!$D:$D,Category!$C286)</f>
        <v>0</v>
      </c>
      <c r="BH286" s="234">
        <f>SUMIFS('2023'!$I:$I,'2023'!$E:$E,Category!$B$278,'2023'!$N:$N,Category!BH$1,'2023'!$D:$D,Category!$C286)</f>
        <v>0</v>
      </c>
      <c r="BI286" s="234">
        <f>SUMIFS('2023'!$I:$I,'2023'!$E:$E,Category!$B$278,'2023'!$N:$N,Category!BI$1,'2023'!$D:$D,Category!$C286)</f>
        <v>0</v>
      </c>
      <c r="BJ286" s="234">
        <f>SUMIFS('2023'!$I:$I,'2023'!$E:$E,Category!$B$278,'2023'!$N:$N,Category!BJ$1,'2023'!$D:$D,Category!$C286)</f>
        <v>0</v>
      </c>
      <c r="BK286" s="234">
        <f>SUMIFS('2023'!$I:$I,'2023'!$E:$E,Category!$B$278,'2023'!$N:$N,Category!BK$1,'2023'!$D:$D,Category!$C286)</f>
        <v>0</v>
      </c>
      <c r="BL286" s="234">
        <f>SUMIFS('2023'!$I:$I,'2023'!$E:$E,Category!$B$278,'2023'!$N:$N,Category!BL$1,'2023'!$D:$D,Category!$C286)</f>
        <v>0</v>
      </c>
      <c r="BM286" s="234">
        <f>SUMIFS('2023'!$I:$I,'2023'!$E:$E,Category!$B$278,'2023'!$N:$N,Category!BM$1,'2023'!$D:$D,Category!$C286)</f>
        <v>0</v>
      </c>
      <c r="BN286" s="250">
        <f t="shared" si="114"/>
        <v>0</v>
      </c>
    </row>
    <row r="287" spans="1:66" x14ac:dyDescent="0.3">
      <c r="A287" s="351"/>
      <c r="B287" s="235"/>
      <c r="C287" s="235" t="s">
        <v>1319</v>
      </c>
      <c r="D287" s="527">
        <f>IFERROR(VLOOKUP($C287,'2019'!$D:$G,4,0),0)</f>
        <v>0</v>
      </c>
      <c r="E287" s="234">
        <f>SUMIFS('2019'!$I:$I,'2019'!$E:$E,Category!$B$278,'2019'!$N:$N,Category!E$1,'2019'!$D:$D,Category!$C287)</f>
        <v>0</v>
      </c>
      <c r="F287" s="234">
        <f>SUMIFS('2019'!$I:$I,'2019'!$E:$E,Category!$B$278,'2019'!$N:$N,Category!F$1,'2019'!$D:$D,Category!$C287)</f>
        <v>13187300</v>
      </c>
      <c r="G287" s="234">
        <f>SUMIFS('2019'!$I:$I,'2019'!$E:$E,Category!$B$278,'2019'!$N:$N,Category!G$1,'2019'!$D:$D,Category!$C287)</f>
        <v>0</v>
      </c>
      <c r="H287" s="234">
        <f>SUMIFS('2019'!$I:$I,'2019'!$E:$E,Category!$B$278,'2019'!$N:$N,Category!H$1,'2019'!$D:$D,Category!$C287)</f>
        <v>0</v>
      </c>
      <c r="I287" s="234">
        <f>SUMIFS('2019'!$I:$I,'2019'!$E:$E,Category!$B$278,'2019'!$N:$N,Category!I$1,'2019'!$D:$D,Category!$C287)</f>
        <v>0</v>
      </c>
      <c r="J287" s="234">
        <f>SUM(E287:I287)</f>
        <v>13187300</v>
      </c>
      <c r="K287" s="507">
        <f>IFERROR(VLOOKUP($C287,'2020'!$D:$G,4,0),0)</f>
        <v>0</v>
      </c>
      <c r="L287" s="234">
        <f>SUMIFS('2020'!$I:$I,'2020'!$E:$E,Category!$B$278,'2020'!$N:$N,Category!L$1,'2020'!$D:$D,Category!$C287)</f>
        <v>0</v>
      </c>
      <c r="M287" s="234">
        <f>SUMIFS('2020'!$I:$I,'2020'!$E:$E,Category!$B$278,'2020'!$N:$N,Category!M$1,'2020'!$D:$D,Category!$C287)</f>
        <v>0</v>
      </c>
      <c r="N287" s="234">
        <f>SUMIFS('2020'!$I:$I,'2020'!$E:$E,Category!$B$278,'2020'!$N:$N,Category!N$1,'2020'!$D:$D,Category!$C287)</f>
        <v>0</v>
      </c>
      <c r="O287" s="234">
        <f>SUMIFS('2020'!$I:$I,'2020'!$E:$E,Category!$B$278,'2020'!$N:$N,Category!O$1,'2020'!$D:$D,Category!$C287)</f>
        <v>0</v>
      </c>
      <c r="P287" s="234">
        <f>SUMIFS('2020'!$I:$I,'2020'!$E:$E,Category!$B$278,'2020'!$N:$N,Category!P$1,'2020'!$D:$D,Category!$C287)</f>
        <v>0</v>
      </c>
      <c r="Q287" s="234">
        <f>SUMIFS('2020'!$I:$I,'2020'!$E:$E,Category!$B$278,'2020'!$N:$N,Category!Q$1,'2020'!$D:$D,Category!$C287)</f>
        <v>0</v>
      </c>
      <c r="R287" s="234">
        <f>SUMIFS('2020'!$I:$I,'2020'!$E:$E,Category!$B$278,'2020'!$N:$N,Category!R$1,'2020'!$D:$D,Category!$C287)</f>
        <v>0</v>
      </c>
      <c r="S287" s="234">
        <f>SUMIFS('2020'!$I:$I,'2020'!$E:$E,Category!$B$278,'2020'!$N:$N,Category!S$1,'2020'!$D:$D,Category!$C287)</f>
        <v>0</v>
      </c>
      <c r="T287" s="234">
        <f>SUMIFS('2020'!$I:$I,'2020'!$E:$E,Category!$B$278,'2020'!$N:$N,Category!T$1,'2020'!$D:$D,Category!$C287)</f>
        <v>0</v>
      </c>
      <c r="U287" s="234">
        <f>SUMIFS('2020'!$I:$I,'2020'!$E:$E,Category!$B$278,'2020'!$N:$N,Category!U$1,'2020'!$D:$D,Category!$C287)</f>
        <v>0</v>
      </c>
      <c r="V287" s="234">
        <f>SUMIFS('2020'!$I:$I,'2020'!$E:$E,Category!$B$278,'2020'!$N:$N,Category!V$1,'2020'!$D:$D,Category!$C287)</f>
        <v>0</v>
      </c>
      <c r="W287" s="234">
        <f>SUMIFS('2020'!$I:$I,'2020'!$E:$E,Category!$B$278,'2020'!$N:$N,Category!W$1,'2020'!$D:$D,Category!$C287)</f>
        <v>0</v>
      </c>
      <c r="X287" s="234">
        <f t="shared" si="112"/>
        <v>0</v>
      </c>
      <c r="Y287" s="507">
        <f>IFERROR(VLOOKUP(C287,'2021'!$D:$G,4,0),0)</f>
        <v>0</v>
      </c>
      <c r="Z287" s="234">
        <f>SUMIFS('2021'!$I:$I,'2021'!$E:$E,Category!$B$278,'2021'!$N:$N,Category!Z$1,'2021'!$D:$D,Category!$C287)</f>
        <v>0</v>
      </c>
      <c r="AA287" s="234">
        <f>SUMIFS('2021'!$I:$I,'2021'!$E:$E,Category!$B$278,'2021'!$N:$N,Category!AA$1,'2021'!$D:$D,Category!$C287)</f>
        <v>0</v>
      </c>
      <c r="AB287" s="234">
        <f>SUMIFS('2021'!$I:$I,'2021'!$E:$E,Category!$B$278,'2021'!$N:$N,Category!AB$1,'2021'!$D:$D,Category!$C287)</f>
        <v>0</v>
      </c>
      <c r="AC287" s="234">
        <f>SUMIFS('2021'!$I:$I,'2021'!$E:$E,Category!$B$278,'2021'!$N:$N,Category!AC$1,'2021'!$D:$D,Category!$C287)</f>
        <v>0</v>
      </c>
      <c r="AD287" s="234">
        <f>SUMIFS('2021'!$I:$I,'2021'!$E:$E,Category!$B$278,'2021'!$N:$N,Category!AD$1,'2021'!$D:$D,Category!$C287)</f>
        <v>0</v>
      </c>
      <c r="AE287" s="234">
        <f>SUMIFS('2021'!$I:$I,'2021'!$E:$E,Category!$B$278,'2021'!$N:$N,Category!AE$1,'2021'!$D:$D,Category!$C287)</f>
        <v>0</v>
      </c>
      <c r="AF287" s="234">
        <f>SUMIFS('2021'!$I:$I,'2021'!$E:$E,Category!$B$278,'2021'!$N:$N,Category!AF$1,'2021'!$D:$D,Category!$C287)</f>
        <v>0</v>
      </c>
      <c r="AG287" s="234">
        <f>SUMIFS('2021'!$I:$I,'2021'!$E:$E,Category!$B$278,'2021'!$N:$N,Category!AG$1,'2021'!$D:$D,Category!$C287)</f>
        <v>0</v>
      </c>
      <c r="AH287" s="234">
        <f>SUMIFS('2021'!$I:$I,'2021'!$E:$E,Category!$B$278,'2021'!$N:$N,Category!AH$1,'2021'!$D:$D,Category!$C287)</f>
        <v>0</v>
      </c>
      <c r="AI287" s="234">
        <f>SUMIFS('2021'!$I:$I,'2021'!$E:$E,Category!$B$278,'2021'!$N:$N,Category!AI$1,'2021'!$D:$D,Category!$C287)</f>
        <v>0</v>
      </c>
      <c r="AJ287" s="234">
        <f>SUMIFS('2021'!$I:$I,'2021'!$E:$E,Category!$B$278,'2021'!$N:$N,Category!AJ$1,'2021'!$D:$D,Category!$C287)</f>
        <v>0</v>
      </c>
      <c r="AK287" s="234">
        <f>SUMIFS('2021'!$I:$I,'2021'!$E:$E,Category!$B$278,'2021'!$N:$N,Category!AK$1,'2021'!$D:$D,Category!$C287)</f>
        <v>0</v>
      </c>
      <c r="AL287" s="250">
        <f t="shared" si="113"/>
        <v>0</v>
      </c>
      <c r="AM287" s="507">
        <f>IFERROR(VLOOKUP(C287,'2022'!$D:$G,4,0),0)</f>
        <v>0</v>
      </c>
      <c r="AN287" s="234">
        <f>SUMIFS('2022'!$I:$I,'2022'!$E:$E,Category!$B$278,'2022'!$N:$N,Category!AN$1,'2022'!$D:$D,Category!$C287)</f>
        <v>0</v>
      </c>
      <c r="AO287" s="234">
        <f>SUMIFS('2022'!$I:$I,'2022'!$E:$E,Category!$B$278,'2022'!$N:$N,Category!AO$1,'2022'!$D:$D,Category!$C287)</f>
        <v>0</v>
      </c>
      <c r="AP287" s="234">
        <f>SUMIFS('2022'!$I:$I,'2022'!$E:$E,Category!$B$278,'2022'!$N:$N,Category!AP$1,'2022'!$D:$D,Category!$C287)</f>
        <v>0</v>
      </c>
      <c r="AQ287" s="234">
        <f>SUMIFS('2022'!$I:$I,'2022'!$E:$E,Category!$B$278,'2022'!$N:$N,Category!AQ$1,'2022'!$D:$D,Category!$C287)</f>
        <v>0</v>
      </c>
      <c r="AR287" s="234">
        <f>SUMIFS('2022'!$I:$I,'2022'!$E:$E,Category!$B$278,'2022'!$N:$N,Category!AR$1,'2022'!$D:$D,Category!$C287)</f>
        <v>0</v>
      </c>
      <c r="AS287" s="234">
        <f>SUMIFS('2022'!$I:$I,'2022'!$E:$E,Category!$B$278,'2022'!$N:$N,Category!AS$1,'2022'!$D:$D,Category!$C287)</f>
        <v>0</v>
      </c>
      <c r="AT287" s="234">
        <f>SUMIFS('2022'!$I:$I,'2022'!$E:$E,Category!$B$278,'2022'!$N:$N,Category!AT$1,'2022'!$D:$D,Category!$C287)</f>
        <v>0</v>
      </c>
      <c r="AU287" s="234">
        <f>SUMIFS('2022'!$I:$I,'2022'!$E:$E,Category!$B$278,'2022'!$N:$N,Category!AU$1,'2022'!$D:$D,Category!$C287)</f>
        <v>0</v>
      </c>
      <c r="AV287" s="234">
        <f>SUMIFS('2022'!$I:$I,'2022'!$E:$E,Category!$B$278,'2022'!$N:$N,Category!AV$1,'2022'!$D:$D,Category!$C287)</f>
        <v>0</v>
      </c>
      <c r="AW287" s="234">
        <f>SUMIFS('2022'!$I:$I,'2022'!$E:$E,Category!$B$278,'2022'!$N:$N,Category!AW$1,'2022'!$D:$D,Category!$C287)</f>
        <v>0</v>
      </c>
      <c r="AX287" s="234">
        <f>SUMIFS('2022'!$I:$I,'2022'!$E:$E,Category!$B$278,'2022'!$N:$N,Category!AX$1,'2022'!$D:$D,Category!$C287)</f>
        <v>0</v>
      </c>
      <c r="AY287" s="234">
        <f>SUMIFS('2022'!$I:$I,'2022'!$E:$E,Category!$B$278,'2022'!$N:$N,Category!AY$1,'2022'!$D:$D,Category!$C287)</f>
        <v>0</v>
      </c>
      <c r="AZ287" s="250">
        <f t="shared" si="115"/>
        <v>0</v>
      </c>
      <c r="BA287" s="507">
        <f>IFERROR(VLOOKUP(C287,'2023'!$D:$G,4,0),0)</f>
        <v>0</v>
      </c>
      <c r="BB287" s="234">
        <f>SUMIFS('2023'!$I:$I,'2023'!$E:$E,Category!$B$278,'2023'!$N:$N,Category!BB$1,'2023'!$D:$D,Category!$C287)</f>
        <v>0</v>
      </c>
      <c r="BC287" s="234">
        <f>SUMIFS('2023'!$I:$I,'2023'!$E:$E,Category!$B$278,'2023'!$N:$N,Category!BC$1,'2023'!$D:$D,Category!$C287)</f>
        <v>0</v>
      </c>
      <c r="BD287" s="234">
        <f>SUMIFS('2023'!$I:$I,'2023'!$E:$E,Category!$B$278,'2023'!$N:$N,Category!BD$1,'2023'!$D:$D,Category!$C287)</f>
        <v>0</v>
      </c>
      <c r="BE287" s="234">
        <f>SUMIFS('2023'!$I:$I,'2023'!$E:$E,Category!$B$278,'2023'!$N:$N,Category!BE$1,'2023'!$D:$D,Category!$C287)</f>
        <v>0</v>
      </c>
      <c r="BF287" s="234">
        <f>SUMIFS('2023'!$I:$I,'2023'!$E:$E,Category!$B$278,'2023'!$N:$N,Category!BF$1,'2023'!$D:$D,Category!$C287)</f>
        <v>0</v>
      </c>
      <c r="BG287" s="234">
        <f>SUMIFS('2023'!$I:$I,'2023'!$E:$E,Category!$B$278,'2023'!$N:$N,Category!BG$1,'2023'!$D:$D,Category!$C287)</f>
        <v>0</v>
      </c>
      <c r="BH287" s="234">
        <f>SUMIFS('2023'!$I:$I,'2023'!$E:$E,Category!$B$278,'2023'!$N:$N,Category!BH$1,'2023'!$D:$D,Category!$C287)</f>
        <v>0</v>
      </c>
      <c r="BI287" s="234">
        <f>SUMIFS('2023'!$I:$I,'2023'!$E:$E,Category!$B$278,'2023'!$N:$N,Category!BI$1,'2023'!$D:$D,Category!$C287)</f>
        <v>0</v>
      </c>
      <c r="BJ287" s="234">
        <f>SUMIFS('2023'!$I:$I,'2023'!$E:$E,Category!$B$278,'2023'!$N:$N,Category!BJ$1,'2023'!$D:$D,Category!$C287)</f>
        <v>0</v>
      </c>
      <c r="BK287" s="234">
        <f>SUMIFS('2023'!$I:$I,'2023'!$E:$E,Category!$B$278,'2023'!$N:$N,Category!BK$1,'2023'!$D:$D,Category!$C287)</f>
        <v>0</v>
      </c>
      <c r="BL287" s="234">
        <f>SUMIFS('2023'!$I:$I,'2023'!$E:$E,Category!$B$278,'2023'!$N:$N,Category!BL$1,'2023'!$D:$D,Category!$C287)</f>
        <v>0</v>
      </c>
      <c r="BM287" s="234">
        <f>SUMIFS('2023'!$I:$I,'2023'!$E:$E,Category!$B$278,'2023'!$N:$N,Category!BM$1,'2023'!$D:$D,Category!$C287)</f>
        <v>0</v>
      </c>
      <c r="BN287" s="250">
        <f t="shared" si="114"/>
        <v>0</v>
      </c>
    </row>
    <row r="288" spans="1:66" x14ac:dyDescent="0.3">
      <c r="A288" s="351"/>
      <c r="B288" s="235"/>
      <c r="C288" s="235" t="s">
        <v>1493</v>
      </c>
      <c r="D288" s="527">
        <f>IFERROR(VLOOKUP($C288,'2019'!$D:$G,4,0),0)</f>
        <v>0</v>
      </c>
      <c r="E288" s="234">
        <f>SUMIFS('2019'!$I:$I,'2019'!$E:$E,Category!$B$278,'2019'!$N:$N,Category!E$1,'2019'!$D:$D,Category!$C288)</f>
        <v>0</v>
      </c>
      <c r="F288" s="234">
        <f>SUMIFS('2019'!$I:$I,'2019'!$E:$E,Category!$B$278,'2019'!$N:$N,Category!F$1,'2019'!$D:$D,Category!$C288)</f>
        <v>0</v>
      </c>
      <c r="G288" s="234">
        <f>SUMIFS('2019'!$I:$I,'2019'!$E:$E,Category!$B$278,'2019'!$N:$N,Category!G$1,'2019'!$D:$D,Category!$C288)</f>
        <v>0</v>
      </c>
      <c r="H288" s="234">
        <f>SUMIFS('2019'!$I:$I,'2019'!$E:$E,Category!$B$278,'2019'!$N:$N,Category!H$1,'2019'!$D:$D,Category!$C288)</f>
        <v>0</v>
      </c>
      <c r="I288" s="234">
        <f>SUMIFS('2019'!$I:$I,'2019'!$E:$E,Category!$B$278,'2019'!$N:$N,Category!I$1,'2019'!$D:$D,Category!$C288)</f>
        <v>0</v>
      </c>
      <c r="J288" s="234">
        <f t="shared" si="116"/>
        <v>0</v>
      </c>
      <c r="K288" s="507">
        <f>IFERROR(VLOOKUP($C288,'2020'!$D:$G,4,0),0)</f>
        <v>0</v>
      </c>
      <c r="L288" s="234">
        <f>SUMIFS('2020'!$I:$I,'2020'!$E:$E,Category!$B$278,'2020'!$N:$N,Category!L$1,'2020'!$D:$D,Category!$C288)</f>
        <v>0</v>
      </c>
      <c r="M288" s="234">
        <f>SUMIFS('2020'!$I:$I,'2020'!$E:$E,Category!$B$278,'2020'!$N:$N,Category!M$1,'2020'!$D:$D,Category!$C288)</f>
        <v>0</v>
      </c>
      <c r="N288" s="234">
        <f>SUMIFS('2020'!$I:$I,'2020'!$E:$E,Category!$B$278,'2020'!$N:$N,Category!N$1,'2020'!$D:$D,Category!$C288)</f>
        <v>0</v>
      </c>
      <c r="O288" s="234">
        <f>SUMIFS('2020'!$I:$I,'2020'!$E:$E,Category!$B$278,'2020'!$N:$N,Category!O$1,'2020'!$D:$D,Category!$C288)</f>
        <v>0</v>
      </c>
      <c r="P288" s="234">
        <f>SUMIFS('2020'!$I:$I,'2020'!$E:$E,Category!$B$278,'2020'!$N:$N,Category!P$1,'2020'!$D:$D,Category!$C288)</f>
        <v>0</v>
      </c>
      <c r="Q288" s="234">
        <f>SUMIFS('2020'!$I:$I,'2020'!$E:$E,Category!$B$278,'2020'!$N:$N,Category!Q$1,'2020'!$D:$D,Category!$C288)</f>
        <v>0</v>
      </c>
      <c r="R288" s="234">
        <f>SUMIFS('2020'!$I:$I,'2020'!$E:$E,Category!$B$278,'2020'!$N:$N,Category!R$1,'2020'!$D:$D,Category!$C288)</f>
        <v>0</v>
      </c>
      <c r="S288" s="234">
        <f>SUMIFS('2020'!$I:$I,'2020'!$E:$E,Category!$B$278,'2020'!$N:$N,Category!S$1,'2020'!$D:$D,Category!$C288)</f>
        <v>3000000</v>
      </c>
      <c r="T288" s="234">
        <f>SUMIFS('2020'!$I:$I,'2020'!$E:$E,Category!$B$278,'2020'!$N:$N,Category!T$1,'2020'!$D:$D,Category!$C288)</f>
        <v>0</v>
      </c>
      <c r="U288" s="234">
        <f>SUMIFS('2020'!$I:$I,'2020'!$E:$E,Category!$B$278,'2020'!$N:$N,Category!U$1,'2020'!$D:$D,Category!$C288)</f>
        <v>3000000</v>
      </c>
      <c r="V288" s="234">
        <f>SUMIFS('2020'!$I:$I,'2020'!$E:$E,Category!$B$278,'2020'!$N:$N,Category!V$1,'2020'!$D:$D,Category!$C288)</f>
        <v>0</v>
      </c>
      <c r="W288" s="234">
        <f>SUMIFS('2020'!$I:$I,'2020'!$E:$E,Category!$B$278,'2020'!$N:$N,Category!W$1,'2020'!$D:$D,Category!$C288)</f>
        <v>0</v>
      </c>
      <c r="X288" s="234">
        <f t="shared" si="112"/>
        <v>6000000</v>
      </c>
      <c r="Y288" s="507">
        <f>IFERROR(VLOOKUP(C288,'2021'!$D:$G,4,0),0)</f>
        <v>0</v>
      </c>
      <c r="Z288" s="234">
        <f>SUMIFS('2021'!$I:$I,'2021'!$E:$E,Category!$B$278,'2021'!$N:$N,Category!Z$1,'2021'!$D:$D,Category!$C288)</f>
        <v>0</v>
      </c>
      <c r="AA288" s="234">
        <f>SUMIFS('2021'!$I:$I,'2021'!$E:$E,Category!$B$278,'2021'!$N:$N,Category!AA$1,'2021'!$D:$D,Category!$C288)</f>
        <v>0</v>
      </c>
      <c r="AB288" s="234">
        <f>SUMIFS('2021'!$I:$I,'2021'!$E:$E,Category!$B$278,'2021'!$N:$N,Category!AB$1,'2021'!$D:$D,Category!$C288)</f>
        <v>0</v>
      </c>
      <c r="AC288" s="234">
        <f>SUMIFS('2021'!$I:$I,'2021'!$E:$E,Category!$B$278,'2021'!$N:$N,Category!AC$1,'2021'!$D:$D,Category!$C288)</f>
        <v>0</v>
      </c>
      <c r="AD288" s="234">
        <f>SUMIFS('2021'!$I:$I,'2021'!$E:$E,Category!$B$278,'2021'!$N:$N,Category!AD$1,'2021'!$D:$D,Category!$C288)</f>
        <v>0</v>
      </c>
      <c r="AE288" s="234">
        <f>SUMIFS('2021'!$I:$I,'2021'!$E:$E,Category!$B$278,'2021'!$N:$N,Category!AE$1,'2021'!$D:$D,Category!$C288)</f>
        <v>0</v>
      </c>
      <c r="AF288" s="234">
        <f>SUMIFS('2021'!$I:$I,'2021'!$E:$E,Category!$B$278,'2021'!$N:$N,Category!AF$1,'2021'!$D:$D,Category!$C288)</f>
        <v>0</v>
      </c>
      <c r="AG288" s="234">
        <f>SUMIFS('2021'!$I:$I,'2021'!$E:$E,Category!$B$278,'2021'!$N:$N,Category!AG$1,'2021'!$D:$D,Category!$C288)</f>
        <v>0</v>
      </c>
      <c r="AH288" s="234">
        <f>SUMIFS('2021'!$I:$I,'2021'!$E:$E,Category!$B$278,'2021'!$N:$N,Category!AH$1,'2021'!$D:$D,Category!$C288)</f>
        <v>0</v>
      </c>
      <c r="AI288" s="234">
        <f>SUMIFS('2021'!$I:$I,'2021'!$E:$E,Category!$B$278,'2021'!$N:$N,Category!AI$1,'2021'!$D:$D,Category!$C288)</f>
        <v>0</v>
      </c>
      <c r="AJ288" s="234">
        <f>SUMIFS('2021'!$I:$I,'2021'!$E:$E,Category!$B$278,'2021'!$N:$N,Category!AJ$1,'2021'!$D:$D,Category!$C288)</f>
        <v>0</v>
      </c>
      <c r="AK288" s="234">
        <f>SUMIFS('2021'!$I:$I,'2021'!$E:$E,Category!$B$278,'2021'!$N:$N,Category!AK$1,'2021'!$D:$D,Category!$C288)</f>
        <v>0</v>
      </c>
      <c r="AL288" s="250">
        <f t="shared" si="113"/>
        <v>0</v>
      </c>
      <c r="AM288" s="507">
        <f>IFERROR(VLOOKUP(C288,'2022'!$D:$G,4,0),0)</f>
        <v>0</v>
      </c>
      <c r="AN288" s="234">
        <f>SUMIFS('2022'!$I:$I,'2022'!$E:$E,Category!$B$278,'2022'!$N:$N,Category!AN$1,'2022'!$D:$D,Category!$C288)</f>
        <v>0</v>
      </c>
      <c r="AO288" s="234">
        <f>SUMIFS('2022'!$I:$I,'2022'!$E:$E,Category!$B$278,'2022'!$N:$N,Category!AO$1,'2022'!$D:$D,Category!$C288)</f>
        <v>0</v>
      </c>
      <c r="AP288" s="234">
        <f>SUMIFS('2022'!$I:$I,'2022'!$E:$E,Category!$B$278,'2022'!$N:$N,Category!AP$1,'2022'!$D:$D,Category!$C288)</f>
        <v>0</v>
      </c>
      <c r="AQ288" s="234">
        <f>SUMIFS('2022'!$I:$I,'2022'!$E:$E,Category!$B$278,'2022'!$N:$N,Category!AQ$1,'2022'!$D:$D,Category!$C288)</f>
        <v>0</v>
      </c>
      <c r="AR288" s="234">
        <f>SUMIFS('2022'!$I:$I,'2022'!$E:$E,Category!$B$278,'2022'!$N:$N,Category!AR$1,'2022'!$D:$D,Category!$C288)</f>
        <v>0</v>
      </c>
      <c r="AS288" s="234">
        <f>SUMIFS('2022'!$I:$I,'2022'!$E:$E,Category!$B$278,'2022'!$N:$N,Category!AS$1,'2022'!$D:$D,Category!$C288)</f>
        <v>0</v>
      </c>
      <c r="AT288" s="234">
        <f>SUMIFS('2022'!$I:$I,'2022'!$E:$E,Category!$B$278,'2022'!$N:$N,Category!AT$1,'2022'!$D:$D,Category!$C288)</f>
        <v>0</v>
      </c>
      <c r="AU288" s="234">
        <f>SUMIFS('2022'!$I:$I,'2022'!$E:$E,Category!$B$278,'2022'!$N:$N,Category!AU$1,'2022'!$D:$D,Category!$C288)</f>
        <v>0</v>
      </c>
      <c r="AV288" s="234">
        <f>SUMIFS('2022'!$I:$I,'2022'!$E:$E,Category!$B$278,'2022'!$N:$N,Category!AV$1,'2022'!$D:$D,Category!$C288)</f>
        <v>0</v>
      </c>
      <c r="AW288" s="234">
        <f>SUMIFS('2022'!$I:$I,'2022'!$E:$E,Category!$B$278,'2022'!$N:$N,Category!AW$1,'2022'!$D:$D,Category!$C288)</f>
        <v>0</v>
      </c>
      <c r="AX288" s="234">
        <f>SUMIFS('2022'!$I:$I,'2022'!$E:$E,Category!$B$278,'2022'!$N:$N,Category!AX$1,'2022'!$D:$D,Category!$C288)</f>
        <v>0</v>
      </c>
      <c r="AY288" s="234">
        <f>SUMIFS('2022'!$I:$I,'2022'!$E:$E,Category!$B$278,'2022'!$N:$N,Category!AY$1,'2022'!$D:$D,Category!$C288)</f>
        <v>0</v>
      </c>
      <c r="AZ288" s="250">
        <f t="shared" si="115"/>
        <v>0</v>
      </c>
      <c r="BA288" s="507">
        <f>IFERROR(VLOOKUP(C288,'2023'!$D:$G,4,0),0)</f>
        <v>0</v>
      </c>
      <c r="BB288" s="234">
        <f>SUMIFS('2023'!$I:$I,'2023'!$E:$E,Category!$B$278,'2023'!$N:$N,Category!BB$1,'2023'!$D:$D,Category!$C288)</f>
        <v>0</v>
      </c>
      <c r="BC288" s="234">
        <f>SUMIFS('2023'!$I:$I,'2023'!$E:$E,Category!$B$278,'2023'!$N:$N,Category!BC$1,'2023'!$D:$D,Category!$C288)</f>
        <v>0</v>
      </c>
      <c r="BD288" s="234">
        <f>SUMIFS('2023'!$I:$I,'2023'!$E:$E,Category!$B$278,'2023'!$N:$N,Category!BD$1,'2023'!$D:$D,Category!$C288)</f>
        <v>0</v>
      </c>
      <c r="BE288" s="234">
        <f>SUMIFS('2023'!$I:$I,'2023'!$E:$E,Category!$B$278,'2023'!$N:$N,Category!BE$1,'2023'!$D:$D,Category!$C288)</f>
        <v>0</v>
      </c>
      <c r="BF288" s="234">
        <f>SUMIFS('2023'!$I:$I,'2023'!$E:$E,Category!$B$278,'2023'!$N:$N,Category!BF$1,'2023'!$D:$D,Category!$C288)</f>
        <v>0</v>
      </c>
      <c r="BG288" s="234">
        <f>SUMIFS('2023'!$I:$I,'2023'!$E:$E,Category!$B$278,'2023'!$N:$N,Category!BG$1,'2023'!$D:$D,Category!$C288)</f>
        <v>0</v>
      </c>
      <c r="BH288" s="234">
        <f>SUMIFS('2023'!$I:$I,'2023'!$E:$E,Category!$B$278,'2023'!$N:$N,Category!BH$1,'2023'!$D:$D,Category!$C288)</f>
        <v>0</v>
      </c>
      <c r="BI288" s="234">
        <f>SUMIFS('2023'!$I:$I,'2023'!$E:$E,Category!$B$278,'2023'!$N:$N,Category!BI$1,'2023'!$D:$D,Category!$C288)</f>
        <v>0</v>
      </c>
      <c r="BJ288" s="234">
        <f>SUMIFS('2023'!$I:$I,'2023'!$E:$E,Category!$B$278,'2023'!$N:$N,Category!BJ$1,'2023'!$D:$D,Category!$C288)</f>
        <v>0</v>
      </c>
      <c r="BK288" s="234">
        <f>SUMIFS('2023'!$I:$I,'2023'!$E:$E,Category!$B$278,'2023'!$N:$N,Category!BK$1,'2023'!$D:$D,Category!$C288)</f>
        <v>0</v>
      </c>
      <c r="BL288" s="234">
        <f>SUMIFS('2023'!$I:$I,'2023'!$E:$E,Category!$B$278,'2023'!$N:$N,Category!BL$1,'2023'!$D:$D,Category!$C288)</f>
        <v>0</v>
      </c>
      <c r="BM288" s="234">
        <f>SUMIFS('2023'!$I:$I,'2023'!$E:$E,Category!$B$278,'2023'!$N:$N,Category!BM$1,'2023'!$D:$D,Category!$C288)</f>
        <v>0</v>
      </c>
      <c r="BN288" s="250">
        <f t="shared" si="114"/>
        <v>0</v>
      </c>
    </row>
    <row r="289" spans="1:66" ht="21" hidden="1" customHeight="1" x14ac:dyDescent="0.3">
      <c r="A289" s="249"/>
      <c r="B289" s="235"/>
      <c r="C289" s="235"/>
      <c r="D289" s="527">
        <f>IFERROR(VLOOKUP($C289,'2019'!$D:$G,4,0),0)</f>
        <v>0</v>
      </c>
      <c r="E289" s="234">
        <f>SUMIFS('2019'!$I:$I,'2019'!$E:$E,Category!$B$278,'2019'!$N:$N,Category!E$1,'2019'!$D:$D,Category!$C289)</f>
        <v>0</v>
      </c>
      <c r="F289" s="234">
        <f>SUMIFS('2019'!$I:$I,'2019'!$E:$E,Category!$B$278,'2019'!$N:$N,Category!F$1,'2019'!$D:$D,Category!$C289)</f>
        <v>0</v>
      </c>
      <c r="G289" s="234">
        <f>SUMIFS('2019'!$I:$I,'2019'!$E:$E,Category!$B$278,'2019'!$N:$N,Category!G$1,'2019'!$D:$D,Category!$C289)</f>
        <v>0</v>
      </c>
      <c r="H289" s="234">
        <f>SUMIFS('2019'!$I:$I,'2019'!$E:$E,Category!$B$278,'2019'!$N:$N,Category!H$1,'2019'!$D:$D,Category!$C289)</f>
        <v>0</v>
      </c>
      <c r="I289" s="234">
        <f>SUMIFS('2019'!$I:$I,'2019'!$E:$E,Category!$B$278,'2019'!$N:$N,Category!I$1,'2019'!$D:$D,Category!$C289)</f>
        <v>0</v>
      </c>
      <c r="J289" s="234">
        <f t="shared" si="116"/>
        <v>0</v>
      </c>
      <c r="K289" s="507">
        <f>IFERROR(VLOOKUP($C289,'2020'!$D:$G,4,0),0)</f>
        <v>0</v>
      </c>
      <c r="L289" s="234">
        <f>SUMIFS('2020'!$I:$I,'2020'!$E:$E,Category!$B$278,'2020'!$N:$N,Category!L$1,'2020'!$D:$D,Category!$C289)</f>
        <v>0</v>
      </c>
      <c r="M289" s="234">
        <f>SUMIFS('2020'!$I:$I,'2020'!$E:$E,Category!$B$278,'2020'!$N:$N,Category!M$1,'2020'!$D:$D,Category!$C289)</f>
        <v>0</v>
      </c>
      <c r="N289" s="234">
        <f>SUMIFS('2020'!$I:$I,'2020'!$E:$E,Category!$B$278,'2020'!$N:$N,Category!N$1,'2020'!$D:$D,Category!$C289)</f>
        <v>0</v>
      </c>
      <c r="O289" s="234">
        <f>SUMIFS('2020'!$I:$I,'2020'!$E:$E,Category!$B$278,'2020'!$N:$N,Category!O$1,'2020'!$D:$D,Category!$C289)</f>
        <v>0</v>
      </c>
      <c r="P289" s="234">
        <f>SUMIFS('2020'!$I:$I,'2020'!$E:$E,Category!$B$278,'2020'!$N:$N,Category!P$1,'2020'!$D:$D,Category!$C289)</f>
        <v>0</v>
      </c>
      <c r="Q289" s="234">
        <f>SUMIFS('2020'!$I:$I,'2020'!$E:$E,Category!$B$278,'2020'!$N:$N,Category!Q$1,'2020'!$D:$D,Category!$C289)</f>
        <v>0</v>
      </c>
      <c r="R289" s="234">
        <f>SUMIFS('2020'!$I:$I,'2020'!$E:$E,Category!$B$278,'2020'!$N:$N,Category!R$1,'2020'!$D:$D,Category!$C289)</f>
        <v>0</v>
      </c>
      <c r="S289" s="234">
        <f>SUMIFS('2020'!$I:$I,'2020'!$E:$E,Category!$B$278,'2020'!$N:$N,Category!S$1,'2020'!$D:$D,Category!$C289)</f>
        <v>0</v>
      </c>
      <c r="T289" s="234">
        <f>SUMIFS('2020'!$I:$I,'2020'!$E:$E,Category!$B$278,'2020'!$N:$N,Category!T$1,'2020'!$D:$D,Category!$C289)</f>
        <v>0</v>
      </c>
      <c r="U289" s="234">
        <f>SUMIFS('2020'!$I:$I,'2020'!$E:$E,Category!$B$278,'2020'!$N:$N,Category!U$1,'2020'!$D:$D,Category!$C289)</f>
        <v>0</v>
      </c>
      <c r="V289" s="234">
        <f>SUMIFS('2020'!$I:$I,'2020'!$E:$E,Category!$B$278,'2020'!$N:$N,Category!V$1,'2020'!$D:$D,Category!$C289)</f>
        <v>0</v>
      </c>
      <c r="W289" s="234">
        <f>SUMIFS('2020'!$I:$I,'2020'!$E:$E,Category!$B$278,'2020'!$N:$N,Category!W$1,'2020'!$D:$D,Category!$C289)</f>
        <v>0</v>
      </c>
      <c r="X289" s="234">
        <f t="shared" ref="X289:X330" si="117">SUM(L289:W289)</f>
        <v>0</v>
      </c>
      <c r="Y289" s="507">
        <f>IFERROR(VLOOKUP(C289,'2021'!$D:$G,4,0),0)</f>
        <v>0</v>
      </c>
      <c r="Z289" s="234">
        <f>SUMIFS('2021'!$I:$I,'2021'!$E:$E,Category!$B$278,'2021'!$N:$N,Category!Z$1,'2021'!$D:$D,Category!$C289)</f>
        <v>0</v>
      </c>
      <c r="AA289" s="234">
        <f>SUMIFS('2021'!$I:$I,'2021'!$E:$E,Category!$B$278,'2021'!$N:$N,Category!AA$1,'2021'!$D:$D,Category!$C289)</f>
        <v>0</v>
      </c>
      <c r="AB289" s="234">
        <f>SUMIFS('2021'!$I:$I,'2021'!$E:$E,Category!$B$278,'2021'!$N:$N,Category!AB$1,'2021'!$D:$D,Category!$C289)</f>
        <v>0</v>
      </c>
      <c r="AC289" s="234">
        <f>SUMIFS('2021'!$I:$I,'2021'!$E:$E,Category!$B$278,'2021'!$N:$N,Category!AC$1,'2021'!$D:$D,Category!$C289)</f>
        <v>0</v>
      </c>
      <c r="AD289" s="234">
        <f>SUMIFS('2021'!$I:$I,'2021'!$E:$E,Category!$B$278,'2021'!$N:$N,Category!AD$1,'2021'!$D:$D,Category!$C289)</f>
        <v>0</v>
      </c>
      <c r="AE289" s="234">
        <f>SUMIFS('2021'!$I:$I,'2021'!$E:$E,Category!$B$278,'2021'!$N:$N,Category!AE$1,'2021'!$D:$D,Category!$C289)</f>
        <v>0</v>
      </c>
      <c r="AF289" s="234">
        <f>SUMIFS('2021'!$I:$I,'2021'!$E:$E,Category!$B$278,'2021'!$N:$N,Category!AF$1,'2021'!$D:$D,Category!$C289)</f>
        <v>0</v>
      </c>
      <c r="AG289" s="234">
        <f>SUMIFS('2021'!$I:$I,'2021'!$E:$E,Category!$B$278,'2021'!$N:$N,Category!AG$1,'2021'!$D:$D,Category!$C289)</f>
        <v>0</v>
      </c>
      <c r="AH289" s="234">
        <f>SUMIFS('2021'!$I:$I,'2021'!$E:$E,Category!$B$278,'2021'!$N:$N,Category!AH$1,'2021'!$D:$D,Category!$C289)</f>
        <v>0</v>
      </c>
      <c r="AI289" s="234">
        <f>SUMIFS('2021'!$I:$I,'2021'!$E:$E,Category!$B$278,'2021'!$N:$N,Category!AI$1,'2021'!$D:$D,Category!$C289)</f>
        <v>0</v>
      </c>
      <c r="AJ289" s="234">
        <f>SUMIFS('2021'!$I:$I,'2021'!$E:$E,Category!$B$278,'2021'!$N:$N,Category!AJ$1,'2021'!$D:$D,Category!$C289)</f>
        <v>0</v>
      </c>
      <c r="AK289" s="234">
        <f>SUMIFS('2021'!$I:$I,'2021'!$E:$E,Category!$B$278,'2021'!$N:$N,Category!AK$1,'2021'!$D:$D,Category!$C289)</f>
        <v>0</v>
      </c>
      <c r="AL289" s="250">
        <f t="shared" si="113"/>
        <v>0</v>
      </c>
      <c r="AM289" s="507">
        <f>IFERROR(VLOOKUP(C289,'2022'!$D:$G,4,0),0)</f>
        <v>0</v>
      </c>
      <c r="AN289" s="234">
        <f>SUMIFS('2022'!$I:$I,'2022'!$E:$E,Category!$B$278,'2022'!$N:$N,Category!AN$1,'2022'!$D:$D,Category!$C289)</f>
        <v>0</v>
      </c>
      <c r="AO289" s="234">
        <f>SUMIFS('2022'!$I:$I,'2022'!$E:$E,Category!$B$278,'2022'!$N:$N,Category!AO$1,'2022'!$D:$D,Category!$C289)</f>
        <v>0</v>
      </c>
      <c r="AP289" s="234">
        <f>SUMIFS('2022'!$I:$I,'2022'!$E:$E,Category!$B$278,'2022'!$N:$N,Category!AP$1,'2022'!$D:$D,Category!$C289)</f>
        <v>0</v>
      </c>
      <c r="AQ289" s="234">
        <f>SUMIFS('2022'!$I:$I,'2022'!$E:$E,Category!$B$278,'2022'!$N:$N,Category!AQ$1,'2022'!$D:$D,Category!$C289)</f>
        <v>0</v>
      </c>
      <c r="AR289" s="234">
        <f>SUMIFS('2022'!$I:$I,'2022'!$E:$E,Category!$B$278,'2022'!$N:$N,Category!AR$1,'2022'!$D:$D,Category!$C289)</f>
        <v>0</v>
      </c>
      <c r="AS289" s="234">
        <f>SUMIFS('2022'!$I:$I,'2022'!$E:$E,Category!$B$278,'2022'!$N:$N,Category!AS$1,'2022'!$D:$D,Category!$C289)</f>
        <v>0</v>
      </c>
      <c r="AT289" s="234">
        <f>SUMIFS('2022'!$I:$I,'2022'!$E:$E,Category!$B$278,'2022'!$N:$N,Category!AT$1,'2022'!$D:$D,Category!$C289)</f>
        <v>0</v>
      </c>
      <c r="AU289" s="234">
        <f>SUMIFS('2022'!$I:$I,'2022'!$E:$E,Category!$B$278,'2022'!$N:$N,Category!AU$1,'2022'!$D:$D,Category!$C289)</f>
        <v>0</v>
      </c>
      <c r="AV289" s="234">
        <f>SUMIFS('2022'!$I:$I,'2022'!$E:$E,Category!$B$278,'2022'!$N:$N,Category!AV$1,'2022'!$D:$D,Category!$C289)</f>
        <v>0</v>
      </c>
      <c r="AW289" s="234">
        <f>SUMIFS('2022'!$I:$I,'2022'!$E:$E,Category!$B$278,'2022'!$N:$N,Category!AW$1,'2022'!$D:$D,Category!$C289)</f>
        <v>0</v>
      </c>
      <c r="AX289" s="234">
        <f>SUMIFS('2022'!$I:$I,'2022'!$E:$E,Category!$B$278,'2022'!$N:$N,Category!AX$1,'2022'!$D:$D,Category!$C289)</f>
        <v>0</v>
      </c>
      <c r="AY289" s="234">
        <f>SUMIFS('2022'!$I:$I,'2022'!$E:$E,Category!$B$278,'2022'!$N:$N,Category!AY$1,'2022'!$D:$D,Category!$C289)</f>
        <v>0</v>
      </c>
      <c r="AZ289" s="250">
        <f>SUM(AN289:AY289)</f>
        <v>0</v>
      </c>
      <c r="BA289" s="507">
        <f>IFERROR(VLOOKUP(C289,'2023'!$D:$G,4,0),0)</f>
        <v>0</v>
      </c>
      <c r="BB289" s="234">
        <f>SUMIFS('2023'!$I:$I,'2023'!$E:$E,Category!$B$278,'2023'!$N:$N,Category!BB$1,'2023'!$D:$D,Category!$C289)</f>
        <v>0</v>
      </c>
      <c r="BC289" s="234">
        <f>SUMIFS('2023'!$I:$I,'2023'!$E:$E,Category!$B$278,'2023'!$N:$N,Category!BC$1,'2023'!$D:$D,Category!$C289)</f>
        <v>0</v>
      </c>
      <c r="BD289" s="234">
        <f>SUMIFS('2023'!$I:$I,'2023'!$E:$E,Category!$B$278,'2023'!$N:$N,Category!BD$1,'2023'!$D:$D,Category!$C289)</f>
        <v>0</v>
      </c>
      <c r="BE289" s="234">
        <f>SUMIFS('2023'!$I:$I,'2023'!$E:$E,Category!$B$278,'2023'!$N:$N,Category!BE$1,'2023'!$D:$D,Category!$C289)</f>
        <v>0</v>
      </c>
      <c r="BF289" s="234">
        <f>SUMIFS('2023'!$I:$I,'2023'!$E:$E,Category!$B$278,'2023'!$N:$N,Category!BF$1,'2023'!$D:$D,Category!$C289)</f>
        <v>0</v>
      </c>
      <c r="BG289" s="234">
        <f>SUMIFS('2023'!$I:$I,'2023'!$E:$E,Category!$B$278,'2023'!$N:$N,Category!BG$1,'2023'!$D:$D,Category!$C289)</f>
        <v>0</v>
      </c>
      <c r="BH289" s="234">
        <f>SUMIFS('2023'!$I:$I,'2023'!$E:$E,Category!$B$278,'2023'!$N:$N,Category!BH$1,'2023'!$D:$D,Category!$C289)</f>
        <v>0</v>
      </c>
      <c r="BI289" s="234">
        <f>SUMIFS('2023'!$I:$I,'2023'!$E:$E,Category!$B$278,'2023'!$N:$N,Category!BI$1,'2023'!$D:$D,Category!$C289)</f>
        <v>0</v>
      </c>
      <c r="BJ289" s="234">
        <f>SUMIFS('2023'!$I:$I,'2023'!$E:$E,Category!$B$278,'2023'!$N:$N,Category!BJ$1,'2023'!$D:$D,Category!$C289)</f>
        <v>0</v>
      </c>
      <c r="BK289" s="234">
        <f>SUMIFS('2023'!$I:$I,'2023'!$E:$E,Category!$B$278,'2023'!$N:$N,Category!BK$1,'2023'!$D:$D,Category!$C289)</f>
        <v>0</v>
      </c>
      <c r="BL289" s="234">
        <f>SUMIFS('2023'!$I:$I,'2023'!$E:$E,Category!$B$278,'2023'!$N:$N,Category!BL$1,'2023'!$D:$D,Category!$C289)</f>
        <v>0</v>
      </c>
      <c r="BM289" s="234">
        <f>SUMIFS('2023'!$I:$I,'2023'!$E:$E,Category!$B$278,'2023'!$N:$N,Category!BM$1,'2023'!$D:$D,Category!$C289)</f>
        <v>0</v>
      </c>
      <c r="BN289" s="250">
        <f t="shared" si="114"/>
        <v>0</v>
      </c>
    </row>
    <row r="290" spans="1:66" ht="21" hidden="1" customHeight="1" x14ac:dyDescent="0.3">
      <c r="A290" s="249"/>
      <c r="B290" s="235"/>
      <c r="C290" s="235"/>
      <c r="D290" s="527">
        <f>IFERROR(VLOOKUP($C290,'2019'!$D:$G,4,0),0)</f>
        <v>0</v>
      </c>
      <c r="E290" s="234">
        <f>SUMIFS('2019'!$I:$I,'2019'!$E:$E,Category!$B$278,'2019'!$N:$N,Category!E$1,'2019'!$D:$D,Category!$C290)</f>
        <v>0</v>
      </c>
      <c r="F290" s="234">
        <f>SUMIFS('2019'!$I:$I,'2019'!$E:$E,Category!$B$278,'2019'!$N:$N,Category!F$1,'2019'!$D:$D,Category!$C290)</f>
        <v>0</v>
      </c>
      <c r="G290" s="234">
        <f>SUMIFS('2019'!$I:$I,'2019'!$E:$E,Category!$B$278,'2019'!$N:$N,Category!G$1,'2019'!$D:$D,Category!$C290)</f>
        <v>0</v>
      </c>
      <c r="H290" s="234">
        <f>SUMIFS('2019'!$I:$I,'2019'!$E:$E,Category!$B$278,'2019'!$N:$N,Category!H$1,'2019'!$D:$D,Category!$C290)</f>
        <v>0</v>
      </c>
      <c r="I290" s="234">
        <f>SUMIFS('2019'!$I:$I,'2019'!$E:$E,Category!$B$278,'2019'!$N:$N,Category!I$1,'2019'!$D:$D,Category!$C290)</f>
        <v>0</v>
      </c>
      <c r="J290" s="234">
        <f t="shared" si="116"/>
        <v>0</v>
      </c>
      <c r="K290" s="507">
        <f>IFERROR(VLOOKUP($C290,'2020'!$D:$G,4,0),0)</f>
        <v>0</v>
      </c>
      <c r="L290" s="234">
        <f>SUMIFS('2020'!$I:$I,'2020'!$E:$E,Category!$B$278,'2020'!$N:$N,Category!L$1,'2020'!$D:$D,Category!$C290)</f>
        <v>0</v>
      </c>
      <c r="M290" s="234">
        <f>SUMIFS('2020'!$I:$I,'2020'!$E:$E,Category!$B$278,'2020'!$N:$N,Category!M$1,'2020'!$D:$D,Category!$C290)</f>
        <v>0</v>
      </c>
      <c r="N290" s="234">
        <f>SUMIFS('2020'!$I:$I,'2020'!$E:$E,Category!$B$278,'2020'!$N:$N,Category!N$1,'2020'!$D:$D,Category!$C290)</f>
        <v>0</v>
      </c>
      <c r="O290" s="234">
        <f>SUMIFS('2020'!$I:$I,'2020'!$E:$E,Category!$B$278,'2020'!$N:$N,Category!O$1,'2020'!$D:$D,Category!$C290)</f>
        <v>0</v>
      </c>
      <c r="P290" s="234">
        <f>SUMIFS('2020'!$I:$I,'2020'!$E:$E,Category!$B$278,'2020'!$N:$N,Category!P$1,'2020'!$D:$D,Category!$C290)</f>
        <v>0</v>
      </c>
      <c r="Q290" s="234">
        <f>SUMIFS('2020'!$I:$I,'2020'!$E:$E,Category!$B$278,'2020'!$N:$N,Category!Q$1,'2020'!$D:$D,Category!$C290)</f>
        <v>0</v>
      </c>
      <c r="R290" s="234">
        <f>SUMIFS('2020'!$I:$I,'2020'!$E:$E,Category!$B$278,'2020'!$N:$N,Category!R$1,'2020'!$D:$D,Category!$C290)</f>
        <v>0</v>
      </c>
      <c r="S290" s="234">
        <f>SUMIFS('2020'!$I:$I,'2020'!$E:$E,Category!$B$278,'2020'!$N:$N,Category!S$1,'2020'!$D:$D,Category!$C290)</f>
        <v>0</v>
      </c>
      <c r="T290" s="234">
        <f>SUMIFS('2020'!$I:$I,'2020'!$E:$E,Category!$B$278,'2020'!$N:$N,Category!T$1,'2020'!$D:$D,Category!$C290)</f>
        <v>0</v>
      </c>
      <c r="U290" s="234">
        <f>SUMIFS('2020'!$I:$I,'2020'!$E:$E,Category!$B$278,'2020'!$N:$N,Category!U$1,'2020'!$D:$D,Category!$C290)</f>
        <v>0</v>
      </c>
      <c r="V290" s="234">
        <f>SUMIFS('2020'!$I:$I,'2020'!$E:$E,Category!$B$278,'2020'!$N:$N,Category!V$1,'2020'!$D:$D,Category!$C290)</f>
        <v>0</v>
      </c>
      <c r="W290" s="234">
        <f>SUMIFS('2020'!$I:$I,'2020'!$E:$E,Category!$B$278,'2020'!$N:$N,Category!W$1,'2020'!$D:$D,Category!$C290)</f>
        <v>0</v>
      </c>
      <c r="X290" s="234">
        <f t="shared" si="117"/>
        <v>0</v>
      </c>
      <c r="Y290" s="507">
        <f>IFERROR(VLOOKUP(C290,'2021'!$D:$G,4,0),0)</f>
        <v>0</v>
      </c>
      <c r="Z290" s="234">
        <f>SUMIFS('2021'!$I:$I,'2021'!$E:$E,Category!$B$278,'2021'!$N:$N,Category!Z$1,'2021'!$D:$D,Category!$C290)</f>
        <v>0</v>
      </c>
      <c r="AA290" s="234">
        <f>SUMIFS('2021'!$I:$I,'2021'!$E:$E,Category!$B$278,'2021'!$N:$N,Category!AA$1,'2021'!$D:$D,Category!$C290)</f>
        <v>0</v>
      </c>
      <c r="AB290" s="234">
        <f>SUMIFS('2021'!$I:$I,'2021'!$E:$E,Category!$B$278,'2021'!$N:$N,Category!AB$1,'2021'!$D:$D,Category!$C290)</f>
        <v>0</v>
      </c>
      <c r="AC290" s="234">
        <f>SUMIFS('2021'!$I:$I,'2021'!$E:$E,Category!$B$278,'2021'!$N:$N,Category!AC$1,'2021'!$D:$D,Category!$C290)</f>
        <v>0</v>
      </c>
      <c r="AD290" s="234">
        <f>SUMIFS('2021'!$I:$I,'2021'!$E:$E,Category!$B$278,'2021'!$N:$N,Category!AD$1,'2021'!$D:$D,Category!$C290)</f>
        <v>0</v>
      </c>
      <c r="AE290" s="234">
        <f>SUMIFS('2021'!$I:$I,'2021'!$E:$E,Category!$B$278,'2021'!$N:$N,Category!AE$1,'2021'!$D:$D,Category!$C290)</f>
        <v>0</v>
      </c>
      <c r="AF290" s="234">
        <f>SUMIFS('2021'!$I:$I,'2021'!$E:$E,Category!$B$278,'2021'!$N:$N,Category!AF$1,'2021'!$D:$D,Category!$C290)</f>
        <v>0</v>
      </c>
      <c r="AG290" s="234">
        <f>SUMIFS('2021'!$I:$I,'2021'!$E:$E,Category!$B$278,'2021'!$N:$N,Category!AG$1,'2021'!$D:$D,Category!$C290)</f>
        <v>0</v>
      </c>
      <c r="AH290" s="234">
        <f>SUMIFS('2021'!$I:$I,'2021'!$E:$E,Category!$B$278,'2021'!$N:$N,Category!AH$1,'2021'!$D:$D,Category!$C290)</f>
        <v>0</v>
      </c>
      <c r="AI290" s="234">
        <f>SUMIFS('2021'!$I:$I,'2021'!$E:$E,Category!$B$278,'2021'!$N:$N,Category!AI$1,'2021'!$D:$D,Category!$C290)</f>
        <v>0</v>
      </c>
      <c r="AJ290" s="234">
        <f>SUMIFS('2021'!$I:$I,'2021'!$E:$E,Category!$B$278,'2021'!$N:$N,Category!AJ$1,'2021'!$D:$D,Category!$C290)</f>
        <v>0</v>
      </c>
      <c r="AK290" s="234">
        <f>SUMIFS('2021'!$I:$I,'2021'!$E:$E,Category!$B$278,'2021'!$N:$N,Category!AK$1,'2021'!$D:$D,Category!$C290)</f>
        <v>0</v>
      </c>
      <c r="AL290" s="250">
        <f t="shared" si="113"/>
        <v>0</v>
      </c>
      <c r="AM290" s="507">
        <f>IFERROR(VLOOKUP(C290,'2022'!$D:$G,4,0),0)</f>
        <v>0</v>
      </c>
      <c r="AN290" s="234">
        <f>SUMIFS('2022'!$I:$I,'2022'!$E:$E,Category!$B$278,'2022'!$N:$N,Category!AN$1,'2022'!$D:$D,Category!$C290)</f>
        <v>0</v>
      </c>
      <c r="AO290" s="234">
        <f>SUMIFS('2022'!$I:$I,'2022'!$E:$E,Category!$B$278,'2022'!$N:$N,Category!AO$1,'2022'!$D:$D,Category!$C290)</f>
        <v>0</v>
      </c>
      <c r="AP290" s="234">
        <f>SUMIFS('2022'!$I:$I,'2022'!$E:$E,Category!$B$278,'2022'!$N:$N,Category!AP$1,'2022'!$D:$D,Category!$C290)</f>
        <v>0</v>
      </c>
      <c r="AQ290" s="234">
        <f>SUMIFS('2022'!$I:$I,'2022'!$E:$E,Category!$B$278,'2022'!$N:$N,Category!AQ$1,'2022'!$D:$D,Category!$C290)</f>
        <v>0</v>
      </c>
      <c r="AR290" s="234">
        <f>SUMIFS('2022'!$I:$I,'2022'!$E:$E,Category!$B$278,'2022'!$N:$N,Category!AR$1,'2022'!$D:$D,Category!$C290)</f>
        <v>0</v>
      </c>
      <c r="AS290" s="234">
        <f>SUMIFS('2022'!$I:$I,'2022'!$E:$E,Category!$B$278,'2022'!$N:$N,Category!AS$1,'2022'!$D:$D,Category!$C290)</f>
        <v>0</v>
      </c>
      <c r="AT290" s="234">
        <f>SUMIFS('2022'!$I:$I,'2022'!$E:$E,Category!$B$278,'2022'!$N:$N,Category!AT$1,'2022'!$D:$D,Category!$C290)</f>
        <v>0</v>
      </c>
      <c r="AU290" s="234">
        <f>SUMIFS('2022'!$I:$I,'2022'!$E:$E,Category!$B$278,'2022'!$N:$N,Category!AU$1,'2022'!$D:$D,Category!$C290)</f>
        <v>0</v>
      </c>
      <c r="AV290" s="234">
        <f>SUMIFS('2022'!$I:$I,'2022'!$E:$E,Category!$B$278,'2022'!$N:$N,Category!AV$1,'2022'!$D:$D,Category!$C290)</f>
        <v>0</v>
      </c>
      <c r="AW290" s="234">
        <f>SUMIFS('2022'!$I:$I,'2022'!$E:$E,Category!$B$278,'2022'!$N:$N,Category!AW$1,'2022'!$D:$D,Category!$C290)</f>
        <v>0</v>
      </c>
      <c r="AX290" s="234">
        <f>SUMIFS('2022'!$I:$I,'2022'!$E:$E,Category!$B$278,'2022'!$N:$N,Category!AX$1,'2022'!$D:$D,Category!$C290)</f>
        <v>0</v>
      </c>
      <c r="AY290" s="234">
        <f>SUMIFS('2022'!$I:$I,'2022'!$E:$E,Category!$B$278,'2022'!$N:$N,Category!AY$1,'2022'!$D:$D,Category!$C290)</f>
        <v>0</v>
      </c>
      <c r="AZ290" s="250">
        <f>SUM(AN290:AY290)</f>
        <v>0</v>
      </c>
      <c r="BA290" s="507">
        <f>IFERROR(VLOOKUP(C290,'2023'!$D:$G,4,0),0)</f>
        <v>0</v>
      </c>
      <c r="BB290" s="234">
        <f>SUMIFS('2023'!$I:$I,'2023'!$E:$E,Category!$B$278,'2023'!$N:$N,Category!BB$1,'2023'!$D:$D,Category!$C290)</f>
        <v>0</v>
      </c>
      <c r="BC290" s="234">
        <f>SUMIFS('2023'!$I:$I,'2023'!$E:$E,Category!$B$278,'2023'!$N:$N,Category!BC$1,'2023'!$D:$D,Category!$C290)</f>
        <v>0</v>
      </c>
      <c r="BD290" s="234">
        <f>SUMIFS('2023'!$I:$I,'2023'!$E:$E,Category!$B$278,'2023'!$N:$N,Category!BD$1,'2023'!$D:$D,Category!$C290)</f>
        <v>0</v>
      </c>
      <c r="BE290" s="234">
        <f>SUMIFS('2023'!$I:$I,'2023'!$E:$E,Category!$B$278,'2023'!$N:$N,Category!BE$1,'2023'!$D:$D,Category!$C290)</f>
        <v>0</v>
      </c>
      <c r="BF290" s="234">
        <f>SUMIFS('2023'!$I:$I,'2023'!$E:$E,Category!$B$278,'2023'!$N:$N,Category!BF$1,'2023'!$D:$D,Category!$C290)</f>
        <v>0</v>
      </c>
      <c r="BG290" s="234">
        <f>SUMIFS('2023'!$I:$I,'2023'!$E:$E,Category!$B$278,'2023'!$N:$N,Category!BG$1,'2023'!$D:$D,Category!$C290)</f>
        <v>0</v>
      </c>
      <c r="BH290" s="234">
        <f>SUMIFS('2023'!$I:$I,'2023'!$E:$E,Category!$B$278,'2023'!$N:$N,Category!BH$1,'2023'!$D:$D,Category!$C290)</f>
        <v>0</v>
      </c>
      <c r="BI290" s="234">
        <f>SUMIFS('2023'!$I:$I,'2023'!$E:$E,Category!$B$278,'2023'!$N:$N,Category!BI$1,'2023'!$D:$D,Category!$C290)</f>
        <v>0</v>
      </c>
      <c r="BJ290" s="234">
        <f>SUMIFS('2023'!$I:$I,'2023'!$E:$E,Category!$B$278,'2023'!$N:$N,Category!BJ$1,'2023'!$D:$D,Category!$C290)</f>
        <v>0</v>
      </c>
      <c r="BK290" s="234">
        <f>SUMIFS('2023'!$I:$I,'2023'!$E:$E,Category!$B$278,'2023'!$N:$N,Category!BK$1,'2023'!$D:$D,Category!$C290)</f>
        <v>0</v>
      </c>
      <c r="BL290" s="234">
        <f>SUMIFS('2023'!$I:$I,'2023'!$E:$E,Category!$B$278,'2023'!$N:$N,Category!BL$1,'2023'!$D:$D,Category!$C290)</f>
        <v>0</v>
      </c>
      <c r="BM290" s="234">
        <f>SUMIFS('2023'!$I:$I,'2023'!$E:$E,Category!$B$278,'2023'!$N:$N,Category!BM$1,'2023'!$D:$D,Category!$C290)</f>
        <v>0</v>
      </c>
      <c r="BN290" s="250">
        <f t="shared" si="114"/>
        <v>0</v>
      </c>
    </row>
    <row r="291" spans="1:66" ht="21" hidden="1" customHeight="1" x14ac:dyDescent="0.3">
      <c r="A291" s="249"/>
      <c r="B291" s="235"/>
      <c r="C291" s="235"/>
      <c r="D291" s="527">
        <f>IFERROR(VLOOKUP($C291,'2019'!$D:$G,4,0),0)</f>
        <v>0</v>
      </c>
      <c r="E291" s="234">
        <f>SUMIFS('2019'!$I:$I,'2019'!$E:$E,Category!$B$278,'2019'!$N:$N,Category!E$1,'2019'!$D:$D,Category!$C291)</f>
        <v>0</v>
      </c>
      <c r="F291" s="234">
        <f>SUMIFS('2019'!$I:$I,'2019'!$E:$E,Category!$B$278,'2019'!$N:$N,Category!F$1,'2019'!$D:$D,Category!$C291)</f>
        <v>0</v>
      </c>
      <c r="G291" s="234">
        <f>SUMIFS('2019'!$I:$I,'2019'!$E:$E,Category!$B$278,'2019'!$N:$N,Category!G$1,'2019'!$D:$D,Category!$C291)</f>
        <v>0</v>
      </c>
      <c r="H291" s="234">
        <f>SUMIFS('2019'!$I:$I,'2019'!$E:$E,Category!$B$278,'2019'!$N:$N,Category!H$1,'2019'!$D:$D,Category!$C291)</f>
        <v>0</v>
      </c>
      <c r="I291" s="234">
        <f>SUMIFS('2019'!$I:$I,'2019'!$E:$E,Category!$B$278,'2019'!$N:$N,Category!I$1,'2019'!$D:$D,Category!$C291)</f>
        <v>0</v>
      </c>
      <c r="J291" s="234">
        <f t="shared" si="116"/>
        <v>0</v>
      </c>
      <c r="K291" s="507">
        <f>IFERROR(VLOOKUP($C291,'2020'!$D:$G,4,0),0)</f>
        <v>0</v>
      </c>
      <c r="L291" s="234">
        <f>SUMIFS('2020'!$I:$I,'2020'!$E:$E,Category!$B$278,'2020'!$N:$N,Category!L$1,'2020'!$D:$D,Category!$C291)</f>
        <v>0</v>
      </c>
      <c r="M291" s="234">
        <f>SUMIFS('2020'!$I:$I,'2020'!$E:$E,Category!$B$278,'2020'!$N:$N,Category!M$1,'2020'!$D:$D,Category!$C291)</f>
        <v>0</v>
      </c>
      <c r="N291" s="234">
        <f>SUMIFS('2020'!$I:$I,'2020'!$E:$E,Category!$B$278,'2020'!$N:$N,Category!N$1,'2020'!$D:$D,Category!$C291)</f>
        <v>0</v>
      </c>
      <c r="O291" s="234">
        <f>SUMIFS('2020'!$I:$I,'2020'!$E:$E,Category!$B$278,'2020'!$N:$N,Category!O$1,'2020'!$D:$D,Category!$C291)</f>
        <v>0</v>
      </c>
      <c r="P291" s="234">
        <f>SUMIFS('2020'!$I:$I,'2020'!$E:$E,Category!$B$278,'2020'!$N:$N,Category!P$1,'2020'!$D:$D,Category!$C291)</f>
        <v>0</v>
      </c>
      <c r="Q291" s="234">
        <f>SUMIFS('2020'!$I:$I,'2020'!$E:$E,Category!$B$278,'2020'!$N:$N,Category!Q$1,'2020'!$D:$D,Category!$C291)</f>
        <v>0</v>
      </c>
      <c r="R291" s="234">
        <f>SUMIFS('2020'!$I:$I,'2020'!$E:$E,Category!$B$278,'2020'!$N:$N,Category!R$1,'2020'!$D:$D,Category!$C291)</f>
        <v>0</v>
      </c>
      <c r="S291" s="234">
        <f>SUMIFS('2020'!$I:$I,'2020'!$E:$E,Category!$B$278,'2020'!$N:$N,Category!S$1,'2020'!$D:$D,Category!$C291)</f>
        <v>0</v>
      </c>
      <c r="T291" s="234">
        <f>SUMIFS('2020'!$I:$I,'2020'!$E:$E,Category!$B$278,'2020'!$N:$N,Category!T$1,'2020'!$D:$D,Category!$C291)</f>
        <v>0</v>
      </c>
      <c r="U291" s="234">
        <f>SUMIFS('2020'!$I:$I,'2020'!$E:$E,Category!$B$278,'2020'!$N:$N,Category!U$1,'2020'!$D:$D,Category!$C291)</f>
        <v>0</v>
      </c>
      <c r="V291" s="234">
        <f>SUMIFS('2020'!$I:$I,'2020'!$E:$E,Category!$B$278,'2020'!$N:$N,Category!V$1,'2020'!$D:$D,Category!$C291)</f>
        <v>0</v>
      </c>
      <c r="W291" s="234">
        <f>SUMIFS('2020'!$I:$I,'2020'!$E:$E,Category!$B$278,'2020'!$N:$N,Category!W$1,'2020'!$D:$D,Category!$C291)</f>
        <v>0</v>
      </c>
      <c r="X291" s="234">
        <f t="shared" si="117"/>
        <v>0</v>
      </c>
      <c r="Y291" s="507">
        <f>IFERROR(VLOOKUP(C291,'2021'!$D:$G,4,0),0)</f>
        <v>0</v>
      </c>
      <c r="Z291" s="234">
        <f>SUMIFS('2021'!$I:$I,'2021'!$E:$E,Category!$B$278,'2021'!$N:$N,Category!Z$1,'2021'!$D:$D,Category!$C291)</f>
        <v>0</v>
      </c>
      <c r="AA291" s="234">
        <f>SUMIFS('2021'!$I:$I,'2021'!$E:$E,Category!$B$278,'2021'!$N:$N,Category!AA$1,'2021'!$D:$D,Category!$C291)</f>
        <v>0</v>
      </c>
      <c r="AB291" s="234">
        <f>SUMIFS('2021'!$I:$I,'2021'!$E:$E,Category!$B$278,'2021'!$N:$N,Category!AB$1,'2021'!$D:$D,Category!$C291)</f>
        <v>0</v>
      </c>
      <c r="AC291" s="234">
        <f>SUMIFS('2021'!$I:$I,'2021'!$E:$E,Category!$B$278,'2021'!$N:$N,Category!AC$1,'2021'!$D:$D,Category!$C291)</f>
        <v>0</v>
      </c>
      <c r="AD291" s="234">
        <f>SUMIFS('2021'!$I:$I,'2021'!$E:$E,Category!$B$278,'2021'!$N:$N,Category!AD$1,'2021'!$D:$D,Category!$C291)</f>
        <v>0</v>
      </c>
      <c r="AE291" s="234">
        <f>SUMIFS('2021'!$I:$I,'2021'!$E:$E,Category!$B$278,'2021'!$N:$N,Category!AE$1,'2021'!$D:$D,Category!$C291)</f>
        <v>0</v>
      </c>
      <c r="AF291" s="234">
        <f>SUMIFS('2021'!$I:$I,'2021'!$E:$E,Category!$B$278,'2021'!$N:$N,Category!AF$1,'2021'!$D:$D,Category!$C291)</f>
        <v>0</v>
      </c>
      <c r="AG291" s="234">
        <f>SUMIFS('2021'!$I:$I,'2021'!$E:$E,Category!$B$278,'2021'!$N:$N,Category!AG$1,'2021'!$D:$D,Category!$C291)</f>
        <v>0</v>
      </c>
      <c r="AH291" s="234">
        <f>SUMIFS('2021'!$I:$I,'2021'!$E:$E,Category!$B$278,'2021'!$N:$N,Category!AH$1,'2021'!$D:$D,Category!$C291)</f>
        <v>0</v>
      </c>
      <c r="AI291" s="234">
        <f>SUMIFS('2021'!$I:$I,'2021'!$E:$E,Category!$B$278,'2021'!$N:$N,Category!AI$1,'2021'!$D:$D,Category!$C291)</f>
        <v>0</v>
      </c>
      <c r="AJ291" s="234">
        <f>SUMIFS('2021'!$I:$I,'2021'!$E:$E,Category!$B$278,'2021'!$N:$N,Category!AJ$1,'2021'!$D:$D,Category!$C291)</f>
        <v>0</v>
      </c>
      <c r="AK291" s="234">
        <f>SUMIFS('2021'!$I:$I,'2021'!$E:$E,Category!$B$278,'2021'!$N:$N,Category!AK$1,'2021'!$D:$D,Category!$C291)</f>
        <v>0</v>
      </c>
      <c r="AL291" s="250">
        <f t="shared" ref="AL291:AL329" si="118">SUM(Z291:AK291)</f>
        <v>0</v>
      </c>
      <c r="AM291" s="507">
        <f>IFERROR(VLOOKUP(C291,'2022'!$D:$G,4,0),0)</f>
        <v>0</v>
      </c>
      <c r="AN291" s="234">
        <f>SUMIFS('2022'!$I:$I,'2022'!$E:$E,Category!$B$278,'2022'!$N:$N,Category!AN$1,'2022'!$D:$D,Category!$C291)</f>
        <v>0</v>
      </c>
      <c r="AO291" s="234">
        <f>SUMIFS('2022'!$I:$I,'2022'!$E:$E,Category!$B$278,'2022'!$N:$N,Category!AO$1,'2022'!$D:$D,Category!$C291)</f>
        <v>0</v>
      </c>
      <c r="AP291" s="234">
        <f>SUMIFS('2022'!$I:$I,'2022'!$E:$E,Category!$B$278,'2022'!$N:$N,Category!AP$1,'2022'!$D:$D,Category!$C291)</f>
        <v>0</v>
      </c>
      <c r="AQ291" s="234">
        <f>SUMIFS('2022'!$I:$I,'2022'!$E:$E,Category!$B$278,'2022'!$N:$N,Category!AQ$1,'2022'!$D:$D,Category!$C291)</f>
        <v>0</v>
      </c>
      <c r="AR291" s="234">
        <f>SUMIFS('2022'!$I:$I,'2022'!$E:$E,Category!$B$278,'2022'!$N:$N,Category!AR$1,'2022'!$D:$D,Category!$C291)</f>
        <v>0</v>
      </c>
      <c r="AS291" s="234">
        <f>SUMIFS('2022'!$I:$I,'2022'!$E:$E,Category!$B$278,'2022'!$N:$N,Category!AS$1,'2022'!$D:$D,Category!$C291)</f>
        <v>0</v>
      </c>
      <c r="AT291" s="234">
        <f>SUMIFS('2022'!$I:$I,'2022'!$E:$E,Category!$B$278,'2022'!$N:$N,Category!AT$1,'2022'!$D:$D,Category!$C291)</f>
        <v>0</v>
      </c>
      <c r="AU291" s="234">
        <f>SUMIFS('2022'!$I:$I,'2022'!$E:$E,Category!$B$278,'2022'!$N:$N,Category!AU$1,'2022'!$D:$D,Category!$C291)</f>
        <v>0</v>
      </c>
      <c r="AV291" s="234">
        <f>SUMIFS('2022'!$I:$I,'2022'!$E:$E,Category!$B$278,'2022'!$N:$N,Category!AV$1,'2022'!$D:$D,Category!$C291)</f>
        <v>0</v>
      </c>
      <c r="AW291" s="234">
        <f>SUMIFS('2022'!$I:$I,'2022'!$E:$E,Category!$B$278,'2022'!$N:$N,Category!AW$1,'2022'!$D:$D,Category!$C291)</f>
        <v>0</v>
      </c>
      <c r="AX291" s="234">
        <f>SUMIFS('2022'!$I:$I,'2022'!$E:$E,Category!$B$278,'2022'!$N:$N,Category!AX$1,'2022'!$D:$D,Category!$C291)</f>
        <v>0</v>
      </c>
      <c r="AY291" s="234">
        <f>SUMIFS('2022'!$I:$I,'2022'!$E:$E,Category!$B$278,'2022'!$N:$N,Category!AY$1,'2022'!$D:$D,Category!$C291)</f>
        <v>0</v>
      </c>
      <c r="AZ291" s="250">
        <f t="shared" ref="AZ291:AZ329" si="119">SUM(AN291:AY291)</f>
        <v>0</v>
      </c>
      <c r="BA291" s="507">
        <f>IFERROR(VLOOKUP(C291,'2023'!$D:$G,4,0),0)</f>
        <v>0</v>
      </c>
      <c r="BB291" s="234">
        <f>SUMIFS('2023'!$I:$I,'2023'!$E:$E,Category!$B$278,'2023'!$N:$N,Category!BB$1,'2023'!$D:$D,Category!$C291)</f>
        <v>0</v>
      </c>
      <c r="BC291" s="234">
        <f>SUMIFS('2023'!$I:$I,'2023'!$E:$E,Category!$B$278,'2023'!$N:$N,Category!BC$1,'2023'!$D:$D,Category!$C291)</f>
        <v>0</v>
      </c>
      <c r="BD291" s="234">
        <f>SUMIFS('2023'!$I:$I,'2023'!$E:$E,Category!$B$278,'2023'!$N:$N,Category!BD$1,'2023'!$D:$D,Category!$C291)</f>
        <v>0</v>
      </c>
      <c r="BE291" s="234">
        <f>SUMIFS('2023'!$I:$I,'2023'!$E:$E,Category!$B$278,'2023'!$N:$N,Category!BE$1,'2023'!$D:$D,Category!$C291)</f>
        <v>0</v>
      </c>
      <c r="BF291" s="234">
        <f>SUMIFS('2023'!$I:$I,'2023'!$E:$E,Category!$B$278,'2023'!$N:$N,Category!BF$1,'2023'!$D:$D,Category!$C291)</f>
        <v>0</v>
      </c>
      <c r="BG291" s="234">
        <f>SUMIFS('2023'!$I:$I,'2023'!$E:$E,Category!$B$278,'2023'!$N:$N,Category!BG$1,'2023'!$D:$D,Category!$C291)</f>
        <v>0</v>
      </c>
      <c r="BH291" s="234">
        <f>SUMIFS('2023'!$I:$I,'2023'!$E:$E,Category!$B$278,'2023'!$N:$N,Category!BH$1,'2023'!$D:$D,Category!$C291)</f>
        <v>0</v>
      </c>
      <c r="BI291" s="234">
        <f>SUMIFS('2023'!$I:$I,'2023'!$E:$E,Category!$B$278,'2023'!$N:$N,Category!BI$1,'2023'!$D:$D,Category!$C291)</f>
        <v>0</v>
      </c>
      <c r="BJ291" s="234">
        <f>SUMIFS('2023'!$I:$I,'2023'!$E:$E,Category!$B$278,'2023'!$N:$N,Category!BJ$1,'2023'!$D:$D,Category!$C291)</f>
        <v>0</v>
      </c>
      <c r="BK291" s="234">
        <f>SUMIFS('2023'!$I:$I,'2023'!$E:$E,Category!$B$278,'2023'!$N:$N,Category!BK$1,'2023'!$D:$D,Category!$C291)</f>
        <v>0</v>
      </c>
      <c r="BL291" s="234">
        <f>SUMIFS('2023'!$I:$I,'2023'!$E:$E,Category!$B$278,'2023'!$N:$N,Category!BL$1,'2023'!$D:$D,Category!$C291)</f>
        <v>0</v>
      </c>
      <c r="BM291" s="234">
        <f>SUMIFS('2023'!$I:$I,'2023'!$E:$E,Category!$B$278,'2023'!$N:$N,Category!BM$1,'2023'!$D:$D,Category!$C291)</f>
        <v>0</v>
      </c>
      <c r="BN291" s="250">
        <f t="shared" si="114"/>
        <v>0</v>
      </c>
    </row>
    <row r="292" spans="1:66" ht="21" hidden="1" customHeight="1" x14ac:dyDescent="0.3">
      <c r="A292" s="249"/>
      <c r="B292" s="235"/>
      <c r="C292" s="235"/>
      <c r="D292" s="527">
        <f>IFERROR(VLOOKUP($C292,'2019'!$D:$G,4,0),0)</f>
        <v>0</v>
      </c>
      <c r="E292" s="234">
        <f>SUMIFS('2019'!$I:$I,'2019'!$E:$E,Category!$B$278,'2019'!$N:$N,Category!E$1,'2019'!$D:$D,Category!$C292)</f>
        <v>0</v>
      </c>
      <c r="F292" s="234">
        <f>SUMIFS('2019'!$I:$I,'2019'!$E:$E,Category!$B$278,'2019'!$N:$N,Category!F$1,'2019'!$D:$D,Category!$C292)</f>
        <v>0</v>
      </c>
      <c r="G292" s="234">
        <f>SUMIFS('2019'!$I:$I,'2019'!$E:$E,Category!$B$278,'2019'!$N:$N,Category!G$1,'2019'!$D:$D,Category!$C292)</f>
        <v>0</v>
      </c>
      <c r="H292" s="234">
        <f>SUMIFS('2019'!$I:$I,'2019'!$E:$E,Category!$B$278,'2019'!$N:$N,Category!H$1,'2019'!$D:$D,Category!$C292)</f>
        <v>0</v>
      </c>
      <c r="I292" s="234">
        <f>SUMIFS('2019'!$I:$I,'2019'!$E:$E,Category!$B$278,'2019'!$N:$N,Category!I$1,'2019'!$D:$D,Category!$C292)</f>
        <v>0</v>
      </c>
      <c r="J292" s="234">
        <f t="shared" si="116"/>
        <v>0</v>
      </c>
      <c r="K292" s="507">
        <f>IFERROR(VLOOKUP($C292,'2020'!$D:$G,4,0),0)</f>
        <v>0</v>
      </c>
      <c r="L292" s="234">
        <f>SUMIFS('2020'!$I:$I,'2020'!$E:$E,Category!$B$278,'2020'!$N:$N,Category!L$1,'2020'!$D:$D,Category!$C292)</f>
        <v>0</v>
      </c>
      <c r="M292" s="234">
        <f>SUMIFS('2020'!$I:$I,'2020'!$E:$E,Category!$B$278,'2020'!$N:$N,Category!M$1,'2020'!$D:$D,Category!$C292)</f>
        <v>0</v>
      </c>
      <c r="N292" s="234">
        <f>SUMIFS('2020'!$I:$I,'2020'!$E:$E,Category!$B$278,'2020'!$N:$N,Category!N$1,'2020'!$D:$D,Category!$C292)</f>
        <v>0</v>
      </c>
      <c r="O292" s="234">
        <f>SUMIFS('2020'!$I:$I,'2020'!$E:$E,Category!$B$278,'2020'!$N:$N,Category!O$1,'2020'!$D:$D,Category!$C292)</f>
        <v>0</v>
      </c>
      <c r="P292" s="234">
        <f>SUMIFS('2020'!$I:$I,'2020'!$E:$E,Category!$B$278,'2020'!$N:$N,Category!P$1,'2020'!$D:$D,Category!$C292)</f>
        <v>0</v>
      </c>
      <c r="Q292" s="234">
        <f>SUMIFS('2020'!$I:$I,'2020'!$E:$E,Category!$B$278,'2020'!$N:$N,Category!Q$1,'2020'!$D:$D,Category!$C292)</f>
        <v>0</v>
      </c>
      <c r="R292" s="234">
        <f>SUMIFS('2020'!$I:$I,'2020'!$E:$E,Category!$B$278,'2020'!$N:$N,Category!R$1,'2020'!$D:$D,Category!$C292)</f>
        <v>0</v>
      </c>
      <c r="S292" s="234">
        <f>SUMIFS('2020'!$I:$I,'2020'!$E:$E,Category!$B$278,'2020'!$N:$N,Category!S$1,'2020'!$D:$D,Category!$C292)</f>
        <v>0</v>
      </c>
      <c r="T292" s="234">
        <f>SUMIFS('2020'!$I:$I,'2020'!$E:$E,Category!$B$278,'2020'!$N:$N,Category!T$1,'2020'!$D:$D,Category!$C292)</f>
        <v>0</v>
      </c>
      <c r="U292" s="234">
        <f>SUMIFS('2020'!$I:$I,'2020'!$E:$E,Category!$B$278,'2020'!$N:$N,Category!U$1,'2020'!$D:$D,Category!$C292)</f>
        <v>0</v>
      </c>
      <c r="V292" s="234">
        <f>SUMIFS('2020'!$I:$I,'2020'!$E:$E,Category!$B$278,'2020'!$N:$N,Category!V$1,'2020'!$D:$D,Category!$C292)</f>
        <v>0</v>
      </c>
      <c r="W292" s="234">
        <f>SUMIFS('2020'!$I:$I,'2020'!$E:$E,Category!$B$278,'2020'!$N:$N,Category!W$1,'2020'!$D:$D,Category!$C292)</f>
        <v>0</v>
      </c>
      <c r="X292" s="234">
        <f t="shared" si="117"/>
        <v>0</v>
      </c>
      <c r="Y292" s="507">
        <f>IFERROR(VLOOKUP(C292,'2021'!$D:$G,4,0),0)</f>
        <v>0</v>
      </c>
      <c r="Z292" s="234">
        <f>SUMIFS('2021'!$I:$I,'2021'!$E:$E,Category!$B$278,'2021'!$N:$N,Category!Z$1,'2021'!$D:$D,Category!$C292)</f>
        <v>0</v>
      </c>
      <c r="AA292" s="234">
        <f>SUMIFS('2021'!$I:$I,'2021'!$E:$E,Category!$B$278,'2021'!$N:$N,Category!AA$1,'2021'!$D:$D,Category!$C292)</f>
        <v>0</v>
      </c>
      <c r="AB292" s="234">
        <f>SUMIFS('2021'!$I:$I,'2021'!$E:$E,Category!$B$278,'2021'!$N:$N,Category!AB$1,'2021'!$D:$D,Category!$C292)</f>
        <v>0</v>
      </c>
      <c r="AC292" s="234">
        <f>SUMIFS('2021'!$I:$I,'2021'!$E:$E,Category!$B$278,'2021'!$N:$N,Category!AC$1,'2021'!$D:$D,Category!$C292)</f>
        <v>0</v>
      </c>
      <c r="AD292" s="234">
        <f>SUMIFS('2021'!$I:$I,'2021'!$E:$E,Category!$B$278,'2021'!$N:$N,Category!AD$1,'2021'!$D:$D,Category!$C292)</f>
        <v>0</v>
      </c>
      <c r="AE292" s="234">
        <f>SUMIFS('2021'!$I:$I,'2021'!$E:$E,Category!$B$278,'2021'!$N:$N,Category!AE$1,'2021'!$D:$D,Category!$C292)</f>
        <v>0</v>
      </c>
      <c r="AF292" s="234">
        <f>SUMIFS('2021'!$I:$I,'2021'!$E:$E,Category!$B$278,'2021'!$N:$N,Category!AF$1,'2021'!$D:$D,Category!$C292)</f>
        <v>0</v>
      </c>
      <c r="AG292" s="234">
        <f>SUMIFS('2021'!$I:$I,'2021'!$E:$E,Category!$B$278,'2021'!$N:$N,Category!AG$1,'2021'!$D:$D,Category!$C292)</f>
        <v>0</v>
      </c>
      <c r="AH292" s="234">
        <f>SUMIFS('2021'!$I:$I,'2021'!$E:$E,Category!$B$278,'2021'!$N:$N,Category!AH$1,'2021'!$D:$D,Category!$C292)</f>
        <v>0</v>
      </c>
      <c r="AI292" s="234">
        <f>SUMIFS('2021'!$I:$I,'2021'!$E:$E,Category!$B$278,'2021'!$N:$N,Category!AI$1,'2021'!$D:$D,Category!$C292)</f>
        <v>0</v>
      </c>
      <c r="AJ292" s="234">
        <f>SUMIFS('2021'!$I:$I,'2021'!$E:$E,Category!$B$278,'2021'!$N:$N,Category!AJ$1,'2021'!$D:$D,Category!$C292)</f>
        <v>0</v>
      </c>
      <c r="AK292" s="234">
        <f>SUMIFS('2021'!$I:$I,'2021'!$E:$E,Category!$B$278,'2021'!$N:$N,Category!AK$1,'2021'!$D:$D,Category!$C292)</f>
        <v>0</v>
      </c>
      <c r="AL292" s="250">
        <f>SUM(Z292:AK292)</f>
        <v>0</v>
      </c>
      <c r="AM292" s="507">
        <f>IFERROR(VLOOKUP(C292,'2022'!$D:$G,4,0),0)</f>
        <v>0</v>
      </c>
      <c r="AN292" s="234">
        <f>SUMIFS('2022'!$I:$I,'2022'!$E:$E,Category!$B$278,'2022'!$N:$N,Category!AN$1,'2022'!$D:$D,Category!$C292)</f>
        <v>0</v>
      </c>
      <c r="AO292" s="234">
        <f>SUMIFS('2022'!$I:$I,'2022'!$E:$E,Category!$B$278,'2022'!$N:$N,Category!AO$1,'2022'!$D:$D,Category!$C292)</f>
        <v>0</v>
      </c>
      <c r="AP292" s="234">
        <f>SUMIFS('2022'!$I:$I,'2022'!$E:$E,Category!$B$278,'2022'!$N:$N,Category!AP$1,'2022'!$D:$D,Category!$C292)</f>
        <v>0</v>
      </c>
      <c r="AQ292" s="234">
        <f>SUMIFS('2022'!$I:$I,'2022'!$E:$E,Category!$B$278,'2022'!$N:$N,Category!AQ$1,'2022'!$D:$D,Category!$C292)</f>
        <v>0</v>
      </c>
      <c r="AR292" s="234">
        <f>SUMIFS('2022'!$I:$I,'2022'!$E:$E,Category!$B$278,'2022'!$N:$N,Category!AR$1,'2022'!$D:$D,Category!$C292)</f>
        <v>0</v>
      </c>
      <c r="AS292" s="234">
        <f>SUMIFS('2022'!$I:$I,'2022'!$E:$E,Category!$B$278,'2022'!$N:$N,Category!AS$1,'2022'!$D:$D,Category!$C292)</f>
        <v>0</v>
      </c>
      <c r="AT292" s="234">
        <f>SUMIFS('2022'!$I:$I,'2022'!$E:$E,Category!$B$278,'2022'!$N:$N,Category!AT$1,'2022'!$D:$D,Category!$C292)</f>
        <v>0</v>
      </c>
      <c r="AU292" s="234">
        <f>SUMIFS('2022'!$I:$I,'2022'!$E:$E,Category!$B$278,'2022'!$N:$N,Category!AU$1,'2022'!$D:$D,Category!$C292)</f>
        <v>0</v>
      </c>
      <c r="AV292" s="234">
        <f>SUMIFS('2022'!$I:$I,'2022'!$E:$E,Category!$B$278,'2022'!$N:$N,Category!AV$1,'2022'!$D:$D,Category!$C292)</f>
        <v>0</v>
      </c>
      <c r="AW292" s="234">
        <f>SUMIFS('2022'!$I:$I,'2022'!$E:$E,Category!$B$278,'2022'!$N:$N,Category!AW$1,'2022'!$D:$D,Category!$C292)</f>
        <v>0</v>
      </c>
      <c r="AX292" s="234">
        <f>SUMIFS('2022'!$I:$I,'2022'!$E:$E,Category!$B$278,'2022'!$N:$N,Category!AX$1,'2022'!$D:$D,Category!$C292)</f>
        <v>0</v>
      </c>
      <c r="AY292" s="234">
        <f>SUMIFS('2022'!$I:$I,'2022'!$E:$E,Category!$B$278,'2022'!$N:$N,Category!AY$1,'2022'!$D:$D,Category!$C292)</f>
        <v>0</v>
      </c>
      <c r="AZ292" s="250">
        <f t="shared" si="119"/>
        <v>0</v>
      </c>
      <c r="BA292" s="507">
        <f>IFERROR(VLOOKUP(C292,'2023'!$D:$G,4,0),0)</f>
        <v>0</v>
      </c>
      <c r="BB292" s="234">
        <f>SUMIFS('2023'!$I:$I,'2023'!$E:$E,Category!$B$278,'2023'!$N:$N,Category!BB$1,'2023'!$D:$D,Category!$C292)</f>
        <v>0</v>
      </c>
      <c r="BC292" s="234">
        <f>SUMIFS('2023'!$I:$I,'2023'!$E:$E,Category!$B$278,'2023'!$N:$N,Category!BC$1,'2023'!$D:$D,Category!$C292)</f>
        <v>0</v>
      </c>
      <c r="BD292" s="234">
        <f>SUMIFS('2023'!$I:$I,'2023'!$E:$E,Category!$B$278,'2023'!$N:$N,Category!BD$1,'2023'!$D:$D,Category!$C292)</f>
        <v>0</v>
      </c>
      <c r="BE292" s="234">
        <f>SUMIFS('2023'!$I:$I,'2023'!$E:$E,Category!$B$278,'2023'!$N:$N,Category!BE$1,'2023'!$D:$D,Category!$C292)</f>
        <v>0</v>
      </c>
      <c r="BF292" s="234">
        <f>SUMIFS('2023'!$I:$I,'2023'!$E:$E,Category!$B$278,'2023'!$N:$N,Category!BF$1,'2023'!$D:$D,Category!$C292)</f>
        <v>0</v>
      </c>
      <c r="BG292" s="234">
        <f>SUMIFS('2023'!$I:$I,'2023'!$E:$E,Category!$B$278,'2023'!$N:$N,Category!BG$1,'2023'!$D:$D,Category!$C292)</f>
        <v>0</v>
      </c>
      <c r="BH292" s="234">
        <f>SUMIFS('2023'!$I:$I,'2023'!$E:$E,Category!$B$278,'2023'!$N:$N,Category!BH$1,'2023'!$D:$D,Category!$C292)</f>
        <v>0</v>
      </c>
      <c r="BI292" s="234">
        <f>SUMIFS('2023'!$I:$I,'2023'!$E:$E,Category!$B$278,'2023'!$N:$N,Category!BI$1,'2023'!$D:$D,Category!$C292)</f>
        <v>0</v>
      </c>
      <c r="BJ292" s="234">
        <f>SUMIFS('2023'!$I:$I,'2023'!$E:$E,Category!$B$278,'2023'!$N:$N,Category!BJ$1,'2023'!$D:$D,Category!$C292)</f>
        <v>0</v>
      </c>
      <c r="BK292" s="234">
        <f>SUMIFS('2023'!$I:$I,'2023'!$E:$E,Category!$B$278,'2023'!$N:$N,Category!BK$1,'2023'!$D:$D,Category!$C292)</f>
        <v>0</v>
      </c>
      <c r="BL292" s="234">
        <f>SUMIFS('2023'!$I:$I,'2023'!$E:$E,Category!$B$278,'2023'!$N:$N,Category!BL$1,'2023'!$D:$D,Category!$C292)</f>
        <v>0</v>
      </c>
      <c r="BM292" s="234">
        <f>SUMIFS('2023'!$I:$I,'2023'!$E:$E,Category!$B$278,'2023'!$N:$N,Category!BM$1,'2023'!$D:$D,Category!$C292)</f>
        <v>0</v>
      </c>
      <c r="BN292" s="250">
        <f t="shared" si="114"/>
        <v>0</v>
      </c>
    </row>
    <row r="293" spans="1:66" ht="21" hidden="1" customHeight="1" x14ac:dyDescent="0.3">
      <c r="A293" s="249"/>
      <c r="B293" s="235"/>
      <c r="C293" s="235"/>
      <c r="D293" s="527">
        <f>IFERROR(VLOOKUP($C293,'2019'!$D:$G,4,0),0)</f>
        <v>0</v>
      </c>
      <c r="E293" s="234">
        <f>SUMIFS('2019'!$I:$I,'2019'!$E:$E,Category!$B$278,'2019'!$N:$N,Category!E$1,'2019'!$D:$D,Category!$C293)</f>
        <v>0</v>
      </c>
      <c r="F293" s="234">
        <f>SUMIFS('2019'!$I:$I,'2019'!$E:$E,Category!$B$278,'2019'!$N:$N,Category!F$1,'2019'!$D:$D,Category!$C293)</f>
        <v>0</v>
      </c>
      <c r="G293" s="234">
        <f>SUMIFS('2019'!$I:$I,'2019'!$E:$E,Category!$B$278,'2019'!$N:$N,Category!G$1,'2019'!$D:$D,Category!$C293)</f>
        <v>0</v>
      </c>
      <c r="H293" s="234">
        <f>SUMIFS('2019'!$I:$I,'2019'!$E:$E,Category!$B$278,'2019'!$N:$N,Category!H$1,'2019'!$D:$D,Category!$C293)</f>
        <v>0</v>
      </c>
      <c r="I293" s="234">
        <f>SUMIFS('2019'!$I:$I,'2019'!$E:$E,Category!$B$278,'2019'!$N:$N,Category!I$1,'2019'!$D:$D,Category!$C293)</f>
        <v>0</v>
      </c>
      <c r="J293" s="234">
        <f t="shared" si="116"/>
        <v>0</v>
      </c>
      <c r="K293" s="507">
        <f>IFERROR(VLOOKUP($C293,'2020'!$D:$G,4,0),0)</f>
        <v>0</v>
      </c>
      <c r="L293" s="234">
        <f>SUMIFS('2020'!$I:$I,'2020'!$E:$E,Category!$B$278,'2020'!$N:$N,Category!L$1,'2020'!$D:$D,Category!$C293)</f>
        <v>0</v>
      </c>
      <c r="M293" s="234">
        <f>SUMIFS('2020'!$I:$I,'2020'!$E:$E,Category!$B$278,'2020'!$N:$N,Category!M$1,'2020'!$D:$D,Category!$C293)</f>
        <v>0</v>
      </c>
      <c r="N293" s="234">
        <f>SUMIFS('2020'!$I:$I,'2020'!$E:$E,Category!$B$278,'2020'!$N:$N,Category!N$1,'2020'!$D:$D,Category!$C293)</f>
        <v>0</v>
      </c>
      <c r="O293" s="234">
        <f>SUMIFS('2020'!$I:$I,'2020'!$E:$E,Category!$B$278,'2020'!$N:$N,Category!O$1,'2020'!$D:$D,Category!$C293)</f>
        <v>0</v>
      </c>
      <c r="P293" s="234">
        <f>SUMIFS('2020'!$I:$I,'2020'!$E:$E,Category!$B$278,'2020'!$N:$N,Category!P$1,'2020'!$D:$D,Category!$C293)</f>
        <v>0</v>
      </c>
      <c r="Q293" s="234">
        <f>SUMIFS('2020'!$I:$I,'2020'!$E:$E,Category!$B$278,'2020'!$N:$N,Category!Q$1,'2020'!$D:$D,Category!$C293)</f>
        <v>0</v>
      </c>
      <c r="R293" s="234">
        <f>SUMIFS('2020'!$I:$I,'2020'!$E:$E,Category!$B$278,'2020'!$N:$N,Category!R$1,'2020'!$D:$D,Category!$C293)</f>
        <v>0</v>
      </c>
      <c r="S293" s="234">
        <f>SUMIFS('2020'!$I:$I,'2020'!$E:$E,Category!$B$278,'2020'!$N:$N,Category!S$1,'2020'!$D:$D,Category!$C293)</f>
        <v>0</v>
      </c>
      <c r="T293" s="234">
        <f>SUMIFS('2020'!$I:$I,'2020'!$E:$E,Category!$B$278,'2020'!$N:$N,Category!T$1,'2020'!$D:$D,Category!$C293)</f>
        <v>0</v>
      </c>
      <c r="U293" s="234">
        <f>SUMIFS('2020'!$I:$I,'2020'!$E:$E,Category!$B$278,'2020'!$N:$N,Category!U$1,'2020'!$D:$D,Category!$C293)</f>
        <v>0</v>
      </c>
      <c r="V293" s="234">
        <f>SUMIFS('2020'!$I:$I,'2020'!$E:$E,Category!$B$278,'2020'!$N:$N,Category!V$1,'2020'!$D:$D,Category!$C293)</f>
        <v>0</v>
      </c>
      <c r="W293" s="234">
        <f>SUMIFS('2020'!$I:$I,'2020'!$E:$E,Category!$B$278,'2020'!$N:$N,Category!W$1,'2020'!$D:$D,Category!$C293)</f>
        <v>0</v>
      </c>
      <c r="X293" s="234">
        <f t="shared" si="117"/>
        <v>0</v>
      </c>
      <c r="Y293" s="507">
        <f>IFERROR(VLOOKUP(C293,'2021'!$D:$G,4,0),0)</f>
        <v>0</v>
      </c>
      <c r="Z293" s="234">
        <f>SUMIFS('2021'!$I:$I,'2021'!$E:$E,Category!$B$278,'2021'!$N:$N,Category!Z$1,'2021'!$D:$D,Category!$C293)</f>
        <v>0</v>
      </c>
      <c r="AA293" s="234">
        <f>SUMIFS('2021'!$I:$I,'2021'!$E:$E,Category!$B$278,'2021'!$N:$N,Category!AA$1,'2021'!$D:$D,Category!$C293)</f>
        <v>0</v>
      </c>
      <c r="AB293" s="234">
        <f>SUMIFS('2021'!$I:$I,'2021'!$E:$E,Category!$B$278,'2021'!$N:$N,Category!AB$1,'2021'!$D:$D,Category!$C293)</f>
        <v>0</v>
      </c>
      <c r="AC293" s="234">
        <f>SUMIFS('2021'!$I:$I,'2021'!$E:$E,Category!$B$278,'2021'!$N:$N,Category!AC$1,'2021'!$D:$D,Category!$C293)</f>
        <v>0</v>
      </c>
      <c r="AD293" s="234">
        <f>SUMIFS('2021'!$I:$I,'2021'!$E:$E,Category!$B$278,'2021'!$N:$N,Category!AD$1,'2021'!$D:$D,Category!$C293)</f>
        <v>0</v>
      </c>
      <c r="AE293" s="234">
        <f>SUMIFS('2021'!$I:$I,'2021'!$E:$E,Category!$B$278,'2021'!$N:$N,Category!AE$1,'2021'!$D:$D,Category!$C293)</f>
        <v>0</v>
      </c>
      <c r="AF293" s="234">
        <f>SUMIFS('2021'!$I:$I,'2021'!$E:$E,Category!$B$278,'2021'!$N:$N,Category!AF$1,'2021'!$D:$D,Category!$C293)</f>
        <v>0</v>
      </c>
      <c r="AG293" s="234">
        <f>SUMIFS('2021'!$I:$I,'2021'!$E:$E,Category!$B$278,'2021'!$N:$N,Category!AG$1,'2021'!$D:$D,Category!$C293)</f>
        <v>0</v>
      </c>
      <c r="AH293" s="234">
        <f>SUMIFS('2021'!$I:$I,'2021'!$E:$E,Category!$B$278,'2021'!$N:$N,Category!AH$1,'2021'!$D:$D,Category!$C293)</f>
        <v>0</v>
      </c>
      <c r="AI293" s="234">
        <f>SUMIFS('2021'!$I:$I,'2021'!$E:$E,Category!$B$278,'2021'!$N:$N,Category!AI$1,'2021'!$D:$D,Category!$C293)</f>
        <v>0</v>
      </c>
      <c r="AJ293" s="234">
        <f>SUMIFS('2021'!$I:$I,'2021'!$E:$E,Category!$B$278,'2021'!$N:$N,Category!AJ$1,'2021'!$D:$D,Category!$C293)</f>
        <v>0</v>
      </c>
      <c r="AK293" s="234">
        <f>SUMIFS('2021'!$I:$I,'2021'!$E:$E,Category!$B$278,'2021'!$N:$N,Category!AK$1,'2021'!$D:$D,Category!$C293)</f>
        <v>0</v>
      </c>
      <c r="AL293" s="250">
        <f t="shared" si="118"/>
        <v>0</v>
      </c>
      <c r="AM293" s="507">
        <f>IFERROR(VLOOKUP(C293,'2022'!$D:$G,4,0),0)</f>
        <v>0</v>
      </c>
      <c r="AN293" s="234">
        <f>SUMIFS('2022'!$I:$I,'2022'!$E:$E,Category!$B$278,'2022'!$N:$N,Category!AN$1,'2022'!$D:$D,Category!$C293)</f>
        <v>0</v>
      </c>
      <c r="AO293" s="234">
        <f>SUMIFS('2022'!$I:$I,'2022'!$E:$E,Category!$B$278,'2022'!$N:$N,Category!AO$1,'2022'!$D:$D,Category!$C293)</f>
        <v>0</v>
      </c>
      <c r="AP293" s="234">
        <f>SUMIFS('2022'!$I:$I,'2022'!$E:$E,Category!$B$278,'2022'!$N:$N,Category!AP$1,'2022'!$D:$D,Category!$C293)</f>
        <v>0</v>
      </c>
      <c r="AQ293" s="234">
        <f>SUMIFS('2022'!$I:$I,'2022'!$E:$E,Category!$B$278,'2022'!$N:$N,Category!AQ$1,'2022'!$D:$D,Category!$C293)</f>
        <v>0</v>
      </c>
      <c r="AR293" s="234">
        <f>SUMIFS('2022'!$I:$I,'2022'!$E:$E,Category!$B$278,'2022'!$N:$N,Category!AR$1,'2022'!$D:$D,Category!$C293)</f>
        <v>0</v>
      </c>
      <c r="AS293" s="234">
        <f>SUMIFS('2022'!$I:$I,'2022'!$E:$E,Category!$B$278,'2022'!$N:$N,Category!AS$1,'2022'!$D:$D,Category!$C293)</f>
        <v>0</v>
      </c>
      <c r="AT293" s="234">
        <f>SUMIFS('2022'!$I:$I,'2022'!$E:$E,Category!$B$278,'2022'!$N:$N,Category!AT$1,'2022'!$D:$D,Category!$C293)</f>
        <v>0</v>
      </c>
      <c r="AU293" s="234">
        <f>SUMIFS('2022'!$I:$I,'2022'!$E:$E,Category!$B$278,'2022'!$N:$N,Category!AU$1,'2022'!$D:$D,Category!$C293)</f>
        <v>0</v>
      </c>
      <c r="AV293" s="234">
        <f>SUMIFS('2022'!$I:$I,'2022'!$E:$E,Category!$B$278,'2022'!$N:$N,Category!AV$1,'2022'!$D:$D,Category!$C293)</f>
        <v>0</v>
      </c>
      <c r="AW293" s="234">
        <f>SUMIFS('2022'!$I:$I,'2022'!$E:$E,Category!$B$278,'2022'!$N:$N,Category!AW$1,'2022'!$D:$D,Category!$C293)</f>
        <v>0</v>
      </c>
      <c r="AX293" s="234">
        <f>SUMIFS('2022'!$I:$I,'2022'!$E:$E,Category!$B$278,'2022'!$N:$N,Category!AX$1,'2022'!$D:$D,Category!$C293)</f>
        <v>0</v>
      </c>
      <c r="AY293" s="234">
        <f>SUMIFS('2022'!$I:$I,'2022'!$E:$E,Category!$B$278,'2022'!$N:$N,Category!AY$1,'2022'!$D:$D,Category!$C293)</f>
        <v>0</v>
      </c>
      <c r="AZ293" s="250">
        <f t="shared" si="119"/>
        <v>0</v>
      </c>
      <c r="BA293" s="507">
        <f>IFERROR(VLOOKUP(C293,'2023'!$D:$G,4,0),0)</f>
        <v>0</v>
      </c>
      <c r="BB293" s="234">
        <f>SUMIFS('2023'!$I:$I,'2023'!$E:$E,Category!$B$278,'2023'!$N:$N,Category!BB$1,'2023'!$D:$D,Category!$C293)</f>
        <v>0</v>
      </c>
      <c r="BC293" s="234">
        <f>SUMIFS('2023'!$I:$I,'2023'!$E:$E,Category!$B$278,'2023'!$N:$N,Category!BC$1,'2023'!$D:$D,Category!$C293)</f>
        <v>0</v>
      </c>
      <c r="BD293" s="234">
        <f>SUMIFS('2023'!$I:$I,'2023'!$E:$E,Category!$B$278,'2023'!$N:$N,Category!BD$1,'2023'!$D:$D,Category!$C293)</f>
        <v>0</v>
      </c>
      <c r="BE293" s="234">
        <f>SUMIFS('2023'!$I:$I,'2023'!$E:$E,Category!$B$278,'2023'!$N:$N,Category!BE$1,'2023'!$D:$D,Category!$C293)</f>
        <v>0</v>
      </c>
      <c r="BF293" s="234">
        <f>SUMIFS('2023'!$I:$I,'2023'!$E:$E,Category!$B$278,'2023'!$N:$N,Category!BF$1,'2023'!$D:$D,Category!$C293)</f>
        <v>0</v>
      </c>
      <c r="BG293" s="234">
        <f>SUMIFS('2023'!$I:$I,'2023'!$E:$E,Category!$B$278,'2023'!$N:$N,Category!BG$1,'2023'!$D:$D,Category!$C293)</f>
        <v>0</v>
      </c>
      <c r="BH293" s="234">
        <f>SUMIFS('2023'!$I:$I,'2023'!$E:$E,Category!$B$278,'2023'!$N:$N,Category!BH$1,'2023'!$D:$D,Category!$C293)</f>
        <v>0</v>
      </c>
      <c r="BI293" s="234">
        <f>SUMIFS('2023'!$I:$I,'2023'!$E:$E,Category!$B$278,'2023'!$N:$N,Category!BI$1,'2023'!$D:$D,Category!$C293)</f>
        <v>0</v>
      </c>
      <c r="BJ293" s="234">
        <f>SUMIFS('2023'!$I:$I,'2023'!$E:$E,Category!$B$278,'2023'!$N:$N,Category!BJ$1,'2023'!$D:$D,Category!$C293)</f>
        <v>0</v>
      </c>
      <c r="BK293" s="234">
        <f>SUMIFS('2023'!$I:$I,'2023'!$E:$E,Category!$B$278,'2023'!$N:$N,Category!BK$1,'2023'!$D:$D,Category!$C293)</f>
        <v>0</v>
      </c>
      <c r="BL293" s="234">
        <f>SUMIFS('2023'!$I:$I,'2023'!$E:$E,Category!$B$278,'2023'!$N:$N,Category!BL$1,'2023'!$D:$D,Category!$C293)</f>
        <v>0</v>
      </c>
      <c r="BM293" s="234">
        <f>SUMIFS('2023'!$I:$I,'2023'!$E:$E,Category!$B$278,'2023'!$N:$N,Category!BM$1,'2023'!$D:$D,Category!$C293)</f>
        <v>0</v>
      </c>
      <c r="BN293" s="250">
        <f t="shared" si="114"/>
        <v>0</v>
      </c>
    </row>
    <row r="294" spans="1:66" ht="21" hidden="1" customHeight="1" x14ac:dyDescent="0.3">
      <c r="A294" s="249"/>
      <c r="B294" s="235"/>
      <c r="C294" s="235"/>
      <c r="D294" s="527">
        <f>IFERROR(VLOOKUP($C294,'2019'!$D:$G,4,0),0)</f>
        <v>0</v>
      </c>
      <c r="E294" s="234">
        <f>SUMIFS('2019'!$I:$I,'2019'!$E:$E,Category!$B$278,'2019'!$N:$N,Category!E$1,'2019'!$D:$D,Category!$C294)</f>
        <v>0</v>
      </c>
      <c r="F294" s="234">
        <f>SUMIFS('2019'!$I:$I,'2019'!$E:$E,Category!$B$278,'2019'!$N:$N,Category!F$1,'2019'!$D:$D,Category!$C294)</f>
        <v>0</v>
      </c>
      <c r="G294" s="234">
        <f>SUMIFS('2019'!$I:$I,'2019'!$E:$E,Category!$B$278,'2019'!$N:$N,Category!G$1,'2019'!$D:$D,Category!$C294)</f>
        <v>0</v>
      </c>
      <c r="H294" s="234">
        <f>SUMIFS('2019'!$I:$I,'2019'!$E:$E,Category!$B$278,'2019'!$N:$N,Category!H$1,'2019'!$D:$D,Category!$C294)</f>
        <v>0</v>
      </c>
      <c r="I294" s="234">
        <f>SUMIFS('2019'!$I:$I,'2019'!$E:$E,Category!$B$278,'2019'!$N:$N,Category!I$1,'2019'!$D:$D,Category!$C294)</f>
        <v>0</v>
      </c>
      <c r="J294" s="234">
        <f t="shared" si="116"/>
        <v>0</v>
      </c>
      <c r="K294" s="507">
        <f>IFERROR(VLOOKUP($C294,'2020'!$D:$G,4,0),0)</f>
        <v>0</v>
      </c>
      <c r="L294" s="234">
        <f>SUMIFS('2020'!$I:$I,'2020'!$E:$E,Category!$B$278,'2020'!$N:$N,Category!L$1,'2020'!$D:$D,Category!$C294)</f>
        <v>0</v>
      </c>
      <c r="M294" s="234">
        <f>SUMIFS('2020'!$I:$I,'2020'!$E:$E,Category!$B$278,'2020'!$N:$N,Category!M$1,'2020'!$D:$D,Category!$C294)</f>
        <v>0</v>
      </c>
      <c r="N294" s="234">
        <f>SUMIFS('2020'!$I:$I,'2020'!$E:$E,Category!$B$278,'2020'!$N:$N,Category!N$1,'2020'!$D:$D,Category!$C294)</f>
        <v>0</v>
      </c>
      <c r="O294" s="234">
        <f>SUMIFS('2020'!$I:$I,'2020'!$E:$E,Category!$B$278,'2020'!$N:$N,Category!O$1,'2020'!$D:$D,Category!$C294)</f>
        <v>0</v>
      </c>
      <c r="P294" s="234">
        <f>SUMIFS('2020'!$I:$I,'2020'!$E:$E,Category!$B$278,'2020'!$N:$N,Category!P$1,'2020'!$D:$D,Category!$C294)</f>
        <v>0</v>
      </c>
      <c r="Q294" s="234">
        <f>SUMIFS('2020'!$I:$I,'2020'!$E:$E,Category!$B$278,'2020'!$N:$N,Category!Q$1,'2020'!$D:$D,Category!$C294)</f>
        <v>0</v>
      </c>
      <c r="R294" s="234">
        <f>SUMIFS('2020'!$I:$I,'2020'!$E:$E,Category!$B$278,'2020'!$N:$N,Category!R$1,'2020'!$D:$D,Category!$C294)</f>
        <v>0</v>
      </c>
      <c r="S294" s="234">
        <f>SUMIFS('2020'!$I:$I,'2020'!$E:$E,Category!$B$278,'2020'!$N:$N,Category!S$1,'2020'!$D:$D,Category!$C294)</f>
        <v>0</v>
      </c>
      <c r="T294" s="234">
        <f>SUMIFS('2020'!$I:$I,'2020'!$E:$E,Category!$B$278,'2020'!$N:$N,Category!T$1,'2020'!$D:$D,Category!$C294)</f>
        <v>0</v>
      </c>
      <c r="U294" s="234">
        <f>SUMIFS('2020'!$I:$I,'2020'!$E:$E,Category!$B$278,'2020'!$N:$N,Category!U$1,'2020'!$D:$D,Category!$C294)</f>
        <v>0</v>
      </c>
      <c r="V294" s="234">
        <f>SUMIFS('2020'!$I:$I,'2020'!$E:$E,Category!$B$278,'2020'!$N:$N,Category!V$1,'2020'!$D:$D,Category!$C294)</f>
        <v>0</v>
      </c>
      <c r="W294" s="234">
        <f>SUMIFS('2020'!$I:$I,'2020'!$E:$E,Category!$B$278,'2020'!$N:$N,Category!W$1,'2020'!$D:$D,Category!$C294)</f>
        <v>0</v>
      </c>
      <c r="X294" s="234">
        <f t="shared" si="117"/>
        <v>0</v>
      </c>
      <c r="Y294" s="507">
        <f>IFERROR(VLOOKUP(C294,'2021'!$D:$G,4,0),0)</f>
        <v>0</v>
      </c>
      <c r="Z294" s="234">
        <f>SUMIFS('2021'!$I:$I,'2021'!$E:$E,Category!$B$278,'2021'!$N:$N,Category!Z$1,'2021'!$D:$D,Category!$C294)</f>
        <v>0</v>
      </c>
      <c r="AA294" s="234">
        <f>SUMIFS('2021'!$I:$I,'2021'!$E:$E,Category!$B$278,'2021'!$N:$N,Category!AA$1,'2021'!$D:$D,Category!$C294)</f>
        <v>0</v>
      </c>
      <c r="AB294" s="234">
        <f>SUMIFS('2021'!$I:$I,'2021'!$E:$E,Category!$B$278,'2021'!$N:$N,Category!AB$1,'2021'!$D:$D,Category!$C294)</f>
        <v>0</v>
      </c>
      <c r="AC294" s="234">
        <f>SUMIFS('2021'!$I:$I,'2021'!$E:$E,Category!$B$278,'2021'!$N:$N,Category!AC$1,'2021'!$D:$D,Category!$C294)</f>
        <v>0</v>
      </c>
      <c r="AD294" s="234">
        <f>SUMIFS('2021'!$I:$I,'2021'!$E:$E,Category!$B$278,'2021'!$N:$N,Category!AD$1,'2021'!$D:$D,Category!$C294)</f>
        <v>0</v>
      </c>
      <c r="AE294" s="234">
        <f>SUMIFS('2021'!$I:$I,'2021'!$E:$E,Category!$B$278,'2021'!$N:$N,Category!AE$1,'2021'!$D:$D,Category!$C294)</f>
        <v>0</v>
      </c>
      <c r="AF294" s="234">
        <f>SUMIFS('2021'!$I:$I,'2021'!$E:$E,Category!$B$278,'2021'!$N:$N,Category!AF$1,'2021'!$D:$D,Category!$C294)</f>
        <v>0</v>
      </c>
      <c r="AG294" s="234">
        <f>SUMIFS('2021'!$I:$I,'2021'!$E:$E,Category!$B$278,'2021'!$N:$N,Category!AG$1,'2021'!$D:$D,Category!$C294)</f>
        <v>0</v>
      </c>
      <c r="AH294" s="234">
        <f>SUMIFS('2021'!$I:$I,'2021'!$E:$E,Category!$B$278,'2021'!$N:$N,Category!AH$1,'2021'!$D:$D,Category!$C294)</f>
        <v>0</v>
      </c>
      <c r="AI294" s="234">
        <f>SUMIFS('2021'!$I:$I,'2021'!$E:$E,Category!$B$278,'2021'!$N:$N,Category!AI$1,'2021'!$D:$D,Category!$C294)</f>
        <v>0</v>
      </c>
      <c r="AJ294" s="234">
        <f>SUMIFS('2021'!$I:$I,'2021'!$E:$E,Category!$B$278,'2021'!$N:$N,Category!AJ$1,'2021'!$D:$D,Category!$C294)</f>
        <v>0</v>
      </c>
      <c r="AK294" s="234">
        <f>SUMIFS('2021'!$I:$I,'2021'!$E:$E,Category!$B$278,'2021'!$N:$N,Category!AK$1,'2021'!$D:$D,Category!$C294)</f>
        <v>0</v>
      </c>
      <c r="AL294" s="250">
        <f t="shared" si="118"/>
        <v>0</v>
      </c>
      <c r="AM294" s="507">
        <f>IFERROR(VLOOKUP(C294,'2022'!$D:$G,4,0),0)</f>
        <v>0</v>
      </c>
      <c r="AN294" s="234">
        <f>SUMIFS('2022'!$I:$I,'2022'!$E:$E,Category!$B$278,'2022'!$N:$N,Category!AN$1,'2022'!$D:$D,Category!$C294)</f>
        <v>0</v>
      </c>
      <c r="AO294" s="234">
        <f>SUMIFS('2022'!$I:$I,'2022'!$E:$E,Category!$B$278,'2022'!$N:$N,Category!AO$1,'2022'!$D:$D,Category!$C294)</f>
        <v>0</v>
      </c>
      <c r="AP294" s="234">
        <f>SUMIFS('2022'!$I:$I,'2022'!$E:$E,Category!$B$278,'2022'!$N:$N,Category!AP$1,'2022'!$D:$D,Category!$C294)</f>
        <v>0</v>
      </c>
      <c r="AQ294" s="234">
        <f>SUMIFS('2022'!$I:$I,'2022'!$E:$E,Category!$B$278,'2022'!$N:$N,Category!AQ$1,'2022'!$D:$D,Category!$C294)</f>
        <v>0</v>
      </c>
      <c r="AR294" s="234">
        <f>SUMIFS('2022'!$I:$I,'2022'!$E:$E,Category!$B$278,'2022'!$N:$N,Category!AR$1,'2022'!$D:$D,Category!$C294)</f>
        <v>0</v>
      </c>
      <c r="AS294" s="234">
        <f>SUMIFS('2022'!$I:$I,'2022'!$E:$E,Category!$B$278,'2022'!$N:$N,Category!AS$1,'2022'!$D:$D,Category!$C294)</f>
        <v>0</v>
      </c>
      <c r="AT294" s="234">
        <f>SUMIFS('2022'!$I:$I,'2022'!$E:$E,Category!$B$278,'2022'!$N:$N,Category!AT$1,'2022'!$D:$D,Category!$C294)</f>
        <v>0</v>
      </c>
      <c r="AU294" s="234">
        <f>SUMIFS('2022'!$I:$I,'2022'!$E:$E,Category!$B$278,'2022'!$N:$N,Category!AU$1,'2022'!$D:$D,Category!$C294)</f>
        <v>0</v>
      </c>
      <c r="AV294" s="234">
        <f>SUMIFS('2022'!$I:$I,'2022'!$E:$E,Category!$B$278,'2022'!$N:$N,Category!AV$1,'2022'!$D:$D,Category!$C294)</f>
        <v>0</v>
      </c>
      <c r="AW294" s="234">
        <f>SUMIFS('2022'!$I:$I,'2022'!$E:$E,Category!$B$278,'2022'!$N:$N,Category!AW$1,'2022'!$D:$D,Category!$C294)</f>
        <v>0</v>
      </c>
      <c r="AX294" s="234">
        <f>SUMIFS('2022'!$I:$I,'2022'!$E:$E,Category!$B$278,'2022'!$N:$N,Category!AX$1,'2022'!$D:$D,Category!$C294)</f>
        <v>0</v>
      </c>
      <c r="AY294" s="234">
        <f>SUMIFS('2022'!$I:$I,'2022'!$E:$E,Category!$B$278,'2022'!$N:$N,Category!AY$1,'2022'!$D:$D,Category!$C294)</f>
        <v>0</v>
      </c>
      <c r="AZ294" s="250">
        <f t="shared" si="119"/>
        <v>0</v>
      </c>
      <c r="BA294" s="507">
        <f>IFERROR(VLOOKUP(C294,'2023'!$D:$G,4,0),0)</f>
        <v>0</v>
      </c>
      <c r="BB294" s="234">
        <f>SUMIFS('2023'!$I:$I,'2023'!$E:$E,Category!$B$278,'2023'!$N:$N,Category!BB$1,'2023'!$D:$D,Category!$C294)</f>
        <v>0</v>
      </c>
      <c r="BC294" s="234">
        <f>SUMIFS('2023'!$I:$I,'2023'!$E:$E,Category!$B$278,'2023'!$N:$N,Category!BC$1,'2023'!$D:$D,Category!$C294)</f>
        <v>0</v>
      </c>
      <c r="BD294" s="234">
        <f>SUMIFS('2023'!$I:$I,'2023'!$E:$E,Category!$B$278,'2023'!$N:$N,Category!BD$1,'2023'!$D:$D,Category!$C294)</f>
        <v>0</v>
      </c>
      <c r="BE294" s="234">
        <f>SUMIFS('2023'!$I:$I,'2023'!$E:$E,Category!$B$278,'2023'!$N:$N,Category!BE$1,'2023'!$D:$D,Category!$C294)</f>
        <v>0</v>
      </c>
      <c r="BF294" s="234">
        <f>SUMIFS('2023'!$I:$I,'2023'!$E:$E,Category!$B$278,'2023'!$N:$N,Category!BF$1,'2023'!$D:$D,Category!$C294)</f>
        <v>0</v>
      </c>
      <c r="BG294" s="234">
        <f>SUMIFS('2023'!$I:$I,'2023'!$E:$E,Category!$B$278,'2023'!$N:$N,Category!BG$1,'2023'!$D:$D,Category!$C294)</f>
        <v>0</v>
      </c>
      <c r="BH294" s="234">
        <f>SUMIFS('2023'!$I:$I,'2023'!$E:$E,Category!$B$278,'2023'!$N:$N,Category!BH$1,'2023'!$D:$D,Category!$C294)</f>
        <v>0</v>
      </c>
      <c r="BI294" s="234">
        <f>SUMIFS('2023'!$I:$I,'2023'!$E:$E,Category!$B$278,'2023'!$N:$N,Category!BI$1,'2023'!$D:$D,Category!$C294)</f>
        <v>0</v>
      </c>
      <c r="BJ294" s="234">
        <f>SUMIFS('2023'!$I:$I,'2023'!$E:$E,Category!$B$278,'2023'!$N:$N,Category!BJ$1,'2023'!$D:$D,Category!$C294)</f>
        <v>0</v>
      </c>
      <c r="BK294" s="234">
        <f>SUMIFS('2023'!$I:$I,'2023'!$E:$E,Category!$B$278,'2023'!$N:$N,Category!BK$1,'2023'!$D:$D,Category!$C294)</f>
        <v>0</v>
      </c>
      <c r="BL294" s="234">
        <f>SUMIFS('2023'!$I:$I,'2023'!$E:$E,Category!$B$278,'2023'!$N:$N,Category!BL$1,'2023'!$D:$D,Category!$C294)</f>
        <v>0</v>
      </c>
      <c r="BM294" s="234">
        <f>SUMIFS('2023'!$I:$I,'2023'!$E:$E,Category!$B$278,'2023'!$N:$N,Category!BM$1,'2023'!$D:$D,Category!$C294)</f>
        <v>0</v>
      </c>
      <c r="BN294" s="250">
        <f t="shared" si="114"/>
        <v>0</v>
      </c>
    </row>
    <row r="295" spans="1:66" ht="21" hidden="1" customHeight="1" x14ac:dyDescent="0.3">
      <c r="A295" s="249"/>
      <c r="B295" s="235"/>
      <c r="C295" s="235"/>
      <c r="D295" s="527">
        <f>IFERROR(VLOOKUP($C295,'2019'!$D:$G,4,0),0)</f>
        <v>0</v>
      </c>
      <c r="E295" s="234">
        <f>SUMIFS('2019'!$I:$I,'2019'!$E:$E,Category!$B$278,'2019'!$N:$N,Category!E$1,'2019'!$D:$D,Category!$C295)</f>
        <v>0</v>
      </c>
      <c r="F295" s="234">
        <f>SUMIFS('2019'!$I:$I,'2019'!$E:$E,Category!$B$278,'2019'!$N:$N,Category!F$1,'2019'!$D:$D,Category!$C295)</f>
        <v>0</v>
      </c>
      <c r="G295" s="234">
        <f>SUMIFS('2019'!$I:$I,'2019'!$E:$E,Category!$B$278,'2019'!$N:$N,Category!G$1,'2019'!$D:$D,Category!$C295)</f>
        <v>0</v>
      </c>
      <c r="H295" s="234">
        <f>SUMIFS('2019'!$I:$I,'2019'!$E:$E,Category!$B$278,'2019'!$N:$N,Category!H$1,'2019'!$D:$D,Category!$C295)</f>
        <v>0</v>
      </c>
      <c r="I295" s="234">
        <f>SUMIFS('2019'!$I:$I,'2019'!$E:$E,Category!$B$278,'2019'!$N:$N,Category!I$1,'2019'!$D:$D,Category!$C295)</f>
        <v>0</v>
      </c>
      <c r="J295" s="234">
        <f t="shared" si="116"/>
        <v>0</v>
      </c>
      <c r="K295" s="507">
        <f>IFERROR(VLOOKUP($C295,'2020'!$D:$G,4,0),0)</f>
        <v>0</v>
      </c>
      <c r="L295" s="234">
        <f>SUMIFS('2020'!$I:$I,'2020'!$E:$E,Category!$B$278,'2020'!$N:$N,Category!L$1,'2020'!$D:$D,Category!$C295)</f>
        <v>0</v>
      </c>
      <c r="M295" s="234">
        <f>SUMIFS('2020'!$I:$I,'2020'!$E:$E,Category!$B$278,'2020'!$N:$N,Category!M$1,'2020'!$D:$D,Category!$C295)</f>
        <v>0</v>
      </c>
      <c r="N295" s="234">
        <f>SUMIFS('2020'!$I:$I,'2020'!$E:$E,Category!$B$278,'2020'!$N:$N,Category!N$1,'2020'!$D:$D,Category!$C295)</f>
        <v>0</v>
      </c>
      <c r="O295" s="234">
        <f>SUMIFS('2020'!$I:$I,'2020'!$E:$E,Category!$B$278,'2020'!$N:$N,Category!O$1,'2020'!$D:$D,Category!$C295)</f>
        <v>0</v>
      </c>
      <c r="P295" s="234">
        <f>SUMIFS('2020'!$I:$I,'2020'!$E:$E,Category!$B$278,'2020'!$N:$N,Category!P$1,'2020'!$D:$D,Category!$C295)</f>
        <v>0</v>
      </c>
      <c r="Q295" s="234">
        <f>SUMIFS('2020'!$I:$I,'2020'!$E:$E,Category!$B$278,'2020'!$N:$N,Category!Q$1,'2020'!$D:$D,Category!$C295)</f>
        <v>0</v>
      </c>
      <c r="R295" s="234">
        <f>SUMIFS('2020'!$I:$I,'2020'!$E:$E,Category!$B$278,'2020'!$N:$N,Category!R$1,'2020'!$D:$D,Category!$C295)</f>
        <v>0</v>
      </c>
      <c r="S295" s="234">
        <f>SUMIFS('2020'!$I:$I,'2020'!$E:$E,Category!$B$278,'2020'!$N:$N,Category!S$1,'2020'!$D:$D,Category!$C295)</f>
        <v>0</v>
      </c>
      <c r="T295" s="234">
        <f>SUMIFS('2020'!$I:$I,'2020'!$E:$E,Category!$B$278,'2020'!$N:$N,Category!T$1,'2020'!$D:$D,Category!$C295)</f>
        <v>0</v>
      </c>
      <c r="U295" s="234">
        <f>SUMIFS('2020'!$I:$I,'2020'!$E:$E,Category!$B$278,'2020'!$N:$N,Category!U$1,'2020'!$D:$D,Category!$C295)</f>
        <v>0</v>
      </c>
      <c r="V295" s="234">
        <f>SUMIFS('2020'!$I:$I,'2020'!$E:$E,Category!$B$278,'2020'!$N:$N,Category!V$1,'2020'!$D:$D,Category!$C295)</f>
        <v>0</v>
      </c>
      <c r="W295" s="234">
        <f>SUMIFS('2020'!$I:$I,'2020'!$E:$E,Category!$B$278,'2020'!$N:$N,Category!W$1,'2020'!$D:$D,Category!$C295)</f>
        <v>0</v>
      </c>
      <c r="X295" s="234">
        <f t="shared" si="117"/>
        <v>0</v>
      </c>
      <c r="Y295" s="507">
        <f>IFERROR(VLOOKUP(C295,'2021'!$D:$G,4,0),0)</f>
        <v>0</v>
      </c>
      <c r="Z295" s="234">
        <f>SUMIFS('2021'!$I:$I,'2021'!$E:$E,Category!$B$278,'2021'!$N:$N,Category!Z$1,'2021'!$D:$D,Category!$C295)</f>
        <v>0</v>
      </c>
      <c r="AA295" s="234">
        <f>SUMIFS('2021'!$I:$I,'2021'!$E:$E,Category!$B$278,'2021'!$N:$N,Category!AA$1,'2021'!$D:$D,Category!$C295)</f>
        <v>0</v>
      </c>
      <c r="AB295" s="234">
        <f>SUMIFS('2021'!$I:$I,'2021'!$E:$E,Category!$B$278,'2021'!$N:$N,Category!AB$1,'2021'!$D:$D,Category!$C295)</f>
        <v>0</v>
      </c>
      <c r="AC295" s="234">
        <f>SUMIFS('2021'!$I:$I,'2021'!$E:$E,Category!$B$278,'2021'!$N:$N,Category!AC$1,'2021'!$D:$D,Category!$C295)</f>
        <v>0</v>
      </c>
      <c r="AD295" s="234">
        <f>SUMIFS('2021'!$I:$I,'2021'!$E:$E,Category!$B$278,'2021'!$N:$N,Category!AD$1,'2021'!$D:$D,Category!$C295)</f>
        <v>0</v>
      </c>
      <c r="AE295" s="234">
        <f>SUMIFS('2021'!$I:$I,'2021'!$E:$E,Category!$B$278,'2021'!$N:$N,Category!AE$1,'2021'!$D:$D,Category!$C295)</f>
        <v>0</v>
      </c>
      <c r="AF295" s="234">
        <f>SUMIFS('2021'!$I:$I,'2021'!$E:$E,Category!$B$278,'2021'!$N:$N,Category!AF$1,'2021'!$D:$D,Category!$C295)</f>
        <v>0</v>
      </c>
      <c r="AG295" s="234">
        <f>SUMIFS('2021'!$I:$I,'2021'!$E:$E,Category!$B$278,'2021'!$N:$N,Category!AG$1,'2021'!$D:$D,Category!$C295)</f>
        <v>0</v>
      </c>
      <c r="AH295" s="234">
        <f>SUMIFS('2021'!$I:$I,'2021'!$E:$E,Category!$B$278,'2021'!$N:$N,Category!AH$1,'2021'!$D:$D,Category!$C295)</f>
        <v>0</v>
      </c>
      <c r="AI295" s="234">
        <f>SUMIFS('2021'!$I:$I,'2021'!$E:$E,Category!$B$278,'2021'!$N:$N,Category!AI$1,'2021'!$D:$D,Category!$C295)</f>
        <v>0</v>
      </c>
      <c r="AJ295" s="234">
        <f>SUMIFS('2021'!$I:$I,'2021'!$E:$E,Category!$B$278,'2021'!$N:$N,Category!AJ$1,'2021'!$D:$D,Category!$C295)</f>
        <v>0</v>
      </c>
      <c r="AK295" s="234">
        <f>SUMIFS('2021'!$I:$I,'2021'!$E:$E,Category!$B$278,'2021'!$N:$N,Category!AK$1,'2021'!$D:$D,Category!$C295)</f>
        <v>0</v>
      </c>
      <c r="AL295" s="250">
        <f t="shared" si="118"/>
        <v>0</v>
      </c>
      <c r="AM295" s="507">
        <f>IFERROR(VLOOKUP(C295,'2022'!$D:$G,4,0),0)</f>
        <v>0</v>
      </c>
      <c r="AN295" s="234">
        <f>SUMIFS('2022'!$I:$I,'2022'!$E:$E,Category!$B$278,'2022'!$N:$N,Category!AN$1,'2022'!$D:$D,Category!$C295)</f>
        <v>0</v>
      </c>
      <c r="AO295" s="234">
        <f>SUMIFS('2022'!$I:$I,'2022'!$E:$E,Category!$B$278,'2022'!$N:$N,Category!AO$1,'2022'!$D:$D,Category!$C295)</f>
        <v>0</v>
      </c>
      <c r="AP295" s="234">
        <f>SUMIFS('2022'!$I:$I,'2022'!$E:$E,Category!$B$278,'2022'!$N:$N,Category!AP$1,'2022'!$D:$D,Category!$C295)</f>
        <v>0</v>
      </c>
      <c r="AQ295" s="234">
        <f>SUMIFS('2022'!$I:$I,'2022'!$E:$E,Category!$B$278,'2022'!$N:$N,Category!AQ$1,'2022'!$D:$D,Category!$C295)</f>
        <v>0</v>
      </c>
      <c r="AR295" s="234">
        <f>SUMIFS('2022'!$I:$I,'2022'!$E:$E,Category!$B$278,'2022'!$N:$N,Category!AR$1,'2022'!$D:$D,Category!$C295)</f>
        <v>0</v>
      </c>
      <c r="AS295" s="234">
        <f>SUMIFS('2022'!$I:$I,'2022'!$E:$E,Category!$B$278,'2022'!$N:$N,Category!AS$1,'2022'!$D:$D,Category!$C295)</f>
        <v>0</v>
      </c>
      <c r="AT295" s="234">
        <f>SUMIFS('2022'!$I:$I,'2022'!$E:$E,Category!$B$278,'2022'!$N:$N,Category!AT$1,'2022'!$D:$D,Category!$C295)</f>
        <v>0</v>
      </c>
      <c r="AU295" s="234">
        <f>SUMIFS('2022'!$I:$I,'2022'!$E:$E,Category!$B$278,'2022'!$N:$N,Category!AU$1,'2022'!$D:$D,Category!$C295)</f>
        <v>0</v>
      </c>
      <c r="AV295" s="234">
        <f>SUMIFS('2022'!$I:$I,'2022'!$E:$E,Category!$B$278,'2022'!$N:$N,Category!AV$1,'2022'!$D:$D,Category!$C295)</f>
        <v>0</v>
      </c>
      <c r="AW295" s="234">
        <f>SUMIFS('2022'!$I:$I,'2022'!$E:$E,Category!$B$278,'2022'!$N:$N,Category!AW$1,'2022'!$D:$D,Category!$C295)</f>
        <v>0</v>
      </c>
      <c r="AX295" s="234">
        <f>SUMIFS('2022'!$I:$I,'2022'!$E:$E,Category!$B$278,'2022'!$N:$N,Category!AX$1,'2022'!$D:$D,Category!$C295)</f>
        <v>0</v>
      </c>
      <c r="AY295" s="234">
        <f>SUMIFS('2022'!$I:$I,'2022'!$E:$E,Category!$B$278,'2022'!$N:$N,Category!AY$1,'2022'!$D:$D,Category!$C295)</f>
        <v>0</v>
      </c>
      <c r="AZ295" s="250">
        <f t="shared" si="119"/>
        <v>0</v>
      </c>
      <c r="BA295" s="507">
        <f>IFERROR(VLOOKUP(C295,'2023'!$D:$G,4,0),0)</f>
        <v>0</v>
      </c>
      <c r="BB295" s="234">
        <f>SUMIFS('2023'!$I:$I,'2023'!$E:$E,Category!$B$278,'2023'!$N:$N,Category!BB$1,'2023'!$D:$D,Category!$C295)</f>
        <v>0</v>
      </c>
      <c r="BC295" s="234">
        <f>SUMIFS('2023'!$I:$I,'2023'!$E:$E,Category!$B$278,'2023'!$N:$N,Category!BC$1,'2023'!$D:$D,Category!$C295)</f>
        <v>0</v>
      </c>
      <c r="BD295" s="234">
        <f>SUMIFS('2023'!$I:$I,'2023'!$E:$E,Category!$B$278,'2023'!$N:$N,Category!BD$1,'2023'!$D:$D,Category!$C295)</f>
        <v>0</v>
      </c>
      <c r="BE295" s="234">
        <f>SUMIFS('2023'!$I:$I,'2023'!$E:$E,Category!$B$278,'2023'!$N:$N,Category!BE$1,'2023'!$D:$D,Category!$C295)</f>
        <v>0</v>
      </c>
      <c r="BF295" s="234">
        <f>SUMIFS('2023'!$I:$I,'2023'!$E:$E,Category!$B$278,'2023'!$N:$N,Category!BF$1,'2023'!$D:$D,Category!$C295)</f>
        <v>0</v>
      </c>
      <c r="BG295" s="234">
        <f>SUMIFS('2023'!$I:$I,'2023'!$E:$E,Category!$B$278,'2023'!$N:$N,Category!BG$1,'2023'!$D:$D,Category!$C295)</f>
        <v>0</v>
      </c>
      <c r="BH295" s="234">
        <f>SUMIFS('2023'!$I:$I,'2023'!$E:$E,Category!$B$278,'2023'!$N:$N,Category!BH$1,'2023'!$D:$D,Category!$C295)</f>
        <v>0</v>
      </c>
      <c r="BI295" s="234">
        <f>SUMIFS('2023'!$I:$I,'2023'!$E:$E,Category!$B$278,'2023'!$N:$N,Category!BI$1,'2023'!$D:$D,Category!$C295)</f>
        <v>0</v>
      </c>
      <c r="BJ295" s="234">
        <f>SUMIFS('2023'!$I:$I,'2023'!$E:$E,Category!$B$278,'2023'!$N:$N,Category!BJ$1,'2023'!$D:$D,Category!$C295)</f>
        <v>0</v>
      </c>
      <c r="BK295" s="234">
        <f>SUMIFS('2023'!$I:$I,'2023'!$E:$E,Category!$B$278,'2023'!$N:$N,Category!BK$1,'2023'!$D:$D,Category!$C295)</f>
        <v>0</v>
      </c>
      <c r="BL295" s="234">
        <f>SUMIFS('2023'!$I:$I,'2023'!$E:$E,Category!$B$278,'2023'!$N:$N,Category!BL$1,'2023'!$D:$D,Category!$C295)</f>
        <v>0</v>
      </c>
      <c r="BM295" s="234">
        <f>SUMIFS('2023'!$I:$I,'2023'!$E:$E,Category!$B$278,'2023'!$N:$N,Category!BM$1,'2023'!$D:$D,Category!$C295)</f>
        <v>0</v>
      </c>
      <c r="BN295" s="250">
        <f t="shared" si="114"/>
        <v>0</v>
      </c>
    </row>
    <row r="296" spans="1:66" ht="21" hidden="1" customHeight="1" x14ac:dyDescent="0.3">
      <c r="A296" s="249"/>
      <c r="B296" s="235"/>
      <c r="C296" s="235"/>
      <c r="D296" s="527">
        <f>IFERROR(VLOOKUP($C296,'2019'!$D:$G,4,0),0)</f>
        <v>0</v>
      </c>
      <c r="E296" s="234">
        <f>SUMIFS('2019'!$I:$I,'2019'!$E:$E,Category!$B$278,'2019'!$N:$N,Category!E$1,'2019'!$D:$D,Category!$C296)</f>
        <v>0</v>
      </c>
      <c r="F296" s="234">
        <f>SUMIFS('2019'!$I:$I,'2019'!$E:$E,Category!$B$278,'2019'!$N:$N,Category!F$1,'2019'!$D:$D,Category!$C296)</f>
        <v>0</v>
      </c>
      <c r="G296" s="234">
        <f>SUMIFS('2019'!$I:$I,'2019'!$E:$E,Category!$B$278,'2019'!$N:$N,Category!G$1,'2019'!$D:$D,Category!$C296)</f>
        <v>0</v>
      </c>
      <c r="H296" s="234">
        <f>SUMIFS('2019'!$I:$I,'2019'!$E:$E,Category!$B$278,'2019'!$N:$N,Category!H$1,'2019'!$D:$D,Category!$C296)</f>
        <v>0</v>
      </c>
      <c r="I296" s="234">
        <f>SUMIFS('2019'!$I:$I,'2019'!$E:$E,Category!$B$278,'2019'!$N:$N,Category!I$1,'2019'!$D:$D,Category!$C296)</f>
        <v>0</v>
      </c>
      <c r="J296" s="234">
        <f t="shared" si="116"/>
        <v>0</v>
      </c>
      <c r="K296" s="507">
        <f>IFERROR(VLOOKUP($C296,'2020'!$D:$G,4,0),0)</f>
        <v>0</v>
      </c>
      <c r="L296" s="234">
        <f>SUMIFS('2020'!$I:$I,'2020'!$E:$E,Category!$B$278,'2020'!$N:$N,Category!L$1,'2020'!$D:$D,Category!$C296)</f>
        <v>0</v>
      </c>
      <c r="M296" s="234">
        <f>SUMIFS('2020'!$I:$I,'2020'!$E:$E,Category!$B$278,'2020'!$N:$N,Category!M$1,'2020'!$D:$D,Category!$C296)</f>
        <v>0</v>
      </c>
      <c r="N296" s="234">
        <f>SUMIFS('2020'!$I:$I,'2020'!$E:$E,Category!$B$278,'2020'!$N:$N,Category!N$1,'2020'!$D:$D,Category!$C296)</f>
        <v>0</v>
      </c>
      <c r="O296" s="234">
        <f>SUMIFS('2020'!$I:$I,'2020'!$E:$E,Category!$B$278,'2020'!$N:$N,Category!O$1,'2020'!$D:$D,Category!$C296)</f>
        <v>0</v>
      </c>
      <c r="P296" s="234">
        <f>SUMIFS('2020'!$I:$I,'2020'!$E:$E,Category!$B$278,'2020'!$N:$N,Category!P$1,'2020'!$D:$D,Category!$C296)</f>
        <v>0</v>
      </c>
      <c r="Q296" s="234">
        <f>SUMIFS('2020'!$I:$I,'2020'!$E:$E,Category!$B$278,'2020'!$N:$N,Category!Q$1,'2020'!$D:$D,Category!$C296)</f>
        <v>0</v>
      </c>
      <c r="R296" s="234">
        <f>SUMIFS('2020'!$I:$I,'2020'!$E:$E,Category!$B$278,'2020'!$N:$N,Category!R$1,'2020'!$D:$D,Category!$C296)</f>
        <v>0</v>
      </c>
      <c r="S296" s="234">
        <f>SUMIFS('2020'!$I:$I,'2020'!$E:$E,Category!$B$278,'2020'!$N:$N,Category!S$1,'2020'!$D:$D,Category!$C296)</f>
        <v>0</v>
      </c>
      <c r="T296" s="234">
        <f>SUMIFS('2020'!$I:$I,'2020'!$E:$E,Category!$B$278,'2020'!$N:$N,Category!T$1,'2020'!$D:$D,Category!$C296)</f>
        <v>0</v>
      </c>
      <c r="U296" s="234">
        <f>SUMIFS('2020'!$I:$I,'2020'!$E:$E,Category!$B$278,'2020'!$N:$N,Category!U$1,'2020'!$D:$D,Category!$C296)</f>
        <v>0</v>
      </c>
      <c r="V296" s="234">
        <f>SUMIFS('2020'!$I:$I,'2020'!$E:$E,Category!$B$278,'2020'!$N:$N,Category!V$1,'2020'!$D:$D,Category!$C296)</f>
        <v>0</v>
      </c>
      <c r="W296" s="234">
        <f>SUMIFS('2020'!$I:$I,'2020'!$E:$E,Category!$B$278,'2020'!$N:$N,Category!W$1,'2020'!$D:$D,Category!$C296)</f>
        <v>0</v>
      </c>
      <c r="X296" s="234">
        <f t="shared" si="117"/>
        <v>0</v>
      </c>
      <c r="Y296" s="507">
        <f>IFERROR(VLOOKUP(C296,'2021'!$D:$G,4,0),0)</f>
        <v>0</v>
      </c>
      <c r="Z296" s="234">
        <f>SUMIFS('2021'!$I:$I,'2021'!$E:$E,Category!$B$278,'2021'!$N:$N,Category!Z$1,'2021'!$D:$D,Category!$C296)</f>
        <v>0</v>
      </c>
      <c r="AA296" s="234">
        <f>SUMIFS('2021'!$I:$I,'2021'!$E:$E,Category!$B$278,'2021'!$N:$N,Category!AA$1,'2021'!$D:$D,Category!$C296)</f>
        <v>0</v>
      </c>
      <c r="AB296" s="234">
        <f>SUMIFS('2021'!$I:$I,'2021'!$E:$E,Category!$B$278,'2021'!$N:$N,Category!AB$1,'2021'!$D:$D,Category!$C296)</f>
        <v>0</v>
      </c>
      <c r="AC296" s="234">
        <f>SUMIFS('2021'!$I:$I,'2021'!$E:$E,Category!$B$278,'2021'!$N:$N,Category!AC$1,'2021'!$D:$D,Category!$C296)</f>
        <v>0</v>
      </c>
      <c r="AD296" s="234">
        <f>SUMIFS('2021'!$I:$I,'2021'!$E:$E,Category!$B$278,'2021'!$N:$N,Category!AD$1,'2021'!$D:$D,Category!$C296)</f>
        <v>0</v>
      </c>
      <c r="AE296" s="234">
        <f>SUMIFS('2021'!$I:$I,'2021'!$E:$E,Category!$B$278,'2021'!$N:$N,Category!AE$1,'2021'!$D:$D,Category!$C296)</f>
        <v>0</v>
      </c>
      <c r="AF296" s="234">
        <f>SUMIFS('2021'!$I:$I,'2021'!$E:$E,Category!$B$278,'2021'!$N:$N,Category!AF$1,'2021'!$D:$D,Category!$C296)</f>
        <v>0</v>
      </c>
      <c r="AG296" s="234">
        <f>SUMIFS('2021'!$I:$I,'2021'!$E:$E,Category!$B$278,'2021'!$N:$N,Category!AG$1,'2021'!$D:$D,Category!$C296)</f>
        <v>0</v>
      </c>
      <c r="AH296" s="234">
        <f>SUMIFS('2021'!$I:$I,'2021'!$E:$E,Category!$B$278,'2021'!$N:$N,Category!AH$1,'2021'!$D:$D,Category!$C296)</f>
        <v>0</v>
      </c>
      <c r="AI296" s="234">
        <f>SUMIFS('2021'!$I:$I,'2021'!$E:$E,Category!$B$278,'2021'!$N:$N,Category!AI$1,'2021'!$D:$D,Category!$C296)</f>
        <v>0</v>
      </c>
      <c r="AJ296" s="234">
        <f>SUMIFS('2021'!$I:$I,'2021'!$E:$E,Category!$B$278,'2021'!$N:$N,Category!AJ$1,'2021'!$D:$D,Category!$C296)</f>
        <v>0</v>
      </c>
      <c r="AK296" s="234">
        <f>SUMIFS('2021'!$I:$I,'2021'!$E:$E,Category!$B$278,'2021'!$N:$N,Category!AK$1,'2021'!$D:$D,Category!$C296)</f>
        <v>0</v>
      </c>
      <c r="AL296" s="250">
        <f t="shared" si="118"/>
        <v>0</v>
      </c>
      <c r="AM296" s="507">
        <f>IFERROR(VLOOKUP(C296,'2022'!$D:$G,4,0),0)</f>
        <v>0</v>
      </c>
      <c r="AN296" s="234">
        <f>SUMIFS('2022'!$I:$I,'2022'!$E:$E,Category!$B$278,'2022'!$N:$N,Category!AN$1,'2022'!$D:$D,Category!$C296)</f>
        <v>0</v>
      </c>
      <c r="AO296" s="234">
        <f>SUMIFS('2022'!$I:$I,'2022'!$E:$E,Category!$B$278,'2022'!$N:$N,Category!AO$1,'2022'!$D:$D,Category!$C296)</f>
        <v>0</v>
      </c>
      <c r="AP296" s="234">
        <f>SUMIFS('2022'!$I:$I,'2022'!$E:$E,Category!$B$278,'2022'!$N:$N,Category!AP$1,'2022'!$D:$D,Category!$C296)</f>
        <v>0</v>
      </c>
      <c r="AQ296" s="234">
        <f>SUMIFS('2022'!$I:$I,'2022'!$E:$E,Category!$B$278,'2022'!$N:$N,Category!AQ$1,'2022'!$D:$D,Category!$C296)</f>
        <v>0</v>
      </c>
      <c r="AR296" s="234">
        <f>SUMIFS('2022'!$I:$I,'2022'!$E:$E,Category!$B$278,'2022'!$N:$N,Category!AR$1,'2022'!$D:$D,Category!$C296)</f>
        <v>0</v>
      </c>
      <c r="AS296" s="234">
        <f>SUMIFS('2022'!$I:$I,'2022'!$E:$E,Category!$B$278,'2022'!$N:$N,Category!AS$1,'2022'!$D:$D,Category!$C296)</f>
        <v>0</v>
      </c>
      <c r="AT296" s="234">
        <f>SUMIFS('2022'!$I:$I,'2022'!$E:$E,Category!$B$278,'2022'!$N:$N,Category!AT$1,'2022'!$D:$D,Category!$C296)</f>
        <v>0</v>
      </c>
      <c r="AU296" s="234">
        <f>SUMIFS('2022'!$I:$I,'2022'!$E:$E,Category!$B$278,'2022'!$N:$N,Category!AU$1,'2022'!$D:$D,Category!$C296)</f>
        <v>0</v>
      </c>
      <c r="AV296" s="234">
        <f>SUMIFS('2022'!$I:$I,'2022'!$E:$E,Category!$B$278,'2022'!$N:$N,Category!AV$1,'2022'!$D:$D,Category!$C296)</f>
        <v>0</v>
      </c>
      <c r="AW296" s="234">
        <f>SUMIFS('2022'!$I:$I,'2022'!$E:$E,Category!$B$278,'2022'!$N:$N,Category!AW$1,'2022'!$D:$D,Category!$C296)</f>
        <v>0</v>
      </c>
      <c r="AX296" s="234">
        <f>SUMIFS('2022'!$I:$I,'2022'!$E:$E,Category!$B$278,'2022'!$N:$N,Category!AX$1,'2022'!$D:$D,Category!$C296)</f>
        <v>0</v>
      </c>
      <c r="AY296" s="234">
        <f>SUMIFS('2022'!$I:$I,'2022'!$E:$E,Category!$B$278,'2022'!$N:$N,Category!AY$1,'2022'!$D:$D,Category!$C296)</f>
        <v>0</v>
      </c>
      <c r="AZ296" s="250">
        <f t="shared" si="119"/>
        <v>0</v>
      </c>
      <c r="BA296" s="507">
        <f>IFERROR(VLOOKUP(C296,'2023'!$D:$G,4,0),0)</f>
        <v>0</v>
      </c>
      <c r="BB296" s="234">
        <f>SUMIFS('2023'!$I:$I,'2023'!$E:$E,Category!$B$278,'2023'!$N:$N,Category!BB$1,'2023'!$D:$D,Category!$C296)</f>
        <v>0</v>
      </c>
      <c r="BC296" s="234">
        <f>SUMIFS('2023'!$I:$I,'2023'!$E:$E,Category!$B$278,'2023'!$N:$N,Category!BC$1,'2023'!$D:$D,Category!$C296)</f>
        <v>0</v>
      </c>
      <c r="BD296" s="234">
        <f>SUMIFS('2023'!$I:$I,'2023'!$E:$E,Category!$B$278,'2023'!$N:$N,Category!BD$1,'2023'!$D:$D,Category!$C296)</f>
        <v>0</v>
      </c>
      <c r="BE296" s="234">
        <f>SUMIFS('2023'!$I:$I,'2023'!$E:$E,Category!$B$278,'2023'!$N:$N,Category!BE$1,'2023'!$D:$D,Category!$C296)</f>
        <v>0</v>
      </c>
      <c r="BF296" s="234">
        <f>SUMIFS('2023'!$I:$I,'2023'!$E:$E,Category!$B$278,'2023'!$N:$N,Category!BF$1,'2023'!$D:$D,Category!$C296)</f>
        <v>0</v>
      </c>
      <c r="BG296" s="234">
        <f>SUMIFS('2023'!$I:$I,'2023'!$E:$E,Category!$B$278,'2023'!$N:$N,Category!BG$1,'2023'!$D:$D,Category!$C296)</f>
        <v>0</v>
      </c>
      <c r="BH296" s="234">
        <f>SUMIFS('2023'!$I:$I,'2023'!$E:$E,Category!$B$278,'2023'!$N:$N,Category!BH$1,'2023'!$D:$D,Category!$C296)</f>
        <v>0</v>
      </c>
      <c r="BI296" s="234">
        <f>SUMIFS('2023'!$I:$I,'2023'!$E:$E,Category!$B$278,'2023'!$N:$N,Category!BI$1,'2023'!$D:$D,Category!$C296)</f>
        <v>0</v>
      </c>
      <c r="BJ296" s="234">
        <f>SUMIFS('2023'!$I:$I,'2023'!$E:$E,Category!$B$278,'2023'!$N:$N,Category!BJ$1,'2023'!$D:$D,Category!$C296)</f>
        <v>0</v>
      </c>
      <c r="BK296" s="234">
        <f>SUMIFS('2023'!$I:$I,'2023'!$E:$E,Category!$B$278,'2023'!$N:$N,Category!BK$1,'2023'!$D:$D,Category!$C296)</f>
        <v>0</v>
      </c>
      <c r="BL296" s="234">
        <f>SUMIFS('2023'!$I:$I,'2023'!$E:$E,Category!$B$278,'2023'!$N:$N,Category!BL$1,'2023'!$D:$D,Category!$C296)</f>
        <v>0</v>
      </c>
      <c r="BM296" s="234">
        <f>SUMIFS('2023'!$I:$I,'2023'!$E:$E,Category!$B$278,'2023'!$N:$N,Category!BM$1,'2023'!$D:$D,Category!$C296)</f>
        <v>0</v>
      </c>
      <c r="BN296" s="250">
        <f t="shared" si="114"/>
        <v>0</v>
      </c>
    </row>
    <row r="297" spans="1:66" ht="21" hidden="1" customHeight="1" x14ac:dyDescent="0.3">
      <c r="A297" s="249"/>
      <c r="B297" s="235"/>
      <c r="C297" s="235"/>
      <c r="D297" s="527">
        <f>IFERROR(VLOOKUP($C297,'2019'!$D:$G,4,0),0)</f>
        <v>0</v>
      </c>
      <c r="E297" s="234">
        <f>SUMIFS('2019'!$I:$I,'2019'!$E:$E,Category!$B$278,'2019'!$N:$N,Category!E$1,'2019'!$D:$D,Category!$C297)</f>
        <v>0</v>
      </c>
      <c r="F297" s="234">
        <f>SUMIFS('2019'!$I:$I,'2019'!$E:$E,Category!$B$278,'2019'!$N:$N,Category!F$1,'2019'!$D:$D,Category!$C297)</f>
        <v>0</v>
      </c>
      <c r="G297" s="234">
        <f>SUMIFS('2019'!$I:$I,'2019'!$E:$E,Category!$B$278,'2019'!$N:$N,Category!G$1,'2019'!$D:$D,Category!$C297)</f>
        <v>0</v>
      </c>
      <c r="H297" s="234">
        <f>SUMIFS('2019'!$I:$I,'2019'!$E:$E,Category!$B$278,'2019'!$N:$N,Category!H$1,'2019'!$D:$D,Category!$C297)</f>
        <v>0</v>
      </c>
      <c r="I297" s="234">
        <f>SUMIFS('2019'!$I:$I,'2019'!$E:$E,Category!$B$278,'2019'!$N:$N,Category!I$1,'2019'!$D:$D,Category!$C297)</f>
        <v>0</v>
      </c>
      <c r="J297" s="234">
        <f t="shared" si="116"/>
        <v>0</v>
      </c>
      <c r="K297" s="507">
        <f>IFERROR(VLOOKUP($C297,'2020'!$D:$G,4,0),0)</f>
        <v>0</v>
      </c>
      <c r="L297" s="234">
        <f>SUMIFS('2020'!$I:$I,'2020'!$E:$E,Category!$B$278,'2020'!$N:$N,Category!L$1,'2020'!$D:$D,Category!$C297)</f>
        <v>0</v>
      </c>
      <c r="M297" s="234">
        <f>SUMIFS('2020'!$I:$I,'2020'!$E:$E,Category!$B$278,'2020'!$N:$N,Category!M$1,'2020'!$D:$D,Category!$C297)</f>
        <v>0</v>
      </c>
      <c r="N297" s="234">
        <f>SUMIFS('2020'!$I:$I,'2020'!$E:$E,Category!$B$278,'2020'!$N:$N,Category!N$1,'2020'!$D:$D,Category!$C297)</f>
        <v>0</v>
      </c>
      <c r="O297" s="234">
        <f>SUMIFS('2020'!$I:$I,'2020'!$E:$E,Category!$B$278,'2020'!$N:$N,Category!O$1,'2020'!$D:$D,Category!$C297)</f>
        <v>0</v>
      </c>
      <c r="P297" s="234">
        <f>SUMIFS('2020'!$I:$I,'2020'!$E:$E,Category!$B$278,'2020'!$N:$N,Category!P$1,'2020'!$D:$D,Category!$C297)</f>
        <v>0</v>
      </c>
      <c r="Q297" s="234">
        <f>SUMIFS('2020'!$I:$I,'2020'!$E:$E,Category!$B$278,'2020'!$N:$N,Category!Q$1,'2020'!$D:$D,Category!$C297)</f>
        <v>0</v>
      </c>
      <c r="R297" s="234">
        <f>SUMIFS('2020'!$I:$I,'2020'!$E:$E,Category!$B$278,'2020'!$N:$N,Category!R$1,'2020'!$D:$D,Category!$C297)</f>
        <v>0</v>
      </c>
      <c r="S297" s="234">
        <f>SUMIFS('2020'!$I:$I,'2020'!$E:$E,Category!$B$278,'2020'!$N:$N,Category!S$1,'2020'!$D:$D,Category!$C297)</f>
        <v>0</v>
      </c>
      <c r="T297" s="234">
        <f>SUMIFS('2020'!$I:$I,'2020'!$E:$E,Category!$B$278,'2020'!$N:$N,Category!T$1,'2020'!$D:$D,Category!$C297)</f>
        <v>0</v>
      </c>
      <c r="U297" s="234">
        <f>SUMIFS('2020'!$I:$I,'2020'!$E:$E,Category!$B$278,'2020'!$N:$N,Category!U$1,'2020'!$D:$D,Category!$C297)</f>
        <v>0</v>
      </c>
      <c r="V297" s="234">
        <f>SUMIFS('2020'!$I:$I,'2020'!$E:$E,Category!$B$278,'2020'!$N:$N,Category!V$1,'2020'!$D:$D,Category!$C297)</f>
        <v>0</v>
      </c>
      <c r="W297" s="234">
        <f>SUMIFS('2020'!$I:$I,'2020'!$E:$E,Category!$B$278,'2020'!$N:$N,Category!W$1,'2020'!$D:$D,Category!$C297)</f>
        <v>0</v>
      </c>
      <c r="X297" s="234">
        <f t="shared" si="117"/>
        <v>0</v>
      </c>
      <c r="Y297" s="507">
        <f>IFERROR(VLOOKUP(C297,'2021'!$D:$G,4,0),0)</f>
        <v>0</v>
      </c>
      <c r="Z297" s="234">
        <f>SUMIFS('2021'!$I:$I,'2021'!$E:$E,Category!$B$278,'2021'!$N:$N,Category!Z$1,'2021'!$D:$D,Category!$C297)</f>
        <v>0</v>
      </c>
      <c r="AA297" s="234">
        <f>SUMIFS('2021'!$I:$I,'2021'!$E:$E,Category!$B$278,'2021'!$N:$N,Category!AA$1,'2021'!$D:$D,Category!$C297)</f>
        <v>0</v>
      </c>
      <c r="AB297" s="234">
        <f>SUMIFS('2021'!$I:$I,'2021'!$E:$E,Category!$B$278,'2021'!$N:$N,Category!AB$1,'2021'!$D:$D,Category!$C297)</f>
        <v>0</v>
      </c>
      <c r="AC297" s="234">
        <f>SUMIFS('2021'!$I:$I,'2021'!$E:$E,Category!$B$278,'2021'!$N:$N,Category!AC$1,'2021'!$D:$D,Category!$C297)</f>
        <v>0</v>
      </c>
      <c r="AD297" s="234">
        <f>SUMIFS('2021'!$I:$I,'2021'!$E:$E,Category!$B$278,'2021'!$N:$N,Category!AD$1,'2021'!$D:$D,Category!$C297)</f>
        <v>0</v>
      </c>
      <c r="AE297" s="234">
        <f>SUMIFS('2021'!$I:$I,'2021'!$E:$E,Category!$B$278,'2021'!$N:$N,Category!AE$1,'2021'!$D:$D,Category!$C297)</f>
        <v>0</v>
      </c>
      <c r="AF297" s="234">
        <f>SUMIFS('2021'!$I:$I,'2021'!$E:$E,Category!$B$278,'2021'!$N:$N,Category!AF$1,'2021'!$D:$D,Category!$C297)</f>
        <v>0</v>
      </c>
      <c r="AG297" s="234">
        <f>SUMIFS('2021'!$I:$I,'2021'!$E:$E,Category!$B$278,'2021'!$N:$N,Category!AG$1,'2021'!$D:$D,Category!$C297)</f>
        <v>0</v>
      </c>
      <c r="AH297" s="234">
        <f>SUMIFS('2021'!$I:$I,'2021'!$E:$E,Category!$B$278,'2021'!$N:$N,Category!AH$1,'2021'!$D:$D,Category!$C297)</f>
        <v>0</v>
      </c>
      <c r="AI297" s="234">
        <f>SUMIFS('2021'!$I:$I,'2021'!$E:$E,Category!$B$278,'2021'!$N:$N,Category!AI$1,'2021'!$D:$D,Category!$C297)</f>
        <v>0</v>
      </c>
      <c r="AJ297" s="234">
        <f>SUMIFS('2021'!$I:$I,'2021'!$E:$E,Category!$B$278,'2021'!$N:$N,Category!AJ$1,'2021'!$D:$D,Category!$C297)</f>
        <v>0</v>
      </c>
      <c r="AK297" s="234">
        <f>SUMIFS('2021'!$I:$I,'2021'!$E:$E,Category!$B$278,'2021'!$N:$N,Category!AK$1,'2021'!$D:$D,Category!$C297)</f>
        <v>0</v>
      </c>
      <c r="AL297" s="250">
        <f t="shared" si="118"/>
        <v>0</v>
      </c>
      <c r="AM297" s="507">
        <f>IFERROR(VLOOKUP(C297,'2022'!$D:$G,4,0),0)</f>
        <v>0</v>
      </c>
      <c r="AN297" s="234">
        <f>SUMIFS('2022'!$I:$I,'2022'!$E:$E,Category!$B$278,'2022'!$N:$N,Category!AN$1,'2022'!$D:$D,Category!$C297)</f>
        <v>0</v>
      </c>
      <c r="AO297" s="234">
        <f>SUMIFS('2022'!$I:$I,'2022'!$E:$E,Category!$B$278,'2022'!$N:$N,Category!AO$1,'2022'!$D:$D,Category!$C297)</f>
        <v>0</v>
      </c>
      <c r="AP297" s="234">
        <f>SUMIFS('2022'!$I:$I,'2022'!$E:$E,Category!$B$278,'2022'!$N:$N,Category!AP$1,'2022'!$D:$D,Category!$C297)</f>
        <v>0</v>
      </c>
      <c r="AQ297" s="234">
        <f>SUMIFS('2022'!$I:$I,'2022'!$E:$E,Category!$B$278,'2022'!$N:$N,Category!AQ$1,'2022'!$D:$D,Category!$C297)</f>
        <v>0</v>
      </c>
      <c r="AR297" s="234">
        <f>SUMIFS('2022'!$I:$I,'2022'!$E:$E,Category!$B$278,'2022'!$N:$N,Category!AR$1,'2022'!$D:$D,Category!$C297)</f>
        <v>0</v>
      </c>
      <c r="AS297" s="234">
        <f>SUMIFS('2022'!$I:$I,'2022'!$E:$E,Category!$B$278,'2022'!$N:$N,Category!AS$1,'2022'!$D:$D,Category!$C297)</f>
        <v>0</v>
      </c>
      <c r="AT297" s="234">
        <f>SUMIFS('2022'!$I:$I,'2022'!$E:$E,Category!$B$278,'2022'!$N:$N,Category!AT$1,'2022'!$D:$D,Category!$C297)</f>
        <v>0</v>
      </c>
      <c r="AU297" s="234">
        <f>SUMIFS('2022'!$I:$I,'2022'!$E:$E,Category!$B$278,'2022'!$N:$N,Category!AU$1,'2022'!$D:$D,Category!$C297)</f>
        <v>0</v>
      </c>
      <c r="AV297" s="234">
        <f>SUMIFS('2022'!$I:$I,'2022'!$E:$E,Category!$B$278,'2022'!$N:$N,Category!AV$1,'2022'!$D:$D,Category!$C297)</f>
        <v>0</v>
      </c>
      <c r="AW297" s="234">
        <f>SUMIFS('2022'!$I:$I,'2022'!$E:$E,Category!$B$278,'2022'!$N:$N,Category!AW$1,'2022'!$D:$D,Category!$C297)</f>
        <v>0</v>
      </c>
      <c r="AX297" s="234">
        <f>SUMIFS('2022'!$I:$I,'2022'!$E:$E,Category!$B$278,'2022'!$N:$N,Category!AX$1,'2022'!$D:$D,Category!$C297)</f>
        <v>0</v>
      </c>
      <c r="AY297" s="234">
        <f>SUMIFS('2022'!$I:$I,'2022'!$E:$E,Category!$B$278,'2022'!$N:$N,Category!AY$1,'2022'!$D:$D,Category!$C297)</f>
        <v>0</v>
      </c>
      <c r="AZ297" s="250">
        <f t="shared" si="119"/>
        <v>0</v>
      </c>
      <c r="BA297" s="507">
        <f>IFERROR(VLOOKUP(C297,'2023'!$D:$G,4,0),0)</f>
        <v>0</v>
      </c>
      <c r="BB297" s="234">
        <f>SUMIFS('2023'!$I:$I,'2023'!$E:$E,Category!$B$278,'2023'!$N:$N,Category!BB$1,'2023'!$D:$D,Category!$C297)</f>
        <v>0</v>
      </c>
      <c r="BC297" s="234">
        <f>SUMIFS('2023'!$I:$I,'2023'!$E:$E,Category!$B$278,'2023'!$N:$N,Category!BC$1,'2023'!$D:$D,Category!$C297)</f>
        <v>0</v>
      </c>
      <c r="BD297" s="234">
        <f>SUMIFS('2023'!$I:$I,'2023'!$E:$E,Category!$B$278,'2023'!$N:$N,Category!BD$1,'2023'!$D:$D,Category!$C297)</f>
        <v>0</v>
      </c>
      <c r="BE297" s="234">
        <f>SUMIFS('2023'!$I:$I,'2023'!$E:$E,Category!$B$278,'2023'!$N:$N,Category!BE$1,'2023'!$D:$D,Category!$C297)</f>
        <v>0</v>
      </c>
      <c r="BF297" s="234">
        <f>SUMIFS('2023'!$I:$I,'2023'!$E:$E,Category!$B$278,'2023'!$N:$N,Category!BF$1,'2023'!$D:$D,Category!$C297)</f>
        <v>0</v>
      </c>
      <c r="BG297" s="234">
        <f>SUMIFS('2023'!$I:$I,'2023'!$E:$E,Category!$B$278,'2023'!$N:$N,Category!BG$1,'2023'!$D:$D,Category!$C297)</f>
        <v>0</v>
      </c>
      <c r="BH297" s="234">
        <f>SUMIFS('2023'!$I:$I,'2023'!$E:$E,Category!$B$278,'2023'!$N:$N,Category!BH$1,'2023'!$D:$D,Category!$C297)</f>
        <v>0</v>
      </c>
      <c r="BI297" s="234">
        <f>SUMIFS('2023'!$I:$I,'2023'!$E:$E,Category!$B$278,'2023'!$N:$N,Category!BI$1,'2023'!$D:$D,Category!$C297)</f>
        <v>0</v>
      </c>
      <c r="BJ297" s="234">
        <f>SUMIFS('2023'!$I:$I,'2023'!$E:$E,Category!$B$278,'2023'!$N:$N,Category!BJ$1,'2023'!$D:$D,Category!$C297)</f>
        <v>0</v>
      </c>
      <c r="BK297" s="234">
        <f>SUMIFS('2023'!$I:$I,'2023'!$E:$E,Category!$B$278,'2023'!$N:$N,Category!BK$1,'2023'!$D:$D,Category!$C297)</f>
        <v>0</v>
      </c>
      <c r="BL297" s="234">
        <f>SUMIFS('2023'!$I:$I,'2023'!$E:$E,Category!$B$278,'2023'!$N:$N,Category!BL$1,'2023'!$D:$D,Category!$C297)</f>
        <v>0</v>
      </c>
      <c r="BM297" s="234">
        <f>SUMIFS('2023'!$I:$I,'2023'!$E:$E,Category!$B$278,'2023'!$N:$N,Category!BM$1,'2023'!$D:$D,Category!$C297)</f>
        <v>0</v>
      </c>
      <c r="BN297" s="250">
        <f t="shared" si="114"/>
        <v>0</v>
      </c>
    </row>
    <row r="298" spans="1:66" ht="21" hidden="1" customHeight="1" x14ac:dyDescent="0.3">
      <c r="A298" s="249"/>
      <c r="B298" s="235"/>
      <c r="C298" s="235"/>
      <c r="D298" s="527">
        <f>IFERROR(VLOOKUP($C298,'2019'!$D:$G,4,0),0)</f>
        <v>0</v>
      </c>
      <c r="E298" s="234">
        <f>SUMIFS('2019'!$I:$I,'2019'!$E:$E,Category!$B$278,'2019'!$N:$N,Category!E$1,'2019'!$D:$D,Category!$C298)</f>
        <v>0</v>
      </c>
      <c r="F298" s="234">
        <f>SUMIFS('2019'!$I:$I,'2019'!$E:$E,Category!$B$278,'2019'!$N:$N,Category!F$1,'2019'!$D:$D,Category!$C298)</f>
        <v>0</v>
      </c>
      <c r="G298" s="234">
        <f>SUMIFS('2019'!$I:$I,'2019'!$E:$E,Category!$B$278,'2019'!$N:$N,Category!G$1,'2019'!$D:$D,Category!$C298)</f>
        <v>0</v>
      </c>
      <c r="H298" s="234">
        <f>SUMIFS('2019'!$I:$I,'2019'!$E:$E,Category!$B$278,'2019'!$N:$N,Category!H$1,'2019'!$D:$D,Category!$C298)</f>
        <v>0</v>
      </c>
      <c r="I298" s="234">
        <f>SUMIFS('2019'!$I:$I,'2019'!$E:$E,Category!$B$278,'2019'!$N:$N,Category!I$1,'2019'!$D:$D,Category!$C298)</f>
        <v>0</v>
      </c>
      <c r="J298" s="234">
        <f t="shared" si="116"/>
        <v>0</v>
      </c>
      <c r="K298" s="507">
        <f>IFERROR(VLOOKUP($C298,'2020'!$D:$G,4,0),0)</f>
        <v>0</v>
      </c>
      <c r="L298" s="234">
        <f>SUMIFS('2020'!$I:$I,'2020'!$E:$E,Category!$B$278,'2020'!$N:$N,Category!L$1,'2020'!$D:$D,Category!$C298)</f>
        <v>0</v>
      </c>
      <c r="M298" s="234">
        <f>SUMIFS('2020'!$I:$I,'2020'!$E:$E,Category!$B$278,'2020'!$N:$N,Category!M$1,'2020'!$D:$D,Category!$C298)</f>
        <v>0</v>
      </c>
      <c r="N298" s="234">
        <f>SUMIFS('2020'!$I:$I,'2020'!$E:$E,Category!$B$278,'2020'!$N:$N,Category!N$1,'2020'!$D:$D,Category!$C298)</f>
        <v>0</v>
      </c>
      <c r="O298" s="234">
        <f>SUMIFS('2020'!$I:$I,'2020'!$E:$E,Category!$B$278,'2020'!$N:$N,Category!O$1,'2020'!$D:$D,Category!$C298)</f>
        <v>0</v>
      </c>
      <c r="P298" s="234">
        <f>SUMIFS('2020'!$I:$I,'2020'!$E:$E,Category!$B$278,'2020'!$N:$N,Category!P$1,'2020'!$D:$D,Category!$C298)</f>
        <v>0</v>
      </c>
      <c r="Q298" s="234">
        <f>SUMIFS('2020'!$I:$I,'2020'!$E:$E,Category!$B$278,'2020'!$N:$N,Category!Q$1,'2020'!$D:$D,Category!$C298)</f>
        <v>0</v>
      </c>
      <c r="R298" s="234">
        <f>SUMIFS('2020'!$I:$I,'2020'!$E:$E,Category!$B$278,'2020'!$N:$N,Category!R$1,'2020'!$D:$D,Category!$C298)</f>
        <v>0</v>
      </c>
      <c r="S298" s="234">
        <f>SUMIFS('2020'!$I:$I,'2020'!$E:$E,Category!$B$278,'2020'!$N:$N,Category!S$1,'2020'!$D:$D,Category!$C298)</f>
        <v>0</v>
      </c>
      <c r="T298" s="234">
        <f>SUMIFS('2020'!$I:$I,'2020'!$E:$E,Category!$B$278,'2020'!$N:$N,Category!T$1,'2020'!$D:$D,Category!$C298)</f>
        <v>0</v>
      </c>
      <c r="U298" s="234">
        <f>SUMIFS('2020'!$I:$I,'2020'!$E:$E,Category!$B$278,'2020'!$N:$N,Category!U$1,'2020'!$D:$D,Category!$C298)</f>
        <v>0</v>
      </c>
      <c r="V298" s="234">
        <f>SUMIFS('2020'!$I:$I,'2020'!$E:$E,Category!$B$278,'2020'!$N:$N,Category!V$1,'2020'!$D:$D,Category!$C298)</f>
        <v>0</v>
      </c>
      <c r="W298" s="234">
        <f>SUMIFS('2020'!$I:$I,'2020'!$E:$E,Category!$B$278,'2020'!$N:$N,Category!W$1,'2020'!$D:$D,Category!$C298)</f>
        <v>0</v>
      </c>
      <c r="X298" s="234">
        <f t="shared" si="117"/>
        <v>0</v>
      </c>
      <c r="Y298" s="507">
        <f>IFERROR(VLOOKUP(C298,'2021'!$D:$G,4,0),0)</f>
        <v>0</v>
      </c>
      <c r="Z298" s="234">
        <f>SUMIFS('2021'!$I:$I,'2021'!$E:$E,Category!$B$278,'2021'!$N:$N,Category!Z$1,'2021'!$D:$D,Category!$C298)</f>
        <v>0</v>
      </c>
      <c r="AA298" s="234">
        <f>SUMIFS('2021'!$I:$I,'2021'!$E:$E,Category!$B$278,'2021'!$N:$N,Category!AA$1,'2021'!$D:$D,Category!$C298)</f>
        <v>0</v>
      </c>
      <c r="AB298" s="234">
        <f>SUMIFS('2021'!$I:$I,'2021'!$E:$E,Category!$B$278,'2021'!$N:$N,Category!AB$1,'2021'!$D:$D,Category!$C298)</f>
        <v>0</v>
      </c>
      <c r="AC298" s="234">
        <f>SUMIFS('2021'!$I:$I,'2021'!$E:$E,Category!$B$278,'2021'!$N:$N,Category!AC$1,'2021'!$D:$D,Category!$C298)</f>
        <v>0</v>
      </c>
      <c r="AD298" s="234">
        <f>SUMIFS('2021'!$I:$I,'2021'!$E:$E,Category!$B$278,'2021'!$N:$N,Category!AD$1,'2021'!$D:$D,Category!$C298)</f>
        <v>0</v>
      </c>
      <c r="AE298" s="234">
        <f>SUMIFS('2021'!$I:$I,'2021'!$E:$E,Category!$B$278,'2021'!$N:$N,Category!AE$1,'2021'!$D:$D,Category!$C298)</f>
        <v>0</v>
      </c>
      <c r="AF298" s="234">
        <f>SUMIFS('2021'!$I:$I,'2021'!$E:$E,Category!$B$278,'2021'!$N:$N,Category!AF$1,'2021'!$D:$D,Category!$C298)</f>
        <v>0</v>
      </c>
      <c r="AG298" s="234">
        <f>SUMIFS('2021'!$I:$I,'2021'!$E:$E,Category!$B$278,'2021'!$N:$N,Category!AG$1,'2021'!$D:$D,Category!$C298)</f>
        <v>0</v>
      </c>
      <c r="AH298" s="234">
        <f>SUMIFS('2021'!$I:$I,'2021'!$E:$E,Category!$B$278,'2021'!$N:$N,Category!AH$1,'2021'!$D:$D,Category!$C298)</f>
        <v>0</v>
      </c>
      <c r="AI298" s="234">
        <f>SUMIFS('2021'!$I:$I,'2021'!$E:$E,Category!$B$278,'2021'!$N:$N,Category!AI$1,'2021'!$D:$D,Category!$C298)</f>
        <v>0</v>
      </c>
      <c r="AJ298" s="234">
        <f>SUMIFS('2021'!$I:$I,'2021'!$E:$E,Category!$B$278,'2021'!$N:$N,Category!AJ$1,'2021'!$D:$D,Category!$C298)</f>
        <v>0</v>
      </c>
      <c r="AK298" s="234">
        <f>SUMIFS('2021'!$I:$I,'2021'!$E:$E,Category!$B$278,'2021'!$N:$N,Category!AK$1,'2021'!$D:$D,Category!$C298)</f>
        <v>0</v>
      </c>
      <c r="AL298" s="250">
        <f t="shared" si="118"/>
        <v>0</v>
      </c>
      <c r="AM298" s="507">
        <f>IFERROR(VLOOKUP(C298,'2022'!$D:$G,4,0),0)</f>
        <v>0</v>
      </c>
      <c r="AN298" s="234">
        <f>SUMIFS('2022'!$I:$I,'2022'!$E:$E,Category!$B$278,'2022'!$N:$N,Category!AN$1,'2022'!$D:$D,Category!$C298)</f>
        <v>0</v>
      </c>
      <c r="AO298" s="234">
        <f>SUMIFS('2022'!$I:$I,'2022'!$E:$E,Category!$B$278,'2022'!$N:$N,Category!AO$1,'2022'!$D:$D,Category!$C298)</f>
        <v>0</v>
      </c>
      <c r="AP298" s="234">
        <f>SUMIFS('2022'!$I:$I,'2022'!$E:$E,Category!$B$278,'2022'!$N:$N,Category!AP$1,'2022'!$D:$D,Category!$C298)</f>
        <v>0</v>
      </c>
      <c r="AQ298" s="234">
        <f>SUMIFS('2022'!$I:$I,'2022'!$E:$E,Category!$B$278,'2022'!$N:$N,Category!AQ$1,'2022'!$D:$D,Category!$C298)</f>
        <v>0</v>
      </c>
      <c r="AR298" s="234">
        <f>SUMIFS('2022'!$I:$I,'2022'!$E:$E,Category!$B$278,'2022'!$N:$N,Category!AR$1,'2022'!$D:$D,Category!$C298)</f>
        <v>0</v>
      </c>
      <c r="AS298" s="234">
        <f>SUMIFS('2022'!$I:$I,'2022'!$E:$E,Category!$B$278,'2022'!$N:$N,Category!AS$1,'2022'!$D:$D,Category!$C298)</f>
        <v>0</v>
      </c>
      <c r="AT298" s="234">
        <f>SUMIFS('2022'!$I:$I,'2022'!$E:$E,Category!$B$278,'2022'!$N:$N,Category!AT$1,'2022'!$D:$D,Category!$C298)</f>
        <v>0</v>
      </c>
      <c r="AU298" s="234">
        <f>SUMIFS('2022'!$I:$I,'2022'!$E:$E,Category!$B$278,'2022'!$N:$N,Category!AU$1,'2022'!$D:$D,Category!$C298)</f>
        <v>0</v>
      </c>
      <c r="AV298" s="234">
        <f>SUMIFS('2022'!$I:$I,'2022'!$E:$E,Category!$B$278,'2022'!$N:$N,Category!AV$1,'2022'!$D:$D,Category!$C298)</f>
        <v>0</v>
      </c>
      <c r="AW298" s="234">
        <f>SUMIFS('2022'!$I:$I,'2022'!$E:$E,Category!$B$278,'2022'!$N:$N,Category!AW$1,'2022'!$D:$D,Category!$C298)</f>
        <v>0</v>
      </c>
      <c r="AX298" s="234">
        <f>SUMIFS('2022'!$I:$I,'2022'!$E:$E,Category!$B$278,'2022'!$N:$N,Category!AX$1,'2022'!$D:$D,Category!$C298)</f>
        <v>0</v>
      </c>
      <c r="AY298" s="234">
        <f>SUMIFS('2022'!$I:$I,'2022'!$E:$E,Category!$B$278,'2022'!$N:$N,Category!AY$1,'2022'!$D:$D,Category!$C298)</f>
        <v>0</v>
      </c>
      <c r="AZ298" s="250">
        <f t="shared" si="119"/>
        <v>0</v>
      </c>
      <c r="BA298" s="507">
        <f>IFERROR(VLOOKUP(C298,'2023'!$D:$G,4,0),0)</f>
        <v>0</v>
      </c>
      <c r="BB298" s="234">
        <f>SUMIFS('2023'!$I:$I,'2023'!$E:$E,Category!$B$278,'2023'!$N:$N,Category!BB$1,'2023'!$D:$D,Category!$C298)</f>
        <v>0</v>
      </c>
      <c r="BC298" s="234">
        <f>SUMIFS('2023'!$I:$I,'2023'!$E:$E,Category!$B$278,'2023'!$N:$N,Category!BC$1,'2023'!$D:$D,Category!$C298)</f>
        <v>0</v>
      </c>
      <c r="BD298" s="234">
        <f>SUMIFS('2023'!$I:$I,'2023'!$E:$E,Category!$B$278,'2023'!$N:$N,Category!BD$1,'2023'!$D:$D,Category!$C298)</f>
        <v>0</v>
      </c>
      <c r="BE298" s="234">
        <f>SUMIFS('2023'!$I:$I,'2023'!$E:$E,Category!$B$278,'2023'!$N:$N,Category!BE$1,'2023'!$D:$D,Category!$C298)</f>
        <v>0</v>
      </c>
      <c r="BF298" s="234">
        <f>SUMIFS('2023'!$I:$I,'2023'!$E:$E,Category!$B$278,'2023'!$N:$N,Category!BF$1,'2023'!$D:$D,Category!$C298)</f>
        <v>0</v>
      </c>
      <c r="BG298" s="234">
        <f>SUMIFS('2023'!$I:$I,'2023'!$E:$E,Category!$B$278,'2023'!$N:$N,Category!BG$1,'2023'!$D:$D,Category!$C298)</f>
        <v>0</v>
      </c>
      <c r="BH298" s="234">
        <f>SUMIFS('2023'!$I:$I,'2023'!$E:$E,Category!$B$278,'2023'!$N:$N,Category!BH$1,'2023'!$D:$D,Category!$C298)</f>
        <v>0</v>
      </c>
      <c r="BI298" s="234">
        <f>SUMIFS('2023'!$I:$I,'2023'!$E:$E,Category!$B$278,'2023'!$N:$N,Category!BI$1,'2023'!$D:$D,Category!$C298)</f>
        <v>0</v>
      </c>
      <c r="BJ298" s="234">
        <f>SUMIFS('2023'!$I:$I,'2023'!$E:$E,Category!$B$278,'2023'!$N:$N,Category!BJ$1,'2023'!$D:$D,Category!$C298)</f>
        <v>0</v>
      </c>
      <c r="BK298" s="234">
        <f>SUMIFS('2023'!$I:$I,'2023'!$E:$E,Category!$B$278,'2023'!$N:$N,Category!BK$1,'2023'!$D:$D,Category!$C298)</f>
        <v>0</v>
      </c>
      <c r="BL298" s="234">
        <f>SUMIFS('2023'!$I:$I,'2023'!$E:$E,Category!$B$278,'2023'!$N:$N,Category!BL$1,'2023'!$D:$D,Category!$C298)</f>
        <v>0</v>
      </c>
      <c r="BM298" s="234">
        <f>SUMIFS('2023'!$I:$I,'2023'!$E:$E,Category!$B$278,'2023'!$N:$N,Category!BM$1,'2023'!$D:$D,Category!$C298)</f>
        <v>0</v>
      </c>
      <c r="BN298" s="250">
        <f t="shared" si="114"/>
        <v>0</v>
      </c>
    </row>
    <row r="299" spans="1:66" ht="21" hidden="1" customHeight="1" x14ac:dyDescent="0.3">
      <c r="A299" s="249"/>
      <c r="B299" s="235"/>
      <c r="C299" s="235"/>
      <c r="D299" s="527">
        <f>IFERROR(VLOOKUP($C299,'2019'!$D:$G,4,0),0)</f>
        <v>0</v>
      </c>
      <c r="E299" s="234">
        <f>SUMIFS('2019'!$I:$I,'2019'!$E:$E,Category!$B$278,'2019'!$N:$N,Category!E$1,'2019'!$D:$D,Category!$C299)</f>
        <v>0</v>
      </c>
      <c r="F299" s="234">
        <f>SUMIFS('2019'!$I:$I,'2019'!$E:$E,Category!$B$278,'2019'!$N:$N,Category!F$1,'2019'!$D:$D,Category!$C299)</f>
        <v>0</v>
      </c>
      <c r="G299" s="234">
        <f>SUMIFS('2019'!$I:$I,'2019'!$E:$E,Category!$B$278,'2019'!$N:$N,Category!G$1,'2019'!$D:$D,Category!$C299)</f>
        <v>0</v>
      </c>
      <c r="H299" s="234">
        <f>SUMIFS('2019'!$I:$I,'2019'!$E:$E,Category!$B$278,'2019'!$N:$N,Category!H$1,'2019'!$D:$D,Category!$C299)</f>
        <v>0</v>
      </c>
      <c r="I299" s="234">
        <f>SUMIFS('2019'!$I:$I,'2019'!$E:$E,Category!$B$278,'2019'!$N:$N,Category!I$1,'2019'!$D:$D,Category!$C299)</f>
        <v>0</v>
      </c>
      <c r="J299" s="234">
        <f t="shared" si="116"/>
        <v>0</v>
      </c>
      <c r="K299" s="507">
        <f>IFERROR(VLOOKUP($C299,'2020'!$D:$G,4,0),0)</f>
        <v>0</v>
      </c>
      <c r="L299" s="234">
        <f>SUMIFS('2020'!$I:$I,'2020'!$E:$E,Category!$B$278,'2020'!$N:$N,Category!L$1,'2020'!$D:$D,Category!$C299)</f>
        <v>0</v>
      </c>
      <c r="M299" s="234">
        <f>SUMIFS('2020'!$I:$I,'2020'!$E:$E,Category!$B$278,'2020'!$N:$N,Category!M$1,'2020'!$D:$D,Category!$C299)</f>
        <v>0</v>
      </c>
      <c r="N299" s="234">
        <f>SUMIFS('2020'!$I:$I,'2020'!$E:$E,Category!$B$278,'2020'!$N:$N,Category!N$1,'2020'!$D:$D,Category!$C299)</f>
        <v>0</v>
      </c>
      <c r="O299" s="234">
        <f>SUMIFS('2020'!$I:$I,'2020'!$E:$E,Category!$B$278,'2020'!$N:$N,Category!O$1,'2020'!$D:$D,Category!$C299)</f>
        <v>0</v>
      </c>
      <c r="P299" s="234">
        <f>SUMIFS('2020'!$I:$I,'2020'!$E:$E,Category!$B$278,'2020'!$N:$N,Category!P$1,'2020'!$D:$D,Category!$C299)</f>
        <v>0</v>
      </c>
      <c r="Q299" s="234">
        <f>SUMIFS('2020'!$I:$I,'2020'!$E:$E,Category!$B$278,'2020'!$N:$N,Category!Q$1,'2020'!$D:$D,Category!$C299)</f>
        <v>0</v>
      </c>
      <c r="R299" s="234">
        <f>SUMIFS('2020'!$I:$I,'2020'!$E:$E,Category!$B$278,'2020'!$N:$N,Category!R$1,'2020'!$D:$D,Category!$C299)</f>
        <v>0</v>
      </c>
      <c r="S299" s="234">
        <f>SUMIFS('2020'!$I:$I,'2020'!$E:$E,Category!$B$278,'2020'!$N:$N,Category!S$1,'2020'!$D:$D,Category!$C299)</f>
        <v>0</v>
      </c>
      <c r="T299" s="234">
        <f>SUMIFS('2020'!$I:$I,'2020'!$E:$E,Category!$B$278,'2020'!$N:$N,Category!T$1,'2020'!$D:$D,Category!$C299)</f>
        <v>0</v>
      </c>
      <c r="U299" s="234">
        <f>SUMIFS('2020'!$I:$I,'2020'!$E:$E,Category!$B$278,'2020'!$N:$N,Category!U$1,'2020'!$D:$D,Category!$C299)</f>
        <v>0</v>
      </c>
      <c r="V299" s="234">
        <f>SUMIFS('2020'!$I:$I,'2020'!$E:$E,Category!$B$278,'2020'!$N:$N,Category!V$1,'2020'!$D:$D,Category!$C299)</f>
        <v>0</v>
      </c>
      <c r="W299" s="234">
        <f>SUMIFS('2020'!$I:$I,'2020'!$E:$E,Category!$B$278,'2020'!$N:$N,Category!W$1,'2020'!$D:$D,Category!$C299)</f>
        <v>0</v>
      </c>
      <c r="X299" s="234">
        <f t="shared" si="117"/>
        <v>0</v>
      </c>
      <c r="Y299" s="507">
        <f>IFERROR(VLOOKUP(C299,'2021'!$D:$G,4,0),0)</f>
        <v>0</v>
      </c>
      <c r="Z299" s="234">
        <f>SUMIFS('2021'!$I:$I,'2021'!$E:$E,Category!$B$278,'2021'!$N:$N,Category!Z$1,'2021'!$D:$D,Category!$C299)</f>
        <v>0</v>
      </c>
      <c r="AA299" s="234">
        <f>SUMIFS('2021'!$I:$I,'2021'!$E:$E,Category!$B$278,'2021'!$N:$N,Category!AA$1,'2021'!$D:$D,Category!$C299)</f>
        <v>0</v>
      </c>
      <c r="AB299" s="234">
        <f>SUMIFS('2021'!$I:$I,'2021'!$E:$E,Category!$B$278,'2021'!$N:$N,Category!AB$1,'2021'!$D:$D,Category!$C299)</f>
        <v>0</v>
      </c>
      <c r="AC299" s="234">
        <f>SUMIFS('2021'!$I:$I,'2021'!$E:$E,Category!$B$278,'2021'!$N:$N,Category!AC$1,'2021'!$D:$D,Category!$C299)</f>
        <v>0</v>
      </c>
      <c r="AD299" s="234">
        <f>SUMIFS('2021'!$I:$I,'2021'!$E:$E,Category!$B$278,'2021'!$N:$N,Category!AD$1,'2021'!$D:$D,Category!$C299)</f>
        <v>0</v>
      </c>
      <c r="AE299" s="234">
        <f>SUMIFS('2021'!$I:$I,'2021'!$E:$E,Category!$B$278,'2021'!$N:$N,Category!AE$1,'2021'!$D:$D,Category!$C299)</f>
        <v>0</v>
      </c>
      <c r="AF299" s="234">
        <f>SUMIFS('2021'!$I:$I,'2021'!$E:$E,Category!$B$278,'2021'!$N:$N,Category!AF$1,'2021'!$D:$D,Category!$C299)</f>
        <v>0</v>
      </c>
      <c r="AG299" s="234">
        <f>SUMIFS('2021'!$I:$I,'2021'!$E:$E,Category!$B$278,'2021'!$N:$N,Category!AG$1,'2021'!$D:$D,Category!$C299)</f>
        <v>0</v>
      </c>
      <c r="AH299" s="234">
        <f>SUMIFS('2021'!$I:$I,'2021'!$E:$E,Category!$B$278,'2021'!$N:$N,Category!AH$1,'2021'!$D:$D,Category!$C299)</f>
        <v>0</v>
      </c>
      <c r="AI299" s="234">
        <f>SUMIFS('2021'!$I:$I,'2021'!$E:$E,Category!$B$278,'2021'!$N:$N,Category!AI$1,'2021'!$D:$D,Category!$C299)</f>
        <v>0</v>
      </c>
      <c r="AJ299" s="234">
        <f>SUMIFS('2021'!$I:$I,'2021'!$E:$E,Category!$B$278,'2021'!$N:$N,Category!AJ$1,'2021'!$D:$D,Category!$C299)</f>
        <v>0</v>
      </c>
      <c r="AK299" s="234">
        <f>SUMIFS('2021'!$I:$I,'2021'!$E:$E,Category!$B$278,'2021'!$N:$N,Category!AK$1,'2021'!$D:$D,Category!$C299)</f>
        <v>0</v>
      </c>
      <c r="AL299" s="250">
        <f t="shared" si="118"/>
        <v>0</v>
      </c>
      <c r="AM299" s="507">
        <f>IFERROR(VLOOKUP(C299,'2022'!$D:$G,4,0),0)</f>
        <v>0</v>
      </c>
      <c r="AN299" s="234">
        <f>SUMIFS('2022'!$I:$I,'2022'!$E:$E,Category!$B$278,'2022'!$N:$N,Category!AN$1,'2022'!$D:$D,Category!$C299)</f>
        <v>0</v>
      </c>
      <c r="AO299" s="234">
        <f>SUMIFS('2022'!$I:$I,'2022'!$E:$E,Category!$B$278,'2022'!$N:$N,Category!AO$1,'2022'!$D:$D,Category!$C299)</f>
        <v>0</v>
      </c>
      <c r="AP299" s="234">
        <f>SUMIFS('2022'!$I:$I,'2022'!$E:$E,Category!$B$278,'2022'!$N:$N,Category!AP$1,'2022'!$D:$D,Category!$C299)</f>
        <v>0</v>
      </c>
      <c r="AQ299" s="234">
        <f>SUMIFS('2022'!$I:$I,'2022'!$E:$E,Category!$B$278,'2022'!$N:$N,Category!AQ$1,'2022'!$D:$D,Category!$C299)</f>
        <v>0</v>
      </c>
      <c r="AR299" s="234">
        <f>SUMIFS('2022'!$I:$I,'2022'!$E:$E,Category!$B$278,'2022'!$N:$N,Category!AR$1,'2022'!$D:$D,Category!$C299)</f>
        <v>0</v>
      </c>
      <c r="AS299" s="234">
        <f>SUMIFS('2022'!$I:$I,'2022'!$E:$E,Category!$B$278,'2022'!$N:$N,Category!AS$1,'2022'!$D:$D,Category!$C299)</f>
        <v>0</v>
      </c>
      <c r="AT299" s="234">
        <f>SUMIFS('2022'!$I:$I,'2022'!$E:$E,Category!$B$278,'2022'!$N:$N,Category!AT$1,'2022'!$D:$D,Category!$C299)</f>
        <v>0</v>
      </c>
      <c r="AU299" s="234">
        <f>SUMIFS('2022'!$I:$I,'2022'!$E:$E,Category!$B$278,'2022'!$N:$N,Category!AU$1,'2022'!$D:$D,Category!$C299)</f>
        <v>0</v>
      </c>
      <c r="AV299" s="234">
        <f>SUMIFS('2022'!$I:$I,'2022'!$E:$E,Category!$B$278,'2022'!$N:$N,Category!AV$1,'2022'!$D:$D,Category!$C299)</f>
        <v>0</v>
      </c>
      <c r="AW299" s="234">
        <f>SUMIFS('2022'!$I:$I,'2022'!$E:$E,Category!$B$278,'2022'!$N:$N,Category!AW$1,'2022'!$D:$D,Category!$C299)</f>
        <v>0</v>
      </c>
      <c r="AX299" s="234">
        <f>SUMIFS('2022'!$I:$I,'2022'!$E:$E,Category!$B$278,'2022'!$N:$N,Category!AX$1,'2022'!$D:$D,Category!$C299)</f>
        <v>0</v>
      </c>
      <c r="AY299" s="234">
        <f>SUMIFS('2022'!$I:$I,'2022'!$E:$E,Category!$B$278,'2022'!$N:$N,Category!AY$1,'2022'!$D:$D,Category!$C299)</f>
        <v>0</v>
      </c>
      <c r="AZ299" s="250">
        <f t="shared" si="119"/>
        <v>0</v>
      </c>
      <c r="BA299" s="507">
        <f>IFERROR(VLOOKUP(C299,'2023'!$D:$G,4,0),0)</f>
        <v>0</v>
      </c>
      <c r="BB299" s="234">
        <f>SUMIFS('2023'!$I:$I,'2023'!$E:$E,Category!$B$278,'2023'!$N:$N,Category!BB$1,'2023'!$D:$D,Category!$C299)</f>
        <v>0</v>
      </c>
      <c r="BC299" s="234">
        <f>SUMIFS('2023'!$I:$I,'2023'!$E:$E,Category!$B$278,'2023'!$N:$N,Category!BC$1,'2023'!$D:$D,Category!$C299)</f>
        <v>0</v>
      </c>
      <c r="BD299" s="234">
        <f>SUMIFS('2023'!$I:$I,'2023'!$E:$E,Category!$B$278,'2023'!$N:$N,Category!BD$1,'2023'!$D:$D,Category!$C299)</f>
        <v>0</v>
      </c>
      <c r="BE299" s="234">
        <f>SUMIFS('2023'!$I:$I,'2023'!$E:$E,Category!$B$278,'2023'!$N:$N,Category!BE$1,'2023'!$D:$D,Category!$C299)</f>
        <v>0</v>
      </c>
      <c r="BF299" s="234">
        <f>SUMIFS('2023'!$I:$I,'2023'!$E:$E,Category!$B$278,'2023'!$N:$N,Category!BF$1,'2023'!$D:$D,Category!$C299)</f>
        <v>0</v>
      </c>
      <c r="BG299" s="234">
        <f>SUMIFS('2023'!$I:$I,'2023'!$E:$E,Category!$B$278,'2023'!$N:$N,Category!BG$1,'2023'!$D:$D,Category!$C299)</f>
        <v>0</v>
      </c>
      <c r="BH299" s="234">
        <f>SUMIFS('2023'!$I:$I,'2023'!$E:$E,Category!$B$278,'2023'!$N:$N,Category!BH$1,'2023'!$D:$D,Category!$C299)</f>
        <v>0</v>
      </c>
      <c r="BI299" s="234">
        <f>SUMIFS('2023'!$I:$I,'2023'!$E:$E,Category!$B$278,'2023'!$N:$N,Category!BI$1,'2023'!$D:$D,Category!$C299)</f>
        <v>0</v>
      </c>
      <c r="BJ299" s="234">
        <f>SUMIFS('2023'!$I:$I,'2023'!$E:$E,Category!$B$278,'2023'!$N:$N,Category!BJ$1,'2023'!$D:$D,Category!$C299)</f>
        <v>0</v>
      </c>
      <c r="BK299" s="234">
        <f>SUMIFS('2023'!$I:$I,'2023'!$E:$E,Category!$B$278,'2023'!$N:$N,Category!BK$1,'2023'!$D:$D,Category!$C299)</f>
        <v>0</v>
      </c>
      <c r="BL299" s="234">
        <f>SUMIFS('2023'!$I:$I,'2023'!$E:$E,Category!$B$278,'2023'!$N:$N,Category!BL$1,'2023'!$D:$D,Category!$C299)</f>
        <v>0</v>
      </c>
      <c r="BM299" s="234">
        <f>SUMIFS('2023'!$I:$I,'2023'!$E:$E,Category!$B$278,'2023'!$N:$N,Category!BM$1,'2023'!$D:$D,Category!$C299)</f>
        <v>0</v>
      </c>
      <c r="BN299" s="250">
        <f t="shared" si="114"/>
        <v>0</v>
      </c>
    </row>
    <row r="300" spans="1:66" ht="21" hidden="1" customHeight="1" x14ac:dyDescent="0.3">
      <c r="A300" s="249"/>
      <c r="B300" s="235"/>
      <c r="C300" s="235"/>
      <c r="D300" s="527">
        <f>IFERROR(VLOOKUP($C300,'2019'!$D:$G,4,0),0)</f>
        <v>0</v>
      </c>
      <c r="E300" s="234">
        <f>SUMIFS('2019'!$I:$I,'2019'!$E:$E,Category!$B$278,'2019'!$N:$N,Category!E$1,'2019'!$D:$D,Category!$C300)</f>
        <v>0</v>
      </c>
      <c r="F300" s="234">
        <f>SUMIFS('2019'!$I:$I,'2019'!$E:$E,Category!$B$278,'2019'!$N:$N,Category!F$1,'2019'!$D:$D,Category!$C300)</f>
        <v>0</v>
      </c>
      <c r="G300" s="234">
        <f>SUMIFS('2019'!$I:$I,'2019'!$E:$E,Category!$B$278,'2019'!$N:$N,Category!G$1,'2019'!$D:$D,Category!$C300)</f>
        <v>0</v>
      </c>
      <c r="H300" s="234">
        <f>SUMIFS('2019'!$I:$I,'2019'!$E:$E,Category!$B$278,'2019'!$N:$N,Category!H$1,'2019'!$D:$D,Category!$C300)</f>
        <v>0</v>
      </c>
      <c r="I300" s="234">
        <f>SUMIFS('2019'!$I:$I,'2019'!$E:$E,Category!$B$278,'2019'!$N:$N,Category!I$1,'2019'!$D:$D,Category!$C300)</f>
        <v>0</v>
      </c>
      <c r="J300" s="234">
        <f t="shared" si="116"/>
        <v>0</v>
      </c>
      <c r="K300" s="507">
        <f>IFERROR(VLOOKUP($C300,'2020'!$D:$G,4,0),0)</f>
        <v>0</v>
      </c>
      <c r="L300" s="234">
        <f>SUMIFS('2020'!$I:$I,'2020'!$E:$E,Category!$B$278,'2020'!$N:$N,Category!L$1,'2020'!$D:$D,Category!$C300)</f>
        <v>0</v>
      </c>
      <c r="M300" s="234">
        <f>SUMIFS('2020'!$I:$I,'2020'!$E:$E,Category!$B$278,'2020'!$N:$N,Category!M$1,'2020'!$D:$D,Category!$C300)</f>
        <v>0</v>
      </c>
      <c r="N300" s="234">
        <f>SUMIFS('2020'!$I:$I,'2020'!$E:$E,Category!$B$278,'2020'!$N:$N,Category!N$1,'2020'!$D:$D,Category!$C300)</f>
        <v>0</v>
      </c>
      <c r="O300" s="234">
        <f>SUMIFS('2020'!$I:$I,'2020'!$E:$E,Category!$B$278,'2020'!$N:$N,Category!O$1,'2020'!$D:$D,Category!$C300)</f>
        <v>0</v>
      </c>
      <c r="P300" s="234">
        <f>SUMIFS('2020'!$I:$I,'2020'!$E:$E,Category!$B$278,'2020'!$N:$N,Category!P$1,'2020'!$D:$D,Category!$C300)</f>
        <v>0</v>
      </c>
      <c r="Q300" s="234">
        <f>SUMIFS('2020'!$I:$I,'2020'!$E:$E,Category!$B$278,'2020'!$N:$N,Category!Q$1,'2020'!$D:$D,Category!$C300)</f>
        <v>0</v>
      </c>
      <c r="R300" s="234">
        <f>SUMIFS('2020'!$I:$I,'2020'!$E:$E,Category!$B$278,'2020'!$N:$N,Category!R$1,'2020'!$D:$D,Category!$C300)</f>
        <v>0</v>
      </c>
      <c r="S300" s="234">
        <f>SUMIFS('2020'!$I:$I,'2020'!$E:$E,Category!$B$278,'2020'!$N:$N,Category!S$1,'2020'!$D:$D,Category!$C300)</f>
        <v>0</v>
      </c>
      <c r="T300" s="234">
        <f>SUMIFS('2020'!$I:$I,'2020'!$E:$E,Category!$B$278,'2020'!$N:$N,Category!T$1,'2020'!$D:$D,Category!$C300)</f>
        <v>0</v>
      </c>
      <c r="U300" s="234">
        <f>SUMIFS('2020'!$I:$I,'2020'!$E:$E,Category!$B$278,'2020'!$N:$N,Category!U$1,'2020'!$D:$D,Category!$C300)</f>
        <v>0</v>
      </c>
      <c r="V300" s="234">
        <f>SUMIFS('2020'!$I:$I,'2020'!$E:$E,Category!$B$278,'2020'!$N:$N,Category!V$1,'2020'!$D:$D,Category!$C300)</f>
        <v>0</v>
      </c>
      <c r="W300" s="234">
        <f>SUMIFS('2020'!$I:$I,'2020'!$E:$E,Category!$B$278,'2020'!$N:$N,Category!W$1,'2020'!$D:$D,Category!$C300)</f>
        <v>0</v>
      </c>
      <c r="X300" s="234">
        <f t="shared" si="117"/>
        <v>0</v>
      </c>
      <c r="Y300" s="507">
        <f>IFERROR(VLOOKUP(C300,'2021'!$D:$G,4,0),0)</f>
        <v>0</v>
      </c>
      <c r="Z300" s="234">
        <f>SUMIFS('2021'!$I:$I,'2021'!$E:$E,Category!$B$278,'2021'!$N:$N,Category!Z$1,'2021'!$D:$D,Category!$C300)</f>
        <v>0</v>
      </c>
      <c r="AA300" s="234">
        <f>SUMIFS('2021'!$I:$I,'2021'!$E:$E,Category!$B$278,'2021'!$N:$N,Category!AA$1,'2021'!$D:$D,Category!$C300)</f>
        <v>0</v>
      </c>
      <c r="AB300" s="234">
        <f>SUMIFS('2021'!$I:$I,'2021'!$E:$E,Category!$B$278,'2021'!$N:$N,Category!AB$1,'2021'!$D:$D,Category!$C300)</f>
        <v>0</v>
      </c>
      <c r="AC300" s="234">
        <f>SUMIFS('2021'!$I:$I,'2021'!$E:$E,Category!$B$278,'2021'!$N:$N,Category!AC$1,'2021'!$D:$D,Category!$C300)</f>
        <v>0</v>
      </c>
      <c r="AD300" s="234">
        <f>SUMIFS('2021'!$I:$I,'2021'!$E:$E,Category!$B$278,'2021'!$N:$N,Category!AD$1,'2021'!$D:$D,Category!$C300)</f>
        <v>0</v>
      </c>
      <c r="AE300" s="234">
        <f>SUMIFS('2021'!$I:$I,'2021'!$E:$E,Category!$B$278,'2021'!$N:$N,Category!AE$1,'2021'!$D:$D,Category!$C300)</f>
        <v>0</v>
      </c>
      <c r="AF300" s="234">
        <f>SUMIFS('2021'!$I:$I,'2021'!$E:$E,Category!$B$278,'2021'!$N:$N,Category!AF$1,'2021'!$D:$D,Category!$C300)</f>
        <v>0</v>
      </c>
      <c r="AG300" s="234">
        <f>SUMIFS('2021'!$I:$I,'2021'!$E:$E,Category!$B$278,'2021'!$N:$N,Category!AG$1,'2021'!$D:$D,Category!$C300)</f>
        <v>0</v>
      </c>
      <c r="AH300" s="234">
        <f>SUMIFS('2021'!$I:$I,'2021'!$E:$E,Category!$B$278,'2021'!$N:$N,Category!AH$1,'2021'!$D:$D,Category!$C300)</f>
        <v>0</v>
      </c>
      <c r="AI300" s="234">
        <f>SUMIFS('2021'!$I:$I,'2021'!$E:$E,Category!$B$278,'2021'!$N:$N,Category!AI$1,'2021'!$D:$D,Category!$C300)</f>
        <v>0</v>
      </c>
      <c r="AJ300" s="234">
        <f>SUMIFS('2021'!$I:$I,'2021'!$E:$E,Category!$B$278,'2021'!$N:$N,Category!AJ$1,'2021'!$D:$D,Category!$C300)</f>
        <v>0</v>
      </c>
      <c r="AK300" s="234">
        <f>SUMIFS('2021'!$I:$I,'2021'!$E:$E,Category!$B$278,'2021'!$N:$N,Category!AK$1,'2021'!$D:$D,Category!$C300)</f>
        <v>0</v>
      </c>
      <c r="AL300" s="250">
        <f t="shared" si="118"/>
        <v>0</v>
      </c>
      <c r="AM300" s="507">
        <f>IFERROR(VLOOKUP(C300,'2022'!$D:$G,4,0),0)</f>
        <v>0</v>
      </c>
      <c r="AN300" s="234">
        <f>SUMIFS('2022'!$I:$I,'2022'!$E:$E,Category!$B$278,'2022'!$N:$N,Category!AN$1,'2022'!$D:$D,Category!$C300)</f>
        <v>0</v>
      </c>
      <c r="AO300" s="234">
        <f>SUMIFS('2022'!$I:$I,'2022'!$E:$E,Category!$B$278,'2022'!$N:$N,Category!AO$1,'2022'!$D:$D,Category!$C300)</f>
        <v>0</v>
      </c>
      <c r="AP300" s="234">
        <f>SUMIFS('2022'!$I:$I,'2022'!$E:$E,Category!$B$278,'2022'!$N:$N,Category!AP$1,'2022'!$D:$D,Category!$C300)</f>
        <v>0</v>
      </c>
      <c r="AQ300" s="234">
        <f>SUMIFS('2022'!$I:$I,'2022'!$E:$E,Category!$B$278,'2022'!$N:$N,Category!AQ$1,'2022'!$D:$D,Category!$C300)</f>
        <v>0</v>
      </c>
      <c r="AR300" s="234">
        <f>SUMIFS('2022'!$I:$I,'2022'!$E:$E,Category!$B$278,'2022'!$N:$N,Category!AR$1,'2022'!$D:$D,Category!$C300)</f>
        <v>0</v>
      </c>
      <c r="AS300" s="234">
        <f>SUMIFS('2022'!$I:$I,'2022'!$E:$E,Category!$B$278,'2022'!$N:$N,Category!AS$1,'2022'!$D:$D,Category!$C300)</f>
        <v>0</v>
      </c>
      <c r="AT300" s="234">
        <f>SUMIFS('2022'!$I:$I,'2022'!$E:$E,Category!$B$278,'2022'!$N:$N,Category!AT$1,'2022'!$D:$D,Category!$C300)</f>
        <v>0</v>
      </c>
      <c r="AU300" s="234">
        <f>SUMIFS('2022'!$I:$I,'2022'!$E:$E,Category!$B$278,'2022'!$N:$N,Category!AU$1,'2022'!$D:$D,Category!$C300)</f>
        <v>0</v>
      </c>
      <c r="AV300" s="234">
        <f>SUMIFS('2022'!$I:$I,'2022'!$E:$E,Category!$B$278,'2022'!$N:$N,Category!AV$1,'2022'!$D:$D,Category!$C300)</f>
        <v>0</v>
      </c>
      <c r="AW300" s="234">
        <f>SUMIFS('2022'!$I:$I,'2022'!$E:$E,Category!$B$278,'2022'!$N:$N,Category!AW$1,'2022'!$D:$D,Category!$C300)</f>
        <v>0</v>
      </c>
      <c r="AX300" s="234">
        <f>SUMIFS('2022'!$I:$I,'2022'!$E:$E,Category!$B$278,'2022'!$N:$N,Category!AX$1,'2022'!$D:$D,Category!$C300)</f>
        <v>0</v>
      </c>
      <c r="AY300" s="234">
        <f>SUMIFS('2022'!$I:$I,'2022'!$E:$E,Category!$B$278,'2022'!$N:$N,Category!AY$1,'2022'!$D:$D,Category!$C300)</f>
        <v>0</v>
      </c>
      <c r="AZ300" s="250">
        <f t="shared" si="119"/>
        <v>0</v>
      </c>
      <c r="BA300" s="507">
        <f>IFERROR(VLOOKUP(C300,'2023'!$D:$G,4,0),0)</f>
        <v>0</v>
      </c>
      <c r="BB300" s="234">
        <f>SUMIFS('2023'!$I:$I,'2023'!$E:$E,Category!$B$278,'2023'!$N:$N,Category!BB$1,'2023'!$D:$D,Category!$C300)</f>
        <v>0</v>
      </c>
      <c r="BC300" s="234">
        <f>SUMIFS('2023'!$I:$I,'2023'!$E:$E,Category!$B$278,'2023'!$N:$N,Category!BC$1,'2023'!$D:$D,Category!$C300)</f>
        <v>0</v>
      </c>
      <c r="BD300" s="234">
        <f>SUMIFS('2023'!$I:$I,'2023'!$E:$E,Category!$B$278,'2023'!$N:$N,Category!BD$1,'2023'!$D:$D,Category!$C300)</f>
        <v>0</v>
      </c>
      <c r="BE300" s="234">
        <f>SUMIFS('2023'!$I:$I,'2023'!$E:$E,Category!$B$278,'2023'!$N:$N,Category!BE$1,'2023'!$D:$D,Category!$C300)</f>
        <v>0</v>
      </c>
      <c r="BF300" s="234">
        <f>SUMIFS('2023'!$I:$I,'2023'!$E:$E,Category!$B$278,'2023'!$N:$N,Category!BF$1,'2023'!$D:$D,Category!$C300)</f>
        <v>0</v>
      </c>
      <c r="BG300" s="234">
        <f>SUMIFS('2023'!$I:$I,'2023'!$E:$E,Category!$B$278,'2023'!$N:$N,Category!BG$1,'2023'!$D:$D,Category!$C300)</f>
        <v>0</v>
      </c>
      <c r="BH300" s="234">
        <f>SUMIFS('2023'!$I:$I,'2023'!$E:$E,Category!$B$278,'2023'!$N:$N,Category!BH$1,'2023'!$D:$D,Category!$C300)</f>
        <v>0</v>
      </c>
      <c r="BI300" s="234">
        <f>SUMIFS('2023'!$I:$I,'2023'!$E:$E,Category!$B$278,'2023'!$N:$N,Category!BI$1,'2023'!$D:$D,Category!$C300)</f>
        <v>0</v>
      </c>
      <c r="BJ300" s="234">
        <f>SUMIFS('2023'!$I:$I,'2023'!$E:$E,Category!$B$278,'2023'!$N:$N,Category!BJ$1,'2023'!$D:$D,Category!$C300)</f>
        <v>0</v>
      </c>
      <c r="BK300" s="234">
        <f>SUMIFS('2023'!$I:$I,'2023'!$E:$E,Category!$B$278,'2023'!$N:$N,Category!BK$1,'2023'!$D:$D,Category!$C300)</f>
        <v>0</v>
      </c>
      <c r="BL300" s="234">
        <f>SUMIFS('2023'!$I:$I,'2023'!$E:$E,Category!$B$278,'2023'!$N:$N,Category!BL$1,'2023'!$D:$D,Category!$C300)</f>
        <v>0</v>
      </c>
      <c r="BM300" s="234">
        <f>SUMIFS('2023'!$I:$I,'2023'!$E:$E,Category!$B$278,'2023'!$N:$N,Category!BM$1,'2023'!$D:$D,Category!$C300)</f>
        <v>0</v>
      </c>
      <c r="BN300" s="250">
        <f t="shared" si="114"/>
        <v>0</v>
      </c>
    </row>
    <row r="301" spans="1:66" ht="21" hidden="1" customHeight="1" x14ac:dyDescent="0.3">
      <c r="A301" s="249"/>
      <c r="B301" s="235"/>
      <c r="C301" s="235"/>
      <c r="D301" s="527">
        <f>IFERROR(VLOOKUP($C301,'2019'!$D:$G,4,0),0)</f>
        <v>0</v>
      </c>
      <c r="E301" s="234">
        <f>SUMIFS('2019'!$I:$I,'2019'!$E:$E,Category!$B$278,'2019'!$N:$N,Category!E$1,'2019'!$D:$D,Category!$C301)</f>
        <v>0</v>
      </c>
      <c r="F301" s="234">
        <f>SUMIFS('2019'!$I:$I,'2019'!$E:$E,Category!$B$278,'2019'!$N:$N,Category!F$1,'2019'!$D:$D,Category!$C301)</f>
        <v>0</v>
      </c>
      <c r="G301" s="234">
        <f>SUMIFS('2019'!$I:$I,'2019'!$E:$E,Category!$B$278,'2019'!$N:$N,Category!G$1,'2019'!$D:$D,Category!$C301)</f>
        <v>0</v>
      </c>
      <c r="H301" s="234">
        <f>SUMIFS('2019'!$I:$I,'2019'!$E:$E,Category!$B$278,'2019'!$N:$N,Category!H$1,'2019'!$D:$D,Category!$C301)</f>
        <v>0</v>
      </c>
      <c r="I301" s="234">
        <f>SUMIFS('2019'!$I:$I,'2019'!$E:$E,Category!$B$278,'2019'!$N:$N,Category!I$1,'2019'!$D:$D,Category!$C301)</f>
        <v>0</v>
      </c>
      <c r="J301" s="234">
        <f t="shared" si="116"/>
        <v>0</v>
      </c>
      <c r="K301" s="507">
        <f>IFERROR(VLOOKUP($C301,'2020'!$D:$G,4,0),0)</f>
        <v>0</v>
      </c>
      <c r="L301" s="234">
        <f>SUMIFS('2020'!$I:$I,'2020'!$E:$E,Category!$B$278,'2020'!$N:$N,Category!L$1,'2020'!$D:$D,Category!$C301)</f>
        <v>0</v>
      </c>
      <c r="M301" s="234">
        <f>SUMIFS('2020'!$I:$I,'2020'!$E:$E,Category!$B$278,'2020'!$N:$N,Category!M$1,'2020'!$D:$D,Category!$C301)</f>
        <v>0</v>
      </c>
      <c r="N301" s="234">
        <f>SUMIFS('2020'!$I:$I,'2020'!$E:$E,Category!$B$278,'2020'!$N:$N,Category!N$1,'2020'!$D:$D,Category!$C301)</f>
        <v>0</v>
      </c>
      <c r="O301" s="234">
        <f>SUMIFS('2020'!$I:$I,'2020'!$E:$E,Category!$B$278,'2020'!$N:$N,Category!O$1,'2020'!$D:$D,Category!$C301)</f>
        <v>0</v>
      </c>
      <c r="P301" s="234">
        <f>SUMIFS('2020'!$I:$I,'2020'!$E:$E,Category!$B$278,'2020'!$N:$N,Category!P$1,'2020'!$D:$D,Category!$C301)</f>
        <v>0</v>
      </c>
      <c r="Q301" s="234">
        <f>SUMIFS('2020'!$I:$I,'2020'!$E:$E,Category!$B$278,'2020'!$N:$N,Category!Q$1,'2020'!$D:$D,Category!$C301)</f>
        <v>0</v>
      </c>
      <c r="R301" s="234">
        <f>SUMIFS('2020'!$I:$I,'2020'!$E:$E,Category!$B$278,'2020'!$N:$N,Category!R$1,'2020'!$D:$D,Category!$C301)</f>
        <v>0</v>
      </c>
      <c r="S301" s="234">
        <f>SUMIFS('2020'!$I:$I,'2020'!$E:$E,Category!$B$278,'2020'!$N:$N,Category!S$1,'2020'!$D:$D,Category!$C301)</f>
        <v>0</v>
      </c>
      <c r="T301" s="234">
        <f>SUMIFS('2020'!$I:$I,'2020'!$E:$E,Category!$B$278,'2020'!$N:$N,Category!T$1,'2020'!$D:$D,Category!$C301)</f>
        <v>0</v>
      </c>
      <c r="U301" s="234">
        <f>SUMIFS('2020'!$I:$I,'2020'!$E:$E,Category!$B$278,'2020'!$N:$N,Category!U$1,'2020'!$D:$D,Category!$C301)</f>
        <v>0</v>
      </c>
      <c r="V301" s="234">
        <f>SUMIFS('2020'!$I:$I,'2020'!$E:$E,Category!$B$278,'2020'!$N:$N,Category!V$1,'2020'!$D:$D,Category!$C301)</f>
        <v>0</v>
      </c>
      <c r="W301" s="234">
        <f>SUMIFS('2020'!$I:$I,'2020'!$E:$E,Category!$B$278,'2020'!$N:$N,Category!W$1,'2020'!$D:$D,Category!$C301)</f>
        <v>0</v>
      </c>
      <c r="X301" s="234">
        <f t="shared" si="117"/>
        <v>0</v>
      </c>
      <c r="Y301" s="507">
        <f>IFERROR(VLOOKUP(C301,'2021'!$D:$G,4,0),0)</f>
        <v>0</v>
      </c>
      <c r="Z301" s="234">
        <f>SUMIFS('2021'!$I:$I,'2021'!$E:$E,Category!$B$278,'2021'!$N:$N,Category!Z$1,'2021'!$D:$D,Category!$C301)</f>
        <v>0</v>
      </c>
      <c r="AA301" s="234">
        <f>SUMIFS('2021'!$I:$I,'2021'!$E:$E,Category!$B$278,'2021'!$N:$N,Category!AA$1,'2021'!$D:$D,Category!$C301)</f>
        <v>0</v>
      </c>
      <c r="AB301" s="234">
        <f>SUMIFS('2021'!$I:$I,'2021'!$E:$E,Category!$B$278,'2021'!$N:$N,Category!AB$1,'2021'!$D:$D,Category!$C301)</f>
        <v>0</v>
      </c>
      <c r="AC301" s="234">
        <f>SUMIFS('2021'!$I:$I,'2021'!$E:$E,Category!$B$278,'2021'!$N:$N,Category!AC$1,'2021'!$D:$D,Category!$C301)</f>
        <v>0</v>
      </c>
      <c r="AD301" s="234">
        <f>SUMIFS('2021'!$I:$I,'2021'!$E:$E,Category!$B$278,'2021'!$N:$N,Category!AD$1,'2021'!$D:$D,Category!$C301)</f>
        <v>0</v>
      </c>
      <c r="AE301" s="234">
        <f>SUMIFS('2021'!$I:$I,'2021'!$E:$E,Category!$B$278,'2021'!$N:$N,Category!AE$1,'2021'!$D:$D,Category!$C301)</f>
        <v>0</v>
      </c>
      <c r="AF301" s="234">
        <f>SUMIFS('2021'!$I:$I,'2021'!$E:$E,Category!$B$278,'2021'!$N:$N,Category!AF$1,'2021'!$D:$D,Category!$C301)</f>
        <v>0</v>
      </c>
      <c r="AG301" s="234">
        <f>SUMIFS('2021'!$I:$I,'2021'!$E:$E,Category!$B$278,'2021'!$N:$N,Category!AG$1,'2021'!$D:$D,Category!$C301)</f>
        <v>0</v>
      </c>
      <c r="AH301" s="234">
        <f>SUMIFS('2021'!$I:$I,'2021'!$E:$E,Category!$B$278,'2021'!$N:$N,Category!AH$1,'2021'!$D:$D,Category!$C301)</f>
        <v>0</v>
      </c>
      <c r="AI301" s="234">
        <f>SUMIFS('2021'!$I:$I,'2021'!$E:$E,Category!$B$278,'2021'!$N:$N,Category!AI$1,'2021'!$D:$D,Category!$C301)</f>
        <v>0</v>
      </c>
      <c r="AJ301" s="234">
        <f>SUMIFS('2021'!$I:$I,'2021'!$E:$E,Category!$B$278,'2021'!$N:$N,Category!AJ$1,'2021'!$D:$D,Category!$C301)</f>
        <v>0</v>
      </c>
      <c r="AK301" s="234">
        <f>SUMIFS('2021'!$I:$I,'2021'!$E:$E,Category!$B$278,'2021'!$N:$N,Category!AK$1,'2021'!$D:$D,Category!$C301)</f>
        <v>0</v>
      </c>
      <c r="AL301" s="250">
        <f t="shared" si="118"/>
        <v>0</v>
      </c>
      <c r="AM301" s="507">
        <f>IFERROR(VLOOKUP(C301,'2022'!$D:$G,4,0),0)</f>
        <v>0</v>
      </c>
      <c r="AN301" s="234">
        <f>SUMIFS('2022'!$I:$I,'2022'!$E:$E,Category!$B$278,'2022'!$N:$N,Category!AN$1,'2022'!$D:$D,Category!$C301)</f>
        <v>0</v>
      </c>
      <c r="AO301" s="234">
        <f>SUMIFS('2022'!$I:$I,'2022'!$E:$E,Category!$B$278,'2022'!$N:$N,Category!AO$1,'2022'!$D:$D,Category!$C301)</f>
        <v>0</v>
      </c>
      <c r="AP301" s="234">
        <f>SUMIFS('2022'!$I:$I,'2022'!$E:$E,Category!$B$278,'2022'!$N:$N,Category!AP$1,'2022'!$D:$D,Category!$C301)</f>
        <v>0</v>
      </c>
      <c r="AQ301" s="234">
        <f>SUMIFS('2022'!$I:$I,'2022'!$E:$E,Category!$B$278,'2022'!$N:$N,Category!AQ$1,'2022'!$D:$D,Category!$C301)</f>
        <v>0</v>
      </c>
      <c r="AR301" s="234">
        <f>SUMIFS('2022'!$I:$I,'2022'!$E:$E,Category!$B$278,'2022'!$N:$N,Category!AR$1,'2022'!$D:$D,Category!$C301)</f>
        <v>0</v>
      </c>
      <c r="AS301" s="234">
        <f>SUMIFS('2022'!$I:$I,'2022'!$E:$E,Category!$B$278,'2022'!$N:$N,Category!AS$1,'2022'!$D:$D,Category!$C301)</f>
        <v>0</v>
      </c>
      <c r="AT301" s="234">
        <f>SUMIFS('2022'!$I:$I,'2022'!$E:$E,Category!$B$278,'2022'!$N:$N,Category!AT$1,'2022'!$D:$D,Category!$C301)</f>
        <v>0</v>
      </c>
      <c r="AU301" s="234">
        <f>SUMIFS('2022'!$I:$I,'2022'!$E:$E,Category!$B$278,'2022'!$N:$N,Category!AU$1,'2022'!$D:$D,Category!$C301)</f>
        <v>0</v>
      </c>
      <c r="AV301" s="234">
        <f>SUMIFS('2022'!$I:$I,'2022'!$E:$E,Category!$B$278,'2022'!$N:$N,Category!AV$1,'2022'!$D:$D,Category!$C301)</f>
        <v>0</v>
      </c>
      <c r="AW301" s="234">
        <f>SUMIFS('2022'!$I:$I,'2022'!$E:$E,Category!$B$278,'2022'!$N:$N,Category!AW$1,'2022'!$D:$D,Category!$C301)</f>
        <v>0</v>
      </c>
      <c r="AX301" s="234">
        <f>SUMIFS('2022'!$I:$I,'2022'!$E:$E,Category!$B$278,'2022'!$N:$N,Category!AX$1,'2022'!$D:$D,Category!$C301)</f>
        <v>0</v>
      </c>
      <c r="AY301" s="234">
        <f>SUMIFS('2022'!$I:$I,'2022'!$E:$E,Category!$B$278,'2022'!$N:$N,Category!AY$1,'2022'!$D:$D,Category!$C301)</f>
        <v>0</v>
      </c>
      <c r="AZ301" s="250">
        <f t="shared" si="119"/>
        <v>0</v>
      </c>
      <c r="BA301" s="507">
        <f>IFERROR(VLOOKUP(C301,'2023'!$D:$G,4,0),0)</f>
        <v>0</v>
      </c>
      <c r="BB301" s="234">
        <f>SUMIFS('2023'!$I:$I,'2023'!$E:$E,Category!$B$278,'2023'!$N:$N,Category!BB$1,'2023'!$D:$D,Category!$C301)</f>
        <v>0</v>
      </c>
      <c r="BC301" s="234">
        <f>SUMIFS('2023'!$I:$I,'2023'!$E:$E,Category!$B$278,'2023'!$N:$N,Category!BC$1,'2023'!$D:$D,Category!$C301)</f>
        <v>0</v>
      </c>
      <c r="BD301" s="234">
        <f>SUMIFS('2023'!$I:$I,'2023'!$E:$E,Category!$B$278,'2023'!$N:$N,Category!BD$1,'2023'!$D:$D,Category!$C301)</f>
        <v>0</v>
      </c>
      <c r="BE301" s="234">
        <f>SUMIFS('2023'!$I:$I,'2023'!$E:$E,Category!$B$278,'2023'!$N:$N,Category!BE$1,'2023'!$D:$D,Category!$C301)</f>
        <v>0</v>
      </c>
      <c r="BF301" s="234">
        <f>SUMIFS('2023'!$I:$I,'2023'!$E:$E,Category!$B$278,'2023'!$N:$N,Category!BF$1,'2023'!$D:$D,Category!$C301)</f>
        <v>0</v>
      </c>
      <c r="BG301" s="234">
        <f>SUMIFS('2023'!$I:$I,'2023'!$E:$E,Category!$B$278,'2023'!$N:$N,Category!BG$1,'2023'!$D:$D,Category!$C301)</f>
        <v>0</v>
      </c>
      <c r="BH301" s="234">
        <f>SUMIFS('2023'!$I:$I,'2023'!$E:$E,Category!$B$278,'2023'!$N:$N,Category!BH$1,'2023'!$D:$D,Category!$C301)</f>
        <v>0</v>
      </c>
      <c r="BI301" s="234">
        <f>SUMIFS('2023'!$I:$I,'2023'!$E:$E,Category!$B$278,'2023'!$N:$N,Category!BI$1,'2023'!$D:$D,Category!$C301)</f>
        <v>0</v>
      </c>
      <c r="BJ301" s="234">
        <f>SUMIFS('2023'!$I:$I,'2023'!$E:$E,Category!$B$278,'2023'!$N:$N,Category!BJ$1,'2023'!$D:$D,Category!$C301)</f>
        <v>0</v>
      </c>
      <c r="BK301" s="234">
        <f>SUMIFS('2023'!$I:$I,'2023'!$E:$E,Category!$B$278,'2023'!$N:$N,Category!BK$1,'2023'!$D:$D,Category!$C301)</f>
        <v>0</v>
      </c>
      <c r="BL301" s="234">
        <f>SUMIFS('2023'!$I:$I,'2023'!$E:$E,Category!$B$278,'2023'!$N:$N,Category!BL$1,'2023'!$D:$D,Category!$C301)</f>
        <v>0</v>
      </c>
      <c r="BM301" s="234">
        <f>SUMIFS('2023'!$I:$I,'2023'!$E:$E,Category!$B$278,'2023'!$N:$N,Category!BM$1,'2023'!$D:$D,Category!$C301)</f>
        <v>0</v>
      </c>
      <c r="BN301" s="250">
        <f t="shared" si="114"/>
        <v>0</v>
      </c>
    </row>
    <row r="302" spans="1:66" ht="21" hidden="1" customHeight="1" x14ac:dyDescent="0.3">
      <c r="A302" s="249"/>
      <c r="B302" s="235"/>
      <c r="C302" s="235"/>
      <c r="D302" s="527">
        <f>IFERROR(VLOOKUP($C302,'2019'!$D:$G,4,0),0)</f>
        <v>0</v>
      </c>
      <c r="E302" s="234">
        <f>SUMIFS('2019'!$I:$I,'2019'!$E:$E,Category!$B$278,'2019'!$N:$N,Category!E$1,'2019'!$D:$D,Category!$C302)</f>
        <v>0</v>
      </c>
      <c r="F302" s="234">
        <f>SUMIFS('2019'!$I:$I,'2019'!$E:$E,Category!$B$278,'2019'!$N:$N,Category!F$1,'2019'!$D:$D,Category!$C302)</f>
        <v>0</v>
      </c>
      <c r="G302" s="234">
        <f>SUMIFS('2019'!$I:$I,'2019'!$E:$E,Category!$B$278,'2019'!$N:$N,Category!G$1,'2019'!$D:$D,Category!$C302)</f>
        <v>0</v>
      </c>
      <c r="H302" s="234">
        <f>SUMIFS('2019'!$I:$I,'2019'!$E:$E,Category!$B$278,'2019'!$N:$N,Category!H$1,'2019'!$D:$D,Category!$C302)</f>
        <v>0</v>
      </c>
      <c r="I302" s="234">
        <f>SUMIFS('2019'!$I:$I,'2019'!$E:$E,Category!$B$278,'2019'!$N:$N,Category!I$1,'2019'!$D:$D,Category!$C302)</f>
        <v>0</v>
      </c>
      <c r="J302" s="234">
        <f t="shared" si="116"/>
        <v>0</v>
      </c>
      <c r="K302" s="507">
        <f>IFERROR(VLOOKUP($C302,'2020'!$D:$G,4,0),0)</f>
        <v>0</v>
      </c>
      <c r="L302" s="234">
        <f>SUMIFS('2020'!$I:$I,'2020'!$E:$E,Category!$B$278,'2020'!$N:$N,Category!L$1,'2020'!$D:$D,Category!$C302)</f>
        <v>0</v>
      </c>
      <c r="M302" s="234">
        <f>SUMIFS('2020'!$I:$I,'2020'!$E:$E,Category!$B$278,'2020'!$N:$N,Category!M$1,'2020'!$D:$D,Category!$C302)</f>
        <v>0</v>
      </c>
      <c r="N302" s="234">
        <f>SUMIFS('2020'!$I:$I,'2020'!$E:$E,Category!$B$278,'2020'!$N:$N,Category!N$1,'2020'!$D:$D,Category!$C302)</f>
        <v>0</v>
      </c>
      <c r="O302" s="234">
        <f>SUMIFS('2020'!$I:$I,'2020'!$E:$E,Category!$B$278,'2020'!$N:$N,Category!O$1,'2020'!$D:$D,Category!$C302)</f>
        <v>0</v>
      </c>
      <c r="P302" s="234">
        <f>SUMIFS('2020'!$I:$I,'2020'!$E:$E,Category!$B$278,'2020'!$N:$N,Category!P$1,'2020'!$D:$D,Category!$C302)</f>
        <v>0</v>
      </c>
      <c r="Q302" s="234">
        <f>SUMIFS('2020'!$I:$I,'2020'!$E:$E,Category!$B$278,'2020'!$N:$N,Category!Q$1,'2020'!$D:$D,Category!$C302)</f>
        <v>0</v>
      </c>
      <c r="R302" s="234">
        <f>SUMIFS('2020'!$I:$I,'2020'!$E:$E,Category!$B$278,'2020'!$N:$N,Category!R$1,'2020'!$D:$D,Category!$C302)</f>
        <v>0</v>
      </c>
      <c r="S302" s="234">
        <f>SUMIFS('2020'!$I:$I,'2020'!$E:$E,Category!$B$278,'2020'!$N:$N,Category!S$1,'2020'!$D:$D,Category!$C302)</f>
        <v>0</v>
      </c>
      <c r="T302" s="234">
        <f>SUMIFS('2020'!$I:$I,'2020'!$E:$E,Category!$B$278,'2020'!$N:$N,Category!T$1,'2020'!$D:$D,Category!$C302)</f>
        <v>0</v>
      </c>
      <c r="U302" s="234">
        <f>SUMIFS('2020'!$I:$I,'2020'!$E:$E,Category!$B$278,'2020'!$N:$N,Category!U$1,'2020'!$D:$D,Category!$C302)</f>
        <v>0</v>
      </c>
      <c r="V302" s="234">
        <f>SUMIFS('2020'!$I:$I,'2020'!$E:$E,Category!$B$278,'2020'!$N:$N,Category!V$1,'2020'!$D:$D,Category!$C302)</f>
        <v>0</v>
      </c>
      <c r="W302" s="234">
        <f>SUMIFS('2020'!$I:$I,'2020'!$E:$E,Category!$B$278,'2020'!$N:$N,Category!W$1,'2020'!$D:$D,Category!$C302)</f>
        <v>0</v>
      </c>
      <c r="X302" s="234">
        <f t="shared" si="117"/>
        <v>0</v>
      </c>
      <c r="Y302" s="507">
        <f>IFERROR(VLOOKUP(C302,'2021'!$D:$G,4,0),0)</f>
        <v>0</v>
      </c>
      <c r="Z302" s="234">
        <f>SUMIFS('2021'!$I:$I,'2021'!$E:$E,Category!$B$278,'2021'!$N:$N,Category!Z$1,'2021'!$D:$D,Category!$C302)</f>
        <v>0</v>
      </c>
      <c r="AA302" s="234">
        <f>SUMIFS('2021'!$I:$I,'2021'!$E:$E,Category!$B$278,'2021'!$N:$N,Category!AA$1,'2021'!$D:$D,Category!$C302)</f>
        <v>0</v>
      </c>
      <c r="AB302" s="234">
        <f>SUMIFS('2021'!$I:$I,'2021'!$E:$E,Category!$B$278,'2021'!$N:$N,Category!AB$1,'2021'!$D:$D,Category!$C302)</f>
        <v>0</v>
      </c>
      <c r="AC302" s="234">
        <f>SUMIFS('2021'!$I:$I,'2021'!$E:$E,Category!$B$278,'2021'!$N:$N,Category!AC$1,'2021'!$D:$D,Category!$C302)</f>
        <v>0</v>
      </c>
      <c r="AD302" s="234">
        <f>SUMIFS('2021'!$I:$I,'2021'!$E:$E,Category!$B$278,'2021'!$N:$N,Category!AD$1,'2021'!$D:$D,Category!$C302)</f>
        <v>0</v>
      </c>
      <c r="AE302" s="234">
        <f>SUMIFS('2021'!$I:$I,'2021'!$E:$E,Category!$B$278,'2021'!$N:$N,Category!AE$1,'2021'!$D:$D,Category!$C302)</f>
        <v>0</v>
      </c>
      <c r="AF302" s="234">
        <f>SUMIFS('2021'!$I:$I,'2021'!$E:$E,Category!$B$278,'2021'!$N:$N,Category!AF$1,'2021'!$D:$D,Category!$C302)</f>
        <v>0</v>
      </c>
      <c r="AG302" s="234">
        <f>SUMIFS('2021'!$I:$I,'2021'!$E:$E,Category!$B$278,'2021'!$N:$N,Category!AG$1,'2021'!$D:$D,Category!$C302)</f>
        <v>0</v>
      </c>
      <c r="AH302" s="234">
        <f>SUMIFS('2021'!$I:$I,'2021'!$E:$E,Category!$B$278,'2021'!$N:$N,Category!AH$1,'2021'!$D:$D,Category!$C302)</f>
        <v>0</v>
      </c>
      <c r="AI302" s="234">
        <f>SUMIFS('2021'!$I:$I,'2021'!$E:$E,Category!$B$278,'2021'!$N:$N,Category!AI$1,'2021'!$D:$D,Category!$C302)</f>
        <v>0</v>
      </c>
      <c r="AJ302" s="234">
        <f>SUMIFS('2021'!$I:$I,'2021'!$E:$E,Category!$B$278,'2021'!$N:$N,Category!AJ$1,'2021'!$D:$D,Category!$C302)</f>
        <v>0</v>
      </c>
      <c r="AK302" s="234">
        <f>SUMIFS('2021'!$I:$I,'2021'!$E:$E,Category!$B$278,'2021'!$N:$N,Category!AK$1,'2021'!$D:$D,Category!$C302)</f>
        <v>0</v>
      </c>
      <c r="AL302" s="250">
        <f t="shared" si="118"/>
        <v>0</v>
      </c>
      <c r="AM302" s="507">
        <f>IFERROR(VLOOKUP(C302,'2022'!$D:$G,4,0),0)</f>
        <v>0</v>
      </c>
      <c r="AN302" s="234">
        <f>SUMIFS('2022'!$I:$I,'2022'!$E:$E,Category!$B$278,'2022'!$N:$N,Category!AN$1,'2022'!$D:$D,Category!$C302)</f>
        <v>0</v>
      </c>
      <c r="AO302" s="234">
        <f>SUMIFS('2022'!$I:$I,'2022'!$E:$E,Category!$B$278,'2022'!$N:$N,Category!AO$1,'2022'!$D:$D,Category!$C302)</f>
        <v>0</v>
      </c>
      <c r="AP302" s="234">
        <f>SUMIFS('2022'!$I:$I,'2022'!$E:$E,Category!$B$278,'2022'!$N:$N,Category!AP$1,'2022'!$D:$D,Category!$C302)</f>
        <v>0</v>
      </c>
      <c r="AQ302" s="234">
        <f>SUMIFS('2022'!$I:$I,'2022'!$E:$E,Category!$B$278,'2022'!$N:$N,Category!AQ$1,'2022'!$D:$D,Category!$C302)</f>
        <v>0</v>
      </c>
      <c r="AR302" s="234">
        <f>SUMIFS('2022'!$I:$I,'2022'!$E:$E,Category!$B$278,'2022'!$N:$N,Category!AR$1,'2022'!$D:$D,Category!$C302)</f>
        <v>0</v>
      </c>
      <c r="AS302" s="234">
        <f>SUMIFS('2022'!$I:$I,'2022'!$E:$E,Category!$B$278,'2022'!$N:$N,Category!AS$1,'2022'!$D:$D,Category!$C302)</f>
        <v>0</v>
      </c>
      <c r="AT302" s="234">
        <f>SUMIFS('2022'!$I:$I,'2022'!$E:$E,Category!$B$278,'2022'!$N:$N,Category!AT$1,'2022'!$D:$D,Category!$C302)</f>
        <v>0</v>
      </c>
      <c r="AU302" s="234">
        <f>SUMIFS('2022'!$I:$I,'2022'!$E:$E,Category!$B$278,'2022'!$N:$N,Category!AU$1,'2022'!$D:$D,Category!$C302)</f>
        <v>0</v>
      </c>
      <c r="AV302" s="234">
        <f>SUMIFS('2022'!$I:$I,'2022'!$E:$E,Category!$B$278,'2022'!$N:$N,Category!AV$1,'2022'!$D:$D,Category!$C302)</f>
        <v>0</v>
      </c>
      <c r="AW302" s="234">
        <f>SUMIFS('2022'!$I:$I,'2022'!$E:$E,Category!$B$278,'2022'!$N:$N,Category!AW$1,'2022'!$D:$D,Category!$C302)</f>
        <v>0</v>
      </c>
      <c r="AX302" s="234">
        <f>SUMIFS('2022'!$I:$I,'2022'!$E:$E,Category!$B$278,'2022'!$N:$N,Category!AX$1,'2022'!$D:$D,Category!$C302)</f>
        <v>0</v>
      </c>
      <c r="AY302" s="234">
        <f>SUMIFS('2022'!$I:$I,'2022'!$E:$E,Category!$B$278,'2022'!$N:$N,Category!AY$1,'2022'!$D:$D,Category!$C302)</f>
        <v>0</v>
      </c>
      <c r="AZ302" s="250">
        <f t="shared" si="119"/>
        <v>0</v>
      </c>
      <c r="BA302" s="507">
        <f>IFERROR(VLOOKUP(C302,'2023'!$D:$G,4,0),0)</f>
        <v>0</v>
      </c>
      <c r="BB302" s="234">
        <f>SUMIFS('2023'!$I:$I,'2023'!$E:$E,Category!$B$278,'2023'!$N:$N,Category!BB$1,'2023'!$D:$D,Category!$C302)</f>
        <v>0</v>
      </c>
      <c r="BC302" s="234">
        <f>SUMIFS('2023'!$I:$I,'2023'!$E:$E,Category!$B$278,'2023'!$N:$N,Category!BC$1,'2023'!$D:$D,Category!$C302)</f>
        <v>0</v>
      </c>
      <c r="BD302" s="234">
        <f>SUMIFS('2023'!$I:$I,'2023'!$E:$E,Category!$B$278,'2023'!$N:$N,Category!BD$1,'2023'!$D:$D,Category!$C302)</f>
        <v>0</v>
      </c>
      <c r="BE302" s="234">
        <f>SUMIFS('2023'!$I:$I,'2023'!$E:$E,Category!$B$278,'2023'!$N:$N,Category!BE$1,'2023'!$D:$D,Category!$C302)</f>
        <v>0</v>
      </c>
      <c r="BF302" s="234">
        <f>SUMIFS('2023'!$I:$I,'2023'!$E:$E,Category!$B$278,'2023'!$N:$N,Category!BF$1,'2023'!$D:$D,Category!$C302)</f>
        <v>0</v>
      </c>
      <c r="BG302" s="234">
        <f>SUMIFS('2023'!$I:$I,'2023'!$E:$E,Category!$B$278,'2023'!$N:$N,Category!BG$1,'2023'!$D:$D,Category!$C302)</f>
        <v>0</v>
      </c>
      <c r="BH302" s="234">
        <f>SUMIFS('2023'!$I:$I,'2023'!$E:$E,Category!$B$278,'2023'!$N:$N,Category!BH$1,'2023'!$D:$D,Category!$C302)</f>
        <v>0</v>
      </c>
      <c r="BI302" s="234">
        <f>SUMIFS('2023'!$I:$I,'2023'!$E:$E,Category!$B$278,'2023'!$N:$N,Category!BI$1,'2023'!$D:$D,Category!$C302)</f>
        <v>0</v>
      </c>
      <c r="BJ302" s="234">
        <f>SUMIFS('2023'!$I:$I,'2023'!$E:$E,Category!$B$278,'2023'!$N:$N,Category!BJ$1,'2023'!$D:$D,Category!$C302)</f>
        <v>0</v>
      </c>
      <c r="BK302" s="234">
        <f>SUMIFS('2023'!$I:$I,'2023'!$E:$E,Category!$B$278,'2023'!$N:$N,Category!BK$1,'2023'!$D:$D,Category!$C302)</f>
        <v>0</v>
      </c>
      <c r="BL302" s="234">
        <f>SUMIFS('2023'!$I:$I,'2023'!$E:$E,Category!$B$278,'2023'!$N:$N,Category!BL$1,'2023'!$D:$D,Category!$C302)</f>
        <v>0</v>
      </c>
      <c r="BM302" s="234">
        <f>SUMIFS('2023'!$I:$I,'2023'!$E:$E,Category!$B$278,'2023'!$N:$N,Category!BM$1,'2023'!$D:$D,Category!$C302)</f>
        <v>0</v>
      </c>
      <c r="BN302" s="250">
        <f t="shared" si="114"/>
        <v>0</v>
      </c>
    </row>
    <row r="303" spans="1:66" ht="21" hidden="1" customHeight="1" x14ac:dyDescent="0.3">
      <c r="A303" s="249"/>
      <c r="B303" s="235"/>
      <c r="C303" s="235"/>
      <c r="D303" s="527">
        <f>IFERROR(VLOOKUP($C303,'2019'!$D:$G,4,0),0)</f>
        <v>0</v>
      </c>
      <c r="E303" s="234">
        <f>SUMIFS('2019'!$I:$I,'2019'!$E:$E,Category!$B$278,'2019'!$N:$N,Category!E$1,'2019'!$D:$D,Category!$C303)</f>
        <v>0</v>
      </c>
      <c r="F303" s="234">
        <f>SUMIFS('2019'!$I:$I,'2019'!$E:$E,Category!$B$278,'2019'!$N:$N,Category!F$1,'2019'!$D:$D,Category!$C303)</f>
        <v>0</v>
      </c>
      <c r="G303" s="234">
        <f>SUMIFS('2019'!$I:$I,'2019'!$E:$E,Category!$B$278,'2019'!$N:$N,Category!G$1,'2019'!$D:$D,Category!$C303)</f>
        <v>0</v>
      </c>
      <c r="H303" s="234">
        <f>SUMIFS('2019'!$I:$I,'2019'!$E:$E,Category!$B$278,'2019'!$N:$N,Category!H$1,'2019'!$D:$D,Category!$C303)</f>
        <v>0</v>
      </c>
      <c r="I303" s="234">
        <f>SUMIFS('2019'!$I:$I,'2019'!$E:$E,Category!$B$278,'2019'!$N:$N,Category!I$1,'2019'!$D:$D,Category!$C303)</f>
        <v>0</v>
      </c>
      <c r="J303" s="234">
        <f t="shared" si="116"/>
        <v>0</v>
      </c>
      <c r="K303" s="507">
        <f>IFERROR(VLOOKUP($C303,'2020'!$D:$G,4,0),0)</f>
        <v>0</v>
      </c>
      <c r="L303" s="234">
        <f>SUMIFS('2020'!$I:$I,'2020'!$E:$E,Category!$B$278,'2020'!$N:$N,Category!L$1,'2020'!$D:$D,Category!$C303)</f>
        <v>0</v>
      </c>
      <c r="M303" s="234">
        <f>SUMIFS('2020'!$I:$I,'2020'!$E:$E,Category!$B$278,'2020'!$N:$N,Category!M$1,'2020'!$D:$D,Category!$C303)</f>
        <v>0</v>
      </c>
      <c r="N303" s="234">
        <f>SUMIFS('2020'!$I:$I,'2020'!$E:$E,Category!$B$278,'2020'!$N:$N,Category!N$1,'2020'!$D:$D,Category!$C303)</f>
        <v>0</v>
      </c>
      <c r="O303" s="234">
        <f>SUMIFS('2020'!$I:$I,'2020'!$E:$E,Category!$B$278,'2020'!$N:$N,Category!O$1,'2020'!$D:$D,Category!$C303)</f>
        <v>0</v>
      </c>
      <c r="P303" s="234">
        <f>SUMIFS('2020'!$I:$I,'2020'!$E:$E,Category!$B$278,'2020'!$N:$N,Category!P$1,'2020'!$D:$D,Category!$C303)</f>
        <v>0</v>
      </c>
      <c r="Q303" s="234">
        <f>SUMIFS('2020'!$I:$I,'2020'!$E:$E,Category!$B$278,'2020'!$N:$N,Category!Q$1,'2020'!$D:$D,Category!$C303)</f>
        <v>0</v>
      </c>
      <c r="R303" s="234">
        <f>SUMIFS('2020'!$I:$I,'2020'!$E:$E,Category!$B$278,'2020'!$N:$N,Category!R$1,'2020'!$D:$D,Category!$C303)</f>
        <v>0</v>
      </c>
      <c r="S303" s="234">
        <f>SUMIFS('2020'!$I:$I,'2020'!$E:$E,Category!$B$278,'2020'!$N:$N,Category!S$1,'2020'!$D:$D,Category!$C303)</f>
        <v>0</v>
      </c>
      <c r="T303" s="234">
        <f>SUMIFS('2020'!$I:$I,'2020'!$E:$E,Category!$B$278,'2020'!$N:$N,Category!T$1,'2020'!$D:$D,Category!$C303)</f>
        <v>0</v>
      </c>
      <c r="U303" s="234">
        <f>SUMIFS('2020'!$I:$I,'2020'!$E:$E,Category!$B$278,'2020'!$N:$N,Category!U$1,'2020'!$D:$D,Category!$C303)</f>
        <v>0</v>
      </c>
      <c r="V303" s="234">
        <f>SUMIFS('2020'!$I:$I,'2020'!$E:$E,Category!$B$278,'2020'!$N:$N,Category!V$1,'2020'!$D:$D,Category!$C303)</f>
        <v>0</v>
      </c>
      <c r="W303" s="234">
        <f>SUMIFS('2020'!$I:$I,'2020'!$E:$E,Category!$B$278,'2020'!$N:$N,Category!W$1,'2020'!$D:$D,Category!$C303)</f>
        <v>0</v>
      </c>
      <c r="X303" s="234">
        <f t="shared" si="117"/>
        <v>0</v>
      </c>
      <c r="Y303" s="507">
        <f>IFERROR(VLOOKUP(C303,'2021'!$D:$G,4,0),0)</f>
        <v>0</v>
      </c>
      <c r="Z303" s="234">
        <f>SUMIFS('2021'!$I:$I,'2021'!$E:$E,Category!$B$278,'2021'!$N:$N,Category!Z$1,'2021'!$D:$D,Category!$C303)</f>
        <v>0</v>
      </c>
      <c r="AA303" s="234">
        <f>SUMIFS('2021'!$I:$I,'2021'!$E:$E,Category!$B$278,'2021'!$N:$N,Category!AA$1,'2021'!$D:$D,Category!$C303)</f>
        <v>0</v>
      </c>
      <c r="AB303" s="234">
        <f>SUMIFS('2021'!$I:$I,'2021'!$E:$E,Category!$B$278,'2021'!$N:$N,Category!AB$1,'2021'!$D:$D,Category!$C303)</f>
        <v>0</v>
      </c>
      <c r="AC303" s="234">
        <f>SUMIFS('2021'!$I:$I,'2021'!$E:$E,Category!$B$278,'2021'!$N:$N,Category!AC$1,'2021'!$D:$D,Category!$C303)</f>
        <v>0</v>
      </c>
      <c r="AD303" s="234">
        <f>SUMIFS('2021'!$I:$I,'2021'!$E:$E,Category!$B$278,'2021'!$N:$N,Category!AD$1,'2021'!$D:$D,Category!$C303)</f>
        <v>0</v>
      </c>
      <c r="AE303" s="234">
        <f>SUMIFS('2021'!$I:$I,'2021'!$E:$E,Category!$B$278,'2021'!$N:$N,Category!AE$1,'2021'!$D:$D,Category!$C303)</f>
        <v>0</v>
      </c>
      <c r="AF303" s="234">
        <f>SUMIFS('2021'!$I:$I,'2021'!$E:$E,Category!$B$278,'2021'!$N:$N,Category!AF$1,'2021'!$D:$D,Category!$C303)</f>
        <v>0</v>
      </c>
      <c r="AG303" s="234">
        <f>SUMIFS('2021'!$I:$I,'2021'!$E:$E,Category!$B$278,'2021'!$N:$N,Category!AG$1,'2021'!$D:$D,Category!$C303)</f>
        <v>0</v>
      </c>
      <c r="AH303" s="234">
        <f>SUMIFS('2021'!$I:$I,'2021'!$E:$E,Category!$B$278,'2021'!$N:$N,Category!AH$1,'2021'!$D:$D,Category!$C303)</f>
        <v>0</v>
      </c>
      <c r="AI303" s="234">
        <f>SUMIFS('2021'!$I:$I,'2021'!$E:$E,Category!$B$278,'2021'!$N:$N,Category!AI$1,'2021'!$D:$D,Category!$C303)</f>
        <v>0</v>
      </c>
      <c r="AJ303" s="234">
        <f>SUMIFS('2021'!$I:$I,'2021'!$E:$E,Category!$B$278,'2021'!$N:$N,Category!AJ$1,'2021'!$D:$D,Category!$C303)</f>
        <v>0</v>
      </c>
      <c r="AK303" s="234">
        <f>SUMIFS('2021'!$I:$I,'2021'!$E:$E,Category!$B$278,'2021'!$N:$N,Category!AK$1,'2021'!$D:$D,Category!$C303)</f>
        <v>0</v>
      </c>
      <c r="AL303" s="250">
        <f t="shared" si="118"/>
        <v>0</v>
      </c>
      <c r="AM303" s="507">
        <f>IFERROR(VLOOKUP(C303,'2022'!$D:$G,4,0),0)</f>
        <v>0</v>
      </c>
      <c r="AN303" s="234">
        <f>SUMIFS('2022'!$I:$I,'2022'!$E:$E,Category!$B$278,'2022'!$N:$N,Category!AN$1,'2022'!$D:$D,Category!$C303)</f>
        <v>0</v>
      </c>
      <c r="AO303" s="234">
        <f>SUMIFS('2022'!$I:$I,'2022'!$E:$E,Category!$B$278,'2022'!$N:$N,Category!AO$1,'2022'!$D:$D,Category!$C303)</f>
        <v>0</v>
      </c>
      <c r="AP303" s="234">
        <f>SUMIFS('2022'!$I:$I,'2022'!$E:$E,Category!$B$278,'2022'!$N:$N,Category!AP$1,'2022'!$D:$D,Category!$C303)</f>
        <v>0</v>
      </c>
      <c r="AQ303" s="234">
        <f>SUMIFS('2022'!$I:$I,'2022'!$E:$E,Category!$B$278,'2022'!$N:$N,Category!AQ$1,'2022'!$D:$D,Category!$C303)</f>
        <v>0</v>
      </c>
      <c r="AR303" s="234">
        <f>SUMIFS('2022'!$I:$I,'2022'!$E:$E,Category!$B$278,'2022'!$N:$N,Category!AR$1,'2022'!$D:$D,Category!$C303)</f>
        <v>0</v>
      </c>
      <c r="AS303" s="234">
        <f>SUMIFS('2022'!$I:$I,'2022'!$E:$E,Category!$B$278,'2022'!$N:$N,Category!AS$1,'2022'!$D:$D,Category!$C303)</f>
        <v>0</v>
      </c>
      <c r="AT303" s="234">
        <f>SUMIFS('2022'!$I:$I,'2022'!$E:$E,Category!$B$278,'2022'!$N:$N,Category!AT$1,'2022'!$D:$D,Category!$C303)</f>
        <v>0</v>
      </c>
      <c r="AU303" s="234">
        <f>SUMIFS('2022'!$I:$I,'2022'!$E:$E,Category!$B$278,'2022'!$N:$N,Category!AU$1,'2022'!$D:$D,Category!$C303)</f>
        <v>0</v>
      </c>
      <c r="AV303" s="234">
        <f>SUMIFS('2022'!$I:$I,'2022'!$E:$E,Category!$B$278,'2022'!$N:$N,Category!AV$1,'2022'!$D:$D,Category!$C303)</f>
        <v>0</v>
      </c>
      <c r="AW303" s="234">
        <f>SUMIFS('2022'!$I:$I,'2022'!$E:$E,Category!$B$278,'2022'!$N:$N,Category!AW$1,'2022'!$D:$D,Category!$C303)</f>
        <v>0</v>
      </c>
      <c r="AX303" s="234">
        <f>SUMIFS('2022'!$I:$I,'2022'!$E:$E,Category!$B$278,'2022'!$N:$N,Category!AX$1,'2022'!$D:$D,Category!$C303)</f>
        <v>0</v>
      </c>
      <c r="AY303" s="234">
        <f>SUMIFS('2022'!$I:$I,'2022'!$E:$E,Category!$B$278,'2022'!$N:$N,Category!AY$1,'2022'!$D:$D,Category!$C303)</f>
        <v>0</v>
      </c>
      <c r="AZ303" s="250">
        <f t="shared" si="119"/>
        <v>0</v>
      </c>
      <c r="BA303" s="507">
        <f>IFERROR(VLOOKUP(C303,'2023'!$D:$G,4,0),0)</f>
        <v>0</v>
      </c>
      <c r="BB303" s="234">
        <f>SUMIFS('2023'!$I:$I,'2023'!$E:$E,Category!$B$278,'2023'!$N:$N,Category!BB$1,'2023'!$D:$D,Category!$C303)</f>
        <v>0</v>
      </c>
      <c r="BC303" s="234">
        <f>SUMIFS('2023'!$I:$I,'2023'!$E:$E,Category!$B$278,'2023'!$N:$N,Category!BC$1,'2023'!$D:$D,Category!$C303)</f>
        <v>0</v>
      </c>
      <c r="BD303" s="234">
        <f>SUMIFS('2023'!$I:$I,'2023'!$E:$E,Category!$B$278,'2023'!$N:$N,Category!BD$1,'2023'!$D:$D,Category!$C303)</f>
        <v>0</v>
      </c>
      <c r="BE303" s="234">
        <f>SUMIFS('2023'!$I:$I,'2023'!$E:$E,Category!$B$278,'2023'!$N:$N,Category!BE$1,'2023'!$D:$D,Category!$C303)</f>
        <v>0</v>
      </c>
      <c r="BF303" s="234">
        <f>SUMIFS('2023'!$I:$I,'2023'!$E:$E,Category!$B$278,'2023'!$N:$N,Category!BF$1,'2023'!$D:$D,Category!$C303)</f>
        <v>0</v>
      </c>
      <c r="BG303" s="234">
        <f>SUMIFS('2023'!$I:$I,'2023'!$E:$E,Category!$B$278,'2023'!$N:$N,Category!BG$1,'2023'!$D:$D,Category!$C303)</f>
        <v>0</v>
      </c>
      <c r="BH303" s="234">
        <f>SUMIFS('2023'!$I:$I,'2023'!$E:$E,Category!$B$278,'2023'!$N:$N,Category!BH$1,'2023'!$D:$D,Category!$C303)</f>
        <v>0</v>
      </c>
      <c r="BI303" s="234">
        <f>SUMIFS('2023'!$I:$I,'2023'!$E:$E,Category!$B$278,'2023'!$N:$N,Category!BI$1,'2023'!$D:$D,Category!$C303)</f>
        <v>0</v>
      </c>
      <c r="BJ303" s="234">
        <f>SUMIFS('2023'!$I:$I,'2023'!$E:$E,Category!$B$278,'2023'!$N:$N,Category!BJ$1,'2023'!$D:$D,Category!$C303)</f>
        <v>0</v>
      </c>
      <c r="BK303" s="234">
        <f>SUMIFS('2023'!$I:$I,'2023'!$E:$E,Category!$B$278,'2023'!$N:$N,Category!BK$1,'2023'!$D:$D,Category!$C303)</f>
        <v>0</v>
      </c>
      <c r="BL303" s="234">
        <f>SUMIFS('2023'!$I:$I,'2023'!$E:$E,Category!$B$278,'2023'!$N:$N,Category!BL$1,'2023'!$D:$D,Category!$C303)</f>
        <v>0</v>
      </c>
      <c r="BM303" s="234">
        <f>SUMIFS('2023'!$I:$I,'2023'!$E:$E,Category!$B$278,'2023'!$N:$N,Category!BM$1,'2023'!$D:$D,Category!$C303)</f>
        <v>0</v>
      </c>
      <c r="BN303" s="250">
        <f t="shared" si="114"/>
        <v>0</v>
      </c>
    </row>
    <row r="304" spans="1:66" ht="21" hidden="1" customHeight="1" x14ac:dyDescent="0.3">
      <c r="A304" s="249"/>
      <c r="B304" s="235"/>
      <c r="C304" s="235"/>
      <c r="D304" s="527">
        <f>IFERROR(VLOOKUP($C304,'2019'!$D:$G,4,0),0)</f>
        <v>0</v>
      </c>
      <c r="E304" s="234">
        <f>SUMIFS('2019'!$I:$I,'2019'!$E:$E,Category!$B$278,'2019'!$N:$N,Category!E$1,'2019'!$D:$D,Category!$C304)</f>
        <v>0</v>
      </c>
      <c r="F304" s="234">
        <f>SUMIFS('2019'!$I:$I,'2019'!$E:$E,Category!$B$278,'2019'!$N:$N,Category!F$1,'2019'!$D:$D,Category!$C304)</f>
        <v>0</v>
      </c>
      <c r="G304" s="234">
        <f>SUMIFS('2019'!$I:$I,'2019'!$E:$E,Category!$B$278,'2019'!$N:$N,Category!G$1,'2019'!$D:$D,Category!$C304)</f>
        <v>0</v>
      </c>
      <c r="H304" s="234">
        <f>SUMIFS('2019'!$I:$I,'2019'!$E:$E,Category!$B$278,'2019'!$N:$N,Category!H$1,'2019'!$D:$D,Category!$C304)</f>
        <v>0</v>
      </c>
      <c r="I304" s="234">
        <f>SUMIFS('2019'!$I:$I,'2019'!$E:$E,Category!$B$278,'2019'!$N:$N,Category!I$1,'2019'!$D:$D,Category!$C304)</f>
        <v>0</v>
      </c>
      <c r="J304" s="234">
        <f t="shared" si="116"/>
        <v>0</v>
      </c>
      <c r="K304" s="507">
        <f>IFERROR(VLOOKUP($C304,'2020'!$D:$G,4,0),0)</f>
        <v>0</v>
      </c>
      <c r="L304" s="234">
        <f>SUMIFS('2020'!$I:$I,'2020'!$E:$E,Category!$B$278,'2020'!$N:$N,Category!L$1,'2020'!$D:$D,Category!$C304)</f>
        <v>0</v>
      </c>
      <c r="M304" s="234">
        <f>SUMIFS('2020'!$I:$I,'2020'!$E:$E,Category!$B$278,'2020'!$N:$N,Category!M$1,'2020'!$D:$D,Category!$C304)</f>
        <v>0</v>
      </c>
      <c r="N304" s="234">
        <f>SUMIFS('2020'!$I:$I,'2020'!$E:$E,Category!$B$278,'2020'!$N:$N,Category!N$1,'2020'!$D:$D,Category!$C304)</f>
        <v>0</v>
      </c>
      <c r="O304" s="234">
        <f>SUMIFS('2020'!$I:$I,'2020'!$E:$E,Category!$B$278,'2020'!$N:$N,Category!O$1,'2020'!$D:$D,Category!$C304)</f>
        <v>0</v>
      </c>
      <c r="P304" s="234">
        <f>SUMIFS('2020'!$I:$I,'2020'!$E:$E,Category!$B$278,'2020'!$N:$N,Category!P$1,'2020'!$D:$D,Category!$C304)</f>
        <v>0</v>
      </c>
      <c r="Q304" s="234">
        <f>SUMIFS('2020'!$I:$I,'2020'!$E:$E,Category!$B$278,'2020'!$N:$N,Category!Q$1,'2020'!$D:$D,Category!$C304)</f>
        <v>0</v>
      </c>
      <c r="R304" s="234">
        <f>SUMIFS('2020'!$I:$I,'2020'!$E:$E,Category!$B$278,'2020'!$N:$N,Category!R$1,'2020'!$D:$D,Category!$C304)</f>
        <v>0</v>
      </c>
      <c r="S304" s="234">
        <f>SUMIFS('2020'!$I:$I,'2020'!$E:$E,Category!$B$278,'2020'!$N:$N,Category!S$1,'2020'!$D:$D,Category!$C304)</f>
        <v>0</v>
      </c>
      <c r="T304" s="234">
        <f>SUMIFS('2020'!$I:$I,'2020'!$E:$E,Category!$B$278,'2020'!$N:$N,Category!T$1,'2020'!$D:$D,Category!$C304)</f>
        <v>0</v>
      </c>
      <c r="U304" s="234">
        <f>SUMIFS('2020'!$I:$I,'2020'!$E:$E,Category!$B$278,'2020'!$N:$N,Category!U$1,'2020'!$D:$D,Category!$C304)</f>
        <v>0</v>
      </c>
      <c r="V304" s="234">
        <f>SUMIFS('2020'!$I:$I,'2020'!$E:$E,Category!$B$278,'2020'!$N:$N,Category!V$1,'2020'!$D:$D,Category!$C304)</f>
        <v>0</v>
      </c>
      <c r="W304" s="234">
        <f>SUMIFS('2020'!$I:$I,'2020'!$E:$E,Category!$B$278,'2020'!$N:$N,Category!W$1,'2020'!$D:$D,Category!$C304)</f>
        <v>0</v>
      </c>
      <c r="X304" s="234">
        <f t="shared" si="117"/>
        <v>0</v>
      </c>
      <c r="Y304" s="507">
        <f>IFERROR(VLOOKUP(C304,'2021'!$D:$G,4,0),0)</f>
        <v>0</v>
      </c>
      <c r="Z304" s="234">
        <f>SUMIFS('2021'!$I:$I,'2021'!$E:$E,Category!$B$278,'2021'!$N:$N,Category!Z$1,'2021'!$D:$D,Category!$C304)</f>
        <v>0</v>
      </c>
      <c r="AA304" s="234">
        <f>SUMIFS('2021'!$I:$I,'2021'!$E:$E,Category!$B$278,'2021'!$N:$N,Category!AA$1,'2021'!$D:$D,Category!$C304)</f>
        <v>0</v>
      </c>
      <c r="AB304" s="234">
        <f>SUMIFS('2021'!$I:$I,'2021'!$E:$E,Category!$B$278,'2021'!$N:$N,Category!AB$1,'2021'!$D:$D,Category!$C304)</f>
        <v>0</v>
      </c>
      <c r="AC304" s="234">
        <f>SUMIFS('2021'!$I:$I,'2021'!$E:$E,Category!$B$278,'2021'!$N:$N,Category!AC$1,'2021'!$D:$D,Category!$C304)</f>
        <v>0</v>
      </c>
      <c r="AD304" s="234">
        <f>SUMIFS('2021'!$I:$I,'2021'!$E:$E,Category!$B$278,'2021'!$N:$N,Category!AD$1,'2021'!$D:$D,Category!$C304)</f>
        <v>0</v>
      </c>
      <c r="AE304" s="234">
        <f>SUMIFS('2021'!$I:$I,'2021'!$E:$E,Category!$B$278,'2021'!$N:$N,Category!AE$1,'2021'!$D:$D,Category!$C304)</f>
        <v>0</v>
      </c>
      <c r="AF304" s="234">
        <f>SUMIFS('2021'!$I:$I,'2021'!$E:$E,Category!$B$278,'2021'!$N:$N,Category!AF$1,'2021'!$D:$D,Category!$C304)</f>
        <v>0</v>
      </c>
      <c r="AG304" s="234">
        <f>SUMIFS('2021'!$I:$I,'2021'!$E:$E,Category!$B$278,'2021'!$N:$N,Category!AG$1,'2021'!$D:$D,Category!$C304)</f>
        <v>0</v>
      </c>
      <c r="AH304" s="234">
        <f>SUMIFS('2021'!$I:$I,'2021'!$E:$E,Category!$B$278,'2021'!$N:$N,Category!AH$1,'2021'!$D:$D,Category!$C304)</f>
        <v>0</v>
      </c>
      <c r="AI304" s="234">
        <f>SUMIFS('2021'!$I:$I,'2021'!$E:$E,Category!$B$278,'2021'!$N:$N,Category!AI$1,'2021'!$D:$D,Category!$C304)</f>
        <v>0</v>
      </c>
      <c r="AJ304" s="234">
        <f>SUMIFS('2021'!$I:$I,'2021'!$E:$E,Category!$B$278,'2021'!$N:$N,Category!AJ$1,'2021'!$D:$D,Category!$C304)</f>
        <v>0</v>
      </c>
      <c r="AK304" s="234">
        <f>SUMIFS('2021'!$I:$I,'2021'!$E:$E,Category!$B$278,'2021'!$N:$N,Category!AK$1,'2021'!$D:$D,Category!$C304)</f>
        <v>0</v>
      </c>
      <c r="AL304" s="250">
        <f t="shared" si="118"/>
        <v>0</v>
      </c>
      <c r="AM304" s="507">
        <f>IFERROR(VLOOKUP(C304,'2022'!$D:$G,4,0),0)</f>
        <v>0</v>
      </c>
      <c r="AN304" s="234">
        <f>SUMIFS('2022'!$I:$I,'2022'!$E:$E,Category!$B$278,'2022'!$N:$N,Category!AN$1,'2022'!$D:$D,Category!$C304)</f>
        <v>0</v>
      </c>
      <c r="AO304" s="234">
        <f>SUMIFS('2022'!$I:$I,'2022'!$E:$E,Category!$B$278,'2022'!$N:$N,Category!AO$1,'2022'!$D:$D,Category!$C304)</f>
        <v>0</v>
      </c>
      <c r="AP304" s="234">
        <f>SUMIFS('2022'!$I:$I,'2022'!$E:$E,Category!$B$278,'2022'!$N:$N,Category!AP$1,'2022'!$D:$D,Category!$C304)</f>
        <v>0</v>
      </c>
      <c r="AQ304" s="234">
        <f>SUMIFS('2022'!$I:$I,'2022'!$E:$E,Category!$B$278,'2022'!$N:$N,Category!AQ$1,'2022'!$D:$D,Category!$C304)</f>
        <v>0</v>
      </c>
      <c r="AR304" s="234">
        <f>SUMIFS('2022'!$I:$I,'2022'!$E:$E,Category!$B$278,'2022'!$N:$N,Category!AR$1,'2022'!$D:$D,Category!$C304)</f>
        <v>0</v>
      </c>
      <c r="AS304" s="234">
        <f>SUMIFS('2022'!$I:$I,'2022'!$E:$E,Category!$B$278,'2022'!$N:$N,Category!AS$1,'2022'!$D:$D,Category!$C304)</f>
        <v>0</v>
      </c>
      <c r="AT304" s="234">
        <f>SUMIFS('2022'!$I:$I,'2022'!$E:$E,Category!$B$278,'2022'!$N:$N,Category!AT$1,'2022'!$D:$D,Category!$C304)</f>
        <v>0</v>
      </c>
      <c r="AU304" s="234">
        <f>SUMIFS('2022'!$I:$I,'2022'!$E:$E,Category!$B$278,'2022'!$N:$N,Category!AU$1,'2022'!$D:$D,Category!$C304)</f>
        <v>0</v>
      </c>
      <c r="AV304" s="234">
        <f>SUMIFS('2022'!$I:$I,'2022'!$E:$E,Category!$B$278,'2022'!$N:$N,Category!AV$1,'2022'!$D:$D,Category!$C304)</f>
        <v>0</v>
      </c>
      <c r="AW304" s="234">
        <f>SUMIFS('2022'!$I:$I,'2022'!$E:$E,Category!$B$278,'2022'!$N:$N,Category!AW$1,'2022'!$D:$D,Category!$C304)</f>
        <v>0</v>
      </c>
      <c r="AX304" s="234">
        <f>SUMIFS('2022'!$I:$I,'2022'!$E:$E,Category!$B$278,'2022'!$N:$N,Category!AX$1,'2022'!$D:$D,Category!$C304)</f>
        <v>0</v>
      </c>
      <c r="AY304" s="234">
        <f>SUMIFS('2022'!$I:$I,'2022'!$E:$E,Category!$B$278,'2022'!$N:$N,Category!AY$1,'2022'!$D:$D,Category!$C304)</f>
        <v>0</v>
      </c>
      <c r="AZ304" s="250">
        <f t="shared" si="119"/>
        <v>0</v>
      </c>
      <c r="BA304" s="507">
        <f>IFERROR(VLOOKUP(C304,'2023'!$D:$G,4,0),0)</f>
        <v>0</v>
      </c>
      <c r="BB304" s="234">
        <f>SUMIFS('2023'!$I:$I,'2023'!$E:$E,Category!$B$278,'2023'!$N:$N,Category!BB$1,'2023'!$D:$D,Category!$C304)</f>
        <v>0</v>
      </c>
      <c r="BC304" s="234">
        <f>SUMIFS('2023'!$I:$I,'2023'!$E:$E,Category!$B$278,'2023'!$N:$N,Category!BC$1,'2023'!$D:$D,Category!$C304)</f>
        <v>0</v>
      </c>
      <c r="BD304" s="234">
        <f>SUMIFS('2023'!$I:$I,'2023'!$E:$E,Category!$B$278,'2023'!$N:$N,Category!BD$1,'2023'!$D:$D,Category!$C304)</f>
        <v>0</v>
      </c>
      <c r="BE304" s="234">
        <f>SUMIFS('2023'!$I:$I,'2023'!$E:$E,Category!$B$278,'2023'!$N:$N,Category!BE$1,'2023'!$D:$D,Category!$C304)</f>
        <v>0</v>
      </c>
      <c r="BF304" s="234">
        <f>SUMIFS('2023'!$I:$I,'2023'!$E:$E,Category!$B$278,'2023'!$N:$N,Category!BF$1,'2023'!$D:$D,Category!$C304)</f>
        <v>0</v>
      </c>
      <c r="BG304" s="234">
        <f>SUMIFS('2023'!$I:$I,'2023'!$E:$E,Category!$B$278,'2023'!$N:$N,Category!BG$1,'2023'!$D:$D,Category!$C304)</f>
        <v>0</v>
      </c>
      <c r="BH304" s="234">
        <f>SUMIFS('2023'!$I:$I,'2023'!$E:$E,Category!$B$278,'2023'!$N:$N,Category!BH$1,'2023'!$D:$D,Category!$C304)</f>
        <v>0</v>
      </c>
      <c r="BI304" s="234">
        <f>SUMIFS('2023'!$I:$I,'2023'!$E:$E,Category!$B$278,'2023'!$N:$N,Category!BI$1,'2023'!$D:$D,Category!$C304)</f>
        <v>0</v>
      </c>
      <c r="BJ304" s="234">
        <f>SUMIFS('2023'!$I:$I,'2023'!$E:$E,Category!$B$278,'2023'!$N:$N,Category!BJ$1,'2023'!$D:$D,Category!$C304)</f>
        <v>0</v>
      </c>
      <c r="BK304" s="234">
        <f>SUMIFS('2023'!$I:$I,'2023'!$E:$E,Category!$B$278,'2023'!$N:$N,Category!BK$1,'2023'!$D:$D,Category!$C304)</f>
        <v>0</v>
      </c>
      <c r="BL304" s="234">
        <f>SUMIFS('2023'!$I:$I,'2023'!$E:$E,Category!$B$278,'2023'!$N:$N,Category!BL$1,'2023'!$D:$D,Category!$C304)</f>
        <v>0</v>
      </c>
      <c r="BM304" s="234">
        <f>SUMIFS('2023'!$I:$I,'2023'!$E:$E,Category!$B$278,'2023'!$N:$N,Category!BM$1,'2023'!$D:$D,Category!$C304)</f>
        <v>0</v>
      </c>
      <c r="BN304" s="250">
        <f t="shared" si="114"/>
        <v>0</v>
      </c>
    </row>
    <row r="305" spans="1:66" ht="21" hidden="1" customHeight="1" x14ac:dyDescent="0.3">
      <c r="A305" s="249"/>
      <c r="B305" s="235"/>
      <c r="C305" s="235"/>
      <c r="D305" s="527">
        <f>IFERROR(VLOOKUP($C305,'2019'!$D:$G,4,0),0)</f>
        <v>0</v>
      </c>
      <c r="E305" s="234">
        <f>SUMIFS('2019'!$I:$I,'2019'!$E:$E,Category!$B$278,'2019'!$N:$N,Category!E$1,'2019'!$D:$D,Category!$C305)</f>
        <v>0</v>
      </c>
      <c r="F305" s="234">
        <f>SUMIFS('2019'!$I:$I,'2019'!$E:$E,Category!$B$278,'2019'!$N:$N,Category!F$1,'2019'!$D:$D,Category!$C305)</f>
        <v>0</v>
      </c>
      <c r="G305" s="234">
        <f>SUMIFS('2019'!$I:$I,'2019'!$E:$E,Category!$B$278,'2019'!$N:$N,Category!G$1,'2019'!$D:$D,Category!$C305)</f>
        <v>0</v>
      </c>
      <c r="H305" s="234">
        <f>SUMIFS('2019'!$I:$I,'2019'!$E:$E,Category!$B$278,'2019'!$N:$N,Category!H$1,'2019'!$D:$D,Category!$C305)</f>
        <v>0</v>
      </c>
      <c r="I305" s="234">
        <f>SUMIFS('2019'!$I:$I,'2019'!$E:$E,Category!$B$278,'2019'!$N:$N,Category!I$1,'2019'!$D:$D,Category!$C305)</f>
        <v>0</v>
      </c>
      <c r="J305" s="234">
        <f t="shared" si="116"/>
        <v>0</v>
      </c>
      <c r="K305" s="507">
        <f>IFERROR(VLOOKUP($C305,'2020'!$D:$G,4,0),0)</f>
        <v>0</v>
      </c>
      <c r="L305" s="234">
        <f>SUMIFS('2020'!$I:$I,'2020'!$E:$E,Category!$B$278,'2020'!$N:$N,Category!L$1,'2020'!$D:$D,Category!$C305)</f>
        <v>0</v>
      </c>
      <c r="M305" s="234">
        <f>SUMIFS('2020'!$I:$I,'2020'!$E:$E,Category!$B$278,'2020'!$N:$N,Category!M$1,'2020'!$D:$D,Category!$C305)</f>
        <v>0</v>
      </c>
      <c r="N305" s="234">
        <f>SUMIFS('2020'!$I:$I,'2020'!$E:$E,Category!$B$278,'2020'!$N:$N,Category!N$1,'2020'!$D:$D,Category!$C305)</f>
        <v>0</v>
      </c>
      <c r="O305" s="234">
        <f>SUMIFS('2020'!$I:$I,'2020'!$E:$E,Category!$B$278,'2020'!$N:$N,Category!O$1,'2020'!$D:$D,Category!$C305)</f>
        <v>0</v>
      </c>
      <c r="P305" s="234">
        <f>SUMIFS('2020'!$I:$I,'2020'!$E:$E,Category!$B$278,'2020'!$N:$N,Category!P$1,'2020'!$D:$D,Category!$C305)</f>
        <v>0</v>
      </c>
      <c r="Q305" s="234">
        <f>SUMIFS('2020'!$I:$I,'2020'!$E:$E,Category!$B$278,'2020'!$N:$N,Category!Q$1,'2020'!$D:$D,Category!$C305)</f>
        <v>0</v>
      </c>
      <c r="R305" s="234">
        <f>SUMIFS('2020'!$I:$I,'2020'!$E:$E,Category!$B$278,'2020'!$N:$N,Category!R$1,'2020'!$D:$D,Category!$C305)</f>
        <v>0</v>
      </c>
      <c r="S305" s="234">
        <f>SUMIFS('2020'!$I:$I,'2020'!$E:$E,Category!$B$278,'2020'!$N:$N,Category!S$1,'2020'!$D:$D,Category!$C305)</f>
        <v>0</v>
      </c>
      <c r="T305" s="234">
        <f>SUMIFS('2020'!$I:$I,'2020'!$E:$E,Category!$B$278,'2020'!$N:$N,Category!T$1,'2020'!$D:$D,Category!$C305)</f>
        <v>0</v>
      </c>
      <c r="U305" s="234">
        <f>SUMIFS('2020'!$I:$I,'2020'!$E:$E,Category!$B$278,'2020'!$N:$N,Category!U$1,'2020'!$D:$D,Category!$C305)</f>
        <v>0</v>
      </c>
      <c r="V305" s="234">
        <f>SUMIFS('2020'!$I:$I,'2020'!$E:$E,Category!$B$278,'2020'!$N:$N,Category!V$1,'2020'!$D:$D,Category!$C305)</f>
        <v>0</v>
      </c>
      <c r="W305" s="234">
        <f>SUMIFS('2020'!$I:$I,'2020'!$E:$E,Category!$B$278,'2020'!$N:$N,Category!W$1,'2020'!$D:$D,Category!$C305)</f>
        <v>0</v>
      </c>
      <c r="X305" s="234">
        <f t="shared" si="117"/>
        <v>0</v>
      </c>
      <c r="Y305" s="507">
        <f>IFERROR(VLOOKUP(C305,'2021'!$D:$G,4,0),0)</f>
        <v>0</v>
      </c>
      <c r="Z305" s="234">
        <f>SUMIFS('2021'!$I:$I,'2021'!$E:$E,Category!$B$278,'2021'!$N:$N,Category!Z$1,'2021'!$D:$D,Category!$C305)</f>
        <v>0</v>
      </c>
      <c r="AA305" s="234">
        <f>SUMIFS('2021'!$I:$I,'2021'!$E:$E,Category!$B$278,'2021'!$N:$N,Category!AA$1,'2021'!$D:$D,Category!$C305)</f>
        <v>0</v>
      </c>
      <c r="AB305" s="234">
        <f>SUMIFS('2021'!$I:$I,'2021'!$E:$E,Category!$B$278,'2021'!$N:$N,Category!AB$1,'2021'!$D:$D,Category!$C305)</f>
        <v>0</v>
      </c>
      <c r="AC305" s="234">
        <f>SUMIFS('2021'!$I:$I,'2021'!$E:$E,Category!$B$278,'2021'!$N:$N,Category!AC$1,'2021'!$D:$D,Category!$C305)</f>
        <v>0</v>
      </c>
      <c r="AD305" s="234">
        <f>SUMIFS('2021'!$I:$I,'2021'!$E:$E,Category!$B$278,'2021'!$N:$N,Category!AD$1,'2021'!$D:$D,Category!$C305)</f>
        <v>0</v>
      </c>
      <c r="AE305" s="234">
        <f>SUMIFS('2021'!$I:$I,'2021'!$E:$E,Category!$B$278,'2021'!$N:$N,Category!AE$1,'2021'!$D:$D,Category!$C305)</f>
        <v>0</v>
      </c>
      <c r="AF305" s="234">
        <f>SUMIFS('2021'!$I:$I,'2021'!$E:$E,Category!$B$278,'2021'!$N:$N,Category!AF$1,'2021'!$D:$D,Category!$C305)</f>
        <v>0</v>
      </c>
      <c r="AG305" s="234">
        <f>SUMIFS('2021'!$I:$I,'2021'!$E:$E,Category!$B$278,'2021'!$N:$N,Category!AG$1,'2021'!$D:$D,Category!$C305)</f>
        <v>0</v>
      </c>
      <c r="AH305" s="234">
        <f>SUMIFS('2021'!$I:$I,'2021'!$E:$E,Category!$B$278,'2021'!$N:$N,Category!AH$1,'2021'!$D:$D,Category!$C305)</f>
        <v>0</v>
      </c>
      <c r="AI305" s="234">
        <f>SUMIFS('2021'!$I:$I,'2021'!$E:$E,Category!$B$278,'2021'!$N:$N,Category!AI$1,'2021'!$D:$D,Category!$C305)</f>
        <v>0</v>
      </c>
      <c r="AJ305" s="234">
        <f>SUMIFS('2021'!$I:$I,'2021'!$E:$E,Category!$B$278,'2021'!$N:$N,Category!AJ$1,'2021'!$D:$D,Category!$C305)</f>
        <v>0</v>
      </c>
      <c r="AK305" s="234">
        <f>SUMIFS('2021'!$I:$I,'2021'!$E:$E,Category!$B$278,'2021'!$N:$N,Category!AK$1,'2021'!$D:$D,Category!$C305)</f>
        <v>0</v>
      </c>
      <c r="AL305" s="250">
        <f t="shared" si="118"/>
        <v>0</v>
      </c>
      <c r="AM305" s="507">
        <f>IFERROR(VLOOKUP(C305,'2022'!$D:$G,4,0),0)</f>
        <v>0</v>
      </c>
      <c r="AN305" s="234">
        <f>SUMIFS('2022'!$I:$I,'2022'!$E:$E,Category!$B$278,'2022'!$N:$N,Category!AN$1,'2022'!$D:$D,Category!$C305)</f>
        <v>0</v>
      </c>
      <c r="AO305" s="234">
        <f>SUMIFS('2022'!$I:$I,'2022'!$E:$E,Category!$B$278,'2022'!$N:$N,Category!AO$1,'2022'!$D:$D,Category!$C305)</f>
        <v>0</v>
      </c>
      <c r="AP305" s="234">
        <f>SUMIFS('2022'!$I:$I,'2022'!$E:$E,Category!$B$278,'2022'!$N:$N,Category!AP$1,'2022'!$D:$D,Category!$C305)</f>
        <v>0</v>
      </c>
      <c r="AQ305" s="234">
        <f>SUMIFS('2022'!$I:$I,'2022'!$E:$E,Category!$B$278,'2022'!$N:$N,Category!AQ$1,'2022'!$D:$D,Category!$C305)</f>
        <v>0</v>
      </c>
      <c r="AR305" s="234">
        <f>SUMIFS('2022'!$I:$I,'2022'!$E:$E,Category!$B$278,'2022'!$N:$N,Category!AR$1,'2022'!$D:$D,Category!$C305)</f>
        <v>0</v>
      </c>
      <c r="AS305" s="234">
        <f>SUMIFS('2022'!$I:$I,'2022'!$E:$E,Category!$B$278,'2022'!$N:$N,Category!AS$1,'2022'!$D:$D,Category!$C305)</f>
        <v>0</v>
      </c>
      <c r="AT305" s="234">
        <f>SUMIFS('2022'!$I:$I,'2022'!$E:$E,Category!$B$278,'2022'!$N:$N,Category!AT$1,'2022'!$D:$D,Category!$C305)</f>
        <v>0</v>
      </c>
      <c r="AU305" s="234">
        <f>SUMIFS('2022'!$I:$I,'2022'!$E:$E,Category!$B$278,'2022'!$N:$N,Category!AU$1,'2022'!$D:$D,Category!$C305)</f>
        <v>0</v>
      </c>
      <c r="AV305" s="234">
        <f>SUMIFS('2022'!$I:$I,'2022'!$E:$E,Category!$B$278,'2022'!$N:$N,Category!AV$1,'2022'!$D:$D,Category!$C305)</f>
        <v>0</v>
      </c>
      <c r="AW305" s="234">
        <f>SUMIFS('2022'!$I:$I,'2022'!$E:$E,Category!$B$278,'2022'!$N:$N,Category!AW$1,'2022'!$D:$D,Category!$C305)</f>
        <v>0</v>
      </c>
      <c r="AX305" s="234">
        <f>SUMIFS('2022'!$I:$I,'2022'!$E:$E,Category!$B$278,'2022'!$N:$N,Category!AX$1,'2022'!$D:$D,Category!$C305)</f>
        <v>0</v>
      </c>
      <c r="AY305" s="234">
        <f>SUMIFS('2022'!$I:$I,'2022'!$E:$E,Category!$B$278,'2022'!$N:$N,Category!AY$1,'2022'!$D:$D,Category!$C305)</f>
        <v>0</v>
      </c>
      <c r="AZ305" s="250">
        <f t="shared" si="119"/>
        <v>0</v>
      </c>
      <c r="BA305" s="507">
        <f>IFERROR(VLOOKUP(C305,'2023'!$D:$G,4,0),0)</f>
        <v>0</v>
      </c>
      <c r="BB305" s="234">
        <f>SUMIFS('2023'!$I:$I,'2023'!$E:$E,Category!$B$278,'2023'!$N:$N,Category!BB$1,'2023'!$D:$D,Category!$C305)</f>
        <v>0</v>
      </c>
      <c r="BC305" s="234">
        <f>SUMIFS('2023'!$I:$I,'2023'!$E:$E,Category!$B$278,'2023'!$N:$N,Category!BC$1,'2023'!$D:$D,Category!$C305)</f>
        <v>0</v>
      </c>
      <c r="BD305" s="234">
        <f>SUMIFS('2023'!$I:$I,'2023'!$E:$E,Category!$B$278,'2023'!$N:$N,Category!BD$1,'2023'!$D:$D,Category!$C305)</f>
        <v>0</v>
      </c>
      <c r="BE305" s="234">
        <f>SUMIFS('2023'!$I:$I,'2023'!$E:$E,Category!$B$278,'2023'!$N:$N,Category!BE$1,'2023'!$D:$D,Category!$C305)</f>
        <v>0</v>
      </c>
      <c r="BF305" s="234">
        <f>SUMIFS('2023'!$I:$I,'2023'!$E:$E,Category!$B$278,'2023'!$N:$N,Category!BF$1,'2023'!$D:$D,Category!$C305)</f>
        <v>0</v>
      </c>
      <c r="BG305" s="234">
        <f>SUMIFS('2023'!$I:$I,'2023'!$E:$E,Category!$B$278,'2023'!$N:$N,Category!BG$1,'2023'!$D:$D,Category!$C305)</f>
        <v>0</v>
      </c>
      <c r="BH305" s="234">
        <f>SUMIFS('2023'!$I:$I,'2023'!$E:$E,Category!$B$278,'2023'!$N:$N,Category!BH$1,'2023'!$D:$D,Category!$C305)</f>
        <v>0</v>
      </c>
      <c r="BI305" s="234">
        <f>SUMIFS('2023'!$I:$I,'2023'!$E:$E,Category!$B$278,'2023'!$N:$N,Category!BI$1,'2023'!$D:$D,Category!$C305)</f>
        <v>0</v>
      </c>
      <c r="BJ305" s="234">
        <f>SUMIFS('2023'!$I:$I,'2023'!$E:$E,Category!$B$278,'2023'!$N:$N,Category!BJ$1,'2023'!$D:$D,Category!$C305)</f>
        <v>0</v>
      </c>
      <c r="BK305" s="234">
        <f>SUMIFS('2023'!$I:$I,'2023'!$E:$E,Category!$B$278,'2023'!$N:$N,Category!BK$1,'2023'!$D:$D,Category!$C305)</f>
        <v>0</v>
      </c>
      <c r="BL305" s="234">
        <f>SUMIFS('2023'!$I:$I,'2023'!$E:$E,Category!$B$278,'2023'!$N:$N,Category!BL$1,'2023'!$D:$D,Category!$C305)</f>
        <v>0</v>
      </c>
      <c r="BM305" s="234">
        <f>SUMIFS('2023'!$I:$I,'2023'!$E:$E,Category!$B$278,'2023'!$N:$N,Category!BM$1,'2023'!$D:$D,Category!$C305)</f>
        <v>0</v>
      </c>
      <c r="BN305" s="250">
        <f t="shared" si="114"/>
        <v>0</v>
      </c>
    </row>
    <row r="306" spans="1:66" ht="21" hidden="1" customHeight="1" x14ac:dyDescent="0.3">
      <c r="A306" s="249"/>
      <c r="B306" s="235"/>
      <c r="C306" s="235"/>
      <c r="D306" s="527">
        <f>IFERROR(VLOOKUP($C306,'2019'!$D:$G,4,0),0)</f>
        <v>0</v>
      </c>
      <c r="E306" s="234">
        <f>SUMIFS('2019'!$I:$I,'2019'!$E:$E,Category!$B$278,'2019'!$N:$N,Category!E$1,'2019'!$D:$D,Category!$C306)</f>
        <v>0</v>
      </c>
      <c r="F306" s="234">
        <f>SUMIFS('2019'!$I:$I,'2019'!$E:$E,Category!$B$278,'2019'!$N:$N,Category!F$1,'2019'!$D:$D,Category!$C306)</f>
        <v>0</v>
      </c>
      <c r="G306" s="234">
        <f>SUMIFS('2019'!$I:$I,'2019'!$E:$E,Category!$B$278,'2019'!$N:$N,Category!G$1,'2019'!$D:$D,Category!$C306)</f>
        <v>0</v>
      </c>
      <c r="H306" s="234">
        <f>SUMIFS('2019'!$I:$I,'2019'!$E:$E,Category!$B$278,'2019'!$N:$N,Category!H$1,'2019'!$D:$D,Category!$C306)</f>
        <v>0</v>
      </c>
      <c r="I306" s="234">
        <f>SUMIFS('2019'!$I:$I,'2019'!$E:$E,Category!$B$278,'2019'!$N:$N,Category!I$1,'2019'!$D:$D,Category!$C306)</f>
        <v>0</v>
      </c>
      <c r="J306" s="234">
        <f t="shared" si="116"/>
        <v>0</v>
      </c>
      <c r="K306" s="507">
        <f>IFERROR(VLOOKUP($C306,'2020'!$D:$G,4,0),0)</f>
        <v>0</v>
      </c>
      <c r="L306" s="234">
        <f>SUMIFS('2020'!$I:$I,'2020'!$E:$E,Category!$B$278,'2020'!$N:$N,Category!L$1,'2020'!$D:$D,Category!$C306)</f>
        <v>0</v>
      </c>
      <c r="M306" s="234">
        <f>SUMIFS('2020'!$I:$I,'2020'!$E:$E,Category!$B$278,'2020'!$N:$N,Category!M$1,'2020'!$D:$D,Category!$C306)</f>
        <v>0</v>
      </c>
      <c r="N306" s="234">
        <f>SUMIFS('2020'!$I:$I,'2020'!$E:$E,Category!$B$278,'2020'!$N:$N,Category!N$1,'2020'!$D:$D,Category!$C306)</f>
        <v>0</v>
      </c>
      <c r="O306" s="234">
        <f>SUMIFS('2020'!$I:$I,'2020'!$E:$E,Category!$B$278,'2020'!$N:$N,Category!O$1,'2020'!$D:$D,Category!$C306)</f>
        <v>0</v>
      </c>
      <c r="P306" s="234">
        <f>SUMIFS('2020'!$I:$I,'2020'!$E:$E,Category!$B$278,'2020'!$N:$N,Category!P$1,'2020'!$D:$D,Category!$C306)</f>
        <v>0</v>
      </c>
      <c r="Q306" s="234">
        <f>SUMIFS('2020'!$I:$I,'2020'!$E:$E,Category!$B$278,'2020'!$N:$N,Category!Q$1,'2020'!$D:$D,Category!$C306)</f>
        <v>0</v>
      </c>
      <c r="R306" s="234">
        <f>SUMIFS('2020'!$I:$I,'2020'!$E:$E,Category!$B$278,'2020'!$N:$N,Category!R$1,'2020'!$D:$D,Category!$C306)</f>
        <v>0</v>
      </c>
      <c r="S306" s="234">
        <f>SUMIFS('2020'!$I:$I,'2020'!$E:$E,Category!$B$278,'2020'!$N:$N,Category!S$1,'2020'!$D:$D,Category!$C306)</f>
        <v>0</v>
      </c>
      <c r="T306" s="234">
        <f>SUMIFS('2020'!$I:$I,'2020'!$E:$E,Category!$B$278,'2020'!$N:$N,Category!T$1,'2020'!$D:$D,Category!$C306)</f>
        <v>0</v>
      </c>
      <c r="U306" s="234">
        <f>SUMIFS('2020'!$I:$I,'2020'!$E:$E,Category!$B$278,'2020'!$N:$N,Category!U$1,'2020'!$D:$D,Category!$C306)</f>
        <v>0</v>
      </c>
      <c r="V306" s="234">
        <f>SUMIFS('2020'!$I:$I,'2020'!$E:$E,Category!$B$278,'2020'!$N:$N,Category!V$1,'2020'!$D:$D,Category!$C306)</f>
        <v>0</v>
      </c>
      <c r="W306" s="234">
        <f>SUMIFS('2020'!$I:$I,'2020'!$E:$E,Category!$B$278,'2020'!$N:$N,Category!W$1,'2020'!$D:$D,Category!$C306)</f>
        <v>0</v>
      </c>
      <c r="X306" s="234">
        <f t="shared" si="117"/>
        <v>0</v>
      </c>
      <c r="Y306" s="507">
        <f>IFERROR(VLOOKUP(C306,'2021'!$D:$G,4,0),0)</f>
        <v>0</v>
      </c>
      <c r="Z306" s="234">
        <f>SUMIFS('2021'!$I:$I,'2021'!$E:$E,Category!$B$278,'2021'!$N:$N,Category!Z$1,'2021'!$D:$D,Category!$C306)</f>
        <v>0</v>
      </c>
      <c r="AA306" s="234">
        <f>SUMIFS('2021'!$I:$I,'2021'!$E:$E,Category!$B$278,'2021'!$N:$N,Category!AA$1,'2021'!$D:$D,Category!$C306)</f>
        <v>0</v>
      </c>
      <c r="AB306" s="234">
        <f>SUMIFS('2021'!$I:$I,'2021'!$E:$E,Category!$B$278,'2021'!$N:$N,Category!AB$1,'2021'!$D:$D,Category!$C306)</f>
        <v>0</v>
      </c>
      <c r="AC306" s="234">
        <f>SUMIFS('2021'!$I:$I,'2021'!$E:$E,Category!$B$278,'2021'!$N:$N,Category!AC$1,'2021'!$D:$D,Category!$C306)</f>
        <v>0</v>
      </c>
      <c r="AD306" s="234">
        <f>SUMIFS('2021'!$I:$I,'2021'!$E:$E,Category!$B$278,'2021'!$N:$N,Category!AD$1,'2021'!$D:$D,Category!$C306)</f>
        <v>0</v>
      </c>
      <c r="AE306" s="234">
        <f>SUMIFS('2021'!$I:$I,'2021'!$E:$E,Category!$B$278,'2021'!$N:$N,Category!AE$1,'2021'!$D:$D,Category!$C306)</f>
        <v>0</v>
      </c>
      <c r="AF306" s="234">
        <f>SUMIFS('2021'!$I:$I,'2021'!$E:$E,Category!$B$278,'2021'!$N:$N,Category!AF$1,'2021'!$D:$D,Category!$C306)</f>
        <v>0</v>
      </c>
      <c r="AG306" s="234">
        <f>SUMIFS('2021'!$I:$I,'2021'!$E:$E,Category!$B$278,'2021'!$N:$N,Category!AG$1,'2021'!$D:$D,Category!$C306)</f>
        <v>0</v>
      </c>
      <c r="AH306" s="234">
        <f>SUMIFS('2021'!$I:$I,'2021'!$E:$E,Category!$B$278,'2021'!$N:$N,Category!AH$1,'2021'!$D:$D,Category!$C306)</f>
        <v>0</v>
      </c>
      <c r="AI306" s="234">
        <f>SUMIFS('2021'!$I:$I,'2021'!$E:$E,Category!$B$278,'2021'!$N:$N,Category!AI$1,'2021'!$D:$D,Category!$C306)</f>
        <v>0</v>
      </c>
      <c r="AJ306" s="234">
        <f>SUMIFS('2021'!$I:$I,'2021'!$E:$E,Category!$B$278,'2021'!$N:$N,Category!AJ$1,'2021'!$D:$D,Category!$C306)</f>
        <v>0</v>
      </c>
      <c r="AK306" s="234">
        <f>SUMIFS('2021'!$I:$I,'2021'!$E:$E,Category!$B$278,'2021'!$N:$N,Category!AK$1,'2021'!$D:$D,Category!$C306)</f>
        <v>0</v>
      </c>
      <c r="AL306" s="250">
        <f t="shared" si="118"/>
        <v>0</v>
      </c>
      <c r="AM306" s="507">
        <f>IFERROR(VLOOKUP(C306,'2022'!$D:$G,4,0),0)</f>
        <v>0</v>
      </c>
      <c r="AN306" s="234">
        <f>SUMIFS('2022'!$I:$I,'2022'!$E:$E,Category!$B$278,'2022'!$N:$N,Category!AN$1,'2022'!$D:$D,Category!$C306)</f>
        <v>0</v>
      </c>
      <c r="AO306" s="234">
        <f>SUMIFS('2022'!$I:$I,'2022'!$E:$E,Category!$B$278,'2022'!$N:$N,Category!AO$1,'2022'!$D:$D,Category!$C306)</f>
        <v>0</v>
      </c>
      <c r="AP306" s="234">
        <f>SUMIFS('2022'!$I:$I,'2022'!$E:$E,Category!$B$278,'2022'!$N:$N,Category!AP$1,'2022'!$D:$D,Category!$C306)</f>
        <v>0</v>
      </c>
      <c r="AQ306" s="234">
        <f>SUMIFS('2022'!$I:$I,'2022'!$E:$E,Category!$B$278,'2022'!$N:$N,Category!AQ$1,'2022'!$D:$D,Category!$C306)</f>
        <v>0</v>
      </c>
      <c r="AR306" s="234">
        <f>SUMIFS('2022'!$I:$I,'2022'!$E:$E,Category!$B$278,'2022'!$N:$N,Category!AR$1,'2022'!$D:$D,Category!$C306)</f>
        <v>0</v>
      </c>
      <c r="AS306" s="234">
        <f>SUMIFS('2022'!$I:$I,'2022'!$E:$E,Category!$B$278,'2022'!$N:$N,Category!AS$1,'2022'!$D:$D,Category!$C306)</f>
        <v>0</v>
      </c>
      <c r="AT306" s="234">
        <f>SUMIFS('2022'!$I:$I,'2022'!$E:$E,Category!$B$278,'2022'!$N:$N,Category!AT$1,'2022'!$D:$D,Category!$C306)</f>
        <v>0</v>
      </c>
      <c r="AU306" s="234">
        <f>SUMIFS('2022'!$I:$I,'2022'!$E:$E,Category!$B$278,'2022'!$N:$N,Category!AU$1,'2022'!$D:$D,Category!$C306)</f>
        <v>0</v>
      </c>
      <c r="AV306" s="234">
        <f>SUMIFS('2022'!$I:$I,'2022'!$E:$E,Category!$B$278,'2022'!$N:$N,Category!AV$1,'2022'!$D:$D,Category!$C306)</f>
        <v>0</v>
      </c>
      <c r="AW306" s="234">
        <f>SUMIFS('2022'!$I:$I,'2022'!$E:$E,Category!$B$278,'2022'!$N:$N,Category!AW$1,'2022'!$D:$D,Category!$C306)</f>
        <v>0</v>
      </c>
      <c r="AX306" s="234">
        <f>SUMIFS('2022'!$I:$I,'2022'!$E:$E,Category!$B$278,'2022'!$N:$N,Category!AX$1,'2022'!$D:$D,Category!$C306)</f>
        <v>0</v>
      </c>
      <c r="AY306" s="234">
        <f>SUMIFS('2022'!$I:$I,'2022'!$E:$E,Category!$B$278,'2022'!$N:$N,Category!AY$1,'2022'!$D:$D,Category!$C306)</f>
        <v>0</v>
      </c>
      <c r="AZ306" s="250">
        <f t="shared" si="119"/>
        <v>0</v>
      </c>
      <c r="BA306" s="507">
        <f>IFERROR(VLOOKUP(C306,'2023'!$D:$G,4,0),0)</f>
        <v>0</v>
      </c>
      <c r="BB306" s="234">
        <f>SUMIFS('2023'!$I:$I,'2023'!$E:$E,Category!$B$278,'2023'!$N:$N,Category!BB$1,'2023'!$D:$D,Category!$C306)</f>
        <v>0</v>
      </c>
      <c r="BC306" s="234">
        <f>SUMIFS('2023'!$I:$I,'2023'!$E:$E,Category!$B$278,'2023'!$N:$N,Category!BC$1,'2023'!$D:$D,Category!$C306)</f>
        <v>0</v>
      </c>
      <c r="BD306" s="234">
        <f>SUMIFS('2023'!$I:$I,'2023'!$E:$E,Category!$B$278,'2023'!$N:$N,Category!BD$1,'2023'!$D:$D,Category!$C306)</f>
        <v>0</v>
      </c>
      <c r="BE306" s="234">
        <f>SUMIFS('2023'!$I:$I,'2023'!$E:$E,Category!$B$278,'2023'!$N:$N,Category!BE$1,'2023'!$D:$D,Category!$C306)</f>
        <v>0</v>
      </c>
      <c r="BF306" s="234">
        <f>SUMIFS('2023'!$I:$I,'2023'!$E:$E,Category!$B$278,'2023'!$N:$N,Category!BF$1,'2023'!$D:$D,Category!$C306)</f>
        <v>0</v>
      </c>
      <c r="BG306" s="234">
        <f>SUMIFS('2023'!$I:$I,'2023'!$E:$E,Category!$B$278,'2023'!$N:$N,Category!BG$1,'2023'!$D:$D,Category!$C306)</f>
        <v>0</v>
      </c>
      <c r="BH306" s="234">
        <f>SUMIFS('2023'!$I:$I,'2023'!$E:$E,Category!$B$278,'2023'!$N:$N,Category!BH$1,'2023'!$D:$D,Category!$C306)</f>
        <v>0</v>
      </c>
      <c r="BI306" s="234">
        <f>SUMIFS('2023'!$I:$I,'2023'!$E:$E,Category!$B$278,'2023'!$N:$N,Category!BI$1,'2023'!$D:$D,Category!$C306)</f>
        <v>0</v>
      </c>
      <c r="BJ306" s="234">
        <f>SUMIFS('2023'!$I:$I,'2023'!$E:$E,Category!$B$278,'2023'!$N:$N,Category!BJ$1,'2023'!$D:$D,Category!$C306)</f>
        <v>0</v>
      </c>
      <c r="BK306" s="234">
        <f>SUMIFS('2023'!$I:$I,'2023'!$E:$E,Category!$B$278,'2023'!$N:$N,Category!BK$1,'2023'!$D:$D,Category!$C306)</f>
        <v>0</v>
      </c>
      <c r="BL306" s="234">
        <f>SUMIFS('2023'!$I:$I,'2023'!$E:$E,Category!$B$278,'2023'!$N:$N,Category!BL$1,'2023'!$D:$D,Category!$C306)</f>
        <v>0</v>
      </c>
      <c r="BM306" s="234">
        <f>SUMIFS('2023'!$I:$I,'2023'!$E:$E,Category!$B$278,'2023'!$N:$N,Category!BM$1,'2023'!$D:$D,Category!$C306)</f>
        <v>0</v>
      </c>
      <c r="BN306" s="250">
        <f t="shared" si="114"/>
        <v>0</v>
      </c>
    </row>
    <row r="307" spans="1:66" ht="21" hidden="1" customHeight="1" x14ac:dyDescent="0.3">
      <c r="A307" s="249"/>
      <c r="B307" s="235"/>
      <c r="C307" s="235"/>
      <c r="D307" s="527">
        <f>IFERROR(VLOOKUP($C307,'2019'!$D:$G,4,0),0)</f>
        <v>0</v>
      </c>
      <c r="E307" s="234">
        <f>SUMIFS('2019'!$I:$I,'2019'!$E:$E,Category!$B$278,'2019'!$N:$N,Category!E$1,'2019'!$D:$D,Category!$C307)</f>
        <v>0</v>
      </c>
      <c r="F307" s="234">
        <f>SUMIFS('2019'!$I:$I,'2019'!$E:$E,Category!$B$278,'2019'!$N:$N,Category!F$1,'2019'!$D:$D,Category!$C307)</f>
        <v>0</v>
      </c>
      <c r="G307" s="234">
        <f>SUMIFS('2019'!$I:$I,'2019'!$E:$E,Category!$B$278,'2019'!$N:$N,Category!G$1,'2019'!$D:$D,Category!$C307)</f>
        <v>0</v>
      </c>
      <c r="H307" s="234">
        <f>SUMIFS('2019'!$I:$I,'2019'!$E:$E,Category!$B$278,'2019'!$N:$N,Category!H$1,'2019'!$D:$D,Category!$C307)</f>
        <v>0</v>
      </c>
      <c r="I307" s="234">
        <f>SUMIFS('2019'!$I:$I,'2019'!$E:$E,Category!$B$278,'2019'!$N:$N,Category!I$1,'2019'!$D:$D,Category!$C307)</f>
        <v>0</v>
      </c>
      <c r="J307" s="234">
        <f t="shared" si="116"/>
        <v>0</v>
      </c>
      <c r="K307" s="507">
        <f>IFERROR(VLOOKUP($C307,'2020'!$D:$G,4,0),0)</f>
        <v>0</v>
      </c>
      <c r="L307" s="234">
        <f>SUMIFS('2020'!$I:$I,'2020'!$E:$E,Category!$B$278,'2020'!$N:$N,Category!L$1,'2020'!$D:$D,Category!$C307)</f>
        <v>0</v>
      </c>
      <c r="M307" s="234">
        <f>SUMIFS('2020'!$I:$I,'2020'!$E:$E,Category!$B$278,'2020'!$N:$N,Category!M$1,'2020'!$D:$D,Category!$C307)</f>
        <v>0</v>
      </c>
      <c r="N307" s="234">
        <f>SUMIFS('2020'!$I:$I,'2020'!$E:$E,Category!$B$278,'2020'!$N:$N,Category!N$1,'2020'!$D:$D,Category!$C307)</f>
        <v>0</v>
      </c>
      <c r="O307" s="234">
        <f>SUMIFS('2020'!$I:$I,'2020'!$E:$E,Category!$B$278,'2020'!$N:$N,Category!O$1,'2020'!$D:$D,Category!$C307)</f>
        <v>0</v>
      </c>
      <c r="P307" s="234">
        <f>SUMIFS('2020'!$I:$I,'2020'!$E:$E,Category!$B$278,'2020'!$N:$N,Category!P$1,'2020'!$D:$D,Category!$C307)</f>
        <v>0</v>
      </c>
      <c r="Q307" s="234">
        <f>SUMIFS('2020'!$I:$I,'2020'!$E:$E,Category!$B$278,'2020'!$N:$N,Category!Q$1,'2020'!$D:$D,Category!$C307)</f>
        <v>0</v>
      </c>
      <c r="R307" s="234">
        <f>SUMIFS('2020'!$I:$I,'2020'!$E:$E,Category!$B$278,'2020'!$N:$N,Category!R$1,'2020'!$D:$D,Category!$C307)</f>
        <v>0</v>
      </c>
      <c r="S307" s="234">
        <f>SUMIFS('2020'!$I:$I,'2020'!$E:$E,Category!$B$278,'2020'!$N:$N,Category!S$1,'2020'!$D:$D,Category!$C307)</f>
        <v>0</v>
      </c>
      <c r="T307" s="234">
        <f>SUMIFS('2020'!$I:$I,'2020'!$E:$E,Category!$B$278,'2020'!$N:$N,Category!T$1,'2020'!$D:$D,Category!$C307)</f>
        <v>0</v>
      </c>
      <c r="U307" s="234">
        <f>SUMIFS('2020'!$I:$I,'2020'!$E:$E,Category!$B$278,'2020'!$N:$N,Category!U$1,'2020'!$D:$D,Category!$C307)</f>
        <v>0</v>
      </c>
      <c r="V307" s="234">
        <f>SUMIFS('2020'!$I:$I,'2020'!$E:$E,Category!$B$278,'2020'!$N:$N,Category!V$1,'2020'!$D:$D,Category!$C307)</f>
        <v>0</v>
      </c>
      <c r="W307" s="234">
        <f>SUMIFS('2020'!$I:$I,'2020'!$E:$E,Category!$B$278,'2020'!$N:$N,Category!W$1,'2020'!$D:$D,Category!$C307)</f>
        <v>0</v>
      </c>
      <c r="X307" s="234">
        <f t="shared" si="117"/>
        <v>0</v>
      </c>
      <c r="Y307" s="507">
        <f>IFERROR(VLOOKUP(C307,'2021'!$D:$G,4,0),0)</f>
        <v>0</v>
      </c>
      <c r="Z307" s="234">
        <f>SUMIFS('2021'!$I:$I,'2021'!$E:$E,Category!$B$278,'2021'!$N:$N,Category!Z$1,'2021'!$D:$D,Category!$C307)</f>
        <v>0</v>
      </c>
      <c r="AA307" s="234">
        <f>SUMIFS('2021'!$I:$I,'2021'!$E:$E,Category!$B$278,'2021'!$N:$N,Category!AA$1,'2021'!$D:$D,Category!$C307)</f>
        <v>0</v>
      </c>
      <c r="AB307" s="234">
        <f>SUMIFS('2021'!$I:$I,'2021'!$E:$E,Category!$B$278,'2021'!$N:$N,Category!AB$1,'2021'!$D:$D,Category!$C307)</f>
        <v>0</v>
      </c>
      <c r="AC307" s="234">
        <f>SUMIFS('2021'!$I:$I,'2021'!$E:$E,Category!$B$278,'2021'!$N:$N,Category!AC$1,'2021'!$D:$D,Category!$C307)</f>
        <v>0</v>
      </c>
      <c r="AD307" s="234">
        <f>SUMIFS('2021'!$I:$I,'2021'!$E:$E,Category!$B$278,'2021'!$N:$N,Category!AD$1,'2021'!$D:$D,Category!$C307)</f>
        <v>0</v>
      </c>
      <c r="AE307" s="234">
        <f>SUMIFS('2021'!$I:$I,'2021'!$E:$E,Category!$B$278,'2021'!$N:$N,Category!AE$1,'2021'!$D:$D,Category!$C307)</f>
        <v>0</v>
      </c>
      <c r="AF307" s="234">
        <f>SUMIFS('2021'!$I:$I,'2021'!$E:$E,Category!$B$278,'2021'!$N:$N,Category!AF$1,'2021'!$D:$D,Category!$C307)</f>
        <v>0</v>
      </c>
      <c r="AG307" s="234">
        <f>SUMIFS('2021'!$I:$I,'2021'!$E:$E,Category!$B$278,'2021'!$N:$N,Category!AG$1,'2021'!$D:$D,Category!$C307)</f>
        <v>0</v>
      </c>
      <c r="AH307" s="234">
        <f>SUMIFS('2021'!$I:$I,'2021'!$E:$E,Category!$B$278,'2021'!$N:$N,Category!AH$1,'2021'!$D:$D,Category!$C307)</f>
        <v>0</v>
      </c>
      <c r="AI307" s="234">
        <f>SUMIFS('2021'!$I:$I,'2021'!$E:$E,Category!$B$278,'2021'!$N:$N,Category!AI$1,'2021'!$D:$D,Category!$C307)</f>
        <v>0</v>
      </c>
      <c r="AJ307" s="234">
        <f>SUMIFS('2021'!$I:$I,'2021'!$E:$E,Category!$B$278,'2021'!$N:$N,Category!AJ$1,'2021'!$D:$D,Category!$C307)</f>
        <v>0</v>
      </c>
      <c r="AK307" s="234">
        <f>SUMIFS('2021'!$I:$I,'2021'!$E:$E,Category!$B$278,'2021'!$N:$N,Category!AK$1,'2021'!$D:$D,Category!$C307)</f>
        <v>0</v>
      </c>
      <c r="AL307" s="250">
        <f t="shared" si="118"/>
        <v>0</v>
      </c>
      <c r="AM307" s="507">
        <f>IFERROR(VLOOKUP(C307,'2022'!$D:$G,4,0),0)</f>
        <v>0</v>
      </c>
      <c r="AN307" s="234">
        <f>SUMIFS('2022'!$I:$I,'2022'!$E:$E,Category!$B$278,'2022'!$N:$N,Category!AN$1,'2022'!$D:$D,Category!$C307)</f>
        <v>0</v>
      </c>
      <c r="AO307" s="234">
        <f>SUMIFS('2022'!$I:$I,'2022'!$E:$E,Category!$B$278,'2022'!$N:$N,Category!AO$1,'2022'!$D:$D,Category!$C307)</f>
        <v>0</v>
      </c>
      <c r="AP307" s="234">
        <f>SUMIFS('2022'!$I:$I,'2022'!$E:$E,Category!$B$278,'2022'!$N:$N,Category!AP$1,'2022'!$D:$D,Category!$C307)</f>
        <v>0</v>
      </c>
      <c r="AQ307" s="234">
        <f>SUMIFS('2022'!$I:$I,'2022'!$E:$E,Category!$B$278,'2022'!$N:$N,Category!AQ$1,'2022'!$D:$D,Category!$C307)</f>
        <v>0</v>
      </c>
      <c r="AR307" s="234">
        <f>SUMIFS('2022'!$I:$I,'2022'!$E:$E,Category!$B$278,'2022'!$N:$N,Category!AR$1,'2022'!$D:$D,Category!$C307)</f>
        <v>0</v>
      </c>
      <c r="AS307" s="234">
        <f>SUMIFS('2022'!$I:$I,'2022'!$E:$E,Category!$B$278,'2022'!$N:$N,Category!AS$1,'2022'!$D:$D,Category!$C307)</f>
        <v>0</v>
      </c>
      <c r="AT307" s="234">
        <f>SUMIFS('2022'!$I:$I,'2022'!$E:$E,Category!$B$278,'2022'!$N:$N,Category!AT$1,'2022'!$D:$D,Category!$C307)</f>
        <v>0</v>
      </c>
      <c r="AU307" s="234">
        <f>SUMIFS('2022'!$I:$I,'2022'!$E:$E,Category!$B$278,'2022'!$N:$N,Category!AU$1,'2022'!$D:$D,Category!$C307)</f>
        <v>0</v>
      </c>
      <c r="AV307" s="234">
        <f>SUMIFS('2022'!$I:$I,'2022'!$E:$E,Category!$B$278,'2022'!$N:$N,Category!AV$1,'2022'!$D:$D,Category!$C307)</f>
        <v>0</v>
      </c>
      <c r="AW307" s="234">
        <f>SUMIFS('2022'!$I:$I,'2022'!$E:$E,Category!$B$278,'2022'!$N:$N,Category!AW$1,'2022'!$D:$D,Category!$C307)</f>
        <v>0</v>
      </c>
      <c r="AX307" s="234">
        <f>SUMIFS('2022'!$I:$I,'2022'!$E:$E,Category!$B$278,'2022'!$N:$N,Category!AX$1,'2022'!$D:$D,Category!$C307)</f>
        <v>0</v>
      </c>
      <c r="AY307" s="234">
        <f>SUMIFS('2022'!$I:$I,'2022'!$E:$E,Category!$B$278,'2022'!$N:$N,Category!AY$1,'2022'!$D:$D,Category!$C307)</f>
        <v>0</v>
      </c>
      <c r="AZ307" s="250">
        <f t="shared" si="119"/>
        <v>0</v>
      </c>
      <c r="BA307" s="507">
        <f>IFERROR(VLOOKUP(C307,'2023'!$D:$G,4,0),0)</f>
        <v>0</v>
      </c>
      <c r="BB307" s="234">
        <f>SUMIFS('2023'!$I:$I,'2023'!$E:$E,Category!$B$278,'2023'!$N:$N,Category!BB$1,'2023'!$D:$D,Category!$C307)</f>
        <v>0</v>
      </c>
      <c r="BC307" s="234">
        <f>SUMIFS('2023'!$I:$I,'2023'!$E:$E,Category!$B$278,'2023'!$N:$N,Category!BC$1,'2023'!$D:$D,Category!$C307)</f>
        <v>0</v>
      </c>
      <c r="BD307" s="234">
        <f>SUMIFS('2023'!$I:$I,'2023'!$E:$E,Category!$B$278,'2023'!$N:$N,Category!BD$1,'2023'!$D:$D,Category!$C307)</f>
        <v>0</v>
      </c>
      <c r="BE307" s="234">
        <f>SUMIFS('2023'!$I:$I,'2023'!$E:$E,Category!$B$278,'2023'!$N:$N,Category!BE$1,'2023'!$D:$D,Category!$C307)</f>
        <v>0</v>
      </c>
      <c r="BF307" s="234">
        <f>SUMIFS('2023'!$I:$I,'2023'!$E:$E,Category!$B$278,'2023'!$N:$N,Category!BF$1,'2023'!$D:$D,Category!$C307)</f>
        <v>0</v>
      </c>
      <c r="BG307" s="234">
        <f>SUMIFS('2023'!$I:$I,'2023'!$E:$E,Category!$B$278,'2023'!$N:$N,Category!BG$1,'2023'!$D:$D,Category!$C307)</f>
        <v>0</v>
      </c>
      <c r="BH307" s="234">
        <f>SUMIFS('2023'!$I:$I,'2023'!$E:$E,Category!$B$278,'2023'!$N:$N,Category!BH$1,'2023'!$D:$D,Category!$C307)</f>
        <v>0</v>
      </c>
      <c r="BI307" s="234">
        <f>SUMIFS('2023'!$I:$I,'2023'!$E:$E,Category!$B$278,'2023'!$N:$N,Category!BI$1,'2023'!$D:$D,Category!$C307)</f>
        <v>0</v>
      </c>
      <c r="BJ307" s="234">
        <f>SUMIFS('2023'!$I:$I,'2023'!$E:$E,Category!$B$278,'2023'!$N:$N,Category!BJ$1,'2023'!$D:$D,Category!$C307)</f>
        <v>0</v>
      </c>
      <c r="BK307" s="234">
        <f>SUMIFS('2023'!$I:$I,'2023'!$E:$E,Category!$B$278,'2023'!$N:$N,Category!BK$1,'2023'!$D:$D,Category!$C307)</f>
        <v>0</v>
      </c>
      <c r="BL307" s="234">
        <f>SUMIFS('2023'!$I:$I,'2023'!$E:$E,Category!$B$278,'2023'!$N:$N,Category!BL$1,'2023'!$D:$D,Category!$C307)</f>
        <v>0</v>
      </c>
      <c r="BM307" s="234">
        <f>SUMIFS('2023'!$I:$I,'2023'!$E:$E,Category!$B$278,'2023'!$N:$N,Category!BM$1,'2023'!$D:$D,Category!$C307)</f>
        <v>0</v>
      </c>
      <c r="BN307" s="250">
        <f t="shared" si="114"/>
        <v>0</v>
      </c>
    </row>
    <row r="308" spans="1:66" ht="21" hidden="1" customHeight="1" x14ac:dyDescent="0.3">
      <c r="A308" s="249"/>
      <c r="B308" s="235"/>
      <c r="C308" s="235"/>
      <c r="D308" s="527">
        <f>IFERROR(VLOOKUP($C308,'2019'!$D:$G,4,0),0)</f>
        <v>0</v>
      </c>
      <c r="E308" s="234">
        <f>SUMIFS('2019'!$I:$I,'2019'!$E:$E,Category!$B$278,'2019'!$N:$N,Category!E$1,'2019'!$D:$D,Category!$C308)</f>
        <v>0</v>
      </c>
      <c r="F308" s="234">
        <f>SUMIFS('2019'!$I:$I,'2019'!$E:$E,Category!$B$278,'2019'!$N:$N,Category!F$1,'2019'!$D:$D,Category!$C308)</f>
        <v>0</v>
      </c>
      <c r="G308" s="234">
        <f>SUMIFS('2019'!$I:$I,'2019'!$E:$E,Category!$B$278,'2019'!$N:$N,Category!G$1,'2019'!$D:$D,Category!$C308)</f>
        <v>0</v>
      </c>
      <c r="H308" s="234">
        <f>SUMIFS('2019'!$I:$I,'2019'!$E:$E,Category!$B$278,'2019'!$N:$N,Category!H$1,'2019'!$D:$D,Category!$C308)</f>
        <v>0</v>
      </c>
      <c r="I308" s="234">
        <f>SUMIFS('2019'!$I:$I,'2019'!$E:$E,Category!$B$278,'2019'!$N:$N,Category!I$1,'2019'!$D:$D,Category!$C308)</f>
        <v>0</v>
      </c>
      <c r="J308" s="234">
        <f t="shared" si="116"/>
        <v>0</v>
      </c>
      <c r="K308" s="507">
        <f>IFERROR(VLOOKUP($C308,'2020'!$D:$G,4,0),0)</f>
        <v>0</v>
      </c>
      <c r="L308" s="234">
        <f>SUMIFS('2020'!$I:$I,'2020'!$E:$E,Category!$B$278,'2020'!$N:$N,Category!L$1,'2020'!$D:$D,Category!$C308)</f>
        <v>0</v>
      </c>
      <c r="M308" s="234">
        <f>SUMIFS('2020'!$I:$I,'2020'!$E:$E,Category!$B$278,'2020'!$N:$N,Category!M$1,'2020'!$D:$D,Category!$C308)</f>
        <v>0</v>
      </c>
      <c r="N308" s="234">
        <f>SUMIFS('2020'!$I:$I,'2020'!$E:$E,Category!$B$278,'2020'!$N:$N,Category!N$1,'2020'!$D:$D,Category!$C308)</f>
        <v>0</v>
      </c>
      <c r="O308" s="234">
        <f>SUMIFS('2020'!$I:$I,'2020'!$E:$E,Category!$B$278,'2020'!$N:$N,Category!O$1,'2020'!$D:$D,Category!$C308)</f>
        <v>0</v>
      </c>
      <c r="P308" s="234">
        <f>SUMIFS('2020'!$I:$I,'2020'!$E:$E,Category!$B$278,'2020'!$N:$N,Category!P$1,'2020'!$D:$D,Category!$C308)</f>
        <v>0</v>
      </c>
      <c r="Q308" s="234">
        <f>SUMIFS('2020'!$I:$I,'2020'!$E:$E,Category!$B$278,'2020'!$N:$N,Category!Q$1,'2020'!$D:$D,Category!$C308)</f>
        <v>0</v>
      </c>
      <c r="R308" s="234">
        <f>SUMIFS('2020'!$I:$I,'2020'!$E:$E,Category!$B$278,'2020'!$N:$N,Category!R$1,'2020'!$D:$D,Category!$C308)</f>
        <v>0</v>
      </c>
      <c r="S308" s="234">
        <f>SUMIFS('2020'!$I:$I,'2020'!$E:$E,Category!$B$278,'2020'!$N:$N,Category!S$1,'2020'!$D:$D,Category!$C308)</f>
        <v>0</v>
      </c>
      <c r="T308" s="234">
        <f>SUMIFS('2020'!$I:$I,'2020'!$E:$E,Category!$B$278,'2020'!$N:$N,Category!T$1,'2020'!$D:$D,Category!$C308)</f>
        <v>0</v>
      </c>
      <c r="U308" s="234">
        <f>SUMIFS('2020'!$I:$I,'2020'!$E:$E,Category!$B$278,'2020'!$N:$N,Category!U$1,'2020'!$D:$D,Category!$C308)</f>
        <v>0</v>
      </c>
      <c r="V308" s="234">
        <f>SUMIFS('2020'!$I:$I,'2020'!$E:$E,Category!$B$278,'2020'!$N:$N,Category!V$1,'2020'!$D:$D,Category!$C308)</f>
        <v>0</v>
      </c>
      <c r="W308" s="234">
        <f>SUMIFS('2020'!$I:$I,'2020'!$E:$E,Category!$B$278,'2020'!$N:$N,Category!W$1,'2020'!$D:$D,Category!$C308)</f>
        <v>0</v>
      </c>
      <c r="X308" s="234">
        <f t="shared" si="117"/>
        <v>0</v>
      </c>
      <c r="Y308" s="507">
        <f>IFERROR(VLOOKUP(C308,'2021'!$D:$G,4,0),0)</f>
        <v>0</v>
      </c>
      <c r="Z308" s="234">
        <f>SUMIFS('2021'!$I:$I,'2021'!$E:$E,Category!$B$278,'2021'!$N:$N,Category!Z$1,'2021'!$D:$D,Category!$C308)</f>
        <v>0</v>
      </c>
      <c r="AA308" s="234">
        <f>SUMIFS('2021'!$I:$I,'2021'!$E:$E,Category!$B$278,'2021'!$N:$N,Category!AA$1,'2021'!$D:$D,Category!$C308)</f>
        <v>0</v>
      </c>
      <c r="AB308" s="234">
        <f>SUMIFS('2021'!$I:$I,'2021'!$E:$E,Category!$B$278,'2021'!$N:$N,Category!AB$1,'2021'!$D:$D,Category!$C308)</f>
        <v>0</v>
      </c>
      <c r="AC308" s="234">
        <f>SUMIFS('2021'!$I:$I,'2021'!$E:$E,Category!$B$278,'2021'!$N:$N,Category!AC$1,'2021'!$D:$D,Category!$C308)</f>
        <v>0</v>
      </c>
      <c r="AD308" s="234">
        <f>SUMIFS('2021'!$I:$I,'2021'!$E:$E,Category!$B$278,'2021'!$N:$N,Category!AD$1,'2021'!$D:$D,Category!$C308)</f>
        <v>0</v>
      </c>
      <c r="AE308" s="234">
        <f>SUMIFS('2021'!$I:$I,'2021'!$E:$E,Category!$B$278,'2021'!$N:$N,Category!AE$1,'2021'!$D:$D,Category!$C308)</f>
        <v>0</v>
      </c>
      <c r="AF308" s="234">
        <f>SUMIFS('2021'!$I:$I,'2021'!$E:$E,Category!$B$278,'2021'!$N:$N,Category!AF$1,'2021'!$D:$D,Category!$C308)</f>
        <v>0</v>
      </c>
      <c r="AG308" s="234">
        <f>SUMIFS('2021'!$I:$I,'2021'!$E:$E,Category!$B$278,'2021'!$N:$N,Category!AG$1,'2021'!$D:$D,Category!$C308)</f>
        <v>0</v>
      </c>
      <c r="AH308" s="234">
        <f>SUMIFS('2021'!$I:$I,'2021'!$E:$E,Category!$B$278,'2021'!$N:$N,Category!AH$1,'2021'!$D:$D,Category!$C308)</f>
        <v>0</v>
      </c>
      <c r="AI308" s="234">
        <f>SUMIFS('2021'!$I:$I,'2021'!$E:$E,Category!$B$278,'2021'!$N:$N,Category!AI$1,'2021'!$D:$D,Category!$C308)</f>
        <v>0</v>
      </c>
      <c r="AJ308" s="234">
        <f>SUMIFS('2021'!$I:$I,'2021'!$E:$E,Category!$B$278,'2021'!$N:$N,Category!AJ$1,'2021'!$D:$D,Category!$C308)</f>
        <v>0</v>
      </c>
      <c r="AK308" s="234">
        <f>SUMIFS('2021'!$I:$I,'2021'!$E:$E,Category!$B$278,'2021'!$N:$N,Category!AK$1,'2021'!$D:$D,Category!$C308)</f>
        <v>0</v>
      </c>
      <c r="AL308" s="250">
        <f t="shared" si="118"/>
        <v>0</v>
      </c>
      <c r="AM308" s="507">
        <f>IFERROR(VLOOKUP(C308,'2022'!$D:$G,4,0),0)</f>
        <v>0</v>
      </c>
      <c r="AN308" s="234">
        <f>SUMIFS('2022'!$I:$I,'2022'!$E:$E,Category!$B$278,'2022'!$N:$N,Category!AN$1,'2022'!$D:$D,Category!$C308)</f>
        <v>0</v>
      </c>
      <c r="AO308" s="234">
        <f>SUMIFS('2022'!$I:$I,'2022'!$E:$E,Category!$B$278,'2022'!$N:$N,Category!AO$1,'2022'!$D:$D,Category!$C308)</f>
        <v>0</v>
      </c>
      <c r="AP308" s="234">
        <f>SUMIFS('2022'!$I:$I,'2022'!$E:$E,Category!$B$278,'2022'!$N:$N,Category!AP$1,'2022'!$D:$D,Category!$C308)</f>
        <v>0</v>
      </c>
      <c r="AQ308" s="234">
        <f>SUMIFS('2022'!$I:$I,'2022'!$E:$E,Category!$B$278,'2022'!$N:$N,Category!AQ$1,'2022'!$D:$D,Category!$C308)</f>
        <v>0</v>
      </c>
      <c r="AR308" s="234">
        <f>SUMIFS('2022'!$I:$I,'2022'!$E:$E,Category!$B$278,'2022'!$N:$N,Category!AR$1,'2022'!$D:$D,Category!$C308)</f>
        <v>0</v>
      </c>
      <c r="AS308" s="234">
        <f>SUMIFS('2022'!$I:$I,'2022'!$E:$E,Category!$B$278,'2022'!$N:$N,Category!AS$1,'2022'!$D:$D,Category!$C308)</f>
        <v>0</v>
      </c>
      <c r="AT308" s="234">
        <f>SUMIFS('2022'!$I:$I,'2022'!$E:$E,Category!$B$278,'2022'!$N:$N,Category!AT$1,'2022'!$D:$D,Category!$C308)</f>
        <v>0</v>
      </c>
      <c r="AU308" s="234">
        <f>SUMIFS('2022'!$I:$I,'2022'!$E:$E,Category!$B$278,'2022'!$N:$N,Category!AU$1,'2022'!$D:$D,Category!$C308)</f>
        <v>0</v>
      </c>
      <c r="AV308" s="234">
        <f>SUMIFS('2022'!$I:$I,'2022'!$E:$E,Category!$B$278,'2022'!$N:$N,Category!AV$1,'2022'!$D:$D,Category!$C308)</f>
        <v>0</v>
      </c>
      <c r="AW308" s="234">
        <f>SUMIFS('2022'!$I:$I,'2022'!$E:$E,Category!$B$278,'2022'!$N:$N,Category!AW$1,'2022'!$D:$D,Category!$C308)</f>
        <v>0</v>
      </c>
      <c r="AX308" s="234">
        <f>SUMIFS('2022'!$I:$I,'2022'!$E:$E,Category!$B$278,'2022'!$N:$N,Category!AX$1,'2022'!$D:$D,Category!$C308)</f>
        <v>0</v>
      </c>
      <c r="AY308" s="234">
        <f>SUMIFS('2022'!$I:$I,'2022'!$E:$E,Category!$B$278,'2022'!$N:$N,Category!AY$1,'2022'!$D:$D,Category!$C308)</f>
        <v>0</v>
      </c>
      <c r="AZ308" s="250">
        <f t="shared" si="119"/>
        <v>0</v>
      </c>
      <c r="BA308" s="507">
        <f>IFERROR(VLOOKUP(C308,'2023'!$D:$G,4,0),0)</f>
        <v>0</v>
      </c>
      <c r="BB308" s="234">
        <f>SUMIFS('2023'!$I:$I,'2023'!$E:$E,Category!$B$278,'2023'!$N:$N,Category!BB$1,'2023'!$D:$D,Category!$C308)</f>
        <v>0</v>
      </c>
      <c r="BC308" s="234">
        <f>SUMIFS('2023'!$I:$I,'2023'!$E:$E,Category!$B$278,'2023'!$N:$N,Category!BC$1,'2023'!$D:$D,Category!$C308)</f>
        <v>0</v>
      </c>
      <c r="BD308" s="234">
        <f>SUMIFS('2023'!$I:$I,'2023'!$E:$E,Category!$B$278,'2023'!$N:$N,Category!BD$1,'2023'!$D:$D,Category!$C308)</f>
        <v>0</v>
      </c>
      <c r="BE308" s="234">
        <f>SUMIFS('2023'!$I:$I,'2023'!$E:$E,Category!$B$278,'2023'!$N:$N,Category!BE$1,'2023'!$D:$D,Category!$C308)</f>
        <v>0</v>
      </c>
      <c r="BF308" s="234">
        <f>SUMIFS('2023'!$I:$I,'2023'!$E:$E,Category!$B$278,'2023'!$N:$N,Category!BF$1,'2023'!$D:$D,Category!$C308)</f>
        <v>0</v>
      </c>
      <c r="BG308" s="234">
        <f>SUMIFS('2023'!$I:$I,'2023'!$E:$E,Category!$B$278,'2023'!$N:$N,Category!BG$1,'2023'!$D:$D,Category!$C308)</f>
        <v>0</v>
      </c>
      <c r="BH308" s="234">
        <f>SUMIFS('2023'!$I:$I,'2023'!$E:$E,Category!$B$278,'2023'!$N:$N,Category!BH$1,'2023'!$D:$D,Category!$C308)</f>
        <v>0</v>
      </c>
      <c r="BI308" s="234">
        <f>SUMIFS('2023'!$I:$I,'2023'!$E:$E,Category!$B$278,'2023'!$N:$N,Category!BI$1,'2023'!$D:$D,Category!$C308)</f>
        <v>0</v>
      </c>
      <c r="BJ308" s="234">
        <f>SUMIFS('2023'!$I:$I,'2023'!$E:$E,Category!$B$278,'2023'!$N:$N,Category!BJ$1,'2023'!$D:$D,Category!$C308)</f>
        <v>0</v>
      </c>
      <c r="BK308" s="234">
        <f>SUMIFS('2023'!$I:$I,'2023'!$E:$E,Category!$B$278,'2023'!$N:$N,Category!BK$1,'2023'!$D:$D,Category!$C308)</f>
        <v>0</v>
      </c>
      <c r="BL308" s="234">
        <f>SUMIFS('2023'!$I:$I,'2023'!$E:$E,Category!$B$278,'2023'!$N:$N,Category!BL$1,'2023'!$D:$D,Category!$C308)</f>
        <v>0</v>
      </c>
      <c r="BM308" s="234">
        <f>SUMIFS('2023'!$I:$I,'2023'!$E:$E,Category!$B$278,'2023'!$N:$N,Category!BM$1,'2023'!$D:$D,Category!$C308)</f>
        <v>0</v>
      </c>
      <c r="BN308" s="250">
        <f t="shared" si="114"/>
        <v>0</v>
      </c>
    </row>
    <row r="309" spans="1:66" ht="21" hidden="1" customHeight="1" x14ac:dyDescent="0.3">
      <c r="A309" s="249"/>
      <c r="B309" s="235"/>
      <c r="C309" s="235"/>
      <c r="D309" s="527">
        <f>IFERROR(VLOOKUP($C309,'2019'!$D:$G,4,0),0)</f>
        <v>0</v>
      </c>
      <c r="E309" s="234">
        <f>SUMIFS('2019'!$I:$I,'2019'!$E:$E,Category!$B$278,'2019'!$N:$N,Category!E$1,'2019'!$D:$D,Category!$C309)</f>
        <v>0</v>
      </c>
      <c r="F309" s="234">
        <f>SUMIFS('2019'!$I:$I,'2019'!$E:$E,Category!$B$278,'2019'!$N:$N,Category!F$1,'2019'!$D:$D,Category!$C309)</f>
        <v>0</v>
      </c>
      <c r="G309" s="234">
        <f>SUMIFS('2019'!$I:$I,'2019'!$E:$E,Category!$B$278,'2019'!$N:$N,Category!G$1,'2019'!$D:$D,Category!$C309)</f>
        <v>0</v>
      </c>
      <c r="H309" s="234">
        <f>SUMIFS('2019'!$I:$I,'2019'!$E:$E,Category!$B$278,'2019'!$N:$N,Category!H$1,'2019'!$D:$D,Category!$C309)</f>
        <v>0</v>
      </c>
      <c r="I309" s="234">
        <f>SUMIFS('2019'!$I:$I,'2019'!$E:$E,Category!$B$278,'2019'!$N:$N,Category!I$1,'2019'!$D:$D,Category!$C309)</f>
        <v>0</v>
      </c>
      <c r="J309" s="234">
        <f t="shared" si="116"/>
        <v>0</v>
      </c>
      <c r="K309" s="507">
        <f>IFERROR(VLOOKUP($C309,'2020'!$D:$G,4,0),0)</f>
        <v>0</v>
      </c>
      <c r="L309" s="234">
        <f>SUMIFS('2020'!$I:$I,'2020'!$E:$E,Category!$B$278,'2020'!$N:$N,Category!L$1,'2020'!$D:$D,Category!$C309)</f>
        <v>0</v>
      </c>
      <c r="M309" s="234">
        <f>SUMIFS('2020'!$I:$I,'2020'!$E:$E,Category!$B$278,'2020'!$N:$N,Category!M$1,'2020'!$D:$D,Category!$C309)</f>
        <v>0</v>
      </c>
      <c r="N309" s="234">
        <f>SUMIFS('2020'!$I:$I,'2020'!$E:$E,Category!$B$278,'2020'!$N:$N,Category!N$1,'2020'!$D:$D,Category!$C309)</f>
        <v>0</v>
      </c>
      <c r="O309" s="234">
        <f>SUMIFS('2020'!$I:$I,'2020'!$E:$E,Category!$B$278,'2020'!$N:$N,Category!O$1,'2020'!$D:$D,Category!$C309)</f>
        <v>0</v>
      </c>
      <c r="P309" s="234">
        <f>SUMIFS('2020'!$I:$I,'2020'!$E:$E,Category!$B$278,'2020'!$N:$N,Category!P$1,'2020'!$D:$D,Category!$C309)</f>
        <v>0</v>
      </c>
      <c r="Q309" s="234">
        <f>SUMIFS('2020'!$I:$I,'2020'!$E:$E,Category!$B$278,'2020'!$N:$N,Category!Q$1,'2020'!$D:$D,Category!$C309)</f>
        <v>0</v>
      </c>
      <c r="R309" s="234">
        <f>SUMIFS('2020'!$I:$I,'2020'!$E:$E,Category!$B$278,'2020'!$N:$N,Category!R$1,'2020'!$D:$D,Category!$C309)</f>
        <v>0</v>
      </c>
      <c r="S309" s="234">
        <f>SUMIFS('2020'!$I:$I,'2020'!$E:$E,Category!$B$278,'2020'!$N:$N,Category!S$1,'2020'!$D:$D,Category!$C309)</f>
        <v>0</v>
      </c>
      <c r="T309" s="234">
        <f>SUMIFS('2020'!$I:$I,'2020'!$E:$E,Category!$B$278,'2020'!$N:$N,Category!T$1,'2020'!$D:$D,Category!$C309)</f>
        <v>0</v>
      </c>
      <c r="U309" s="234">
        <f>SUMIFS('2020'!$I:$I,'2020'!$E:$E,Category!$B$278,'2020'!$N:$N,Category!U$1,'2020'!$D:$D,Category!$C309)</f>
        <v>0</v>
      </c>
      <c r="V309" s="234">
        <f>SUMIFS('2020'!$I:$I,'2020'!$E:$E,Category!$B$278,'2020'!$N:$N,Category!V$1,'2020'!$D:$D,Category!$C309)</f>
        <v>0</v>
      </c>
      <c r="W309" s="234">
        <f>SUMIFS('2020'!$I:$I,'2020'!$E:$E,Category!$B$278,'2020'!$N:$N,Category!W$1,'2020'!$D:$D,Category!$C309)</f>
        <v>0</v>
      </c>
      <c r="X309" s="234">
        <f t="shared" si="117"/>
        <v>0</v>
      </c>
      <c r="Y309" s="507">
        <f>IFERROR(VLOOKUP(C309,'2021'!$D:$G,4,0),0)</f>
        <v>0</v>
      </c>
      <c r="Z309" s="234">
        <f>SUMIFS('2021'!$I:$I,'2021'!$E:$E,Category!$B$278,'2021'!$N:$N,Category!Z$1,'2021'!$D:$D,Category!$C309)</f>
        <v>0</v>
      </c>
      <c r="AA309" s="234">
        <f>SUMIFS('2021'!$I:$I,'2021'!$E:$E,Category!$B$278,'2021'!$N:$N,Category!AA$1,'2021'!$D:$D,Category!$C309)</f>
        <v>0</v>
      </c>
      <c r="AB309" s="234">
        <f>SUMIFS('2021'!$I:$I,'2021'!$E:$E,Category!$B$278,'2021'!$N:$N,Category!AB$1,'2021'!$D:$D,Category!$C309)</f>
        <v>0</v>
      </c>
      <c r="AC309" s="234">
        <f>SUMIFS('2021'!$I:$I,'2021'!$E:$E,Category!$B$278,'2021'!$N:$N,Category!AC$1,'2021'!$D:$D,Category!$C309)</f>
        <v>0</v>
      </c>
      <c r="AD309" s="234">
        <f>SUMIFS('2021'!$I:$I,'2021'!$E:$E,Category!$B$278,'2021'!$N:$N,Category!AD$1,'2021'!$D:$D,Category!$C309)</f>
        <v>0</v>
      </c>
      <c r="AE309" s="234">
        <f>SUMIFS('2021'!$I:$I,'2021'!$E:$E,Category!$B$278,'2021'!$N:$N,Category!AE$1,'2021'!$D:$D,Category!$C309)</f>
        <v>0</v>
      </c>
      <c r="AF309" s="234">
        <f>SUMIFS('2021'!$I:$I,'2021'!$E:$E,Category!$B$278,'2021'!$N:$N,Category!AF$1,'2021'!$D:$D,Category!$C309)</f>
        <v>0</v>
      </c>
      <c r="AG309" s="234">
        <f>SUMIFS('2021'!$I:$I,'2021'!$E:$E,Category!$B$278,'2021'!$N:$N,Category!AG$1,'2021'!$D:$D,Category!$C309)</f>
        <v>0</v>
      </c>
      <c r="AH309" s="234">
        <f>SUMIFS('2021'!$I:$I,'2021'!$E:$E,Category!$B$278,'2021'!$N:$N,Category!AH$1,'2021'!$D:$D,Category!$C309)</f>
        <v>0</v>
      </c>
      <c r="AI309" s="234">
        <f>SUMIFS('2021'!$I:$I,'2021'!$E:$E,Category!$B$278,'2021'!$N:$N,Category!AI$1,'2021'!$D:$D,Category!$C309)</f>
        <v>0</v>
      </c>
      <c r="AJ309" s="234">
        <f>SUMIFS('2021'!$I:$I,'2021'!$E:$E,Category!$B$278,'2021'!$N:$N,Category!AJ$1,'2021'!$D:$D,Category!$C309)</f>
        <v>0</v>
      </c>
      <c r="AK309" s="234">
        <f>SUMIFS('2021'!$I:$I,'2021'!$E:$E,Category!$B$278,'2021'!$N:$N,Category!AK$1,'2021'!$D:$D,Category!$C309)</f>
        <v>0</v>
      </c>
      <c r="AL309" s="250">
        <f t="shared" si="118"/>
        <v>0</v>
      </c>
      <c r="AM309" s="507">
        <f>IFERROR(VLOOKUP(C309,'2022'!$D:$G,4,0),0)</f>
        <v>0</v>
      </c>
      <c r="AN309" s="234">
        <f>SUMIFS('2022'!$I:$I,'2022'!$E:$E,Category!$B$278,'2022'!$N:$N,Category!AN$1,'2022'!$D:$D,Category!$C309)</f>
        <v>0</v>
      </c>
      <c r="AO309" s="234">
        <f>SUMIFS('2022'!$I:$I,'2022'!$E:$E,Category!$B$278,'2022'!$N:$N,Category!AO$1,'2022'!$D:$D,Category!$C309)</f>
        <v>0</v>
      </c>
      <c r="AP309" s="234">
        <f>SUMIFS('2022'!$I:$I,'2022'!$E:$E,Category!$B$278,'2022'!$N:$N,Category!AP$1,'2022'!$D:$D,Category!$C309)</f>
        <v>0</v>
      </c>
      <c r="AQ309" s="234">
        <f>SUMIFS('2022'!$I:$I,'2022'!$E:$E,Category!$B$278,'2022'!$N:$N,Category!AQ$1,'2022'!$D:$D,Category!$C309)</f>
        <v>0</v>
      </c>
      <c r="AR309" s="234">
        <f>SUMIFS('2022'!$I:$I,'2022'!$E:$E,Category!$B$278,'2022'!$N:$N,Category!AR$1,'2022'!$D:$D,Category!$C309)</f>
        <v>0</v>
      </c>
      <c r="AS309" s="234">
        <f>SUMIFS('2022'!$I:$I,'2022'!$E:$E,Category!$B$278,'2022'!$N:$N,Category!AS$1,'2022'!$D:$D,Category!$C309)</f>
        <v>0</v>
      </c>
      <c r="AT309" s="234">
        <f>SUMIFS('2022'!$I:$I,'2022'!$E:$E,Category!$B$278,'2022'!$N:$N,Category!AT$1,'2022'!$D:$D,Category!$C309)</f>
        <v>0</v>
      </c>
      <c r="AU309" s="234">
        <f>SUMIFS('2022'!$I:$I,'2022'!$E:$E,Category!$B$278,'2022'!$N:$N,Category!AU$1,'2022'!$D:$D,Category!$C309)</f>
        <v>0</v>
      </c>
      <c r="AV309" s="234">
        <f>SUMIFS('2022'!$I:$I,'2022'!$E:$E,Category!$B$278,'2022'!$N:$N,Category!AV$1,'2022'!$D:$D,Category!$C309)</f>
        <v>0</v>
      </c>
      <c r="AW309" s="234">
        <f>SUMIFS('2022'!$I:$I,'2022'!$E:$E,Category!$B$278,'2022'!$N:$N,Category!AW$1,'2022'!$D:$D,Category!$C309)</f>
        <v>0</v>
      </c>
      <c r="AX309" s="234">
        <f>SUMIFS('2022'!$I:$I,'2022'!$E:$E,Category!$B$278,'2022'!$N:$N,Category!AX$1,'2022'!$D:$D,Category!$C309)</f>
        <v>0</v>
      </c>
      <c r="AY309" s="234">
        <f>SUMIFS('2022'!$I:$I,'2022'!$E:$E,Category!$B$278,'2022'!$N:$N,Category!AY$1,'2022'!$D:$D,Category!$C309)</f>
        <v>0</v>
      </c>
      <c r="AZ309" s="250">
        <f t="shared" si="119"/>
        <v>0</v>
      </c>
      <c r="BA309" s="507">
        <f>IFERROR(VLOOKUP(C309,'2023'!$D:$G,4,0),0)</f>
        <v>0</v>
      </c>
      <c r="BB309" s="234">
        <f>SUMIFS('2023'!$I:$I,'2023'!$E:$E,Category!$B$278,'2023'!$N:$N,Category!BB$1,'2023'!$D:$D,Category!$C309)</f>
        <v>0</v>
      </c>
      <c r="BC309" s="234">
        <f>SUMIFS('2023'!$I:$I,'2023'!$E:$E,Category!$B$278,'2023'!$N:$N,Category!BC$1,'2023'!$D:$D,Category!$C309)</f>
        <v>0</v>
      </c>
      <c r="BD309" s="234">
        <f>SUMIFS('2023'!$I:$I,'2023'!$E:$E,Category!$B$278,'2023'!$N:$N,Category!BD$1,'2023'!$D:$D,Category!$C309)</f>
        <v>0</v>
      </c>
      <c r="BE309" s="234">
        <f>SUMIFS('2023'!$I:$I,'2023'!$E:$E,Category!$B$278,'2023'!$N:$N,Category!BE$1,'2023'!$D:$D,Category!$C309)</f>
        <v>0</v>
      </c>
      <c r="BF309" s="234">
        <f>SUMIFS('2023'!$I:$I,'2023'!$E:$E,Category!$B$278,'2023'!$N:$N,Category!BF$1,'2023'!$D:$D,Category!$C309)</f>
        <v>0</v>
      </c>
      <c r="BG309" s="234">
        <f>SUMIFS('2023'!$I:$I,'2023'!$E:$E,Category!$B$278,'2023'!$N:$N,Category!BG$1,'2023'!$D:$D,Category!$C309)</f>
        <v>0</v>
      </c>
      <c r="BH309" s="234">
        <f>SUMIFS('2023'!$I:$I,'2023'!$E:$E,Category!$B$278,'2023'!$N:$N,Category!BH$1,'2023'!$D:$D,Category!$C309)</f>
        <v>0</v>
      </c>
      <c r="BI309" s="234">
        <f>SUMIFS('2023'!$I:$I,'2023'!$E:$E,Category!$B$278,'2023'!$N:$N,Category!BI$1,'2023'!$D:$D,Category!$C309)</f>
        <v>0</v>
      </c>
      <c r="BJ309" s="234">
        <f>SUMIFS('2023'!$I:$I,'2023'!$E:$E,Category!$B$278,'2023'!$N:$N,Category!BJ$1,'2023'!$D:$D,Category!$C309)</f>
        <v>0</v>
      </c>
      <c r="BK309" s="234">
        <f>SUMIFS('2023'!$I:$I,'2023'!$E:$E,Category!$B$278,'2023'!$N:$N,Category!BK$1,'2023'!$D:$D,Category!$C309)</f>
        <v>0</v>
      </c>
      <c r="BL309" s="234">
        <f>SUMIFS('2023'!$I:$I,'2023'!$E:$E,Category!$B$278,'2023'!$N:$N,Category!BL$1,'2023'!$D:$D,Category!$C309)</f>
        <v>0</v>
      </c>
      <c r="BM309" s="234">
        <f>SUMIFS('2023'!$I:$I,'2023'!$E:$E,Category!$B$278,'2023'!$N:$N,Category!BM$1,'2023'!$D:$D,Category!$C309)</f>
        <v>0</v>
      </c>
      <c r="BN309" s="250">
        <f t="shared" si="114"/>
        <v>0</v>
      </c>
    </row>
    <row r="310" spans="1:66" ht="21" hidden="1" customHeight="1" x14ac:dyDescent="0.3">
      <c r="A310" s="249"/>
      <c r="B310" s="235"/>
      <c r="C310" s="235"/>
      <c r="D310" s="527">
        <f>IFERROR(VLOOKUP($C310,'2019'!$D:$G,4,0),0)</f>
        <v>0</v>
      </c>
      <c r="E310" s="234">
        <f>SUMIFS('2019'!$I:$I,'2019'!$E:$E,Category!$B$278,'2019'!$N:$N,Category!E$1,'2019'!$D:$D,Category!$C310)</f>
        <v>0</v>
      </c>
      <c r="F310" s="234">
        <f>SUMIFS('2019'!$I:$I,'2019'!$E:$E,Category!$B$278,'2019'!$N:$N,Category!F$1,'2019'!$D:$D,Category!$C310)</f>
        <v>0</v>
      </c>
      <c r="G310" s="234">
        <f>SUMIFS('2019'!$I:$I,'2019'!$E:$E,Category!$B$278,'2019'!$N:$N,Category!G$1,'2019'!$D:$D,Category!$C310)</f>
        <v>0</v>
      </c>
      <c r="H310" s="234">
        <f>SUMIFS('2019'!$I:$I,'2019'!$E:$E,Category!$B$278,'2019'!$N:$N,Category!H$1,'2019'!$D:$D,Category!$C310)</f>
        <v>0</v>
      </c>
      <c r="I310" s="234">
        <f>SUMIFS('2019'!$I:$I,'2019'!$E:$E,Category!$B$278,'2019'!$N:$N,Category!I$1,'2019'!$D:$D,Category!$C310)</f>
        <v>0</v>
      </c>
      <c r="J310" s="234">
        <f t="shared" si="116"/>
        <v>0</v>
      </c>
      <c r="K310" s="507">
        <f>IFERROR(VLOOKUP($C310,'2020'!$D:$G,4,0),0)</f>
        <v>0</v>
      </c>
      <c r="L310" s="234">
        <f>SUMIFS('2020'!$I:$I,'2020'!$E:$E,Category!$B$278,'2020'!$N:$N,Category!L$1,'2020'!$D:$D,Category!$C310)</f>
        <v>0</v>
      </c>
      <c r="M310" s="234">
        <f>SUMIFS('2020'!$I:$I,'2020'!$E:$E,Category!$B$278,'2020'!$N:$N,Category!M$1,'2020'!$D:$D,Category!$C310)</f>
        <v>0</v>
      </c>
      <c r="N310" s="234">
        <f>SUMIFS('2020'!$I:$I,'2020'!$E:$E,Category!$B$278,'2020'!$N:$N,Category!N$1,'2020'!$D:$D,Category!$C310)</f>
        <v>0</v>
      </c>
      <c r="O310" s="234">
        <f>SUMIFS('2020'!$I:$I,'2020'!$E:$E,Category!$B$278,'2020'!$N:$N,Category!O$1,'2020'!$D:$D,Category!$C310)</f>
        <v>0</v>
      </c>
      <c r="P310" s="234">
        <f>SUMIFS('2020'!$I:$I,'2020'!$E:$E,Category!$B$278,'2020'!$N:$N,Category!P$1,'2020'!$D:$D,Category!$C310)</f>
        <v>0</v>
      </c>
      <c r="Q310" s="234">
        <f>SUMIFS('2020'!$I:$I,'2020'!$E:$E,Category!$B$278,'2020'!$N:$N,Category!Q$1,'2020'!$D:$D,Category!$C310)</f>
        <v>0</v>
      </c>
      <c r="R310" s="234">
        <f>SUMIFS('2020'!$I:$I,'2020'!$E:$E,Category!$B$278,'2020'!$N:$N,Category!R$1,'2020'!$D:$D,Category!$C310)</f>
        <v>0</v>
      </c>
      <c r="S310" s="234">
        <f>SUMIFS('2020'!$I:$I,'2020'!$E:$E,Category!$B$278,'2020'!$N:$N,Category!S$1,'2020'!$D:$D,Category!$C310)</f>
        <v>0</v>
      </c>
      <c r="T310" s="234">
        <f>SUMIFS('2020'!$I:$I,'2020'!$E:$E,Category!$B$278,'2020'!$N:$N,Category!T$1,'2020'!$D:$D,Category!$C310)</f>
        <v>0</v>
      </c>
      <c r="U310" s="234">
        <f>SUMIFS('2020'!$I:$I,'2020'!$E:$E,Category!$B$278,'2020'!$N:$N,Category!U$1,'2020'!$D:$D,Category!$C310)</f>
        <v>0</v>
      </c>
      <c r="V310" s="234">
        <f>SUMIFS('2020'!$I:$I,'2020'!$E:$E,Category!$B$278,'2020'!$N:$N,Category!V$1,'2020'!$D:$D,Category!$C310)</f>
        <v>0</v>
      </c>
      <c r="W310" s="234">
        <f>SUMIFS('2020'!$I:$I,'2020'!$E:$E,Category!$B$278,'2020'!$N:$N,Category!W$1,'2020'!$D:$D,Category!$C310)</f>
        <v>0</v>
      </c>
      <c r="X310" s="234">
        <f t="shared" si="117"/>
        <v>0</v>
      </c>
      <c r="Y310" s="507">
        <f>IFERROR(VLOOKUP(C310,'2021'!$D:$G,4,0),0)</f>
        <v>0</v>
      </c>
      <c r="Z310" s="234">
        <f>SUMIFS('2021'!$I:$I,'2021'!$E:$E,Category!$B$278,'2021'!$N:$N,Category!Z$1,'2021'!$D:$D,Category!$C310)</f>
        <v>0</v>
      </c>
      <c r="AA310" s="234">
        <f>SUMIFS('2021'!$I:$I,'2021'!$E:$E,Category!$B$278,'2021'!$N:$N,Category!AA$1,'2021'!$D:$D,Category!$C310)</f>
        <v>0</v>
      </c>
      <c r="AB310" s="234">
        <f>SUMIFS('2021'!$I:$I,'2021'!$E:$E,Category!$B$278,'2021'!$N:$N,Category!AB$1,'2021'!$D:$D,Category!$C310)</f>
        <v>0</v>
      </c>
      <c r="AC310" s="234">
        <f>SUMIFS('2021'!$I:$I,'2021'!$E:$E,Category!$B$278,'2021'!$N:$N,Category!AC$1,'2021'!$D:$D,Category!$C310)</f>
        <v>0</v>
      </c>
      <c r="AD310" s="234">
        <f>SUMIFS('2021'!$I:$I,'2021'!$E:$E,Category!$B$278,'2021'!$N:$N,Category!AD$1,'2021'!$D:$D,Category!$C310)</f>
        <v>0</v>
      </c>
      <c r="AE310" s="234">
        <f>SUMIFS('2021'!$I:$I,'2021'!$E:$E,Category!$B$278,'2021'!$N:$N,Category!AE$1,'2021'!$D:$D,Category!$C310)</f>
        <v>0</v>
      </c>
      <c r="AF310" s="234">
        <f>SUMIFS('2021'!$I:$I,'2021'!$E:$E,Category!$B$278,'2021'!$N:$N,Category!AF$1,'2021'!$D:$D,Category!$C310)</f>
        <v>0</v>
      </c>
      <c r="AG310" s="234">
        <f>SUMIFS('2021'!$I:$I,'2021'!$E:$E,Category!$B$278,'2021'!$N:$N,Category!AG$1,'2021'!$D:$D,Category!$C310)</f>
        <v>0</v>
      </c>
      <c r="AH310" s="234">
        <f>SUMIFS('2021'!$I:$I,'2021'!$E:$E,Category!$B$278,'2021'!$N:$N,Category!AH$1,'2021'!$D:$D,Category!$C310)</f>
        <v>0</v>
      </c>
      <c r="AI310" s="234">
        <f>SUMIFS('2021'!$I:$I,'2021'!$E:$E,Category!$B$278,'2021'!$N:$N,Category!AI$1,'2021'!$D:$D,Category!$C310)</f>
        <v>0</v>
      </c>
      <c r="AJ310" s="234">
        <f>SUMIFS('2021'!$I:$I,'2021'!$E:$E,Category!$B$278,'2021'!$N:$N,Category!AJ$1,'2021'!$D:$D,Category!$C310)</f>
        <v>0</v>
      </c>
      <c r="AK310" s="234">
        <f>SUMIFS('2021'!$I:$I,'2021'!$E:$E,Category!$B$278,'2021'!$N:$N,Category!AK$1,'2021'!$D:$D,Category!$C310)</f>
        <v>0</v>
      </c>
      <c r="AL310" s="250">
        <f t="shared" si="118"/>
        <v>0</v>
      </c>
      <c r="AM310" s="507">
        <f>IFERROR(VLOOKUP(C310,'2022'!$D:$G,4,0),0)</f>
        <v>0</v>
      </c>
      <c r="AN310" s="234">
        <f>SUMIFS('2022'!$I:$I,'2022'!$E:$E,Category!$B$278,'2022'!$N:$N,Category!AN$1,'2022'!$D:$D,Category!$C310)</f>
        <v>0</v>
      </c>
      <c r="AO310" s="234">
        <f>SUMIFS('2022'!$I:$I,'2022'!$E:$E,Category!$B$278,'2022'!$N:$N,Category!AO$1,'2022'!$D:$D,Category!$C310)</f>
        <v>0</v>
      </c>
      <c r="AP310" s="234">
        <f>SUMIFS('2022'!$I:$I,'2022'!$E:$E,Category!$B$278,'2022'!$N:$N,Category!AP$1,'2022'!$D:$D,Category!$C310)</f>
        <v>0</v>
      </c>
      <c r="AQ310" s="234">
        <f>SUMIFS('2022'!$I:$I,'2022'!$E:$E,Category!$B$278,'2022'!$N:$N,Category!AQ$1,'2022'!$D:$D,Category!$C310)</f>
        <v>0</v>
      </c>
      <c r="AR310" s="234">
        <f>SUMIFS('2022'!$I:$I,'2022'!$E:$E,Category!$B$278,'2022'!$N:$N,Category!AR$1,'2022'!$D:$D,Category!$C310)</f>
        <v>0</v>
      </c>
      <c r="AS310" s="234">
        <f>SUMIFS('2022'!$I:$I,'2022'!$E:$E,Category!$B$278,'2022'!$N:$N,Category!AS$1,'2022'!$D:$D,Category!$C310)</f>
        <v>0</v>
      </c>
      <c r="AT310" s="234">
        <f>SUMIFS('2022'!$I:$I,'2022'!$E:$E,Category!$B$278,'2022'!$N:$N,Category!AT$1,'2022'!$D:$D,Category!$C310)</f>
        <v>0</v>
      </c>
      <c r="AU310" s="234">
        <f>SUMIFS('2022'!$I:$I,'2022'!$E:$E,Category!$B$278,'2022'!$N:$N,Category!AU$1,'2022'!$D:$D,Category!$C310)</f>
        <v>0</v>
      </c>
      <c r="AV310" s="234">
        <f>SUMIFS('2022'!$I:$I,'2022'!$E:$E,Category!$B$278,'2022'!$N:$N,Category!AV$1,'2022'!$D:$D,Category!$C310)</f>
        <v>0</v>
      </c>
      <c r="AW310" s="234">
        <f>SUMIFS('2022'!$I:$I,'2022'!$E:$E,Category!$B$278,'2022'!$N:$N,Category!AW$1,'2022'!$D:$D,Category!$C310)</f>
        <v>0</v>
      </c>
      <c r="AX310" s="234">
        <f>SUMIFS('2022'!$I:$I,'2022'!$E:$E,Category!$B$278,'2022'!$N:$N,Category!AX$1,'2022'!$D:$D,Category!$C310)</f>
        <v>0</v>
      </c>
      <c r="AY310" s="234">
        <f>SUMIFS('2022'!$I:$I,'2022'!$E:$E,Category!$B$278,'2022'!$N:$N,Category!AY$1,'2022'!$D:$D,Category!$C310)</f>
        <v>0</v>
      </c>
      <c r="AZ310" s="250">
        <f t="shared" si="119"/>
        <v>0</v>
      </c>
      <c r="BA310" s="507">
        <f>IFERROR(VLOOKUP(C310,'2023'!$D:$G,4,0),0)</f>
        <v>0</v>
      </c>
      <c r="BB310" s="234">
        <f>SUMIFS('2023'!$I:$I,'2023'!$E:$E,Category!$B$278,'2023'!$N:$N,Category!BB$1,'2023'!$D:$D,Category!$C310)</f>
        <v>0</v>
      </c>
      <c r="BC310" s="234">
        <f>SUMIFS('2023'!$I:$I,'2023'!$E:$E,Category!$B$278,'2023'!$N:$N,Category!BC$1,'2023'!$D:$D,Category!$C310)</f>
        <v>0</v>
      </c>
      <c r="BD310" s="234">
        <f>SUMIFS('2023'!$I:$I,'2023'!$E:$E,Category!$B$278,'2023'!$N:$N,Category!BD$1,'2023'!$D:$D,Category!$C310)</f>
        <v>0</v>
      </c>
      <c r="BE310" s="234">
        <f>SUMIFS('2023'!$I:$I,'2023'!$E:$E,Category!$B$278,'2023'!$N:$N,Category!BE$1,'2023'!$D:$D,Category!$C310)</f>
        <v>0</v>
      </c>
      <c r="BF310" s="234">
        <f>SUMIFS('2023'!$I:$I,'2023'!$E:$E,Category!$B$278,'2023'!$N:$N,Category!BF$1,'2023'!$D:$D,Category!$C310)</f>
        <v>0</v>
      </c>
      <c r="BG310" s="234">
        <f>SUMIFS('2023'!$I:$I,'2023'!$E:$E,Category!$B$278,'2023'!$N:$N,Category!BG$1,'2023'!$D:$D,Category!$C310)</f>
        <v>0</v>
      </c>
      <c r="BH310" s="234">
        <f>SUMIFS('2023'!$I:$I,'2023'!$E:$E,Category!$B$278,'2023'!$N:$N,Category!BH$1,'2023'!$D:$D,Category!$C310)</f>
        <v>0</v>
      </c>
      <c r="BI310" s="234">
        <f>SUMIFS('2023'!$I:$I,'2023'!$E:$E,Category!$B$278,'2023'!$N:$N,Category!BI$1,'2023'!$D:$D,Category!$C310)</f>
        <v>0</v>
      </c>
      <c r="BJ310" s="234">
        <f>SUMIFS('2023'!$I:$I,'2023'!$E:$E,Category!$B$278,'2023'!$N:$N,Category!BJ$1,'2023'!$D:$D,Category!$C310)</f>
        <v>0</v>
      </c>
      <c r="BK310" s="234">
        <f>SUMIFS('2023'!$I:$I,'2023'!$E:$E,Category!$B$278,'2023'!$N:$N,Category!BK$1,'2023'!$D:$D,Category!$C310)</f>
        <v>0</v>
      </c>
      <c r="BL310" s="234">
        <f>SUMIFS('2023'!$I:$I,'2023'!$E:$E,Category!$B$278,'2023'!$N:$N,Category!BL$1,'2023'!$D:$D,Category!$C310)</f>
        <v>0</v>
      </c>
      <c r="BM310" s="234">
        <f>SUMIFS('2023'!$I:$I,'2023'!$E:$E,Category!$B$278,'2023'!$N:$N,Category!BM$1,'2023'!$D:$D,Category!$C310)</f>
        <v>0</v>
      </c>
      <c r="BN310" s="250">
        <f t="shared" si="114"/>
        <v>0</v>
      </c>
    </row>
    <row r="311" spans="1:66" ht="21" hidden="1" customHeight="1" x14ac:dyDescent="0.3">
      <c r="A311" s="249"/>
      <c r="B311" s="235"/>
      <c r="C311" s="235"/>
      <c r="D311" s="527">
        <f>IFERROR(VLOOKUP($C311,'2019'!$D:$G,4,0),0)</f>
        <v>0</v>
      </c>
      <c r="E311" s="234">
        <f>SUMIFS('2019'!$I:$I,'2019'!$E:$E,Category!$B$278,'2019'!$N:$N,Category!E$1,'2019'!$D:$D,Category!$C311)</f>
        <v>0</v>
      </c>
      <c r="F311" s="234">
        <f>SUMIFS('2019'!$I:$I,'2019'!$E:$E,Category!$B$278,'2019'!$N:$N,Category!F$1,'2019'!$D:$D,Category!$C311)</f>
        <v>0</v>
      </c>
      <c r="G311" s="234">
        <f>SUMIFS('2019'!$I:$I,'2019'!$E:$E,Category!$B$278,'2019'!$N:$N,Category!G$1,'2019'!$D:$D,Category!$C311)</f>
        <v>0</v>
      </c>
      <c r="H311" s="234">
        <f>SUMIFS('2019'!$I:$I,'2019'!$E:$E,Category!$B$278,'2019'!$N:$N,Category!H$1,'2019'!$D:$D,Category!$C311)</f>
        <v>0</v>
      </c>
      <c r="I311" s="234">
        <f>SUMIFS('2019'!$I:$I,'2019'!$E:$E,Category!$B$278,'2019'!$N:$N,Category!I$1,'2019'!$D:$D,Category!$C311)</f>
        <v>0</v>
      </c>
      <c r="J311" s="234">
        <f t="shared" si="116"/>
        <v>0</v>
      </c>
      <c r="K311" s="507">
        <f>IFERROR(VLOOKUP($C311,'2020'!$D:$G,4,0),0)</f>
        <v>0</v>
      </c>
      <c r="L311" s="234">
        <f>SUMIFS('2020'!$I:$I,'2020'!$E:$E,Category!$B$278,'2020'!$N:$N,Category!L$1,'2020'!$D:$D,Category!$C311)</f>
        <v>0</v>
      </c>
      <c r="M311" s="234">
        <f>SUMIFS('2020'!$I:$I,'2020'!$E:$E,Category!$B$278,'2020'!$N:$N,Category!M$1,'2020'!$D:$D,Category!$C311)</f>
        <v>0</v>
      </c>
      <c r="N311" s="234">
        <f>SUMIFS('2020'!$I:$I,'2020'!$E:$E,Category!$B$278,'2020'!$N:$N,Category!N$1,'2020'!$D:$D,Category!$C311)</f>
        <v>0</v>
      </c>
      <c r="O311" s="234">
        <f>SUMIFS('2020'!$I:$I,'2020'!$E:$E,Category!$B$278,'2020'!$N:$N,Category!O$1,'2020'!$D:$D,Category!$C311)</f>
        <v>0</v>
      </c>
      <c r="P311" s="234">
        <f>SUMIFS('2020'!$I:$I,'2020'!$E:$E,Category!$B$278,'2020'!$N:$N,Category!P$1,'2020'!$D:$D,Category!$C311)</f>
        <v>0</v>
      </c>
      <c r="Q311" s="234">
        <f>SUMIFS('2020'!$I:$I,'2020'!$E:$E,Category!$B$278,'2020'!$N:$N,Category!Q$1,'2020'!$D:$D,Category!$C311)</f>
        <v>0</v>
      </c>
      <c r="R311" s="234">
        <f>SUMIFS('2020'!$I:$I,'2020'!$E:$E,Category!$B$278,'2020'!$N:$N,Category!R$1,'2020'!$D:$D,Category!$C311)</f>
        <v>0</v>
      </c>
      <c r="S311" s="234">
        <f>SUMIFS('2020'!$I:$I,'2020'!$E:$E,Category!$B$278,'2020'!$N:$N,Category!S$1,'2020'!$D:$D,Category!$C311)</f>
        <v>0</v>
      </c>
      <c r="T311" s="234">
        <f>SUMIFS('2020'!$I:$I,'2020'!$E:$E,Category!$B$278,'2020'!$N:$N,Category!T$1,'2020'!$D:$D,Category!$C311)</f>
        <v>0</v>
      </c>
      <c r="U311" s="234">
        <f>SUMIFS('2020'!$I:$I,'2020'!$E:$E,Category!$B$278,'2020'!$N:$N,Category!U$1,'2020'!$D:$D,Category!$C311)</f>
        <v>0</v>
      </c>
      <c r="V311" s="234">
        <f>SUMIFS('2020'!$I:$I,'2020'!$E:$E,Category!$B$278,'2020'!$N:$N,Category!V$1,'2020'!$D:$D,Category!$C311)</f>
        <v>0</v>
      </c>
      <c r="W311" s="234">
        <f>SUMIFS('2020'!$I:$I,'2020'!$E:$E,Category!$B$278,'2020'!$N:$N,Category!W$1,'2020'!$D:$D,Category!$C311)</f>
        <v>0</v>
      </c>
      <c r="X311" s="234">
        <f t="shared" si="117"/>
        <v>0</v>
      </c>
      <c r="Y311" s="507">
        <f>IFERROR(VLOOKUP(C311,'2021'!$D:$G,4,0),0)</f>
        <v>0</v>
      </c>
      <c r="Z311" s="234">
        <f>SUMIFS('2021'!$I:$I,'2021'!$E:$E,Category!$B$278,'2021'!$N:$N,Category!Z$1,'2021'!$D:$D,Category!$C311)</f>
        <v>0</v>
      </c>
      <c r="AA311" s="234">
        <f>SUMIFS('2021'!$I:$I,'2021'!$E:$E,Category!$B$278,'2021'!$N:$N,Category!AA$1,'2021'!$D:$D,Category!$C311)</f>
        <v>0</v>
      </c>
      <c r="AB311" s="234">
        <f>SUMIFS('2021'!$I:$I,'2021'!$E:$E,Category!$B$278,'2021'!$N:$N,Category!AB$1,'2021'!$D:$D,Category!$C311)</f>
        <v>0</v>
      </c>
      <c r="AC311" s="234">
        <f>SUMIFS('2021'!$I:$I,'2021'!$E:$E,Category!$B$278,'2021'!$N:$N,Category!AC$1,'2021'!$D:$D,Category!$C311)</f>
        <v>0</v>
      </c>
      <c r="AD311" s="234">
        <f>SUMIFS('2021'!$I:$I,'2021'!$E:$E,Category!$B$278,'2021'!$N:$N,Category!AD$1,'2021'!$D:$D,Category!$C311)</f>
        <v>0</v>
      </c>
      <c r="AE311" s="234">
        <f>SUMIFS('2021'!$I:$I,'2021'!$E:$E,Category!$B$278,'2021'!$N:$N,Category!AE$1,'2021'!$D:$D,Category!$C311)</f>
        <v>0</v>
      </c>
      <c r="AF311" s="234">
        <f>SUMIFS('2021'!$I:$I,'2021'!$E:$E,Category!$B$278,'2021'!$N:$N,Category!AF$1,'2021'!$D:$D,Category!$C311)</f>
        <v>0</v>
      </c>
      <c r="AG311" s="234">
        <f>SUMIFS('2021'!$I:$I,'2021'!$E:$E,Category!$B$278,'2021'!$N:$N,Category!AG$1,'2021'!$D:$D,Category!$C311)</f>
        <v>0</v>
      </c>
      <c r="AH311" s="234">
        <f>SUMIFS('2021'!$I:$I,'2021'!$E:$E,Category!$B$278,'2021'!$N:$N,Category!AH$1,'2021'!$D:$D,Category!$C311)</f>
        <v>0</v>
      </c>
      <c r="AI311" s="234">
        <f>SUMIFS('2021'!$I:$I,'2021'!$E:$E,Category!$B$278,'2021'!$N:$N,Category!AI$1,'2021'!$D:$D,Category!$C311)</f>
        <v>0</v>
      </c>
      <c r="AJ311" s="234">
        <f>SUMIFS('2021'!$I:$I,'2021'!$E:$E,Category!$B$278,'2021'!$N:$N,Category!AJ$1,'2021'!$D:$D,Category!$C311)</f>
        <v>0</v>
      </c>
      <c r="AK311" s="234">
        <f>SUMIFS('2021'!$I:$I,'2021'!$E:$E,Category!$B$278,'2021'!$N:$N,Category!AK$1,'2021'!$D:$D,Category!$C311)</f>
        <v>0</v>
      </c>
      <c r="AL311" s="250">
        <f t="shared" si="118"/>
        <v>0</v>
      </c>
      <c r="AM311" s="507">
        <f>IFERROR(VLOOKUP(C311,'2022'!$D:$G,4,0),0)</f>
        <v>0</v>
      </c>
      <c r="AN311" s="234">
        <f>SUMIFS('2022'!$I:$I,'2022'!$E:$E,Category!$B$278,'2022'!$N:$N,Category!AN$1,'2022'!$D:$D,Category!$C311)</f>
        <v>0</v>
      </c>
      <c r="AO311" s="234">
        <f>SUMIFS('2022'!$I:$I,'2022'!$E:$E,Category!$B$278,'2022'!$N:$N,Category!AO$1,'2022'!$D:$D,Category!$C311)</f>
        <v>0</v>
      </c>
      <c r="AP311" s="234">
        <f>SUMIFS('2022'!$I:$I,'2022'!$E:$E,Category!$B$278,'2022'!$N:$N,Category!AP$1,'2022'!$D:$D,Category!$C311)</f>
        <v>0</v>
      </c>
      <c r="AQ311" s="234">
        <f>SUMIFS('2022'!$I:$I,'2022'!$E:$E,Category!$B$278,'2022'!$N:$N,Category!AQ$1,'2022'!$D:$D,Category!$C311)</f>
        <v>0</v>
      </c>
      <c r="AR311" s="234">
        <f>SUMIFS('2022'!$I:$I,'2022'!$E:$E,Category!$B$278,'2022'!$N:$N,Category!AR$1,'2022'!$D:$D,Category!$C311)</f>
        <v>0</v>
      </c>
      <c r="AS311" s="234">
        <f>SUMIFS('2022'!$I:$I,'2022'!$E:$E,Category!$B$278,'2022'!$N:$N,Category!AS$1,'2022'!$D:$D,Category!$C311)</f>
        <v>0</v>
      </c>
      <c r="AT311" s="234">
        <f>SUMIFS('2022'!$I:$I,'2022'!$E:$E,Category!$B$278,'2022'!$N:$N,Category!AT$1,'2022'!$D:$D,Category!$C311)</f>
        <v>0</v>
      </c>
      <c r="AU311" s="234">
        <f>SUMIFS('2022'!$I:$I,'2022'!$E:$E,Category!$B$278,'2022'!$N:$N,Category!AU$1,'2022'!$D:$D,Category!$C311)</f>
        <v>0</v>
      </c>
      <c r="AV311" s="234">
        <f>SUMIFS('2022'!$I:$I,'2022'!$E:$E,Category!$B$278,'2022'!$N:$N,Category!AV$1,'2022'!$D:$D,Category!$C311)</f>
        <v>0</v>
      </c>
      <c r="AW311" s="234">
        <f>SUMIFS('2022'!$I:$I,'2022'!$E:$E,Category!$B$278,'2022'!$N:$N,Category!AW$1,'2022'!$D:$D,Category!$C311)</f>
        <v>0</v>
      </c>
      <c r="AX311" s="234">
        <f>SUMIFS('2022'!$I:$I,'2022'!$E:$E,Category!$B$278,'2022'!$N:$N,Category!AX$1,'2022'!$D:$D,Category!$C311)</f>
        <v>0</v>
      </c>
      <c r="AY311" s="234">
        <f>SUMIFS('2022'!$I:$I,'2022'!$E:$E,Category!$B$278,'2022'!$N:$N,Category!AY$1,'2022'!$D:$D,Category!$C311)</f>
        <v>0</v>
      </c>
      <c r="AZ311" s="250">
        <f t="shared" si="119"/>
        <v>0</v>
      </c>
      <c r="BA311" s="507">
        <f>IFERROR(VLOOKUP(C311,'2023'!$D:$G,4,0),0)</f>
        <v>0</v>
      </c>
      <c r="BB311" s="234">
        <f>SUMIFS('2023'!$I:$I,'2023'!$E:$E,Category!$B$278,'2023'!$N:$N,Category!BB$1,'2023'!$D:$D,Category!$C311)</f>
        <v>0</v>
      </c>
      <c r="BC311" s="234">
        <f>SUMIFS('2023'!$I:$I,'2023'!$E:$E,Category!$B$278,'2023'!$N:$N,Category!BC$1,'2023'!$D:$D,Category!$C311)</f>
        <v>0</v>
      </c>
      <c r="BD311" s="234">
        <f>SUMIFS('2023'!$I:$I,'2023'!$E:$E,Category!$B$278,'2023'!$N:$N,Category!BD$1,'2023'!$D:$D,Category!$C311)</f>
        <v>0</v>
      </c>
      <c r="BE311" s="234">
        <f>SUMIFS('2023'!$I:$I,'2023'!$E:$E,Category!$B$278,'2023'!$N:$N,Category!BE$1,'2023'!$D:$D,Category!$C311)</f>
        <v>0</v>
      </c>
      <c r="BF311" s="234">
        <f>SUMIFS('2023'!$I:$I,'2023'!$E:$E,Category!$B$278,'2023'!$N:$N,Category!BF$1,'2023'!$D:$D,Category!$C311)</f>
        <v>0</v>
      </c>
      <c r="BG311" s="234">
        <f>SUMIFS('2023'!$I:$I,'2023'!$E:$E,Category!$B$278,'2023'!$N:$N,Category!BG$1,'2023'!$D:$D,Category!$C311)</f>
        <v>0</v>
      </c>
      <c r="BH311" s="234">
        <f>SUMIFS('2023'!$I:$I,'2023'!$E:$E,Category!$B$278,'2023'!$N:$N,Category!BH$1,'2023'!$D:$D,Category!$C311)</f>
        <v>0</v>
      </c>
      <c r="BI311" s="234">
        <f>SUMIFS('2023'!$I:$I,'2023'!$E:$E,Category!$B$278,'2023'!$N:$N,Category!BI$1,'2023'!$D:$D,Category!$C311)</f>
        <v>0</v>
      </c>
      <c r="BJ311" s="234">
        <f>SUMIFS('2023'!$I:$I,'2023'!$E:$E,Category!$B$278,'2023'!$N:$N,Category!BJ$1,'2023'!$D:$D,Category!$C311)</f>
        <v>0</v>
      </c>
      <c r="BK311" s="234">
        <f>SUMIFS('2023'!$I:$I,'2023'!$E:$E,Category!$B$278,'2023'!$N:$N,Category!BK$1,'2023'!$D:$D,Category!$C311)</f>
        <v>0</v>
      </c>
      <c r="BL311" s="234">
        <f>SUMIFS('2023'!$I:$I,'2023'!$E:$E,Category!$B$278,'2023'!$N:$N,Category!BL$1,'2023'!$D:$D,Category!$C311)</f>
        <v>0</v>
      </c>
      <c r="BM311" s="234">
        <f>SUMIFS('2023'!$I:$I,'2023'!$E:$E,Category!$B$278,'2023'!$N:$N,Category!BM$1,'2023'!$D:$D,Category!$C311)</f>
        <v>0</v>
      </c>
      <c r="BN311" s="250">
        <f t="shared" si="114"/>
        <v>0</v>
      </c>
    </row>
    <row r="312" spans="1:66" ht="21" hidden="1" customHeight="1" x14ac:dyDescent="0.3">
      <c r="A312" s="249"/>
      <c r="B312" s="235"/>
      <c r="C312" s="235"/>
      <c r="D312" s="527">
        <f>IFERROR(VLOOKUP($C312,'2019'!$D:$G,4,0),0)</f>
        <v>0</v>
      </c>
      <c r="E312" s="234">
        <f>SUMIFS('2019'!$I:$I,'2019'!$E:$E,Category!$B$278,'2019'!$N:$N,Category!E$1,'2019'!$D:$D,Category!$C312)</f>
        <v>0</v>
      </c>
      <c r="F312" s="234">
        <f>SUMIFS('2019'!$I:$I,'2019'!$E:$E,Category!$B$278,'2019'!$N:$N,Category!F$1,'2019'!$D:$D,Category!$C312)</f>
        <v>0</v>
      </c>
      <c r="G312" s="234">
        <f>SUMIFS('2019'!$I:$I,'2019'!$E:$E,Category!$B$278,'2019'!$N:$N,Category!G$1,'2019'!$D:$D,Category!$C312)</f>
        <v>0</v>
      </c>
      <c r="H312" s="234">
        <f>SUMIFS('2019'!$I:$I,'2019'!$E:$E,Category!$B$278,'2019'!$N:$N,Category!H$1,'2019'!$D:$D,Category!$C312)</f>
        <v>0</v>
      </c>
      <c r="I312" s="234">
        <f>SUMIFS('2019'!$I:$I,'2019'!$E:$E,Category!$B$278,'2019'!$N:$N,Category!I$1,'2019'!$D:$D,Category!$C312)</f>
        <v>0</v>
      </c>
      <c r="J312" s="234">
        <f t="shared" si="116"/>
        <v>0</v>
      </c>
      <c r="K312" s="507">
        <f>IFERROR(VLOOKUP($C312,'2020'!$D:$G,4,0),0)</f>
        <v>0</v>
      </c>
      <c r="L312" s="234">
        <f>SUMIFS('2020'!$I:$I,'2020'!$E:$E,Category!$B$278,'2020'!$N:$N,Category!L$1,'2020'!$D:$D,Category!$C312)</f>
        <v>0</v>
      </c>
      <c r="M312" s="234">
        <f>SUMIFS('2020'!$I:$I,'2020'!$E:$E,Category!$B$278,'2020'!$N:$N,Category!M$1,'2020'!$D:$D,Category!$C312)</f>
        <v>0</v>
      </c>
      <c r="N312" s="234">
        <f>SUMIFS('2020'!$I:$I,'2020'!$E:$E,Category!$B$278,'2020'!$N:$N,Category!N$1,'2020'!$D:$D,Category!$C312)</f>
        <v>0</v>
      </c>
      <c r="O312" s="234">
        <f>SUMIFS('2020'!$I:$I,'2020'!$E:$E,Category!$B$278,'2020'!$N:$N,Category!O$1,'2020'!$D:$D,Category!$C312)</f>
        <v>0</v>
      </c>
      <c r="P312" s="234">
        <f>SUMIFS('2020'!$I:$I,'2020'!$E:$E,Category!$B$278,'2020'!$N:$N,Category!P$1,'2020'!$D:$D,Category!$C312)</f>
        <v>0</v>
      </c>
      <c r="Q312" s="234">
        <f>SUMIFS('2020'!$I:$I,'2020'!$E:$E,Category!$B$278,'2020'!$N:$N,Category!Q$1,'2020'!$D:$D,Category!$C312)</f>
        <v>0</v>
      </c>
      <c r="R312" s="234">
        <f>SUMIFS('2020'!$I:$I,'2020'!$E:$E,Category!$B$278,'2020'!$N:$N,Category!R$1,'2020'!$D:$D,Category!$C312)</f>
        <v>0</v>
      </c>
      <c r="S312" s="234">
        <f>SUMIFS('2020'!$I:$I,'2020'!$E:$E,Category!$B$278,'2020'!$N:$N,Category!S$1,'2020'!$D:$D,Category!$C312)</f>
        <v>0</v>
      </c>
      <c r="T312" s="234">
        <f>SUMIFS('2020'!$I:$I,'2020'!$E:$E,Category!$B$278,'2020'!$N:$N,Category!T$1,'2020'!$D:$D,Category!$C312)</f>
        <v>0</v>
      </c>
      <c r="U312" s="234">
        <f>SUMIFS('2020'!$I:$I,'2020'!$E:$E,Category!$B$278,'2020'!$N:$N,Category!U$1,'2020'!$D:$D,Category!$C312)</f>
        <v>0</v>
      </c>
      <c r="V312" s="234">
        <f>SUMIFS('2020'!$I:$I,'2020'!$E:$E,Category!$B$278,'2020'!$N:$N,Category!V$1,'2020'!$D:$D,Category!$C312)</f>
        <v>0</v>
      </c>
      <c r="W312" s="234">
        <f>SUMIFS('2020'!$I:$I,'2020'!$E:$E,Category!$B$278,'2020'!$N:$N,Category!W$1,'2020'!$D:$D,Category!$C312)</f>
        <v>0</v>
      </c>
      <c r="X312" s="234">
        <f t="shared" si="117"/>
        <v>0</v>
      </c>
      <c r="Y312" s="507">
        <f>IFERROR(VLOOKUP(C312,'2021'!$D:$G,4,0),0)</f>
        <v>0</v>
      </c>
      <c r="Z312" s="234">
        <f>SUMIFS('2021'!$I:$I,'2021'!$E:$E,Category!$B$278,'2021'!$N:$N,Category!Z$1,'2021'!$D:$D,Category!$C312)</f>
        <v>0</v>
      </c>
      <c r="AA312" s="234">
        <f>SUMIFS('2021'!$I:$I,'2021'!$E:$E,Category!$B$278,'2021'!$N:$N,Category!AA$1,'2021'!$D:$D,Category!$C312)</f>
        <v>0</v>
      </c>
      <c r="AB312" s="234">
        <f>SUMIFS('2021'!$I:$I,'2021'!$E:$E,Category!$B$278,'2021'!$N:$N,Category!AB$1,'2021'!$D:$D,Category!$C312)</f>
        <v>0</v>
      </c>
      <c r="AC312" s="234">
        <f>SUMIFS('2021'!$I:$I,'2021'!$E:$E,Category!$B$278,'2021'!$N:$N,Category!AC$1,'2021'!$D:$D,Category!$C312)</f>
        <v>0</v>
      </c>
      <c r="AD312" s="234">
        <f>SUMIFS('2021'!$I:$I,'2021'!$E:$E,Category!$B$278,'2021'!$N:$N,Category!AD$1,'2021'!$D:$D,Category!$C312)</f>
        <v>0</v>
      </c>
      <c r="AE312" s="234">
        <f>SUMIFS('2021'!$I:$I,'2021'!$E:$E,Category!$B$278,'2021'!$N:$N,Category!AE$1,'2021'!$D:$D,Category!$C312)</f>
        <v>0</v>
      </c>
      <c r="AF312" s="234">
        <f>SUMIFS('2021'!$I:$I,'2021'!$E:$E,Category!$B$278,'2021'!$N:$N,Category!AF$1,'2021'!$D:$D,Category!$C312)</f>
        <v>0</v>
      </c>
      <c r="AG312" s="234">
        <f>SUMIFS('2021'!$I:$I,'2021'!$E:$E,Category!$B$278,'2021'!$N:$N,Category!AG$1,'2021'!$D:$D,Category!$C312)</f>
        <v>0</v>
      </c>
      <c r="AH312" s="234">
        <f>SUMIFS('2021'!$I:$I,'2021'!$E:$E,Category!$B$278,'2021'!$N:$N,Category!AH$1,'2021'!$D:$D,Category!$C312)</f>
        <v>0</v>
      </c>
      <c r="AI312" s="234">
        <f>SUMIFS('2021'!$I:$I,'2021'!$E:$E,Category!$B$278,'2021'!$N:$N,Category!AI$1,'2021'!$D:$D,Category!$C312)</f>
        <v>0</v>
      </c>
      <c r="AJ312" s="234">
        <f>SUMIFS('2021'!$I:$I,'2021'!$E:$E,Category!$B$278,'2021'!$N:$N,Category!AJ$1,'2021'!$D:$D,Category!$C312)</f>
        <v>0</v>
      </c>
      <c r="AK312" s="234">
        <f>SUMIFS('2021'!$I:$I,'2021'!$E:$E,Category!$B$278,'2021'!$N:$N,Category!AK$1,'2021'!$D:$D,Category!$C312)</f>
        <v>0</v>
      </c>
      <c r="AL312" s="250">
        <f t="shared" si="118"/>
        <v>0</v>
      </c>
      <c r="AM312" s="507">
        <f>IFERROR(VLOOKUP(C312,'2022'!$D:$G,4,0),0)</f>
        <v>0</v>
      </c>
      <c r="AN312" s="234">
        <f>SUMIFS('2022'!$I:$I,'2022'!$E:$E,Category!$B$278,'2022'!$N:$N,Category!AN$1,'2022'!$D:$D,Category!$C312)</f>
        <v>0</v>
      </c>
      <c r="AO312" s="234">
        <f>SUMIFS('2022'!$I:$I,'2022'!$E:$E,Category!$B$278,'2022'!$N:$N,Category!AO$1,'2022'!$D:$D,Category!$C312)</f>
        <v>0</v>
      </c>
      <c r="AP312" s="234">
        <f>SUMIFS('2022'!$I:$I,'2022'!$E:$E,Category!$B$278,'2022'!$N:$N,Category!AP$1,'2022'!$D:$D,Category!$C312)</f>
        <v>0</v>
      </c>
      <c r="AQ312" s="234">
        <f>SUMIFS('2022'!$I:$I,'2022'!$E:$E,Category!$B$278,'2022'!$N:$N,Category!AQ$1,'2022'!$D:$D,Category!$C312)</f>
        <v>0</v>
      </c>
      <c r="AR312" s="234">
        <f>SUMIFS('2022'!$I:$I,'2022'!$E:$E,Category!$B$278,'2022'!$N:$N,Category!AR$1,'2022'!$D:$D,Category!$C312)</f>
        <v>0</v>
      </c>
      <c r="AS312" s="234">
        <f>SUMIFS('2022'!$I:$I,'2022'!$E:$E,Category!$B$278,'2022'!$N:$N,Category!AS$1,'2022'!$D:$D,Category!$C312)</f>
        <v>0</v>
      </c>
      <c r="AT312" s="234">
        <f>SUMIFS('2022'!$I:$I,'2022'!$E:$E,Category!$B$278,'2022'!$N:$N,Category!AT$1,'2022'!$D:$D,Category!$C312)</f>
        <v>0</v>
      </c>
      <c r="AU312" s="234">
        <f>SUMIFS('2022'!$I:$I,'2022'!$E:$E,Category!$B$278,'2022'!$N:$N,Category!AU$1,'2022'!$D:$D,Category!$C312)</f>
        <v>0</v>
      </c>
      <c r="AV312" s="234">
        <f>SUMIFS('2022'!$I:$I,'2022'!$E:$E,Category!$B$278,'2022'!$N:$N,Category!AV$1,'2022'!$D:$D,Category!$C312)</f>
        <v>0</v>
      </c>
      <c r="AW312" s="234">
        <f>SUMIFS('2022'!$I:$I,'2022'!$E:$E,Category!$B$278,'2022'!$N:$N,Category!AW$1,'2022'!$D:$D,Category!$C312)</f>
        <v>0</v>
      </c>
      <c r="AX312" s="234">
        <f>SUMIFS('2022'!$I:$I,'2022'!$E:$E,Category!$B$278,'2022'!$N:$N,Category!AX$1,'2022'!$D:$D,Category!$C312)</f>
        <v>0</v>
      </c>
      <c r="AY312" s="234">
        <f>SUMIFS('2022'!$I:$I,'2022'!$E:$E,Category!$B$278,'2022'!$N:$N,Category!AY$1,'2022'!$D:$D,Category!$C312)</f>
        <v>0</v>
      </c>
      <c r="AZ312" s="250">
        <f t="shared" si="119"/>
        <v>0</v>
      </c>
      <c r="BA312" s="507">
        <f>IFERROR(VLOOKUP(C312,'2023'!$D:$G,4,0),0)</f>
        <v>0</v>
      </c>
      <c r="BB312" s="234">
        <f>SUMIFS('2023'!$I:$I,'2023'!$E:$E,Category!$B$278,'2023'!$N:$N,Category!BB$1,'2023'!$D:$D,Category!$C312)</f>
        <v>0</v>
      </c>
      <c r="BC312" s="234">
        <f>SUMIFS('2023'!$I:$I,'2023'!$E:$E,Category!$B$278,'2023'!$N:$N,Category!BC$1,'2023'!$D:$D,Category!$C312)</f>
        <v>0</v>
      </c>
      <c r="BD312" s="234">
        <f>SUMIFS('2023'!$I:$I,'2023'!$E:$E,Category!$B$278,'2023'!$N:$N,Category!BD$1,'2023'!$D:$D,Category!$C312)</f>
        <v>0</v>
      </c>
      <c r="BE312" s="234">
        <f>SUMIFS('2023'!$I:$I,'2023'!$E:$E,Category!$B$278,'2023'!$N:$N,Category!BE$1,'2023'!$D:$D,Category!$C312)</f>
        <v>0</v>
      </c>
      <c r="BF312" s="234">
        <f>SUMIFS('2023'!$I:$I,'2023'!$E:$E,Category!$B$278,'2023'!$N:$N,Category!BF$1,'2023'!$D:$D,Category!$C312)</f>
        <v>0</v>
      </c>
      <c r="BG312" s="234">
        <f>SUMIFS('2023'!$I:$I,'2023'!$E:$E,Category!$B$278,'2023'!$N:$N,Category!BG$1,'2023'!$D:$D,Category!$C312)</f>
        <v>0</v>
      </c>
      <c r="BH312" s="234">
        <f>SUMIFS('2023'!$I:$I,'2023'!$E:$E,Category!$B$278,'2023'!$N:$N,Category!BH$1,'2023'!$D:$D,Category!$C312)</f>
        <v>0</v>
      </c>
      <c r="BI312" s="234">
        <f>SUMIFS('2023'!$I:$I,'2023'!$E:$E,Category!$B$278,'2023'!$N:$N,Category!BI$1,'2023'!$D:$D,Category!$C312)</f>
        <v>0</v>
      </c>
      <c r="BJ312" s="234">
        <f>SUMIFS('2023'!$I:$I,'2023'!$E:$E,Category!$B$278,'2023'!$N:$N,Category!BJ$1,'2023'!$D:$D,Category!$C312)</f>
        <v>0</v>
      </c>
      <c r="BK312" s="234">
        <f>SUMIFS('2023'!$I:$I,'2023'!$E:$E,Category!$B$278,'2023'!$N:$N,Category!BK$1,'2023'!$D:$D,Category!$C312)</f>
        <v>0</v>
      </c>
      <c r="BL312" s="234">
        <f>SUMIFS('2023'!$I:$I,'2023'!$E:$E,Category!$B$278,'2023'!$N:$N,Category!BL$1,'2023'!$D:$D,Category!$C312)</f>
        <v>0</v>
      </c>
      <c r="BM312" s="234">
        <f>SUMIFS('2023'!$I:$I,'2023'!$E:$E,Category!$B$278,'2023'!$N:$N,Category!BM$1,'2023'!$D:$D,Category!$C312)</f>
        <v>0</v>
      </c>
      <c r="BN312" s="250">
        <f t="shared" si="114"/>
        <v>0</v>
      </c>
    </row>
    <row r="313" spans="1:66" ht="21" hidden="1" customHeight="1" x14ac:dyDescent="0.3">
      <c r="A313" s="249"/>
      <c r="B313" s="235"/>
      <c r="C313" s="235"/>
      <c r="D313" s="527">
        <f>IFERROR(VLOOKUP($C313,'2019'!$D:$G,4,0),0)</f>
        <v>0</v>
      </c>
      <c r="E313" s="234">
        <f>SUMIFS('2019'!$I:$I,'2019'!$E:$E,Category!$B$278,'2019'!$N:$N,Category!E$1,'2019'!$D:$D,Category!$C313)</f>
        <v>0</v>
      </c>
      <c r="F313" s="234">
        <f>SUMIFS('2019'!$I:$I,'2019'!$E:$E,Category!$B$278,'2019'!$N:$N,Category!F$1,'2019'!$D:$D,Category!$C313)</f>
        <v>0</v>
      </c>
      <c r="G313" s="234">
        <f>SUMIFS('2019'!$I:$I,'2019'!$E:$E,Category!$B$278,'2019'!$N:$N,Category!G$1,'2019'!$D:$D,Category!$C313)</f>
        <v>0</v>
      </c>
      <c r="H313" s="234">
        <f>SUMIFS('2019'!$I:$I,'2019'!$E:$E,Category!$B$278,'2019'!$N:$N,Category!H$1,'2019'!$D:$D,Category!$C313)</f>
        <v>0</v>
      </c>
      <c r="I313" s="234">
        <f>SUMIFS('2019'!$I:$I,'2019'!$E:$E,Category!$B$278,'2019'!$N:$N,Category!I$1,'2019'!$D:$D,Category!$C313)</f>
        <v>0</v>
      </c>
      <c r="J313" s="234">
        <f t="shared" si="116"/>
        <v>0</v>
      </c>
      <c r="K313" s="507">
        <f>IFERROR(VLOOKUP($C313,'2020'!$D:$G,4,0),0)</f>
        <v>0</v>
      </c>
      <c r="L313" s="234">
        <f>SUMIFS('2020'!$I:$I,'2020'!$E:$E,Category!$B$278,'2020'!$N:$N,Category!L$1,'2020'!$D:$D,Category!$C313)</f>
        <v>0</v>
      </c>
      <c r="M313" s="234">
        <f>SUMIFS('2020'!$I:$I,'2020'!$E:$E,Category!$B$278,'2020'!$N:$N,Category!M$1,'2020'!$D:$D,Category!$C313)</f>
        <v>0</v>
      </c>
      <c r="N313" s="234">
        <f>SUMIFS('2020'!$I:$I,'2020'!$E:$E,Category!$B$278,'2020'!$N:$N,Category!N$1,'2020'!$D:$D,Category!$C313)</f>
        <v>0</v>
      </c>
      <c r="O313" s="234">
        <f>SUMIFS('2020'!$I:$I,'2020'!$E:$E,Category!$B$278,'2020'!$N:$N,Category!O$1,'2020'!$D:$D,Category!$C313)</f>
        <v>0</v>
      </c>
      <c r="P313" s="234">
        <f>SUMIFS('2020'!$I:$I,'2020'!$E:$E,Category!$B$278,'2020'!$N:$N,Category!P$1,'2020'!$D:$D,Category!$C313)</f>
        <v>0</v>
      </c>
      <c r="Q313" s="234">
        <f>SUMIFS('2020'!$I:$I,'2020'!$E:$E,Category!$B$278,'2020'!$N:$N,Category!Q$1,'2020'!$D:$D,Category!$C313)</f>
        <v>0</v>
      </c>
      <c r="R313" s="234">
        <f>SUMIFS('2020'!$I:$I,'2020'!$E:$E,Category!$B$278,'2020'!$N:$N,Category!R$1,'2020'!$D:$D,Category!$C313)</f>
        <v>0</v>
      </c>
      <c r="S313" s="234">
        <f>SUMIFS('2020'!$I:$I,'2020'!$E:$E,Category!$B$278,'2020'!$N:$N,Category!S$1,'2020'!$D:$D,Category!$C313)</f>
        <v>0</v>
      </c>
      <c r="T313" s="234">
        <f>SUMIFS('2020'!$I:$I,'2020'!$E:$E,Category!$B$278,'2020'!$N:$N,Category!T$1,'2020'!$D:$D,Category!$C313)</f>
        <v>0</v>
      </c>
      <c r="U313" s="234">
        <f>SUMIFS('2020'!$I:$I,'2020'!$E:$E,Category!$B$278,'2020'!$N:$N,Category!U$1,'2020'!$D:$D,Category!$C313)</f>
        <v>0</v>
      </c>
      <c r="V313" s="234">
        <f>SUMIFS('2020'!$I:$I,'2020'!$E:$E,Category!$B$278,'2020'!$N:$N,Category!V$1,'2020'!$D:$D,Category!$C313)</f>
        <v>0</v>
      </c>
      <c r="W313" s="234">
        <f>SUMIFS('2020'!$I:$I,'2020'!$E:$E,Category!$B$278,'2020'!$N:$N,Category!W$1,'2020'!$D:$D,Category!$C313)</f>
        <v>0</v>
      </c>
      <c r="X313" s="234">
        <f t="shared" si="117"/>
        <v>0</v>
      </c>
      <c r="Y313" s="507">
        <f>IFERROR(VLOOKUP(C313,'2021'!$D:$G,4,0),0)</f>
        <v>0</v>
      </c>
      <c r="Z313" s="234">
        <f>SUMIFS('2021'!$I:$I,'2021'!$E:$E,Category!$B$278,'2021'!$N:$N,Category!Z$1,'2021'!$D:$D,Category!$C313)</f>
        <v>0</v>
      </c>
      <c r="AA313" s="234">
        <f>SUMIFS('2021'!$I:$I,'2021'!$E:$E,Category!$B$278,'2021'!$N:$N,Category!AA$1,'2021'!$D:$D,Category!$C313)</f>
        <v>0</v>
      </c>
      <c r="AB313" s="234">
        <f>SUMIFS('2021'!$I:$I,'2021'!$E:$E,Category!$B$278,'2021'!$N:$N,Category!AB$1,'2021'!$D:$D,Category!$C313)</f>
        <v>0</v>
      </c>
      <c r="AC313" s="234">
        <f>SUMIFS('2021'!$I:$I,'2021'!$E:$E,Category!$B$278,'2021'!$N:$N,Category!AC$1,'2021'!$D:$D,Category!$C313)</f>
        <v>0</v>
      </c>
      <c r="AD313" s="234">
        <f>SUMIFS('2021'!$I:$I,'2021'!$E:$E,Category!$B$278,'2021'!$N:$N,Category!AD$1,'2021'!$D:$D,Category!$C313)</f>
        <v>0</v>
      </c>
      <c r="AE313" s="234">
        <f>SUMIFS('2021'!$I:$I,'2021'!$E:$E,Category!$B$278,'2021'!$N:$N,Category!AE$1,'2021'!$D:$D,Category!$C313)</f>
        <v>0</v>
      </c>
      <c r="AF313" s="234">
        <f>SUMIFS('2021'!$I:$I,'2021'!$E:$E,Category!$B$278,'2021'!$N:$N,Category!AF$1,'2021'!$D:$D,Category!$C313)</f>
        <v>0</v>
      </c>
      <c r="AG313" s="234">
        <f>SUMIFS('2021'!$I:$I,'2021'!$E:$E,Category!$B$278,'2021'!$N:$N,Category!AG$1,'2021'!$D:$D,Category!$C313)</f>
        <v>0</v>
      </c>
      <c r="AH313" s="234">
        <f>SUMIFS('2021'!$I:$I,'2021'!$E:$E,Category!$B$278,'2021'!$N:$N,Category!AH$1,'2021'!$D:$D,Category!$C313)</f>
        <v>0</v>
      </c>
      <c r="AI313" s="234">
        <f>SUMIFS('2021'!$I:$I,'2021'!$E:$E,Category!$B$278,'2021'!$N:$N,Category!AI$1,'2021'!$D:$D,Category!$C313)</f>
        <v>0</v>
      </c>
      <c r="AJ313" s="234">
        <f>SUMIFS('2021'!$I:$I,'2021'!$E:$E,Category!$B$278,'2021'!$N:$N,Category!AJ$1,'2021'!$D:$D,Category!$C313)</f>
        <v>0</v>
      </c>
      <c r="AK313" s="234">
        <f>SUMIFS('2021'!$I:$I,'2021'!$E:$E,Category!$B$278,'2021'!$N:$N,Category!AK$1,'2021'!$D:$D,Category!$C313)</f>
        <v>0</v>
      </c>
      <c r="AL313" s="250">
        <f t="shared" si="118"/>
        <v>0</v>
      </c>
      <c r="AM313" s="507">
        <f>IFERROR(VLOOKUP(C313,'2022'!$D:$G,4,0),0)</f>
        <v>0</v>
      </c>
      <c r="AN313" s="234">
        <f>SUMIFS('2022'!$I:$I,'2022'!$E:$E,Category!$B$278,'2022'!$N:$N,Category!AN$1,'2022'!$D:$D,Category!$C313)</f>
        <v>0</v>
      </c>
      <c r="AO313" s="234">
        <f>SUMIFS('2022'!$I:$I,'2022'!$E:$E,Category!$B$278,'2022'!$N:$N,Category!AO$1,'2022'!$D:$D,Category!$C313)</f>
        <v>0</v>
      </c>
      <c r="AP313" s="234">
        <f>SUMIFS('2022'!$I:$I,'2022'!$E:$E,Category!$B$278,'2022'!$N:$N,Category!AP$1,'2022'!$D:$D,Category!$C313)</f>
        <v>0</v>
      </c>
      <c r="AQ313" s="234">
        <f>SUMIFS('2022'!$I:$I,'2022'!$E:$E,Category!$B$278,'2022'!$N:$N,Category!AQ$1,'2022'!$D:$D,Category!$C313)</f>
        <v>0</v>
      </c>
      <c r="AR313" s="234">
        <f>SUMIFS('2022'!$I:$I,'2022'!$E:$E,Category!$B$278,'2022'!$N:$N,Category!AR$1,'2022'!$D:$D,Category!$C313)</f>
        <v>0</v>
      </c>
      <c r="AS313" s="234">
        <f>SUMIFS('2022'!$I:$I,'2022'!$E:$E,Category!$B$278,'2022'!$N:$N,Category!AS$1,'2022'!$D:$D,Category!$C313)</f>
        <v>0</v>
      </c>
      <c r="AT313" s="234">
        <f>SUMIFS('2022'!$I:$I,'2022'!$E:$E,Category!$B$278,'2022'!$N:$N,Category!AT$1,'2022'!$D:$D,Category!$C313)</f>
        <v>0</v>
      </c>
      <c r="AU313" s="234">
        <f>SUMIFS('2022'!$I:$I,'2022'!$E:$E,Category!$B$278,'2022'!$N:$N,Category!AU$1,'2022'!$D:$D,Category!$C313)</f>
        <v>0</v>
      </c>
      <c r="AV313" s="234">
        <f>SUMIFS('2022'!$I:$I,'2022'!$E:$E,Category!$B$278,'2022'!$N:$N,Category!AV$1,'2022'!$D:$D,Category!$C313)</f>
        <v>0</v>
      </c>
      <c r="AW313" s="234">
        <f>SUMIFS('2022'!$I:$I,'2022'!$E:$E,Category!$B$278,'2022'!$N:$N,Category!AW$1,'2022'!$D:$D,Category!$C313)</f>
        <v>0</v>
      </c>
      <c r="AX313" s="234">
        <f>SUMIFS('2022'!$I:$I,'2022'!$E:$E,Category!$B$278,'2022'!$N:$N,Category!AX$1,'2022'!$D:$D,Category!$C313)</f>
        <v>0</v>
      </c>
      <c r="AY313" s="234">
        <f>SUMIFS('2022'!$I:$I,'2022'!$E:$E,Category!$B$278,'2022'!$N:$N,Category!AY$1,'2022'!$D:$D,Category!$C313)</f>
        <v>0</v>
      </c>
      <c r="AZ313" s="250">
        <f t="shared" si="119"/>
        <v>0</v>
      </c>
      <c r="BA313" s="507">
        <f>IFERROR(VLOOKUP(C313,'2023'!$D:$G,4,0),0)</f>
        <v>0</v>
      </c>
      <c r="BB313" s="234">
        <f>SUMIFS('2023'!$I:$I,'2023'!$E:$E,Category!$B$278,'2023'!$N:$N,Category!BB$1,'2023'!$D:$D,Category!$C313)</f>
        <v>0</v>
      </c>
      <c r="BC313" s="234">
        <f>SUMIFS('2023'!$I:$I,'2023'!$E:$E,Category!$B$278,'2023'!$N:$N,Category!BC$1,'2023'!$D:$D,Category!$C313)</f>
        <v>0</v>
      </c>
      <c r="BD313" s="234">
        <f>SUMIFS('2023'!$I:$I,'2023'!$E:$E,Category!$B$278,'2023'!$N:$N,Category!BD$1,'2023'!$D:$D,Category!$C313)</f>
        <v>0</v>
      </c>
      <c r="BE313" s="234">
        <f>SUMIFS('2023'!$I:$I,'2023'!$E:$E,Category!$B$278,'2023'!$N:$N,Category!BE$1,'2023'!$D:$D,Category!$C313)</f>
        <v>0</v>
      </c>
      <c r="BF313" s="234">
        <f>SUMIFS('2023'!$I:$I,'2023'!$E:$E,Category!$B$278,'2023'!$N:$N,Category!BF$1,'2023'!$D:$D,Category!$C313)</f>
        <v>0</v>
      </c>
      <c r="BG313" s="234">
        <f>SUMIFS('2023'!$I:$I,'2023'!$E:$E,Category!$B$278,'2023'!$N:$N,Category!BG$1,'2023'!$D:$D,Category!$C313)</f>
        <v>0</v>
      </c>
      <c r="BH313" s="234">
        <f>SUMIFS('2023'!$I:$I,'2023'!$E:$E,Category!$B$278,'2023'!$N:$N,Category!BH$1,'2023'!$D:$D,Category!$C313)</f>
        <v>0</v>
      </c>
      <c r="BI313" s="234">
        <f>SUMIFS('2023'!$I:$I,'2023'!$E:$E,Category!$B$278,'2023'!$N:$N,Category!BI$1,'2023'!$D:$D,Category!$C313)</f>
        <v>0</v>
      </c>
      <c r="BJ313" s="234">
        <f>SUMIFS('2023'!$I:$I,'2023'!$E:$E,Category!$B$278,'2023'!$N:$N,Category!BJ$1,'2023'!$D:$D,Category!$C313)</f>
        <v>0</v>
      </c>
      <c r="BK313" s="234">
        <f>SUMIFS('2023'!$I:$I,'2023'!$E:$E,Category!$B$278,'2023'!$N:$N,Category!BK$1,'2023'!$D:$D,Category!$C313)</f>
        <v>0</v>
      </c>
      <c r="BL313" s="234">
        <f>SUMIFS('2023'!$I:$I,'2023'!$E:$E,Category!$B$278,'2023'!$N:$N,Category!BL$1,'2023'!$D:$D,Category!$C313)</f>
        <v>0</v>
      </c>
      <c r="BM313" s="234">
        <f>SUMIFS('2023'!$I:$I,'2023'!$E:$E,Category!$B$278,'2023'!$N:$N,Category!BM$1,'2023'!$D:$D,Category!$C313)</f>
        <v>0</v>
      </c>
      <c r="BN313" s="250">
        <f t="shared" si="114"/>
        <v>0</v>
      </c>
    </row>
    <row r="314" spans="1:66" ht="21" hidden="1" customHeight="1" x14ac:dyDescent="0.3">
      <c r="A314" s="249"/>
      <c r="B314" s="235"/>
      <c r="C314" s="235"/>
      <c r="D314" s="527">
        <f>IFERROR(VLOOKUP($C314,'2019'!$D:$G,4,0),0)</f>
        <v>0</v>
      </c>
      <c r="E314" s="234">
        <f>SUMIFS('2019'!$I:$I,'2019'!$E:$E,Category!$B$278,'2019'!$N:$N,Category!E$1,'2019'!$D:$D,Category!$C314)</f>
        <v>0</v>
      </c>
      <c r="F314" s="234">
        <f>SUMIFS('2019'!$I:$I,'2019'!$E:$E,Category!$B$278,'2019'!$N:$N,Category!F$1,'2019'!$D:$D,Category!$C314)</f>
        <v>0</v>
      </c>
      <c r="G314" s="234">
        <f>SUMIFS('2019'!$I:$I,'2019'!$E:$E,Category!$B$278,'2019'!$N:$N,Category!G$1,'2019'!$D:$D,Category!$C314)</f>
        <v>0</v>
      </c>
      <c r="H314" s="234">
        <f>SUMIFS('2019'!$I:$I,'2019'!$E:$E,Category!$B$278,'2019'!$N:$N,Category!H$1,'2019'!$D:$D,Category!$C314)</f>
        <v>0</v>
      </c>
      <c r="I314" s="234">
        <f>SUMIFS('2019'!$I:$I,'2019'!$E:$E,Category!$B$278,'2019'!$N:$N,Category!I$1,'2019'!$D:$D,Category!$C314)</f>
        <v>0</v>
      </c>
      <c r="J314" s="234">
        <f t="shared" si="116"/>
        <v>0</v>
      </c>
      <c r="K314" s="507">
        <f>IFERROR(VLOOKUP($C314,'2020'!$D:$G,4,0),0)</f>
        <v>0</v>
      </c>
      <c r="L314" s="234">
        <f>SUMIFS('2020'!$I:$I,'2020'!$E:$E,Category!$B$278,'2020'!$N:$N,Category!L$1,'2020'!$D:$D,Category!$C314)</f>
        <v>0</v>
      </c>
      <c r="M314" s="234">
        <f>SUMIFS('2020'!$I:$I,'2020'!$E:$E,Category!$B$278,'2020'!$N:$N,Category!M$1,'2020'!$D:$D,Category!$C314)</f>
        <v>0</v>
      </c>
      <c r="N314" s="234">
        <f>SUMIFS('2020'!$I:$I,'2020'!$E:$E,Category!$B$278,'2020'!$N:$N,Category!N$1,'2020'!$D:$D,Category!$C314)</f>
        <v>0</v>
      </c>
      <c r="O314" s="234">
        <f>SUMIFS('2020'!$I:$I,'2020'!$E:$E,Category!$B$278,'2020'!$N:$N,Category!O$1,'2020'!$D:$D,Category!$C314)</f>
        <v>0</v>
      </c>
      <c r="P314" s="234">
        <f>SUMIFS('2020'!$I:$I,'2020'!$E:$E,Category!$B$278,'2020'!$N:$N,Category!P$1,'2020'!$D:$D,Category!$C314)</f>
        <v>0</v>
      </c>
      <c r="Q314" s="234">
        <f>SUMIFS('2020'!$I:$I,'2020'!$E:$E,Category!$B$278,'2020'!$N:$N,Category!Q$1,'2020'!$D:$D,Category!$C314)</f>
        <v>0</v>
      </c>
      <c r="R314" s="234">
        <f>SUMIFS('2020'!$I:$I,'2020'!$E:$E,Category!$B$278,'2020'!$N:$N,Category!R$1,'2020'!$D:$D,Category!$C314)</f>
        <v>0</v>
      </c>
      <c r="S314" s="234">
        <f>SUMIFS('2020'!$I:$I,'2020'!$E:$E,Category!$B$278,'2020'!$N:$N,Category!S$1,'2020'!$D:$D,Category!$C314)</f>
        <v>0</v>
      </c>
      <c r="T314" s="234">
        <f>SUMIFS('2020'!$I:$I,'2020'!$E:$E,Category!$B$278,'2020'!$N:$N,Category!T$1,'2020'!$D:$D,Category!$C314)</f>
        <v>0</v>
      </c>
      <c r="U314" s="234">
        <f>SUMIFS('2020'!$I:$I,'2020'!$E:$E,Category!$B$278,'2020'!$N:$N,Category!U$1,'2020'!$D:$D,Category!$C314)</f>
        <v>0</v>
      </c>
      <c r="V314" s="234">
        <f>SUMIFS('2020'!$I:$I,'2020'!$E:$E,Category!$B$278,'2020'!$N:$N,Category!V$1,'2020'!$D:$D,Category!$C314)</f>
        <v>0</v>
      </c>
      <c r="W314" s="234">
        <f>SUMIFS('2020'!$I:$I,'2020'!$E:$E,Category!$B$278,'2020'!$N:$N,Category!W$1,'2020'!$D:$D,Category!$C314)</f>
        <v>0</v>
      </c>
      <c r="X314" s="234">
        <f t="shared" si="117"/>
        <v>0</v>
      </c>
      <c r="Y314" s="507">
        <f>IFERROR(VLOOKUP(C314,'2021'!$D:$G,4,0),0)</f>
        <v>0</v>
      </c>
      <c r="Z314" s="234">
        <f>SUMIFS('2021'!$I:$I,'2021'!$E:$E,Category!$B$278,'2021'!$N:$N,Category!Z$1,'2021'!$D:$D,Category!$C314)</f>
        <v>0</v>
      </c>
      <c r="AA314" s="234">
        <f>SUMIFS('2021'!$I:$I,'2021'!$E:$E,Category!$B$278,'2021'!$N:$N,Category!AA$1,'2021'!$D:$D,Category!$C314)</f>
        <v>0</v>
      </c>
      <c r="AB314" s="234">
        <f>SUMIFS('2021'!$I:$I,'2021'!$E:$E,Category!$B$278,'2021'!$N:$N,Category!AB$1,'2021'!$D:$D,Category!$C314)</f>
        <v>0</v>
      </c>
      <c r="AC314" s="234">
        <f>SUMIFS('2021'!$I:$I,'2021'!$E:$E,Category!$B$278,'2021'!$N:$N,Category!AC$1,'2021'!$D:$D,Category!$C314)</f>
        <v>0</v>
      </c>
      <c r="AD314" s="234">
        <f>SUMIFS('2021'!$I:$I,'2021'!$E:$E,Category!$B$278,'2021'!$N:$N,Category!AD$1,'2021'!$D:$D,Category!$C314)</f>
        <v>0</v>
      </c>
      <c r="AE314" s="234">
        <f>SUMIFS('2021'!$I:$I,'2021'!$E:$E,Category!$B$278,'2021'!$N:$N,Category!AE$1,'2021'!$D:$D,Category!$C314)</f>
        <v>0</v>
      </c>
      <c r="AF314" s="234">
        <f>SUMIFS('2021'!$I:$I,'2021'!$E:$E,Category!$B$278,'2021'!$N:$N,Category!AF$1,'2021'!$D:$D,Category!$C314)</f>
        <v>0</v>
      </c>
      <c r="AG314" s="234">
        <f>SUMIFS('2021'!$I:$I,'2021'!$E:$E,Category!$B$278,'2021'!$N:$N,Category!AG$1,'2021'!$D:$D,Category!$C314)</f>
        <v>0</v>
      </c>
      <c r="AH314" s="234">
        <f>SUMIFS('2021'!$I:$I,'2021'!$E:$E,Category!$B$278,'2021'!$N:$N,Category!AH$1,'2021'!$D:$D,Category!$C314)</f>
        <v>0</v>
      </c>
      <c r="AI314" s="234">
        <f>SUMIFS('2021'!$I:$I,'2021'!$E:$E,Category!$B$278,'2021'!$N:$N,Category!AI$1,'2021'!$D:$D,Category!$C314)</f>
        <v>0</v>
      </c>
      <c r="AJ314" s="234">
        <f>SUMIFS('2021'!$I:$I,'2021'!$E:$E,Category!$B$278,'2021'!$N:$N,Category!AJ$1,'2021'!$D:$D,Category!$C314)</f>
        <v>0</v>
      </c>
      <c r="AK314" s="234">
        <f>SUMIFS('2021'!$I:$I,'2021'!$E:$E,Category!$B$278,'2021'!$N:$N,Category!AK$1,'2021'!$D:$D,Category!$C314)</f>
        <v>0</v>
      </c>
      <c r="AL314" s="250">
        <f t="shared" si="118"/>
        <v>0</v>
      </c>
      <c r="AM314" s="507">
        <f>IFERROR(VLOOKUP(C314,'2022'!$D:$G,4,0),0)</f>
        <v>0</v>
      </c>
      <c r="AN314" s="234">
        <f>SUMIFS('2022'!$I:$I,'2022'!$E:$E,Category!$B$278,'2022'!$N:$N,Category!AN$1,'2022'!$D:$D,Category!$C314)</f>
        <v>0</v>
      </c>
      <c r="AO314" s="234">
        <f>SUMIFS('2022'!$I:$I,'2022'!$E:$E,Category!$B$278,'2022'!$N:$N,Category!AO$1,'2022'!$D:$D,Category!$C314)</f>
        <v>0</v>
      </c>
      <c r="AP314" s="234">
        <f>SUMIFS('2022'!$I:$I,'2022'!$E:$E,Category!$B$278,'2022'!$N:$N,Category!AP$1,'2022'!$D:$D,Category!$C314)</f>
        <v>0</v>
      </c>
      <c r="AQ314" s="234">
        <f>SUMIFS('2022'!$I:$I,'2022'!$E:$E,Category!$B$278,'2022'!$N:$N,Category!AQ$1,'2022'!$D:$D,Category!$C314)</f>
        <v>0</v>
      </c>
      <c r="AR314" s="234">
        <f>SUMIFS('2022'!$I:$I,'2022'!$E:$E,Category!$B$278,'2022'!$N:$N,Category!AR$1,'2022'!$D:$D,Category!$C314)</f>
        <v>0</v>
      </c>
      <c r="AS314" s="234">
        <f>SUMIFS('2022'!$I:$I,'2022'!$E:$E,Category!$B$278,'2022'!$N:$N,Category!AS$1,'2022'!$D:$D,Category!$C314)</f>
        <v>0</v>
      </c>
      <c r="AT314" s="234">
        <f>SUMIFS('2022'!$I:$I,'2022'!$E:$E,Category!$B$278,'2022'!$N:$N,Category!AT$1,'2022'!$D:$D,Category!$C314)</f>
        <v>0</v>
      </c>
      <c r="AU314" s="234">
        <f>SUMIFS('2022'!$I:$I,'2022'!$E:$E,Category!$B$278,'2022'!$N:$N,Category!AU$1,'2022'!$D:$D,Category!$C314)</f>
        <v>0</v>
      </c>
      <c r="AV314" s="234">
        <f>SUMIFS('2022'!$I:$I,'2022'!$E:$E,Category!$B$278,'2022'!$N:$N,Category!AV$1,'2022'!$D:$D,Category!$C314)</f>
        <v>0</v>
      </c>
      <c r="AW314" s="234">
        <f>SUMIFS('2022'!$I:$I,'2022'!$E:$E,Category!$B$278,'2022'!$N:$N,Category!AW$1,'2022'!$D:$D,Category!$C314)</f>
        <v>0</v>
      </c>
      <c r="AX314" s="234">
        <f>SUMIFS('2022'!$I:$I,'2022'!$E:$E,Category!$B$278,'2022'!$N:$N,Category!AX$1,'2022'!$D:$D,Category!$C314)</f>
        <v>0</v>
      </c>
      <c r="AY314" s="234">
        <f>SUMIFS('2022'!$I:$I,'2022'!$E:$E,Category!$B$278,'2022'!$N:$N,Category!AY$1,'2022'!$D:$D,Category!$C314)</f>
        <v>0</v>
      </c>
      <c r="AZ314" s="250">
        <f t="shared" si="119"/>
        <v>0</v>
      </c>
      <c r="BA314" s="507">
        <f>IFERROR(VLOOKUP(C314,'2023'!$D:$G,4,0),0)</f>
        <v>0</v>
      </c>
      <c r="BB314" s="234">
        <f>SUMIFS('2023'!$I:$I,'2023'!$E:$E,Category!$B$278,'2023'!$N:$N,Category!BB$1,'2023'!$D:$D,Category!$C314)</f>
        <v>0</v>
      </c>
      <c r="BC314" s="234">
        <f>SUMIFS('2023'!$I:$I,'2023'!$E:$E,Category!$B$278,'2023'!$N:$N,Category!BC$1,'2023'!$D:$D,Category!$C314)</f>
        <v>0</v>
      </c>
      <c r="BD314" s="234">
        <f>SUMIFS('2023'!$I:$I,'2023'!$E:$E,Category!$B$278,'2023'!$N:$N,Category!BD$1,'2023'!$D:$D,Category!$C314)</f>
        <v>0</v>
      </c>
      <c r="BE314" s="234">
        <f>SUMIFS('2023'!$I:$I,'2023'!$E:$E,Category!$B$278,'2023'!$N:$N,Category!BE$1,'2023'!$D:$D,Category!$C314)</f>
        <v>0</v>
      </c>
      <c r="BF314" s="234">
        <f>SUMIFS('2023'!$I:$I,'2023'!$E:$E,Category!$B$278,'2023'!$N:$N,Category!BF$1,'2023'!$D:$D,Category!$C314)</f>
        <v>0</v>
      </c>
      <c r="BG314" s="234">
        <f>SUMIFS('2023'!$I:$I,'2023'!$E:$E,Category!$B$278,'2023'!$N:$N,Category!BG$1,'2023'!$D:$D,Category!$C314)</f>
        <v>0</v>
      </c>
      <c r="BH314" s="234">
        <f>SUMIFS('2023'!$I:$I,'2023'!$E:$E,Category!$B$278,'2023'!$N:$N,Category!BH$1,'2023'!$D:$D,Category!$C314)</f>
        <v>0</v>
      </c>
      <c r="BI314" s="234">
        <f>SUMIFS('2023'!$I:$I,'2023'!$E:$E,Category!$B$278,'2023'!$N:$N,Category!BI$1,'2023'!$D:$D,Category!$C314)</f>
        <v>0</v>
      </c>
      <c r="BJ314" s="234">
        <f>SUMIFS('2023'!$I:$I,'2023'!$E:$E,Category!$B$278,'2023'!$N:$N,Category!BJ$1,'2023'!$D:$D,Category!$C314)</f>
        <v>0</v>
      </c>
      <c r="BK314" s="234">
        <f>SUMIFS('2023'!$I:$I,'2023'!$E:$E,Category!$B$278,'2023'!$N:$N,Category!BK$1,'2023'!$D:$D,Category!$C314)</f>
        <v>0</v>
      </c>
      <c r="BL314" s="234">
        <f>SUMIFS('2023'!$I:$I,'2023'!$E:$E,Category!$B$278,'2023'!$N:$N,Category!BL$1,'2023'!$D:$D,Category!$C314)</f>
        <v>0</v>
      </c>
      <c r="BM314" s="234">
        <f>SUMIFS('2023'!$I:$I,'2023'!$E:$E,Category!$B$278,'2023'!$N:$N,Category!BM$1,'2023'!$D:$D,Category!$C314)</f>
        <v>0</v>
      </c>
      <c r="BN314" s="250">
        <f t="shared" si="114"/>
        <v>0</v>
      </c>
    </row>
    <row r="315" spans="1:66" ht="21" hidden="1" customHeight="1" x14ac:dyDescent="0.3">
      <c r="A315" s="249"/>
      <c r="B315" s="235"/>
      <c r="C315" s="235"/>
      <c r="D315" s="527">
        <f>IFERROR(VLOOKUP($C315,'2019'!$D:$G,4,0),0)</f>
        <v>0</v>
      </c>
      <c r="E315" s="234">
        <f>SUMIFS('2019'!$I:$I,'2019'!$E:$E,Category!$B$278,'2019'!$N:$N,Category!E$1,'2019'!$D:$D,Category!$C315)</f>
        <v>0</v>
      </c>
      <c r="F315" s="234">
        <f>SUMIFS('2019'!$I:$I,'2019'!$E:$E,Category!$B$278,'2019'!$N:$N,Category!F$1,'2019'!$D:$D,Category!$C315)</f>
        <v>0</v>
      </c>
      <c r="G315" s="234">
        <f>SUMIFS('2019'!$I:$I,'2019'!$E:$E,Category!$B$278,'2019'!$N:$N,Category!G$1,'2019'!$D:$D,Category!$C315)</f>
        <v>0</v>
      </c>
      <c r="H315" s="234">
        <f>SUMIFS('2019'!$I:$I,'2019'!$E:$E,Category!$B$278,'2019'!$N:$N,Category!H$1,'2019'!$D:$D,Category!$C315)</f>
        <v>0</v>
      </c>
      <c r="I315" s="234">
        <f>SUMIFS('2019'!$I:$I,'2019'!$E:$E,Category!$B$278,'2019'!$N:$N,Category!I$1,'2019'!$D:$D,Category!$C315)</f>
        <v>0</v>
      </c>
      <c r="J315" s="234">
        <f t="shared" si="116"/>
        <v>0</v>
      </c>
      <c r="K315" s="507">
        <f>IFERROR(VLOOKUP($C315,'2020'!$D:$G,4,0),0)</f>
        <v>0</v>
      </c>
      <c r="L315" s="234">
        <f>SUMIFS('2020'!$I:$I,'2020'!$E:$E,Category!$B$278,'2020'!$N:$N,Category!L$1,'2020'!$D:$D,Category!$C315)</f>
        <v>0</v>
      </c>
      <c r="M315" s="234">
        <f>SUMIFS('2020'!$I:$I,'2020'!$E:$E,Category!$B$278,'2020'!$N:$N,Category!M$1,'2020'!$D:$D,Category!$C315)</f>
        <v>0</v>
      </c>
      <c r="N315" s="234">
        <f>SUMIFS('2020'!$I:$I,'2020'!$E:$E,Category!$B$278,'2020'!$N:$N,Category!N$1,'2020'!$D:$D,Category!$C315)</f>
        <v>0</v>
      </c>
      <c r="O315" s="234">
        <f>SUMIFS('2020'!$I:$I,'2020'!$E:$E,Category!$B$278,'2020'!$N:$N,Category!O$1,'2020'!$D:$D,Category!$C315)</f>
        <v>0</v>
      </c>
      <c r="P315" s="234">
        <f>SUMIFS('2020'!$I:$I,'2020'!$E:$E,Category!$B$278,'2020'!$N:$N,Category!P$1,'2020'!$D:$D,Category!$C315)</f>
        <v>0</v>
      </c>
      <c r="Q315" s="234">
        <f>SUMIFS('2020'!$I:$I,'2020'!$E:$E,Category!$B$278,'2020'!$N:$N,Category!Q$1,'2020'!$D:$D,Category!$C315)</f>
        <v>0</v>
      </c>
      <c r="R315" s="234">
        <f>SUMIFS('2020'!$I:$I,'2020'!$E:$E,Category!$B$278,'2020'!$N:$N,Category!R$1,'2020'!$D:$D,Category!$C315)</f>
        <v>0</v>
      </c>
      <c r="S315" s="234">
        <f>SUMIFS('2020'!$I:$I,'2020'!$E:$E,Category!$B$278,'2020'!$N:$N,Category!S$1,'2020'!$D:$D,Category!$C315)</f>
        <v>0</v>
      </c>
      <c r="T315" s="234">
        <f>SUMIFS('2020'!$I:$I,'2020'!$E:$E,Category!$B$278,'2020'!$N:$N,Category!T$1,'2020'!$D:$D,Category!$C315)</f>
        <v>0</v>
      </c>
      <c r="U315" s="234">
        <f>SUMIFS('2020'!$I:$I,'2020'!$E:$E,Category!$B$278,'2020'!$N:$N,Category!U$1,'2020'!$D:$D,Category!$C315)</f>
        <v>0</v>
      </c>
      <c r="V315" s="234">
        <f>SUMIFS('2020'!$I:$I,'2020'!$E:$E,Category!$B$278,'2020'!$N:$N,Category!V$1,'2020'!$D:$D,Category!$C315)</f>
        <v>0</v>
      </c>
      <c r="W315" s="234">
        <f>SUMIFS('2020'!$I:$I,'2020'!$E:$E,Category!$B$278,'2020'!$N:$N,Category!W$1,'2020'!$D:$D,Category!$C315)</f>
        <v>0</v>
      </c>
      <c r="X315" s="234">
        <f t="shared" si="117"/>
        <v>0</v>
      </c>
      <c r="Y315" s="507">
        <f>IFERROR(VLOOKUP(C315,'2021'!$D:$G,4,0),0)</f>
        <v>0</v>
      </c>
      <c r="Z315" s="234">
        <f>SUMIFS('2021'!$I:$I,'2021'!$E:$E,Category!$B$278,'2021'!$N:$N,Category!Z$1,'2021'!$D:$D,Category!$C315)</f>
        <v>0</v>
      </c>
      <c r="AA315" s="234">
        <f>SUMIFS('2021'!$I:$I,'2021'!$E:$E,Category!$B$278,'2021'!$N:$N,Category!AA$1,'2021'!$D:$D,Category!$C315)</f>
        <v>0</v>
      </c>
      <c r="AB315" s="234">
        <f>SUMIFS('2021'!$I:$I,'2021'!$E:$E,Category!$B$278,'2021'!$N:$N,Category!AB$1,'2021'!$D:$D,Category!$C315)</f>
        <v>0</v>
      </c>
      <c r="AC315" s="234">
        <f>SUMIFS('2021'!$I:$I,'2021'!$E:$E,Category!$B$278,'2021'!$N:$N,Category!AC$1,'2021'!$D:$D,Category!$C315)</f>
        <v>0</v>
      </c>
      <c r="AD315" s="234">
        <f>SUMIFS('2021'!$I:$I,'2021'!$E:$E,Category!$B$278,'2021'!$N:$N,Category!AD$1,'2021'!$D:$D,Category!$C315)</f>
        <v>0</v>
      </c>
      <c r="AE315" s="234">
        <f>SUMIFS('2021'!$I:$I,'2021'!$E:$E,Category!$B$278,'2021'!$N:$N,Category!AE$1,'2021'!$D:$D,Category!$C315)</f>
        <v>0</v>
      </c>
      <c r="AF315" s="234">
        <f>SUMIFS('2021'!$I:$I,'2021'!$E:$E,Category!$B$278,'2021'!$N:$N,Category!AF$1,'2021'!$D:$D,Category!$C315)</f>
        <v>0</v>
      </c>
      <c r="AG315" s="234">
        <f>SUMIFS('2021'!$I:$I,'2021'!$E:$E,Category!$B$278,'2021'!$N:$N,Category!AG$1,'2021'!$D:$D,Category!$C315)</f>
        <v>0</v>
      </c>
      <c r="AH315" s="234">
        <f>SUMIFS('2021'!$I:$I,'2021'!$E:$E,Category!$B$278,'2021'!$N:$N,Category!AH$1,'2021'!$D:$D,Category!$C315)</f>
        <v>0</v>
      </c>
      <c r="AI315" s="234">
        <f>SUMIFS('2021'!$I:$I,'2021'!$E:$E,Category!$B$278,'2021'!$N:$N,Category!AI$1,'2021'!$D:$D,Category!$C315)</f>
        <v>0</v>
      </c>
      <c r="AJ315" s="234">
        <f>SUMIFS('2021'!$I:$I,'2021'!$E:$E,Category!$B$278,'2021'!$N:$N,Category!AJ$1,'2021'!$D:$D,Category!$C315)</f>
        <v>0</v>
      </c>
      <c r="AK315" s="234">
        <f>SUMIFS('2021'!$I:$I,'2021'!$E:$E,Category!$B$278,'2021'!$N:$N,Category!AK$1,'2021'!$D:$D,Category!$C315)</f>
        <v>0</v>
      </c>
      <c r="AL315" s="250">
        <f t="shared" si="118"/>
        <v>0</v>
      </c>
      <c r="AM315" s="507">
        <f>IFERROR(VLOOKUP(C315,'2022'!$D:$G,4,0),0)</f>
        <v>0</v>
      </c>
      <c r="AN315" s="234">
        <f>SUMIFS('2022'!$I:$I,'2022'!$E:$E,Category!$B$278,'2022'!$N:$N,Category!AN$1,'2022'!$D:$D,Category!$C315)</f>
        <v>0</v>
      </c>
      <c r="AO315" s="234">
        <f>SUMIFS('2022'!$I:$I,'2022'!$E:$E,Category!$B$278,'2022'!$N:$N,Category!AO$1,'2022'!$D:$D,Category!$C315)</f>
        <v>0</v>
      </c>
      <c r="AP315" s="234">
        <f>SUMIFS('2022'!$I:$I,'2022'!$E:$E,Category!$B$278,'2022'!$N:$N,Category!AP$1,'2022'!$D:$D,Category!$C315)</f>
        <v>0</v>
      </c>
      <c r="AQ315" s="234">
        <f>SUMIFS('2022'!$I:$I,'2022'!$E:$E,Category!$B$278,'2022'!$N:$N,Category!AQ$1,'2022'!$D:$D,Category!$C315)</f>
        <v>0</v>
      </c>
      <c r="AR315" s="234">
        <f>SUMIFS('2022'!$I:$I,'2022'!$E:$E,Category!$B$278,'2022'!$N:$N,Category!AR$1,'2022'!$D:$D,Category!$C315)</f>
        <v>0</v>
      </c>
      <c r="AS315" s="234">
        <f>SUMIFS('2022'!$I:$I,'2022'!$E:$E,Category!$B$278,'2022'!$N:$N,Category!AS$1,'2022'!$D:$D,Category!$C315)</f>
        <v>0</v>
      </c>
      <c r="AT315" s="234">
        <f>SUMIFS('2022'!$I:$I,'2022'!$E:$E,Category!$B$278,'2022'!$N:$N,Category!AT$1,'2022'!$D:$D,Category!$C315)</f>
        <v>0</v>
      </c>
      <c r="AU315" s="234">
        <f>SUMIFS('2022'!$I:$I,'2022'!$E:$E,Category!$B$278,'2022'!$N:$N,Category!AU$1,'2022'!$D:$D,Category!$C315)</f>
        <v>0</v>
      </c>
      <c r="AV315" s="234">
        <f>SUMIFS('2022'!$I:$I,'2022'!$E:$E,Category!$B$278,'2022'!$N:$N,Category!AV$1,'2022'!$D:$D,Category!$C315)</f>
        <v>0</v>
      </c>
      <c r="AW315" s="234">
        <f>SUMIFS('2022'!$I:$I,'2022'!$E:$E,Category!$B$278,'2022'!$N:$N,Category!AW$1,'2022'!$D:$D,Category!$C315)</f>
        <v>0</v>
      </c>
      <c r="AX315" s="234">
        <f>SUMIFS('2022'!$I:$I,'2022'!$E:$E,Category!$B$278,'2022'!$N:$N,Category!AX$1,'2022'!$D:$D,Category!$C315)</f>
        <v>0</v>
      </c>
      <c r="AY315" s="234">
        <f>SUMIFS('2022'!$I:$I,'2022'!$E:$E,Category!$B$278,'2022'!$N:$N,Category!AY$1,'2022'!$D:$D,Category!$C315)</f>
        <v>0</v>
      </c>
      <c r="AZ315" s="250">
        <f t="shared" si="119"/>
        <v>0</v>
      </c>
      <c r="BA315" s="507">
        <f>IFERROR(VLOOKUP(C315,'2023'!$D:$G,4,0),0)</f>
        <v>0</v>
      </c>
      <c r="BB315" s="234">
        <f>SUMIFS('2023'!$I:$I,'2023'!$E:$E,Category!$B$278,'2023'!$N:$N,Category!BB$1,'2023'!$D:$D,Category!$C315)</f>
        <v>0</v>
      </c>
      <c r="BC315" s="234">
        <f>SUMIFS('2023'!$I:$I,'2023'!$E:$E,Category!$B$278,'2023'!$N:$N,Category!BC$1,'2023'!$D:$D,Category!$C315)</f>
        <v>0</v>
      </c>
      <c r="BD315" s="234">
        <f>SUMIFS('2023'!$I:$I,'2023'!$E:$E,Category!$B$278,'2023'!$N:$N,Category!BD$1,'2023'!$D:$D,Category!$C315)</f>
        <v>0</v>
      </c>
      <c r="BE315" s="234">
        <f>SUMIFS('2023'!$I:$I,'2023'!$E:$E,Category!$B$278,'2023'!$N:$N,Category!BE$1,'2023'!$D:$D,Category!$C315)</f>
        <v>0</v>
      </c>
      <c r="BF315" s="234">
        <f>SUMIFS('2023'!$I:$I,'2023'!$E:$E,Category!$B$278,'2023'!$N:$N,Category!BF$1,'2023'!$D:$D,Category!$C315)</f>
        <v>0</v>
      </c>
      <c r="BG315" s="234">
        <f>SUMIFS('2023'!$I:$I,'2023'!$E:$E,Category!$B$278,'2023'!$N:$N,Category!BG$1,'2023'!$D:$D,Category!$C315)</f>
        <v>0</v>
      </c>
      <c r="BH315" s="234">
        <f>SUMIFS('2023'!$I:$I,'2023'!$E:$E,Category!$B$278,'2023'!$N:$N,Category!BH$1,'2023'!$D:$D,Category!$C315)</f>
        <v>0</v>
      </c>
      <c r="BI315" s="234">
        <f>SUMIFS('2023'!$I:$I,'2023'!$E:$E,Category!$B$278,'2023'!$N:$N,Category!BI$1,'2023'!$D:$D,Category!$C315)</f>
        <v>0</v>
      </c>
      <c r="BJ315" s="234">
        <f>SUMIFS('2023'!$I:$I,'2023'!$E:$E,Category!$B$278,'2023'!$N:$N,Category!BJ$1,'2023'!$D:$D,Category!$C315)</f>
        <v>0</v>
      </c>
      <c r="BK315" s="234">
        <f>SUMIFS('2023'!$I:$I,'2023'!$E:$E,Category!$B$278,'2023'!$N:$N,Category!BK$1,'2023'!$D:$D,Category!$C315)</f>
        <v>0</v>
      </c>
      <c r="BL315" s="234">
        <f>SUMIFS('2023'!$I:$I,'2023'!$E:$E,Category!$B$278,'2023'!$N:$N,Category!BL$1,'2023'!$D:$D,Category!$C315)</f>
        <v>0</v>
      </c>
      <c r="BM315" s="234">
        <f>SUMIFS('2023'!$I:$I,'2023'!$E:$E,Category!$B$278,'2023'!$N:$N,Category!BM$1,'2023'!$D:$D,Category!$C315)</f>
        <v>0</v>
      </c>
      <c r="BN315" s="250">
        <f t="shared" si="114"/>
        <v>0</v>
      </c>
    </row>
    <row r="316" spans="1:66" ht="21" hidden="1" customHeight="1" x14ac:dyDescent="0.3">
      <c r="A316" s="249"/>
      <c r="B316" s="235"/>
      <c r="C316" s="235"/>
      <c r="D316" s="527">
        <f>IFERROR(VLOOKUP($C316,'2019'!$D:$G,4,0),0)</f>
        <v>0</v>
      </c>
      <c r="E316" s="234">
        <f>SUMIFS('2019'!$I:$I,'2019'!$E:$E,Category!$B$278,'2019'!$N:$N,Category!E$1,'2019'!$D:$D,Category!$C316)</f>
        <v>0</v>
      </c>
      <c r="F316" s="234">
        <f>SUMIFS('2019'!$I:$I,'2019'!$E:$E,Category!$B$278,'2019'!$N:$N,Category!F$1,'2019'!$D:$D,Category!$C316)</f>
        <v>0</v>
      </c>
      <c r="G316" s="234">
        <f>SUMIFS('2019'!$I:$I,'2019'!$E:$E,Category!$B$278,'2019'!$N:$N,Category!G$1,'2019'!$D:$D,Category!$C316)</f>
        <v>0</v>
      </c>
      <c r="H316" s="234">
        <f>SUMIFS('2019'!$I:$I,'2019'!$E:$E,Category!$B$278,'2019'!$N:$N,Category!H$1,'2019'!$D:$D,Category!$C316)</f>
        <v>0</v>
      </c>
      <c r="I316" s="234">
        <f>SUMIFS('2019'!$I:$I,'2019'!$E:$E,Category!$B$278,'2019'!$N:$N,Category!I$1,'2019'!$D:$D,Category!$C316)</f>
        <v>0</v>
      </c>
      <c r="J316" s="234">
        <f t="shared" si="116"/>
        <v>0</v>
      </c>
      <c r="K316" s="507">
        <f>IFERROR(VLOOKUP($C316,'2020'!$D:$G,4,0),0)</f>
        <v>0</v>
      </c>
      <c r="L316" s="234">
        <f>SUMIFS('2020'!$I:$I,'2020'!$E:$E,Category!$B$278,'2020'!$N:$N,Category!L$1,'2020'!$D:$D,Category!$C316)</f>
        <v>0</v>
      </c>
      <c r="M316" s="234">
        <f>SUMIFS('2020'!$I:$I,'2020'!$E:$E,Category!$B$278,'2020'!$N:$N,Category!M$1,'2020'!$D:$D,Category!$C316)</f>
        <v>0</v>
      </c>
      <c r="N316" s="234">
        <f>SUMIFS('2020'!$I:$I,'2020'!$E:$E,Category!$B$278,'2020'!$N:$N,Category!N$1,'2020'!$D:$D,Category!$C316)</f>
        <v>0</v>
      </c>
      <c r="O316" s="234">
        <f>SUMIFS('2020'!$I:$I,'2020'!$E:$E,Category!$B$278,'2020'!$N:$N,Category!O$1,'2020'!$D:$D,Category!$C316)</f>
        <v>0</v>
      </c>
      <c r="P316" s="234">
        <f>SUMIFS('2020'!$I:$I,'2020'!$E:$E,Category!$B$278,'2020'!$N:$N,Category!P$1,'2020'!$D:$D,Category!$C316)</f>
        <v>0</v>
      </c>
      <c r="Q316" s="234">
        <f>SUMIFS('2020'!$I:$I,'2020'!$E:$E,Category!$B$278,'2020'!$N:$N,Category!Q$1,'2020'!$D:$D,Category!$C316)</f>
        <v>0</v>
      </c>
      <c r="R316" s="234">
        <f>SUMIFS('2020'!$I:$I,'2020'!$E:$E,Category!$B$278,'2020'!$N:$N,Category!R$1,'2020'!$D:$D,Category!$C316)</f>
        <v>0</v>
      </c>
      <c r="S316" s="234">
        <f>SUMIFS('2020'!$I:$I,'2020'!$E:$E,Category!$B$278,'2020'!$N:$N,Category!S$1,'2020'!$D:$D,Category!$C316)</f>
        <v>0</v>
      </c>
      <c r="T316" s="234">
        <f>SUMIFS('2020'!$I:$I,'2020'!$E:$E,Category!$B$278,'2020'!$N:$N,Category!T$1,'2020'!$D:$D,Category!$C316)</f>
        <v>0</v>
      </c>
      <c r="U316" s="234">
        <f>SUMIFS('2020'!$I:$I,'2020'!$E:$E,Category!$B$278,'2020'!$N:$N,Category!U$1,'2020'!$D:$D,Category!$C316)</f>
        <v>0</v>
      </c>
      <c r="V316" s="234">
        <f>SUMIFS('2020'!$I:$I,'2020'!$E:$E,Category!$B$278,'2020'!$N:$N,Category!V$1,'2020'!$D:$D,Category!$C316)</f>
        <v>0</v>
      </c>
      <c r="W316" s="234">
        <f>SUMIFS('2020'!$I:$I,'2020'!$E:$E,Category!$B$278,'2020'!$N:$N,Category!W$1,'2020'!$D:$D,Category!$C316)</f>
        <v>0</v>
      </c>
      <c r="X316" s="234">
        <f t="shared" si="117"/>
        <v>0</v>
      </c>
      <c r="Y316" s="507">
        <f>IFERROR(VLOOKUP(C316,'2021'!$D:$G,4,0),0)</f>
        <v>0</v>
      </c>
      <c r="Z316" s="234">
        <f>SUMIFS('2021'!$I:$I,'2021'!$E:$E,Category!$B$278,'2021'!$N:$N,Category!Z$1,'2021'!$D:$D,Category!$C316)</f>
        <v>0</v>
      </c>
      <c r="AA316" s="234">
        <f>SUMIFS('2021'!$I:$I,'2021'!$E:$E,Category!$B$278,'2021'!$N:$N,Category!AA$1,'2021'!$D:$D,Category!$C316)</f>
        <v>0</v>
      </c>
      <c r="AB316" s="234">
        <f>SUMIFS('2021'!$I:$I,'2021'!$E:$E,Category!$B$278,'2021'!$N:$N,Category!AB$1,'2021'!$D:$D,Category!$C316)</f>
        <v>0</v>
      </c>
      <c r="AC316" s="234">
        <f>SUMIFS('2021'!$I:$I,'2021'!$E:$E,Category!$B$278,'2021'!$N:$N,Category!AC$1,'2021'!$D:$D,Category!$C316)</f>
        <v>0</v>
      </c>
      <c r="AD316" s="234">
        <f>SUMIFS('2021'!$I:$I,'2021'!$E:$E,Category!$B$278,'2021'!$N:$N,Category!AD$1,'2021'!$D:$D,Category!$C316)</f>
        <v>0</v>
      </c>
      <c r="AE316" s="234">
        <f>SUMIFS('2021'!$I:$I,'2021'!$E:$E,Category!$B$278,'2021'!$N:$N,Category!AE$1,'2021'!$D:$D,Category!$C316)</f>
        <v>0</v>
      </c>
      <c r="AF316" s="234">
        <f>SUMIFS('2021'!$I:$I,'2021'!$E:$E,Category!$B$278,'2021'!$N:$N,Category!AF$1,'2021'!$D:$D,Category!$C316)</f>
        <v>0</v>
      </c>
      <c r="AG316" s="234">
        <f>SUMIFS('2021'!$I:$I,'2021'!$E:$E,Category!$B$278,'2021'!$N:$N,Category!AG$1,'2021'!$D:$D,Category!$C316)</f>
        <v>0</v>
      </c>
      <c r="AH316" s="234">
        <f>SUMIFS('2021'!$I:$I,'2021'!$E:$E,Category!$B$278,'2021'!$N:$N,Category!AH$1,'2021'!$D:$D,Category!$C316)</f>
        <v>0</v>
      </c>
      <c r="AI316" s="234">
        <f>SUMIFS('2021'!$I:$I,'2021'!$E:$E,Category!$B$278,'2021'!$N:$N,Category!AI$1,'2021'!$D:$D,Category!$C316)</f>
        <v>0</v>
      </c>
      <c r="AJ316" s="234">
        <f>SUMIFS('2021'!$I:$I,'2021'!$E:$E,Category!$B$278,'2021'!$N:$N,Category!AJ$1,'2021'!$D:$D,Category!$C316)</f>
        <v>0</v>
      </c>
      <c r="AK316" s="234">
        <f>SUMIFS('2021'!$I:$I,'2021'!$E:$E,Category!$B$278,'2021'!$N:$N,Category!AK$1,'2021'!$D:$D,Category!$C316)</f>
        <v>0</v>
      </c>
      <c r="AL316" s="250">
        <f t="shared" si="118"/>
        <v>0</v>
      </c>
      <c r="AM316" s="507">
        <f>IFERROR(VLOOKUP(C316,'2022'!$D:$G,4,0),0)</f>
        <v>0</v>
      </c>
      <c r="AN316" s="234">
        <f>SUMIFS('2022'!$I:$I,'2022'!$E:$E,Category!$B$278,'2022'!$N:$N,Category!AN$1,'2022'!$D:$D,Category!$C316)</f>
        <v>0</v>
      </c>
      <c r="AO316" s="234">
        <f>SUMIFS('2022'!$I:$I,'2022'!$E:$E,Category!$B$278,'2022'!$N:$N,Category!AO$1,'2022'!$D:$D,Category!$C316)</f>
        <v>0</v>
      </c>
      <c r="AP316" s="234">
        <f>SUMIFS('2022'!$I:$I,'2022'!$E:$E,Category!$B$278,'2022'!$N:$N,Category!AP$1,'2022'!$D:$D,Category!$C316)</f>
        <v>0</v>
      </c>
      <c r="AQ316" s="234">
        <f>SUMIFS('2022'!$I:$I,'2022'!$E:$E,Category!$B$278,'2022'!$N:$N,Category!AQ$1,'2022'!$D:$D,Category!$C316)</f>
        <v>0</v>
      </c>
      <c r="AR316" s="234">
        <f>SUMIFS('2022'!$I:$I,'2022'!$E:$E,Category!$B$278,'2022'!$N:$N,Category!AR$1,'2022'!$D:$D,Category!$C316)</f>
        <v>0</v>
      </c>
      <c r="AS316" s="234">
        <f>SUMIFS('2022'!$I:$I,'2022'!$E:$E,Category!$B$278,'2022'!$N:$N,Category!AS$1,'2022'!$D:$D,Category!$C316)</f>
        <v>0</v>
      </c>
      <c r="AT316" s="234">
        <f>SUMIFS('2022'!$I:$I,'2022'!$E:$E,Category!$B$278,'2022'!$N:$N,Category!AT$1,'2022'!$D:$D,Category!$C316)</f>
        <v>0</v>
      </c>
      <c r="AU316" s="234">
        <f>SUMIFS('2022'!$I:$I,'2022'!$E:$E,Category!$B$278,'2022'!$N:$N,Category!AU$1,'2022'!$D:$D,Category!$C316)</f>
        <v>0</v>
      </c>
      <c r="AV316" s="234">
        <f>SUMIFS('2022'!$I:$I,'2022'!$E:$E,Category!$B$278,'2022'!$N:$N,Category!AV$1,'2022'!$D:$D,Category!$C316)</f>
        <v>0</v>
      </c>
      <c r="AW316" s="234">
        <f>SUMIFS('2022'!$I:$I,'2022'!$E:$E,Category!$B$278,'2022'!$N:$N,Category!AW$1,'2022'!$D:$D,Category!$C316)</f>
        <v>0</v>
      </c>
      <c r="AX316" s="234">
        <f>SUMIFS('2022'!$I:$I,'2022'!$E:$E,Category!$B$278,'2022'!$N:$N,Category!AX$1,'2022'!$D:$D,Category!$C316)</f>
        <v>0</v>
      </c>
      <c r="AY316" s="234">
        <f>SUMIFS('2022'!$I:$I,'2022'!$E:$E,Category!$B$278,'2022'!$N:$N,Category!AY$1,'2022'!$D:$D,Category!$C316)</f>
        <v>0</v>
      </c>
      <c r="AZ316" s="250">
        <f t="shared" si="119"/>
        <v>0</v>
      </c>
      <c r="BA316" s="507">
        <f>IFERROR(VLOOKUP(C316,'2023'!$D:$G,4,0),0)</f>
        <v>0</v>
      </c>
      <c r="BB316" s="234">
        <f>SUMIFS('2023'!$I:$I,'2023'!$E:$E,Category!$B$278,'2023'!$N:$N,Category!BB$1,'2023'!$D:$D,Category!$C316)</f>
        <v>0</v>
      </c>
      <c r="BC316" s="234">
        <f>SUMIFS('2023'!$I:$I,'2023'!$E:$E,Category!$B$278,'2023'!$N:$N,Category!BC$1,'2023'!$D:$D,Category!$C316)</f>
        <v>0</v>
      </c>
      <c r="BD316" s="234">
        <f>SUMIFS('2023'!$I:$I,'2023'!$E:$E,Category!$B$278,'2023'!$N:$N,Category!BD$1,'2023'!$D:$D,Category!$C316)</f>
        <v>0</v>
      </c>
      <c r="BE316" s="234">
        <f>SUMIFS('2023'!$I:$I,'2023'!$E:$E,Category!$B$278,'2023'!$N:$N,Category!BE$1,'2023'!$D:$D,Category!$C316)</f>
        <v>0</v>
      </c>
      <c r="BF316" s="234">
        <f>SUMIFS('2023'!$I:$I,'2023'!$E:$E,Category!$B$278,'2023'!$N:$N,Category!BF$1,'2023'!$D:$D,Category!$C316)</f>
        <v>0</v>
      </c>
      <c r="BG316" s="234">
        <f>SUMIFS('2023'!$I:$I,'2023'!$E:$E,Category!$B$278,'2023'!$N:$N,Category!BG$1,'2023'!$D:$D,Category!$C316)</f>
        <v>0</v>
      </c>
      <c r="BH316" s="234">
        <f>SUMIFS('2023'!$I:$I,'2023'!$E:$E,Category!$B$278,'2023'!$N:$N,Category!BH$1,'2023'!$D:$D,Category!$C316)</f>
        <v>0</v>
      </c>
      <c r="BI316" s="234">
        <f>SUMIFS('2023'!$I:$I,'2023'!$E:$E,Category!$B$278,'2023'!$N:$N,Category!BI$1,'2023'!$D:$D,Category!$C316)</f>
        <v>0</v>
      </c>
      <c r="BJ316" s="234">
        <f>SUMIFS('2023'!$I:$I,'2023'!$E:$E,Category!$B$278,'2023'!$N:$N,Category!BJ$1,'2023'!$D:$D,Category!$C316)</f>
        <v>0</v>
      </c>
      <c r="BK316" s="234">
        <f>SUMIFS('2023'!$I:$I,'2023'!$E:$E,Category!$B$278,'2023'!$N:$N,Category!BK$1,'2023'!$D:$D,Category!$C316)</f>
        <v>0</v>
      </c>
      <c r="BL316" s="234">
        <f>SUMIFS('2023'!$I:$I,'2023'!$E:$E,Category!$B$278,'2023'!$N:$N,Category!BL$1,'2023'!$D:$D,Category!$C316)</f>
        <v>0</v>
      </c>
      <c r="BM316" s="234">
        <f>SUMIFS('2023'!$I:$I,'2023'!$E:$E,Category!$B$278,'2023'!$N:$N,Category!BM$1,'2023'!$D:$D,Category!$C316)</f>
        <v>0</v>
      </c>
      <c r="BN316" s="250">
        <f t="shared" si="114"/>
        <v>0</v>
      </c>
    </row>
    <row r="317" spans="1:66" ht="21" hidden="1" customHeight="1" x14ac:dyDescent="0.3">
      <c r="A317" s="249"/>
      <c r="B317" s="235"/>
      <c r="C317" s="235"/>
      <c r="D317" s="527">
        <f>IFERROR(VLOOKUP($C317,'2019'!$D:$G,4,0),0)</f>
        <v>0</v>
      </c>
      <c r="E317" s="234">
        <f>SUMIFS('2019'!$I:$I,'2019'!$E:$E,Category!$B$278,'2019'!$N:$N,Category!E$1,'2019'!$D:$D,Category!$C317)</f>
        <v>0</v>
      </c>
      <c r="F317" s="234">
        <f>SUMIFS('2019'!$I:$I,'2019'!$E:$E,Category!$B$278,'2019'!$N:$N,Category!F$1,'2019'!$D:$D,Category!$C317)</f>
        <v>0</v>
      </c>
      <c r="G317" s="234">
        <f>SUMIFS('2019'!$I:$I,'2019'!$E:$E,Category!$B$278,'2019'!$N:$N,Category!G$1,'2019'!$D:$D,Category!$C317)</f>
        <v>0</v>
      </c>
      <c r="H317" s="234">
        <f>SUMIFS('2019'!$I:$I,'2019'!$E:$E,Category!$B$278,'2019'!$N:$N,Category!H$1,'2019'!$D:$D,Category!$C317)</f>
        <v>0</v>
      </c>
      <c r="I317" s="234">
        <f>SUMIFS('2019'!$I:$I,'2019'!$E:$E,Category!$B$278,'2019'!$N:$N,Category!I$1,'2019'!$D:$D,Category!$C317)</f>
        <v>0</v>
      </c>
      <c r="J317" s="234">
        <f t="shared" si="116"/>
        <v>0</v>
      </c>
      <c r="K317" s="507">
        <f>IFERROR(VLOOKUP($C317,'2020'!$D:$G,4,0),0)</f>
        <v>0</v>
      </c>
      <c r="L317" s="234">
        <f>SUMIFS('2020'!$I:$I,'2020'!$E:$E,Category!$B$278,'2020'!$N:$N,Category!L$1,'2020'!$D:$D,Category!$C317)</f>
        <v>0</v>
      </c>
      <c r="M317" s="234">
        <f>SUMIFS('2020'!$I:$I,'2020'!$E:$E,Category!$B$278,'2020'!$N:$N,Category!M$1,'2020'!$D:$D,Category!$C317)</f>
        <v>0</v>
      </c>
      <c r="N317" s="234">
        <f>SUMIFS('2020'!$I:$I,'2020'!$E:$E,Category!$B$278,'2020'!$N:$N,Category!N$1,'2020'!$D:$D,Category!$C317)</f>
        <v>0</v>
      </c>
      <c r="O317" s="234">
        <f>SUMIFS('2020'!$I:$I,'2020'!$E:$E,Category!$B$278,'2020'!$N:$N,Category!O$1,'2020'!$D:$D,Category!$C317)</f>
        <v>0</v>
      </c>
      <c r="P317" s="234">
        <f>SUMIFS('2020'!$I:$I,'2020'!$E:$E,Category!$B$278,'2020'!$N:$N,Category!P$1,'2020'!$D:$D,Category!$C317)</f>
        <v>0</v>
      </c>
      <c r="Q317" s="234">
        <f>SUMIFS('2020'!$I:$I,'2020'!$E:$E,Category!$B$278,'2020'!$N:$N,Category!Q$1,'2020'!$D:$D,Category!$C317)</f>
        <v>0</v>
      </c>
      <c r="R317" s="234">
        <f>SUMIFS('2020'!$I:$I,'2020'!$E:$E,Category!$B$278,'2020'!$N:$N,Category!R$1,'2020'!$D:$D,Category!$C317)</f>
        <v>0</v>
      </c>
      <c r="S317" s="234">
        <f>SUMIFS('2020'!$I:$I,'2020'!$E:$E,Category!$B$278,'2020'!$N:$N,Category!S$1,'2020'!$D:$D,Category!$C317)</f>
        <v>0</v>
      </c>
      <c r="T317" s="234">
        <f>SUMIFS('2020'!$I:$I,'2020'!$E:$E,Category!$B$278,'2020'!$N:$N,Category!T$1,'2020'!$D:$D,Category!$C317)</f>
        <v>0</v>
      </c>
      <c r="U317" s="234">
        <f>SUMIFS('2020'!$I:$I,'2020'!$E:$E,Category!$B$278,'2020'!$N:$N,Category!U$1,'2020'!$D:$D,Category!$C317)</f>
        <v>0</v>
      </c>
      <c r="V317" s="234">
        <f>SUMIFS('2020'!$I:$I,'2020'!$E:$E,Category!$B$278,'2020'!$N:$N,Category!V$1,'2020'!$D:$D,Category!$C317)</f>
        <v>0</v>
      </c>
      <c r="W317" s="234">
        <f>SUMIFS('2020'!$I:$I,'2020'!$E:$E,Category!$B$278,'2020'!$N:$N,Category!W$1,'2020'!$D:$D,Category!$C317)</f>
        <v>0</v>
      </c>
      <c r="X317" s="234">
        <f t="shared" si="117"/>
        <v>0</v>
      </c>
      <c r="Y317" s="507">
        <f>IFERROR(VLOOKUP(C317,'2021'!$D:$G,4,0),0)</f>
        <v>0</v>
      </c>
      <c r="Z317" s="234">
        <f>SUMIFS('2021'!$I:$I,'2021'!$E:$E,Category!$B$278,'2021'!$N:$N,Category!Z$1,'2021'!$D:$D,Category!$C317)</f>
        <v>0</v>
      </c>
      <c r="AA317" s="234">
        <f>SUMIFS('2021'!$I:$I,'2021'!$E:$E,Category!$B$278,'2021'!$N:$N,Category!AA$1,'2021'!$D:$D,Category!$C317)</f>
        <v>0</v>
      </c>
      <c r="AB317" s="234">
        <f>SUMIFS('2021'!$I:$I,'2021'!$E:$E,Category!$B$278,'2021'!$N:$N,Category!AB$1,'2021'!$D:$D,Category!$C317)</f>
        <v>0</v>
      </c>
      <c r="AC317" s="234">
        <f>SUMIFS('2021'!$I:$I,'2021'!$E:$E,Category!$B$278,'2021'!$N:$N,Category!AC$1,'2021'!$D:$D,Category!$C317)</f>
        <v>0</v>
      </c>
      <c r="AD317" s="234">
        <f>SUMIFS('2021'!$I:$I,'2021'!$E:$E,Category!$B$278,'2021'!$N:$N,Category!AD$1,'2021'!$D:$D,Category!$C317)</f>
        <v>0</v>
      </c>
      <c r="AE317" s="234">
        <f>SUMIFS('2021'!$I:$I,'2021'!$E:$E,Category!$B$278,'2021'!$N:$N,Category!AE$1,'2021'!$D:$D,Category!$C317)</f>
        <v>0</v>
      </c>
      <c r="AF317" s="234">
        <f>SUMIFS('2021'!$I:$I,'2021'!$E:$E,Category!$B$278,'2021'!$N:$N,Category!AF$1,'2021'!$D:$D,Category!$C317)</f>
        <v>0</v>
      </c>
      <c r="AG317" s="234">
        <f>SUMIFS('2021'!$I:$I,'2021'!$E:$E,Category!$B$278,'2021'!$N:$N,Category!AG$1,'2021'!$D:$D,Category!$C317)</f>
        <v>0</v>
      </c>
      <c r="AH317" s="234">
        <f>SUMIFS('2021'!$I:$I,'2021'!$E:$E,Category!$B$278,'2021'!$N:$N,Category!AH$1,'2021'!$D:$D,Category!$C317)</f>
        <v>0</v>
      </c>
      <c r="AI317" s="234">
        <f>SUMIFS('2021'!$I:$I,'2021'!$E:$E,Category!$B$278,'2021'!$N:$N,Category!AI$1,'2021'!$D:$D,Category!$C317)</f>
        <v>0</v>
      </c>
      <c r="AJ317" s="234">
        <f>SUMIFS('2021'!$I:$I,'2021'!$E:$E,Category!$B$278,'2021'!$N:$N,Category!AJ$1,'2021'!$D:$D,Category!$C317)</f>
        <v>0</v>
      </c>
      <c r="AK317" s="234">
        <f>SUMIFS('2021'!$I:$I,'2021'!$E:$E,Category!$B$278,'2021'!$N:$N,Category!AK$1,'2021'!$D:$D,Category!$C317)</f>
        <v>0</v>
      </c>
      <c r="AL317" s="250">
        <f t="shared" si="118"/>
        <v>0</v>
      </c>
      <c r="AM317" s="507">
        <f>IFERROR(VLOOKUP(C317,'2022'!$D:$G,4,0),0)</f>
        <v>0</v>
      </c>
      <c r="AN317" s="234">
        <f>SUMIFS('2022'!$I:$I,'2022'!$E:$E,Category!$B$278,'2022'!$N:$N,Category!AN$1,'2022'!$D:$D,Category!$C317)</f>
        <v>0</v>
      </c>
      <c r="AO317" s="234">
        <f>SUMIFS('2022'!$I:$I,'2022'!$E:$E,Category!$B$278,'2022'!$N:$N,Category!AO$1,'2022'!$D:$D,Category!$C317)</f>
        <v>0</v>
      </c>
      <c r="AP317" s="234">
        <f>SUMIFS('2022'!$I:$I,'2022'!$E:$E,Category!$B$278,'2022'!$N:$N,Category!AP$1,'2022'!$D:$D,Category!$C317)</f>
        <v>0</v>
      </c>
      <c r="AQ317" s="234">
        <f>SUMIFS('2022'!$I:$I,'2022'!$E:$E,Category!$B$278,'2022'!$N:$N,Category!AQ$1,'2022'!$D:$D,Category!$C317)</f>
        <v>0</v>
      </c>
      <c r="AR317" s="234">
        <f>SUMIFS('2022'!$I:$I,'2022'!$E:$E,Category!$B$278,'2022'!$N:$N,Category!AR$1,'2022'!$D:$D,Category!$C317)</f>
        <v>0</v>
      </c>
      <c r="AS317" s="234">
        <f>SUMIFS('2022'!$I:$I,'2022'!$E:$E,Category!$B$278,'2022'!$N:$N,Category!AS$1,'2022'!$D:$D,Category!$C317)</f>
        <v>0</v>
      </c>
      <c r="AT317" s="234">
        <f>SUMIFS('2022'!$I:$I,'2022'!$E:$E,Category!$B$278,'2022'!$N:$N,Category!AT$1,'2022'!$D:$D,Category!$C317)</f>
        <v>0</v>
      </c>
      <c r="AU317" s="234">
        <f>SUMIFS('2022'!$I:$I,'2022'!$E:$E,Category!$B$278,'2022'!$N:$N,Category!AU$1,'2022'!$D:$D,Category!$C317)</f>
        <v>0</v>
      </c>
      <c r="AV317" s="234">
        <f>SUMIFS('2022'!$I:$I,'2022'!$E:$E,Category!$B$278,'2022'!$N:$N,Category!AV$1,'2022'!$D:$D,Category!$C317)</f>
        <v>0</v>
      </c>
      <c r="AW317" s="234">
        <f>SUMIFS('2022'!$I:$I,'2022'!$E:$E,Category!$B$278,'2022'!$N:$N,Category!AW$1,'2022'!$D:$D,Category!$C317)</f>
        <v>0</v>
      </c>
      <c r="AX317" s="234">
        <f>SUMIFS('2022'!$I:$I,'2022'!$E:$E,Category!$B$278,'2022'!$N:$N,Category!AX$1,'2022'!$D:$D,Category!$C317)</f>
        <v>0</v>
      </c>
      <c r="AY317" s="234">
        <f>SUMIFS('2022'!$I:$I,'2022'!$E:$E,Category!$B$278,'2022'!$N:$N,Category!AY$1,'2022'!$D:$D,Category!$C317)</f>
        <v>0</v>
      </c>
      <c r="AZ317" s="250">
        <f t="shared" si="119"/>
        <v>0</v>
      </c>
      <c r="BA317" s="507">
        <f>IFERROR(VLOOKUP(C317,'2023'!$D:$G,4,0),0)</f>
        <v>0</v>
      </c>
      <c r="BB317" s="234">
        <f>SUMIFS('2023'!$I:$I,'2023'!$E:$E,Category!$B$278,'2023'!$N:$N,Category!BB$1,'2023'!$D:$D,Category!$C317)</f>
        <v>0</v>
      </c>
      <c r="BC317" s="234">
        <f>SUMIFS('2023'!$I:$I,'2023'!$E:$E,Category!$B$278,'2023'!$N:$N,Category!BC$1,'2023'!$D:$D,Category!$C317)</f>
        <v>0</v>
      </c>
      <c r="BD317" s="234">
        <f>SUMIFS('2023'!$I:$I,'2023'!$E:$E,Category!$B$278,'2023'!$N:$N,Category!BD$1,'2023'!$D:$D,Category!$C317)</f>
        <v>0</v>
      </c>
      <c r="BE317" s="234">
        <f>SUMIFS('2023'!$I:$I,'2023'!$E:$E,Category!$B$278,'2023'!$N:$N,Category!BE$1,'2023'!$D:$D,Category!$C317)</f>
        <v>0</v>
      </c>
      <c r="BF317" s="234">
        <f>SUMIFS('2023'!$I:$I,'2023'!$E:$E,Category!$B$278,'2023'!$N:$N,Category!BF$1,'2023'!$D:$D,Category!$C317)</f>
        <v>0</v>
      </c>
      <c r="BG317" s="234">
        <f>SUMIFS('2023'!$I:$I,'2023'!$E:$E,Category!$B$278,'2023'!$N:$N,Category!BG$1,'2023'!$D:$D,Category!$C317)</f>
        <v>0</v>
      </c>
      <c r="BH317" s="234">
        <f>SUMIFS('2023'!$I:$I,'2023'!$E:$E,Category!$B$278,'2023'!$N:$N,Category!BH$1,'2023'!$D:$D,Category!$C317)</f>
        <v>0</v>
      </c>
      <c r="BI317" s="234">
        <f>SUMIFS('2023'!$I:$I,'2023'!$E:$E,Category!$B$278,'2023'!$N:$N,Category!BI$1,'2023'!$D:$D,Category!$C317)</f>
        <v>0</v>
      </c>
      <c r="BJ317" s="234">
        <f>SUMIFS('2023'!$I:$I,'2023'!$E:$E,Category!$B$278,'2023'!$N:$N,Category!BJ$1,'2023'!$D:$D,Category!$C317)</f>
        <v>0</v>
      </c>
      <c r="BK317" s="234">
        <f>SUMIFS('2023'!$I:$I,'2023'!$E:$E,Category!$B$278,'2023'!$N:$N,Category!BK$1,'2023'!$D:$D,Category!$C317)</f>
        <v>0</v>
      </c>
      <c r="BL317" s="234">
        <f>SUMIFS('2023'!$I:$I,'2023'!$E:$E,Category!$B$278,'2023'!$N:$N,Category!BL$1,'2023'!$D:$D,Category!$C317)</f>
        <v>0</v>
      </c>
      <c r="BM317" s="234">
        <f>SUMIFS('2023'!$I:$I,'2023'!$E:$E,Category!$B$278,'2023'!$N:$N,Category!BM$1,'2023'!$D:$D,Category!$C317)</f>
        <v>0</v>
      </c>
      <c r="BN317" s="250">
        <f t="shared" si="114"/>
        <v>0</v>
      </c>
    </row>
    <row r="318" spans="1:66" ht="21" hidden="1" customHeight="1" x14ac:dyDescent="0.3">
      <c r="A318" s="249"/>
      <c r="B318" s="235"/>
      <c r="C318" s="235"/>
      <c r="D318" s="527">
        <f>IFERROR(VLOOKUP($C318,'2019'!$D:$G,4,0),0)</f>
        <v>0</v>
      </c>
      <c r="E318" s="234">
        <f>SUMIFS('2019'!$I:$I,'2019'!$E:$E,Category!$B$278,'2019'!$N:$N,Category!E$1,'2019'!$D:$D,Category!$C318)</f>
        <v>0</v>
      </c>
      <c r="F318" s="234">
        <f>SUMIFS('2019'!$I:$I,'2019'!$E:$E,Category!$B$278,'2019'!$N:$N,Category!F$1,'2019'!$D:$D,Category!$C318)</f>
        <v>0</v>
      </c>
      <c r="G318" s="234">
        <f>SUMIFS('2019'!$I:$I,'2019'!$E:$E,Category!$B$278,'2019'!$N:$N,Category!G$1,'2019'!$D:$D,Category!$C318)</f>
        <v>0</v>
      </c>
      <c r="H318" s="234">
        <f>SUMIFS('2019'!$I:$I,'2019'!$E:$E,Category!$B$278,'2019'!$N:$N,Category!H$1,'2019'!$D:$D,Category!$C318)</f>
        <v>0</v>
      </c>
      <c r="I318" s="234">
        <f>SUMIFS('2019'!$I:$I,'2019'!$E:$E,Category!$B$278,'2019'!$N:$N,Category!I$1,'2019'!$D:$D,Category!$C318)</f>
        <v>0</v>
      </c>
      <c r="J318" s="234">
        <f t="shared" si="116"/>
        <v>0</v>
      </c>
      <c r="K318" s="507">
        <f>IFERROR(VLOOKUP($C318,'2020'!$D:$G,4,0),0)</f>
        <v>0</v>
      </c>
      <c r="L318" s="234">
        <f>SUMIFS('2020'!$I:$I,'2020'!$E:$E,Category!$B$278,'2020'!$N:$N,Category!L$1,'2020'!$D:$D,Category!$C318)</f>
        <v>0</v>
      </c>
      <c r="M318" s="234">
        <f>SUMIFS('2020'!$I:$I,'2020'!$E:$E,Category!$B$278,'2020'!$N:$N,Category!M$1,'2020'!$D:$D,Category!$C318)</f>
        <v>0</v>
      </c>
      <c r="N318" s="234">
        <f>SUMIFS('2020'!$I:$I,'2020'!$E:$E,Category!$B$278,'2020'!$N:$N,Category!N$1,'2020'!$D:$D,Category!$C318)</f>
        <v>0</v>
      </c>
      <c r="O318" s="234">
        <f>SUMIFS('2020'!$I:$I,'2020'!$E:$E,Category!$B$278,'2020'!$N:$N,Category!O$1,'2020'!$D:$D,Category!$C318)</f>
        <v>0</v>
      </c>
      <c r="P318" s="234">
        <f>SUMIFS('2020'!$I:$I,'2020'!$E:$E,Category!$B$278,'2020'!$N:$N,Category!P$1,'2020'!$D:$D,Category!$C318)</f>
        <v>0</v>
      </c>
      <c r="Q318" s="234">
        <f>SUMIFS('2020'!$I:$I,'2020'!$E:$E,Category!$B$278,'2020'!$N:$N,Category!Q$1,'2020'!$D:$D,Category!$C318)</f>
        <v>0</v>
      </c>
      <c r="R318" s="234">
        <f>SUMIFS('2020'!$I:$I,'2020'!$E:$E,Category!$B$278,'2020'!$N:$N,Category!R$1,'2020'!$D:$D,Category!$C318)</f>
        <v>0</v>
      </c>
      <c r="S318" s="234">
        <f>SUMIFS('2020'!$I:$I,'2020'!$E:$E,Category!$B$278,'2020'!$N:$N,Category!S$1,'2020'!$D:$D,Category!$C318)</f>
        <v>0</v>
      </c>
      <c r="T318" s="234">
        <f>SUMIFS('2020'!$I:$I,'2020'!$E:$E,Category!$B$278,'2020'!$N:$N,Category!T$1,'2020'!$D:$D,Category!$C318)</f>
        <v>0</v>
      </c>
      <c r="U318" s="234">
        <f>SUMIFS('2020'!$I:$I,'2020'!$E:$E,Category!$B$278,'2020'!$N:$N,Category!U$1,'2020'!$D:$D,Category!$C318)</f>
        <v>0</v>
      </c>
      <c r="V318" s="234">
        <f>SUMIFS('2020'!$I:$I,'2020'!$E:$E,Category!$B$278,'2020'!$N:$N,Category!V$1,'2020'!$D:$D,Category!$C318)</f>
        <v>0</v>
      </c>
      <c r="W318" s="234">
        <f>SUMIFS('2020'!$I:$I,'2020'!$E:$E,Category!$B$278,'2020'!$N:$N,Category!W$1,'2020'!$D:$D,Category!$C318)</f>
        <v>0</v>
      </c>
      <c r="X318" s="234">
        <f t="shared" si="117"/>
        <v>0</v>
      </c>
      <c r="Y318" s="507">
        <f>IFERROR(VLOOKUP(C318,'2021'!$D:$G,4,0),0)</f>
        <v>0</v>
      </c>
      <c r="Z318" s="234">
        <f>SUMIFS('2021'!$I:$I,'2021'!$E:$E,Category!$B$278,'2021'!$N:$N,Category!Z$1,'2021'!$D:$D,Category!$C318)</f>
        <v>0</v>
      </c>
      <c r="AA318" s="234">
        <f>SUMIFS('2021'!$I:$I,'2021'!$E:$E,Category!$B$278,'2021'!$N:$N,Category!AA$1,'2021'!$D:$D,Category!$C318)</f>
        <v>0</v>
      </c>
      <c r="AB318" s="234">
        <f>SUMIFS('2021'!$I:$I,'2021'!$E:$E,Category!$B$278,'2021'!$N:$N,Category!AB$1,'2021'!$D:$D,Category!$C318)</f>
        <v>0</v>
      </c>
      <c r="AC318" s="234">
        <f>SUMIFS('2021'!$I:$I,'2021'!$E:$E,Category!$B$278,'2021'!$N:$N,Category!AC$1,'2021'!$D:$D,Category!$C318)</f>
        <v>0</v>
      </c>
      <c r="AD318" s="234">
        <f>SUMIFS('2021'!$I:$I,'2021'!$E:$E,Category!$B$278,'2021'!$N:$N,Category!AD$1,'2021'!$D:$D,Category!$C318)</f>
        <v>0</v>
      </c>
      <c r="AE318" s="234">
        <f>SUMIFS('2021'!$I:$I,'2021'!$E:$E,Category!$B$278,'2021'!$N:$N,Category!AE$1,'2021'!$D:$D,Category!$C318)</f>
        <v>0</v>
      </c>
      <c r="AF318" s="234">
        <f>SUMIFS('2021'!$I:$I,'2021'!$E:$E,Category!$B$278,'2021'!$N:$N,Category!AF$1,'2021'!$D:$D,Category!$C318)</f>
        <v>0</v>
      </c>
      <c r="AG318" s="234">
        <f>SUMIFS('2021'!$I:$I,'2021'!$E:$E,Category!$B$278,'2021'!$N:$N,Category!AG$1,'2021'!$D:$D,Category!$C318)</f>
        <v>0</v>
      </c>
      <c r="AH318" s="234">
        <f>SUMIFS('2021'!$I:$I,'2021'!$E:$E,Category!$B$278,'2021'!$N:$N,Category!AH$1,'2021'!$D:$D,Category!$C318)</f>
        <v>0</v>
      </c>
      <c r="AI318" s="234">
        <f>SUMIFS('2021'!$I:$I,'2021'!$E:$E,Category!$B$278,'2021'!$N:$N,Category!AI$1,'2021'!$D:$D,Category!$C318)</f>
        <v>0</v>
      </c>
      <c r="AJ318" s="234">
        <f>SUMIFS('2021'!$I:$I,'2021'!$E:$E,Category!$B$278,'2021'!$N:$N,Category!AJ$1,'2021'!$D:$D,Category!$C318)</f>
        <v>0</v>
      </c>
      <c r="AK318" s="234">
        <f>SUMIFS('2021'!$I:$I,'2021'!$E:$E,Category!$B$278,'2021'!$N:$N,Category!AK$1,'2021'!$D:$D,Category!$C318)</f>
        <v>0</v>
      </c>
      <c r="AL318" s="250">
        <f t="shared" si="118"/>
        <v>0</v>
      </c>
      <c r="AM318" s="507">
        <f>IFERROR(VLOOKUP(C318,'2022'!$D:$G,4,0),0)</f>
        <v>0</v>
      </c>
      <c r="AN318" s="234">
        <f>SUMIFS('2022'!$I:$I,'2022'!$E:$E,Category!$B$278,'2022'!$N:$N,Category!AN$1,'2022'!$D:$D,Category!$C318)</f>
        <v>0</v>
      </c>
      <c r="AO318" s="234">
        <f>SUMIFS('2022'!$I:$I,'2022'!$E:$E,Category!$B$278,'2022'!$N:$N,Category!AO$1,'2022'!$D:$D,Category!$C318)</f>
        <v>0</v>
      </c>
      <c r="AP318" s="234">
        <f>SUMIFS('2022'!$I:$I,'2022'!$E:$E,Category!$B$278,'2022'!$N:$N,Category!AP$1,'2022'!$D:$D,Category!$C318)</f>
        <v>0</v>
      </c>
      <c r="AQ318" s="234">
        <f>SUMIFS('2022'!$I:$I,'2022'!$E:$E,Category!$B$278,'2022'!$N:$N,Category!AQ$1,'2022'!$D:$D,Category!$C318)</f>
        <v>0</v>
      </c>
      <c r="AR318" s="234">
        <f>SUMIFS('2022'!$I:$I,'2022'!$E:$E,Category!$B$278,'2022'!$N:$N,Category!AR$1,'2022'!$D:$D,Category!$C318)</f>
        <v>0</v>
      </c>
      <c r="AS318" s="234">
        <f>SUMIFS('2022'!$I:$I,'2022'!$E:$E,Category!$B$278,'2022'!$N:$N,Category!AS$1,'2022'!$D:$D,Category!$C318)</f>
        <v>0</v>
      </c>
      <c r="AT318" s="234">
        <f>SUMIFS('2022'!$I:$I,'2022'!$E:$E,Category!$B$278,'2022'!$N:$N,Category!AT$1,'2022'!$D:$D,Category!$C318)</f>
        <v>0</v>
      </c>
      <c r="AU318" s="234">
        <f>SUMIFS('2022'!$I:$I,'2022'!$E:$E,Category!$B$278,'2022'!$N:$N,Category!AU$1,'2022'!$D:$D,Category!$C318)</f>
        <v>0</v>
      </c>
      <c r="AV318" s="234">
        <f>SUMIFS('2022'!$I:$I,'2022'!$E:$E,Category!$B$278,'2022'!$N:$N,Category!AV$1,'2022'!$D:$D,Category!$C318)</f>
        <v>0</v>
      </c>
      <c r="AW318" s="234">
        <f>SUMIFS('2022'!$I:$I,'2022'!$E:$E,Category!$B$278,'2022'!$N:$N,Category!AW$1,'2022'!$D:$D,Category!$C318)</f>
        <v>0</v>
      </c>
      <c r="AX318" s="234">
        <f>SUMIFS('2022'!$I:$I,'2022'!$E:$E,Category!$B$278,'2022'!$N:$N,Category!AX$1,'2022'!$D:$D,Category!$C318)</f>
        <v>0</v>
      </c>
      <c r="AY318" s="234">
        <f>SUMIFS('2022'!$I:$I,'2022'!$E:$E,Category!$B$278,'2022'!$N:$N,Category!AY$1,'2022'!$D:$D,Category!$C318)</f>
        <v>0</v>
      </c>
      <c r="AZ318" s="250">
        <f t="shared" si="119"/>
        <v>0</v>
      </c>
      <c r="BA318" s="507">
        <f>IFERROR(VLOOKUP(C318,'2023'!$D:$G,4,0),0)</f>
        <v>0</v>
      </c>
      <c r="BB318" s="234">
        <f>SUMIFS('2023'!$I:$I,'2023'!$E:$E,Category!$B$278,'2023'!$N:$N,Category!BB$1,'2023'!$D:$D,Category!$C318)</f>
        <v>0</v>
      </c>
      <c r="BC318" s="234">
        <f>SUMIFS('2023'!$I:$I,'2023'!$E:$E,Category!$B$278,'2023'!$N:$N,Category!BC$1,'2023'!$D:$D,Category!$C318)</f>
        <v>0</v>
      </c>
      <c r="BD318" s="234">
        <f>SUMIFS('2023'!$I:$I,'2023'!$E:$E,Category!$B$278,'2023'!$N:$N,Category!BD$1,'2023'!$D:$D,Category!$C318)</f>
        <v>0</v>
      </c>
      <c r="BE318" s="234">
        <f>SUMIFS('2023'!$I:$I,'2023'!$E:$E,Category!$B$278,'2023'!$N:$N,Category!BE$1,'2023'!$D:$D,Category!$C318)</f>
        <v>0</v>
      </c>
      <c r="BF318" s="234">
        <f>SUMIFS('2023'!$I:$I,'2023'!$E:$E,Category!$B$278,'2023'!$N:$N,Category!BF$1,'2023'!$D:$D,Category!$C318)</f>
        <v>0</v>
      </c>
      <c r="BG318" s="234">
        <f>SUMIFS('2023'!$I:$I,'2023'!$E:$E,Category!$B$278,'2023'!$N:$N,Category!BG$1,'2023'!$D:$D,Category!$C318)</f>
        <v>0</v>
      </c>
      <c r="BH318" s="234">
        <f>SUMIFS('2023'!$I:$I,'2023'!$E:$E,Category!$B$278,'2023'!$N:$N,Category!BH$1,'2023'!$D:$D,Category!$C318)</f>
        <v>0</v>
      </c>
      <c r="BI318" s="234">
        <f>SUMIFS('2023'!$I:$I,'2023'!$E:$E,Category!$B$278,'2023'!$N:$N,Category!BI$1,'2023'!$D:$D,Category!$C318)</f>
        <v>0</v>
      </c>
      <c r="BJ318" s="234">
        <f>SUMIFS('2023'!$I:$I,'2023'!$E:$E,Category!$B$278,'2023'!$N:$N,Category!BJ$1,'2023'!$D:$D,Category!$C318)</f>
        <v>0</v>
      </c>
      <c r="BK318" s="234">
        <f>SUMIFS('2023'!$I:$I,'2023'!$E:$E,Category!$B$278,'2023'!$N:$N,Category!BK$1,'2023'!$D:$D,Category!$C318)</f>
        <v>0</v>
      </c>
      <c r="BL318" s="234">
        <f>SUMIFS('2023'!$I:$I,'2023'!$E:$E,Category!$B$278,'2023'!$N:$N,Category!BL$1,'2023'!$D:$D,Category!$C318)</f>
        <v>0</v>
      </c>
      <c r="BM318" s="234">
        <f>SUMIFS('2023'!$I:$I,'2023'!$E:$E,Category!$B$278,'2023'!$N:$N,Category!BM$1,'2023'!$D:$D,Category!$C318)</f>
        <v>0</v>
      </c>
      <c r="BN318" s="250">
        <f t="shared" si="114"/>
        <v>0</v>
      </c>
    </row>
    <row r="319" spans="1:66" ht="21" hidden="1" customHeight="1" x14ac:dyDescent="0.3">
      <c r="A319" s="249"/>
      <c r="B319" s="235"/>
      <c r="C319" s="235"/>
      <c r="D319" s="527">
        <f>IFERROR(VLOOKUP($C319,'2019'!$D:$G,4,0),0)</f>
        <v>0</v>
      </c>
      <c r="E319" s="234">
        <f>SUMIFS('2019'!$I:$I,'2019'!$E:$E,Category!$B$278,'2019'!$N:$N,Category!E$1,'2019'!$D:$D,Category!$C319)</f>
        <v>0</v>
      </c>
      <c r="F319" s="234">
        <f>SUMIFS('2019'!$I:$I,'2019'!$E:$E,Category!$B$278,'2019'!$N:$N,Category!F$1,'2019'!$D:$D,Category!$C319)</f>
        <v>0</v>
      </c>
      <c r="G319" s="234">
        <f>SUMIFS('2019'!$I:$I,'2019'!$E:$E,Category!$B$278,'2019'!$N:$N,Category!G$1,'2019'!$D:$D,Category!$C319)</f>
        <v>0</v>
      </c>
      <c r="H319" s="234">
        <f>SUMIFS('2019'!$I:$I,'2019'!$E:$E,Category!$B$278,'2019'!$N:$N,Category!H$1,'2019'!$D:$D,Category!$C319)</f>
        <v>0</v>
      </c>
      <c r="I319" s="234">
        <f>SUMIFS('2019'!$I:$I,'2019'!$E:$E,Category!$B$278,'2019'!$N:$N,Category!I$1,'2019'!$D:$D,Category!$C319)</f>
        <v>0</v>
      </c>
      <c r="J319" s="234">
        <f t="shared" si="116"/>
        <v>0</v>
      </c>
      <c r="K319" s="507">
        <f>IFERROR(VLOOKUP($C319,'2020'!$D:$G,4,0),0)</f>
        <v>0</v>
      </c>
      <c r="L319" s="234">
        <f>SUMIFS('2020'!$I:$I,'2020'!$E:$E,Category!$B$278,'2020'!$N:$N,Category!L$1,'2020'!$D:$D,Category!$C319)</f>
        <v>0</v>
      </c>
      <c r="M319" s="234">
        <f>SUMIFS('2020'!$I:$I,'2020'!$E:$E,Category!$B$278,'2020'!$N:$N,Category!M$1,'2020'!$D:$D,Category!$C319)</f>
        <v>0</v>
      </c>
      <c r="N319" s="234">
        <f>SUMIFS('2020'!$I:$I,'2020'!$E:$E,Category!$B$278,'2020'!$N:$N,Category!N$1,'2020'!$D:$D,Category!$C319)</f>
        <v>0</v>
      </c>
      <c r="O319" s="234">
        <f>SUMIFS('2020'!$I:$I,'2020'!$E:$E,Category!$B$278,'2020'!$N:$N,Category!O$1,'2020'!$D:$D,Category!$C319)</f>
        <v>0</v>
      </c>
      <c r="P319" s="234">
        <f>SUMIFS('2020'!$I:$I,'2020'!$E:$E,Category!$B$278,'2020'!$N:$N,Category!P$1,'2020'!$D:$D,Category!$C319)</f>
        <v>0</v>
      </c>
      <c r="Q319" s="234">
        <f>SUMIFS('2020'!$I:$I,'2020'!$E:$E,Category!$B$278,'2020'!$N:$N,Category!Q$1,'2020'!$D:$D,Category!$C319)</f>
        <v>0</v>
      </c>
      <c r="R319" s="234">
        <f>SUMIFS('2020'!$I:$I,'2020'!$E:$E,Category!$B$278,'2020'!$N:$N,Category!R$1,'2020'!$D:$D,Category!$C319)</f>
        <v>0</v>
      </c>
      <c r="S319" s="234">
        <f>SUMIFS('2020'!$I:$I,'2020'!$E:$E,Category!$B$278,'2020'!$N:$N,Category!S$1,'2020'!$D:$D,Category!$C319)</f>
        <v>0</v>
      </c>
      <c r="T319" s="234">
        <f>SUMIFS('2020'!$I:$I,'2020'!$E:$E,Category!$B$278,'2020'!$N:$N,Category!T$1,'2020'!$D:$D,Category!$C319)</f>
        <v>0</v>
      </c>
      <c r="U319" s="234">
        <f>SUMIFS('2020'!$I:$I,'2020'!$E:$E,Category!$B$278,'2020'!$N:$N,Category!U$1,'2020'!$D:$D,Category!$C319)</f>
        <v>0</v>
      </c>
      <c r="V319" s="234">
        <f>SUMIFS('2020'!$I:$I,'2020'!$E:$E,Category!$B$278,'2020'!$N:$N,Category!V$1,'2020'!$D:$D,Category!$C319)</f>
        <v>0</v>
      </c>
      <c r="W319" s="234">
        <f>SUMIFS('2020'!$I:$I,'2020'!$E:$E,Category!$B$278,'2020'!$N:$N,Category!W$1,'2020'!$D:$D,Category!$C319)</f>
        <v>0</v>
      </c>
      <c r="X319" s="234">
        <f t="shared" si="117"/>
        <v>0</v>
      </c>
      <c r="Y319" s="507">
        <f>IFERROR(VLOOKUP(C319,'2021'!$D:$G,4,0),0)</f>
        <v>0</v>
      </c>
      <c r="Z319" s="234">
        <f>SUMIFS('2021'!$I:$I,'2021'!$E:$E,Category!$B$278,'2021'!$N:$N,Category!Z$1,'2021'!$D:$D,Category!$C319)</f>
        <v>0</v>
      </c>
      <c r="AA319" s="234">
        <f>SUMIFS('2021'!$I:$I,'2021'!$E:$E,Category!$B$278,'2021'!$N:$N,Category!AA$1,'2021'!$D:$D,Category!$C319)</f>
        <v>0</v>
      </c>
      <c r="AB319" s="234">
        <f>SUMIFS('2021'!$I:$I,'2021'!$E:$E,Category!$B$278,'2021'!$N:$N,Category!AB$1,'2021'!$D:$D,Category!$C319)</f>
        <v>0</v>
      </c>
      <c r="AC319" s="234">
        <f>SUMIFS('2021'!$I:$I,'2021'!$E:$E,Category!$B$278,'2021'!$N:$N,Category!AC$1,'2021'!$D:$D,Category!$C319)</f>
        <v>0</v>
      </c>
      <c r="AD319" s="234">
        <f>SUMIFS('2021'!$I:$I,'2021'!$E:$E,Category!$B$278,'2021'!$N:$N,Category!AD$1,'2021'!$D:$D,Category!$C319)</f>
        <v>0</v>
      </c>
      <c r="AE319" s="234">
        <f>SUMIFS('2021'!$I:$I,'2021'!$E:$E,Category!$B$278,'2021'!$N:$N,Category!AE$1,'2021'!$D:$D,Category!$C319)</f>
        <v>0</v>
      </c>
      <c r="AF319" s="234">
        <f>SUMIFS('2021'!$I:$I,'2021'!$E:$E,Category!$B$278,'2021'!$N:$N,Category!AF$1,'2021'!$D:$D,Category!$C319)</f>
        <v>0</v>
      </c>
      <c r="AG319" s="234">
        <f>SUMIFS('2021'!$I:$I,'2021'!$E:$E,Category!$B$278,'2021'!$N:$N,Category!AG$1,'2021'!$D:$D,Category!$C319)</f>
        <v>0</v>
      </c>
      <c r="AH319" s="234">
        <f>SUMIFS('2021'!$I:$I,'2021'!$E:$E,Category!$B$278,'2021'!$N:$N,Category!AH$1,'2021'!$D:$D,Category!$C319)</f>
        <v>0</v>
      </c>
      <c r="AI319" s="234">
        <f>SUMIFS('2021'!$I:$I,'2021'!$E:$E,Category!$B$278,'2021'!$N:$N,Category!AI$1,'2021'!$D:$D,Category!$C319)</f>
        <v>0</v>
      </c>
      <c r="AJ319" s="234">
        <f>SUMIFS('2021'!$I:$I,'2021'!$E:$E,Category!$B$278,'2021'!$N:$N,Category!AJ$1,'2021'!$D:$D,Category!$C319)</f>
        <v>0</v>
      </c>
      <c r="AK319" s="234">
        <f>SUMIFS('2021'!$I:$I,'2021'!$E:$E,Category!$B$278,'2021'!$N:$N,Category!AK$1,'2021'!$D:$D,Category!$C319)</f>
        <v>0</v>
      </c>
      <c r="AL319" s="250">
        <f t="shared" si="118"/>
        <v>0</v>
      </c>
      <c r="AM319" s="507">
        <f>IFERROR(VLOOKUP(C319,'2022'!$D:$G,4,0),0)</f>
        <v>0</v>
      </c>
      <c r="AN319" s="234">
        <f>SUMIFS('2022'!$I:$I,'2022'!$E:$E,Category!$B$278,'2022'!$N:$N,Category!AN$1,'2022'!$D:$D,Category!$C319)</f>
        <v>0</v>
      </c>
      <c r="AO319" s="234">
        <f>SUMIFS('2022'!$I:$I,'2022'!$E:$E,Category!$B$278,'2022'!$N:$N,Category!AO$1,'2022'!$D:$D,Category!$C319)</f>
        <v>0</v>
      </c>
      <c r="AP319" s="234">
        <f>SUMIFS('2022'!$I:$I,'2022'!$E:$E,Category!$B$278,'2022'!$N:$N,Category!AP$1,'2022'!$D:$D,Category!$C319)</f>
        <v>0</v>
      </c>
      <c r="AQ319" s="234">
        <f>SUMIFS('2022'!$I:$I,'2022'!$E:$E,Category!$B$278,'2022'!$N:$N,Category!AQ$1,'2022'!$D:$D,Category!$C319)</f>
        <v>0</v>
      </c>
      <c r="AR319" s="234">
        <f>SUMIFS('2022'!$I:$I,'2022'!$E:$E,Category!$B$278,'2022'!$N:$N,Category!AR$1,'2022'!$D:$D,Category!$C319)</f>
        <v>0</v>
      </c>
      <c r="AS319" s="234">
        <f>SUMIFS('2022'!$I:$I,'2022'!$E:$E,Category!$B$278,'2022'!$N:$N,Category!AS$1,'2022'!$D:$D,Category!$C319)</f>
        <v>0</v>
      </c>
      <c r="AT319" s="234">
        <f>SUMIFS('2022'!$I:$I,'2022'!$E:$E,Category!$B$278,'2022'!$N:$N,Category!AT$1,'2022'!$D:$D,Category!$C319)</f>
        <v>0</v>
      </c>
      <c r="AU319" s="234">
        <f>SUMIFS('2022'!$I:$I,'2022'!$E:$E,Category!$B$278,'2022'!$N:$N,Category!AU$1,'2022'!$D:$D,Category!$C319)</f>
        <v>0</v>
      </c>
      <c r="AV319" s="234">
        <f>SUMIFS('2022'!$I:$I,'2022'!$E:$E,Category!$B$278,'2022'!$N:$N,Category!AV$1,'2022'!$D:$D,Category!$C319)</f>
        <v>0</v>
      </c>
      <c r="AW319" s="234">
        <f>SUMIFS('2022'!$I:$I,'2022'!$E:$E,Category!$B$278,'2022'!$N:$N,Category!AW$1,'2022'!$D:$D,Category!$C319)</f>
        <v>0</v>
      </c>
      <c r="AX319" s="234">
        <f>SUMIFS('2022'!$I:$I,'2022'!$E:$E,Category!$B$278,'2022'!$N:$N,Category!AX$1,'2022'!$D:$D,Category!$C319)</f>
        <v>0</v>
      </c>
      <c r="AY319" s="234">
        <f>SUMIFS('2022'!$I:$I,'2022'!$E:$E,Category!$B$278,'2022'!$N:$N,Category!AY$1,'2022'!$D:$D,Category!$C319)</f>
        <v>0</v>
      </c>
      <c r="AZ319" s="250">
        <f t="shared" si="119"/>
        <v>0</v>
      </c>
      <c r="BA319" s="507">
        <f>IFERROR(VLOOKUP(C319,'2023'!$D:$G,4,0),0)</f>
        <v>0</v>
      </c>
      <c r="BB319" s="234">
        <f>SUMIFS('2023'!$I:$I,'2023'!$E:$E,Category!$B$278,'2023'!$N:$N,Category!BB$1,'2023'!$D:$D,Category!$C319)</f>
        <v>0</v>
      </c>
      <c r="BC319" s="234">
        <f>SUMIFS('2023'!$I:$I,'2023'!$E:$E,Category!$B$278,'2023'!$N:$N,Category!BC$1,'2023'!$D:$D,Category!$C319)</f>
        <v>0</v>
      </c>
      <c r="BD319" s="234">
        <f>SUMIFS('2023'!$I:$I,'2023'!$E:$E,Category!$B$278,'2023'!$N:$N,Category!BD$1,'2023'!$D:$D,Category!$C319)</f>
        <v>0</v>
      </c>
      <c r="BE319" s="234">
        <f>SUMIFS('2023'!$I:$I,'2023'!$E:$E,Category!$B$278,'2023'!$N:$N,Category!BE$1,'2023'!$D:$D,Category!$C319)</f>
        <v>0</v>
      </c>
      <c r="BF319" s="234">
        <f>SUMIFS('2023'!$I:$I,'2023'!$E:$E,Category!$B$278,'2023'!$N:$N,Category!BF$1,'2023'!$D:$D,Category!$C319)</f>
        <v>0</v>
      </c>
      <c r="BG319" s="234">
        <f>SUMIFS('2023'!$I:$I,'2023'!$E:$E,Category!$B$278,'2023'!$N:$N,Category!BG$1,'2023'!$D:$D,Category!$C319)</f>
        <v>0</v>
      </c>
      <c r="BH319" s="234">
        <f>SUMIFS('2023'!$I:$I,'2023'!$E:$E,Category!$B$278,'2023'!$N:$N,Category!BH$1,'2023'!$D:$D,Category!$C319)</f>
        <v>0</v>
      </c>
      <c r="BI319" s="234">
        <f>SUMIFS('2023'!$I:$I,'2023'!$E:$E,Category!$B$278,'2023'!$N:$N,Category!BI$1,'2023'!$D:$D,Category!$C319)</f>
        <v>0</v>
      </c>
      <c r="BJ319" s="234">
        <f>SUMIFS('2023'!$I:$I,'2023'!$E:$E,Category!$B$278,'2023'!$N:$N,Category!BJ$1,'2023'!$D:$D,Category!$C319)</f>
        <v>0</v>
      </c>
      <c r="BK319" s="234">
        <f>SUMIFS('2023'!$I:$I,'2023'!$E:$E,Category!$B$278,'2023'!$N:$N,Category!BK$1,'2023'!$D:$D,Category!$C319)</f>
        <v>0</v>
      </c>
      <c r="BL319" s="234">
        <f>SUMIFS('2023'!$I:$I,'2023'!$E:$E,Category!$B$278,'2023'!$N:$N,Category!BL$1,'2023'!$D:$D,Category!$C319)</f>
        <v>0</v>
      </c>
      <c r="BM319" s="234">
        <f>SUMIFS('2023'!$I:$I,'2023'!$E:$E,Category!$B$278,'2023'!$N:$N,Category!BM$1,'2023'!$D:$D,Category!$C319)</f>
        <v>0</v>
      </c>
      <c r="BN319" s="250">
        <f t="shared" si="114"/>
        <v>0</v>
      </c>
    </row>
    <row r="320" spans="1:66" ht="21" hidden="1" customHeight="1" x14ac:dyDescent="0.3">
      <c r="A320" s="249"/>
      <c r="B320" s="235"/>
      <c r="C320" s="235"/>
      <c r="D320" s="527">
        <f>IFERROR(VLOOKUP($C320,'2019'!$D:$G,4,0),0)</f>
        <v>0</v>
      </c>
      <c r="E320" s="234">
        <f>SUMIFS('2019'!$I:$I,'2019'!$E:$E,Category!$B$278,'2019'!$N:$N,Category!E$1,'2019'!$D:$D,Category!$C320)</f>
        <v>0</v>
      </c>
      <c r="F320" s="234">
        <f>SUMIFS('2019'!$I:$I,'2019'!$E:$E,Category!$B$278,'2019'!$N:$N,Category!F$1,'2019'!$D:$D,Category!$C320)</f>
        <v>0</v>
      </c>
      <c r="G320" s="234">
        <f>SUMIFS('2019'!$I:$I,'2019'!$E:$E,Category!$B$278,'2019'!$N:$N,Category!G$1,'2019'!$D:$D,Category!$C320)</f>
        <v>0</v>
      </c>
      <c r="H320" s="234">
        <f>SUMIFS('2019'!$I:$I,'2019'!$E:$E,Category!$B$278,'2019'!$N:$N,Category!H$1,'2019'!$D:$D,Category!$C320)</f>
        <v>0</v>
      </c>
      <c r="I320" s="234">
        <f>SUMIFS('2019'!$I:$I,'2019'!$E:$E,Category!$B$278,'2019'!$N:$N,Category!I$1,'2019'!$D:$D,Category!$C320)</f>
        <v>0</v>
      </c>
      <c r="J320" s="234">
        <f t="shared" si="116"/>
        <v>0</v>
      </c>
      <c r="K320" s="507">
        <f>IFERROR(VLOOKUP($C320,'2020'!$D:$G,4,0),0)</f>
        <v>0</v>
      </c>
      <c r="L320" s="234">
        <f>SUMIFS('2020'!$I:$I,'2020'!$E:$E,Category!$B$278,'2020'!$N:$N,Category!L$1,'2020'!$D:$D,Category!$C320)</f>
        <v>0</v>
      </c>
      <c r="M320" s="234">
        <f>SUMIFS('2020'!$I:$I,'2020'!$E:$E,Category!$B$278,'2020'!$N:$N,Category!M$1,'2020'!$D:$D,Category!$C320)</f>
        <v>0</v>
      </c>
      <c r="N320" s="234">
        <f>SUMIFS('2020'!$I:$I,'2020'!$E:$E,Category!$B$278,'2020'!$N:$N,Category!N$1,'2020'!$D:$D,Category!$C320)</f>
        <v>0</v>
      </c>
      <c r="O320" s="234">
        <f>SUMIFS('2020'!$I:$I,'2020'!$E:$E,Category!$B$278,'2020'!$N:$N,Category!O$1,'2020'!$D:$D,Category!$C320)</f>
        <v>0</v>
      </c>
      <c r="P320" s="234">
        <f>SUMIFS('2020'!$I:$I,'2020'!$E:$E,Category!$B$278,'2020'!$N:$N,Category!P$1,'2020'!$D:$D,Category!$C320)</f>
        <v>0</v>
      </c>
      <c r="Q320" s="234">
        <f>SUMIFS('2020'!$I:$I,'2020'!$E:$E,Category!$B$278,'2020'!$N:$N,Category!Q$1,'2020'!$D:$D,Category!$C320)</f>
        <v>0</v>
      </c>
      <c r="R320" s="234">
        <f>SUMIFS('2020'!$I:$I,'2020'!$E:$E,Category!$B$278,'2020'!$N:$N,Category!R$1,'2020'!$D:$D,Category!$C320)</f>
        <v>0</v>
      </c>
      <c r="S320" s="234">
        <f>SUMIFS('2020'!$I:$I,'2020'!$E:$E,Category!$B$278,'2020'!$N:$N,Category!S$1,'2020'!$D:$D,Category!$C320)</f>
        <v>0</v>
      </c>
      <c r="T320" s="234">
        <f>SUMIFS('2020'!$I:$I,'2020'!$E:$E,Category!$B$278,'2020'!$N:$N,Category!T$1,'2020'!$D:$D,Category!$C320)</f>
        <v>0</v>
      </c>
      <c r="U320" s="234">
        <f>SUMIFS('2020'!$I:$I,'2020'!$E:$E,Category!$B$278,'2020'!$N:$N,Category!U$1,'2020'!$D:$D,Category!$C320)</f>
        <v>0</v>
      </c>
      <c r="V320" s="234">
        <f>SUMIFS('2020'!$I:$I,'2020'!$E:$E,Category!$B$278,'2020'!$N:$N,Category!V$1,'2020'!$D:$D,Category!$C320)</f>
        <v>0</v>
      </c>
      <c r="W320" s="234">
        <f>SUMIFS('2020'!$I:$I,'2020'!$E:$E,Category!$B$278,'2020'!$N:$N,Category!W$1,'2020'!$D:$D,Category!$C320)</f>
        <v>0</v>
      </c>
      <c r="X320" s="234">
        <f t="shared" si="117"/>
        <v>0</v>
      </c>
      <c r="Y320" s="507">
        <f>IFERROR(VLOOKUP(C320,'2021'!$D:$G,4,0),0)</f>
        <v>0</v>
      </c>
      <c r="Z320" s="234">
        <f>SUMIFS('2021'!$I:$I,'2021'!$E:$E,Category!$B$278,'2021'!$N:$N,Category!Z$1,'2021'!$D:$D,Category!$C320)</f>
        <v>0</v>
      </c>
      <c r="AA320" s="234">
        <f>SUMIFS('2021'!$I:$I,'2021'!$E:$E,Category!$B$278,'2021'!$N:$N,Category!AA$1,'2021'!$D:$D,Category!$C320)</f>
        <v>0</v>
      </c>
      <c r="AB320" s="234">
        <f>SUMIFS('2021'!$I:$I,'2021'!$E:$E,Category!$B$278,'2021'!$N:$N,Category!AB$1,'2021'!$D:$D,Category!$C320)</f>
        <v>0</v>
      </c>
      <c r="AC320" s="234">
        <f>SUMIFS('2021'!$I:$I,'2021'!$E:$E,Category!$B$278,'2021'!$N:$N,Category!AC$1,'2021'!$D:$D,Category!$C320)</f>
        <v>0</v>
      </c>
      <c r="AD320" s="234">
        <f>SUMIFS('2021'!$I:$I,'2021'!$E:$E,Category!$B$278,'2021'!$N:$N,Category!AD$1,'2021'!$D:$D,Category!$C320)</f>
        <v>0</v>
      </c>
      <c r="AE320" s="234">
        <f>SUMIFS('2021'!$I:$I,'2021'!$E:$E,Category!$B$278,'2021'!$N:$N,Category!AE$1,'2021'!$D:$D,Category!$C320)</f>
        <v>0</v>
      </c>
      <c r="AF320" s="234">
        <f>SUMIFS('2021'!$I:$I,'2021'!$E:$E,Category!$B$278,'2021'!$N:$N,Category!AF$1,'2021'!$D:$D,Category!$C320)</f>
        <v>0</v>
      </c>
      <c r="AG320" s="234">
        <f>SUMIFS('2021'!$I:$I,'2021'!$E:$E,Category!$B$278,'2021'!$N:$N,Category!AG$1,'2021'!$D:$D,Category!$C320)</f>
        <v>0</v>
      </c>
      <c r="AH320" s="234">
        <f>SUMIFS('2021'!$I:$I,'2021'!$E:$E,Category!$B$278,'2021'!$N:$N,Category!AH$1,'2021'!$D:$D,Category!$C320)</f>
        <v>0</v>
      </c>
      <c r="AI320" s="234">
        <f>SUMIFS('2021'!$I:$I,'2021'!$E:$E,Category!$B$278,'2021'!$N:$N,Category!AI$1,'2021'!$D:$D,Category!$C320)</f>
        <v>0</v>
      </c>
      <c r="AJ320" s="234">
        <f>SUMIFS('2021'!$I:$I,'2021'!$E:$E,Category!$B$278,'2021'!$N:$N,Category!AJ$1,'2021'!$D:$D,Category!$C320)</f>
        <v>0</v>
      </c>
      <c r="AK320" s="234">
        <f>SUMIFS('2021'!$I:$I,'2021'!$E:$E,Category!$B$278,'2021'!$N:$N,Category!AK$1,'2021'!$D:$D,Category!$C320)</f>
        <v>0</v>
      </c>
      <c r="AL320" s="250">
        <f t="shared" si="118"/>
        <v>0</v>
      </c>
      <c r="AM320" s="507">
        <f>IFERROR(VLOOKUP(C320,'2022'!$D:$G,4,0),0)</f>
        <v>0</v>
      </c>
      <c r="AN320" s="234">
        <f>SUMIFS('2022'!$I:$I,'2022'!$E:$E,Category!$B$278,'2022'!$N:$N,Category!AN$1,'2022'!$D:$D,Category!$C320)</f>
        <v>0</v>
      </c>
      <c r="AO320" s="234">
        <f>SUMIFS('2022'!$I:$I,'2022'!$E:$E,Category!$B$278,'2022'!$N:$N,Category!AO$1,'2022'!$D:$D,Category!$C320)</f>
        <v>0</v>
      </c>
      <c r="AP320" s="234">
        <f>SUMIFS('2022'!$I:$I,'2022'!$E:$E,Category!$B$278,'2022'!$N:$N,Category!AP$1,'2022'!$D:$D,Category!$C320)</f>
        <v>0</v>
      </c>
      <c r="AQ320" s="234">
        <f>SUMIFS('2022'!$I:$I,'2022'!$E:$E,Category!$B$278,'2022'!$N:$N,Category!AQ$1,'2022'!$D:$D,Category!$C320)</f>
        <v>0</v>
      </c>
      <c r="AR320" s="234">
        <f>SUMIFS('2022'!$I:$I,'2022'!$E:$E,Category!$B$278,'2022'!$N:$N,Category!AR$1,'2022'!$D:$D,Category!$C320)</f>
        <v>0</v>
      </c>
      <c r="AS320" s="234">
        <f>SUMIFS('2022'!$I:$I,'2022'!$E:$E,Category!$B$278,'2022'!$N:$N,Category!AS$1,'2022'!$D:$D,Category!$C320)</f>
        <v>0</v>
      </c>
      <c r="AT320" s="234">
        <f>SUMIFS('2022'!$I:$I,'2022'!$E:$E,Category!$B$278,'2022'!$N:$N,Category!AT$1,'2022'!$D:$D,Category!$C320)</f>
        <v>0</v>
      </c>
      <c r="AU320" s="234">
        <f>SUMIFS('2022'!$I:$I,'2022'!$E:$E,Category!$B$278,'2022'!$N:$N,Category!AU$1,'2022'!$D:$D,Category!$C320)</f>
        <v>0</v>
      </c>
      <c r="AV320" s="234">
        <f>SUMIFS('2022'!$I:$I,'2022'!$E:$E,Category!$B$278,'2022'!$N:$N,Category!AV$1,'2022'!$D:$D,Category!$C320)</f>
        <v>0</v>
      </c>
      <c r="AW320" s="234">
        <f>SUMIFS('2022'!$I:$I,'2022'!$E:$E,Category!$B$278,'2022'!$N:$N,Category!AW$1,'2022'!$D:$D,Category!$C320)</f>
        <v>0</v>
      </c>
      <c r="AX320" s="234">
        <f>SUMIFS('2022'!$I:$I,'2022'!$E:$E,Category!$B$278,'2022'!$N:$N,Category!AX$1,'2022'!$D:$D,Category!$C320)</f>
        <v>0</v>
      </c>
      <c r="AY320" s="234">
        <f>SUMIFS('2022'!$I:$I,'2022'!$E:$E,Category!$B$278,'2022'!$N:$N,Category!AY$1,'2022'!$D:$D,Category!$C320)</f>
        <v>0</v>
      </c>
      <c r="AZ320" s="250">
        <f t="shared" si="119"/>
        <v>0</v>
      </c>
      <c r="BA320" s="507">
        <f>IFERROR(VLOOKUP(C320,'2023'!$D:$G,4,0),0)</f>
        <v>0</v>
      </c>
      <c r="BB320" s="234">
        <f>SUMIFS('2023'!$I:$I,'2023'!$E:$E,Category!$B$278,'2023'!$N:$N,Category!BB$1,'2023'!$D:$D,Category!$C320)</f>
        <v>0</v>
      </c>
      <c r="BC320" s="234">
        <f>SUMIFS('2023'!$I:$I,'2023'!$E:$E,Category!$B$278,'2023'!$N:$N,Category!BC$1,'2023'!$D:$D,Category!$C320)</f>
        <v>0</v>
      </c>
      <c r="BD320" s="234">
        <f>SUMIFS('2023'!$I:$I,'2023'!$E:$E,Category!$B$278,'2023'!$N:$N,Category!BD$1,'2023'!$D:$D,Category!$C320)</f>
        <v>0</v>
      </c>
      <c r="BE320" s="234">
        <f>SUMIFS('2023'!$I:$I,'2023'!$E:$E,Category!$B$278,'2023'!$N:$N,Category!BE$1,'2023'!$D:$D,Category!$C320)</f>
        <v>0</v>
      </c>
      <c r="BF320" s="234">
        <f>SUMIFS('2023'!$I:$I,'2023'!$E:$E,Category!$B$278,'2023'!$N:$N,Category!BF$1,'2023'!$D:$D,Category!$C320)</f>
        <v>0</v>
      </c>
      <c r="BG320" s="234">
        <f>SUMIFS('2023'!$I:$I,'2023'!$E:$E,Category!$B$278,'2023'!$N:$N,Category!BG$1,'2023'!$D:$D,Category!$C320)</f>
        <v>0</v>
      </c>
      <c r="BH320" s="234">
        <f>SUMIFS('2023'!$I:$I,'2023'!$E:$E,Category!$B$278,'2023'!$N:$N,Category!BH$1,'2023'!$D:$D,Category!$C320)</f>
        <v>0</v>
      </c>
      <c r="BI320" s="234">
        <f>SUMIFS('2023'!$I:$I,'2023'!$E:$E,Category!$B$278,'2023'!$N:$N,Category!BI$1,'2023'!$D:$D,Category!$C320)</f>
        <v>0</v>
      </c>
      <c r="BJ320" s="234">
        <f>SUMIFS('2023'!$I:$I,'2023'!$E:$E,Category!$B$278,'2023'!$N:$N,Category!BJ$1,'2023'!$D:$D,Category!$C320)</f>
        <v>0</v>
      </c>
      <c r="BK320" s="234">
        <f>SUMIFS('2023'!$I:$I,'2023'!$E:$E,Category!$B$278,'2023'!$N:$N,Category!BK$1,'2023'!$D:$D,Category!$C320)</f>
        <v>0</v>
      </c>
      <c r="BL320" s="234">
        <f>SUMIFS('2023'!$I:$I,'2023'!$E:$E,Category!$B$278,'2023'!$N:$N,Category!BL$1,'2023'!$D:$D,Category!$C320)</f>
        <v>0</v>
      </c>
      <c r="BM320" s="234">
        <f>SUMIFS('2023'!$I:$I,'2023'!$E:$E,Category!$B$278,'2023'!$N:$N,Category!BM$1,'2023'!$D:$D,Category!$C320)</f>
        <v>0</v>
      </c>
      <c r="BN320" s="250">
        <f t="shared" si="114"/>
        <v>0</v>
      </c>
    </row>
    <row r="321" spans="1:66" ht="21" hidden="1" customHeight="1" x14ac:dyDescent="0.3">
      <c r="A321" s="249"/>
      <c r="B321" s="235"/>
      <c r="C321" s="235"/>
      <c r="D321" s="527">
        <f>IFERROR(VLOOKUP($C321,'2019'!$D:$G,4,0),0)</f>
        <v>0</v>
      </c>
      <c r="E321" s="234">
        <f>SUMIFS('2019'!$I:$I,'2019'!$E:$E,Category!$B$278,'2019'!$N:$N,Category!E$1,'2019'!$D:$D,Category!$C321)</f>
        <v>0</v>
      </c>
      <c r="F321" s="234">
        <f>SUMIFS('2019'!$I:$I,'2019'!$E:$E,Category!$B$278,'2019'!$N:$N,Category!F$1,'2019'!$D:$D,Category!$C321)</f>
        <v>0</v>
      </c>
      <c r="G321" s="234">
        <f>SUMIFS('2019'!$I:$I,'2019'!$E:$E,Category!$B$278,'2019'!$N:$N,Category!G$1,'2019'!$D:$D,Category!$C321)</f>
        <v>0</v>
      </c>
      <c r="H321" s="234">
        <f>SUMIFS('2019'!$I:$I,'2019'!$E:$E,Category!$B$278,'2019'!$N:$N,Category!H$1,'2019'!$D:$D,Category!$C321)</f>
        <v>0</v>
      </c>
      <c r="I321" s="234">
        <f>SUMIFS('2019'!$I:$I,'2019'!$E:$E,Category!$B$278,'2019'!$N:$N,Category!I$1,'2019'!$D:$D,Category!$C321)</f>
        <v>0</v>
      </c>
      <c r="J321" s="234">
        <f t="shared" si="116"/>
        <v>0</v>
      </c>
      <c r="K321" s="507">
        <f>IFERROR(VLOOKUP($C321,'2020'!$D:$G,4,0),0)</f>
        <v>0</v>
      </c>
      <c r="L321" s="234">
        <f>SUMIFS('2020'!$I:$I,'2020'!$E:$E,Category!$B$278,'2020'!$N:$N,Category!L$1,'2020'!$D:$D,Category!$C321)</f>
        <v>0</v>
      </c>
      <c r="M321" s="234">
        <f>SUMIFS('2020'!$I:$I,'2020'!$E:$E,Category!$B$278,'2020'!$N:$N,Category!M$1,'2020'!$D:$D,Category!$C321)</f>
        <v>0</v>
      </c>
      <c r="N321" s="234">
        <f>SUMIFS('2020'!$I:$I,'2020'!$E:$E,Category!$B$278,'2020'!$N:$N,Category!N$1,'2020'!$D:$D,Category!$C321)</f>
        <v>0</v>
      </c>
      <c r="O321" s="234">
        <f>SUMIFS('2020'!$I:$I,'2020'!$E:$E,Category!$B$278,'2020'!$N:$N,Category!O$1,'2020'!$D:$D,Category!$C321)</f>
        <v>0</v>
      </c>
      <c r="P321" s="234">
        <f>SUMIFS('2020'!$I:$I,'2020'!$E:$E,Category!$B$278,'2020'!$N:$N,Category!P$1,'2020'!$D:$D,Category!$C321)</f>
        <v>0</v>
      </c>
      <c r="Q321" s="234">
        <f>SUMIFS('2020'!$I:$I,'2020'!$E:$E,Category!$B$278,'2020'!$N:$N,Category!Q$1,'2020'!$D:$D,Category!$C321)</f>
        <v>0</v>
      </c>
      <c r="R321" s="234">
        <f>SUMIFS('2020'!$I:$I,'2020'!$E:$E,Category!$B$278,'2020'!$N:$N,Category!R$1,'2020'!$D:$D,Category!$C321)</f>
        <v>0</v>
      </c>
      <c r="S321" s="234">
        <f>SUMIFS('2020'!$I:$I,'2020'!$E:$E,Category!$B$278,'2020'!$N:$N,Category!S$1,'2020'!$D:$D,Category!$C321)</f>
        <v>0</v>
      </c>
      <c r="T321" s="234">
        <f>SUMIFS('2020'!$I:$I,'2020'!$E:$E,Category!$B$278,'2020'!$N:$N,Category!T$1,'2020'!$D:$D,Category!$C321)</f>
        <v>0</v>
      </c>
      <c r="U321" s="234">
        <f>SUMIFS('2020'!$I:$I,'2020'!$E:$E,Category!$B$278,'2020'!$N:$N,Category!U$1,'2020'!$D:$D,Category!$C321)</f>
        <v>0</v>
      </c>
      <c r="V321" s="234">
        <f>SUMIFS('2020'!$I:$I,'2020'!$E:$E,Category!$B$278,'2020'!$N:$N,Category!V$1,'2020'!$D:$D,Category!$C321)</f>
        <v>0</v>
      </c>
      <c r="W321" s="234">
        <f>SUMIFS('2020'!$I:$I,'2020'!$E:$E,Category!$B$278,'2020'!$N:$N,Category!W$1,'2020'!$D:$D,Category!$C321)</f>
        <v>0</v>
      </c>
      <c r="X321" s="234">
        <f t="shared" si="117"/>
        <v>0</v>
      </c>
      <c r="Y321" s="507">
        <f>IFERROR(VLOOKUP(C321,'2021'!$D:$G,4,0),0)</f>
        <v>0</v>
      </c>
      <c r="Z321" s="234">
        <f>SUMIFS('2021'!$I:$I,'2021'!$E:$E,Category!$B$278,'2021'!$N:$N,Category!Z$1,'2021'!$D:$D,Category!$C321)</f>
        <v>0</v>
      </c>
      <c r="AA321" s="234">
        <f>SUMIFS('2021'!$I:$I,'2021'!$E:$E,Category!$B$278,'2021'!$N:$N,Category!AA$1,'2021'!$D:$D,Category!$C321)</f>
        <v>0</v>
      </c>
      <c r="AB321" s="234">
        <f>SUMIFS('2021'!$I:$I,'2021'!$E:$E,Category!$B$278,'2021'!$N:$N,Category!AB$1,'2021'!$D:$D,Category!$C321)</f>
        <v>0</v>
      </c>
      <c r="AC321" s="234">
        <f>SUMIFS('2021'!$I:$I,'2021'!$E:$E,Category!$B$278,'2021'!$N:$N,Category!AC$1,'2021'!$D:$D,Category!$C321)</f>
        <v>0</v>
      </c>
      <c r="AD321" s="234">
        <f>SUMIFS('2021'!$I:$I,'2021'!$E:$E,Category!$B$278,'2021'!$N:$N,Category!AD$1,'2021'!$D:$D,Category!$C321)</f>
        <v>0</v>
      </c>
      <c r="AE321" s="234">
        <f>SUMIFS('2021'!$I:$I,'2021'!$E:$E,Category!$B$278,'2021'!$N:$N,Category!AE$1,'2021'!$D:$D,Category!$C321)</f>
        <v>0</v>
      </c>
      <c r="AF321" s="234">
        <f>SUMIFS('2021'!$I:$I,'2021'!$E:$E,Category!$B$278,'2021'!$N:$N,Category!AF$1,'2021'!$D:$D,Category!$C321)</f>
        <v>0</v>
      </c>
      <c r="AG321" s="234">
        <f>SUMIFS('2021'!$I:$I,'2021'!$E:$E,Category!$B$278,'2021'!$N:$N,Category!AG$1,'2021'!$D:$D,Category!$C321)</f>
        <v>0</v>
      </c>
      <c r="AH321" s="234">
        <f>SUMIFS('2021'!$I:$I,'2021'!$E:$E,Category!$B$278,'2021'!$N:$N,Category!AH$1,'2021'!$D:$D,Category!$C321)</f>
        <v>0</v>
      </c>
      <c r="AI321" s="234">
        <f>SUMIFS('2021'!$I:$I,'2021'!$E:$E,Category!$B$278,'2021'!$N:$N,Category!AI$1,'2021'!$D:$D,Category!$C321)</f>
        <v>0</v>
      </c>
      <c r="AJ321" s="234">
        <f>SUMIFS('2021'!$I:$I,'2021'!$E:$E,Category!$B$278,'2021'!$N:$N,Category!AJ$1,'2021'!$D:$D,Category!$C321)</f>
        <v>0</v>
      </c>
      <c r="AK321" s="234">
        <f>SUMIFS('2021'!$I:$I,'2021'!$E:$E,Category!$B$278,'2021'!$N:$N,Category!AK$1,'2021'!$D:$D,Category!$C321)</f>
        <v>0</v>
      </c>
      <c r="AL321" s="250">
        <f t="shared" si="118"/>
        <v>0</v>
      </c>
      <c r="AM321" s="507">
        <f>IFERROR(VLOOKUP(C321,'2022'!$D:$G,4,0),0)</f>
        <v>0</v>
      </c>
      <c r="AN321" s="234">
        <f>SUMIFS('2022'!$I:$I,'2022'!$E:$E,Category!$B$278,'2022'!$N:$N,Category!AN$1,'2022'!$D:$D,Category!$C321)</f>
        <v>0</v>
      </c>
      <c r="AO321" s="234">
        <f>SUMIFS('2022'!$I:$I,'2022'!$E:$E,Category!$B$278,'2022'!$N:$N,Category!AO$1,'2022'!$D:$D,Category!$C321)</f>
        <v>0</v>
      </c>
      <c r="AP321" s="234">
        <f>SUMIFS('2022'!$I:$I,'2022'!$E:$E,Category!$B$278,'2022'!$N:$N,Category!AP$1,'2022'!$D:$D,Category!$C321)</f>
        <v>0</v>
      </c>
      <c r="AQ321" s="234">
        <f>SUMIFS('2022'!$I:$I,'2022'!$E:$E,Category!$B$278,'2022'!$N:$N,Category!AQ$1,'2022'!$D:$D,Category!$C321)</f>
        <v>0</v>
      </c>
      <c r="AR321" s="234">
        <f>SUMIFS('2022'!$I:$I,'2022'!$E:$E,Category!$B$278,'2022'!$N:$N,Category!AR$1,'2022'!$D:$D,Category!$C321)</f>
        <v>0</v>
      </c>
      <c r="AS321" s="234">
        <f>SUMIFS('2022'!$I:$I,'2022'!$E:$E,Category!$B$278,'2022'!$N:$N,Category!AS$1,'2022'!$D:$D,Category!$C321)</f>
        <v>0</v>
      </c>
      <c r="AT321" s="234">
        <f>SUMIFS('2022'!$I:$I,'2022'!$E:$E,Category!$B$278,'2022'!$N:$N,Category!AT$1,'2022'!$D:$D,Category!$C321)</f>
        <v>0</v>
      </c>
      <c r="AU321" s="234">
        <f>SUMIFS('2022'!$I:$I,'2022'!$E:$E,Category!$B$278,'2022'!$N:$N,Category!AU$1,'2022'!$D:$D,Category!$C321)</f>
        <v>0</v>
      </c>
      <c r="AV321" s="234">
        <f>SUMIFS('2022'!$I:$I,'2022'!$E:$E,Category!$B$278,'2022'!$N:$N,Category!AV$1,'2022'!$D:$D,Category!$C321)</f>
        <v>0</v>
      </c>
      <c r="AW321" s="234">
        <f>SUMIFS('2022'!$I:$I,'2022'!$E:$E,Category!$B$278,'2022'!$N:$N,Category!AW$1,'2022'!$D:$D,Category!$C321)</f>
        <v>0</v>
      </c>
      <c r="AX321" s="234">
        <f>SUMIFS('2022'!$I:$I,'2022'!$E:$E,Category!$B$278,'2022'!$N:$N,Category!AX$1,'2022'!$D:$D,Category!$C321)</f>
        <v>0</v>
      </c>
      <c r="AY321" s="234">
        <f>SUMIFS('2022'!$I:$I,'2022'!$E:$E,Category!$B$278,'2022'!$N:$N,Category!AY$1,'2022'!$D:$D,Category!$C321)</f>
        <v>0</v>
      </c>
      <c r="AZ321" s="250">
        <f t="shared" si="119"/>
        <v>0</v>
      </c>
      <c r="BA321" s="507">
        <f>IFERROR(VLOOKUP(C321,'2023'!$D:$G,4,0),0)</f>
        <v>0</v>
      </c>
      <c r="BB321" s="234">
        <f>SUMIFS('2023'!$I:$I,'2023'!$E:$E,Category!$B$278,'2023'!$N:$N,Category!BB$1,'2023'!$D:$D,Category!$C321)</f>
        <v>0</v>
      </c>
      <c r="BC321" s="234">
        <f>SUMIFS('2023'!$I:$I,'2023'!$E:$E,Category!$B$278,'2023'!$N:$N,Category!BC$1,'2023'!$D:$D,Category!$C321)</f>
        <v>0</v>
      </c>
      <c r="BD321" s="234">
        <f>SUMIFS('2023'!$I:$I,'2023'!$E:$E,Category!$B$278,'2023'!$N:$N,Category!BD$1,'2023'!$D:$D,Category!$C321)</f>
        <v>0</v>
      </c>
      <c r="BE321" s="234">
        <f>SUMIFS('2023'!$I:$I,'2023'!$E:$E,Category!$B$278,'2023'!$N:$N,Category!BE$1,'2023'!$D:$D,Category!$C321)</f>
        <v>0</v>
      </c>
      <c r="BF321" s="234">
        <f>SUMIFS('2023'!$I:$I,'2023'!$E:$E,Category!$B$278,'2023'!$N:$N,Category!BF$1,'2023'!$D:$D,Category!$C321)</f>
        <v>0</v>
      </c>
      <c r="BG321" s="234">
        <f>SUMIFS('2023'!$I:$I,'2023'!$E:$E,Category!$B$278,'2023'!$N:$N,Category!BG$1,'2023'!$D:$D,Category!$C321)</f>
        <v>0</v>
      </c>
      <c r="BH321" s="234">
        <f>SUMIFS('2023'!$I:$I,'2023'!$E:$E,Category!$B$278,'2023'!$N:$N,Category!BH$1,'2023'!$D:$D,Category!$C321)</f>
        <v>0</v>
      </c>
      <c r="BI321" s="234">
        <f>SUMIFS('2023'!$I:$I,'2023'!$E:$E,Category!$B$278,'2023'!$N:$N,Category!BI$1,'2023'!$D:$D,Category!$C321)</f>
        <v>0</v>
      </c>
      <c r="BJ321" s="234">
        <f>SUMIFS('2023'!$I:$I,'2023'!$E:$E,Category!$B$278,'2023'!$N:$N,Category!BJ$1,'2023'!$D:$D,Category!$C321)</f>
        <v>0</v>
      </c>
      <c r="BK321" s="234">
        <f>SUMIFS('2023'!$I:$I,'2023'!$E:$E,Category!$B$278,'2023'!$N:$N,Category!BK$1,'2023'!$D:$D,Category!$C321)</f>
        <v>0</v>
      </c>
      <c r="BL321" s="234">
        <f>SUMIFS('2023'!$I:$I,'2023'!$E:$E,Category!$B$278,'2023'!$N:$N,Category!BL$1,'2023'!$D:$D,Category!$C321)</f>
        <v>0</v>
      </c>
      <c r="BM321" s="234">
        <f>SUMIFS('2023'!$I:$I,'2023'!$E:$E,Category!$B$278,'2023'!$N:$N,Category!BM$1,'2023'!$D:$D,Category!$C321)</f>
        <v>0</v>
      </c>
      <c r="BN321" s="250">
        <f t="shared" si="114"/>
        <v>0</v>
      </c>
    </row>
    <row r="322" spans="1:66" ht="21" hidden="1" customHeight="1" x14ac:dyDescent="0.3">
      <c r="A322" s="249"/>
      <c r="B322" s="235"/>
      <c r="C322" s="235"/>
      <c r="D322" s="527">
        <f>IFERROR(VLOOKUP($C322,'2019'!$D:$G,4,0),0)</f>
        <v>0</v>
      </c>
      <c r="E322" s="234">
        <f>SUMIFS('2019'!$I:$I,'2019'!$E:$E,Category!$B$278,'2019'!$N:$N,Category!E$1,'2019'!$D:$D,Category!$C322)</f>
        <v>0</v>
      </c>
      <c r="F322" s="234">
        <f>SUMIFS('2019'!$I:$I,'2019'!$E:$E,Category!$B$278,'2019'!$N:$N,Category!F$1,'2019'!$D:$D,Category!$C322)</f>
        <v>0</v>
      </c>
      <c r="G322" s="234">
        <f>SUMIFS('2019'!$I:$I,'2019'!$E:$E,Category!$B$278,'2019'!$N:$N,Category!G$1,'2019'!$D:$D,Category!$C322)</f>
        <v>0</v>
      </c>
      <c r="H322" s="234">
        <f>SUMIFS('2019'!$I:$I,'2019'!$E:$E,Category!$B$278,'2019'!$N:$N,Category!H$1,'2019'!$D:$D,Category!$C322)</f>
        <v>0</v>
      </c>
      <c r="I322" s="234">
        <f>SUMIFS('2019'!$I:$I,'2019'!$E:$E,Category!$B$278,'2019'!$N:$N,Category!I$1,'2019'!$D:$D,Category!$C322)</f>
        <v>0</v>
      </c>
      <c r="J322" s="234">
        <f t="shared" si="116"/>
        <v>0</v>
      </c>
      <c r="K322" s="507">
        <f>IFERROR(VLOOKUP($C322,'2020'!$D:$G,4,0),0)</f>
        <v>0</v>
      </c>
      <c r="L322" s="234">
        <f>SUMIFS('2020'!$I:$I,'2020'!$E:$E,Category!$B$278,'2020'!$N:$N,Category!L$1,'2020'!$D:$D,Category!$C322)</f>
        <v>0</v>
      </c>
      <c r="M322" s="234">
        <f>SUMIFS('2020'!$I:$I,'2020'!$E:$E,Category!$B$278,'2020'!$N:$N,Category!M$1,'2020'!$D:$D,Category!$C322)</f>
        <v>0</v>
      </c>
      <c r="N322" s="234">
        <f>SUMIFS('2020'!$I:$I,'2020'!$E:$E,Category!$B$278,'2020'!$N:$N,Category!N$1,'2020'!$D:$D,Category!$C322)</f>
        <v>0</v>
      </c>
      <c r="O322" s="234">
        <f>SUMIFS('2020'!$I:$I,'2020'!$E:$E,Category!$B$278,'2020'!$N:$N,Category!O$1,'2020'!$D:$D,Category!$C322)</f>
        <v>0</v>
      </c>
      <c r="P322" s="234">
        <f>SUMIFS('2020'!$I:$I,'2020'!$E:$E,Category!$B$278,'2020'!$N:$N,Category!P$1,'2020'!$D:$D,Category!$C322)</f>
        <v>0</v>
      </c>
      <c r="Q322" s="234">
        <f>SUMIFS('2020'!$I:$I,'2020'!$E:$E,Category!$B$278,'2020'!$N:$N,Category!Q$1,'2020'!$D:$D,Category!$C322)</f>
        <v>0</v>
      </c>
      <c r="R322" s="234">
        <f>SUMIFS('2020'!$I:$I,'2020'!$E:$E,Category!$B$278,'2020'!$N:$N,Category!R$1,'2020'!$D:$D,Category!$C322)</f>
        <v>0</v>
      </c>
      <c r="S322" s="234">
        <f>SUMIFS('2020'!$I:$I,'2020'!$E:$E,Category!$B$278,'2020'!$N:$N,Category!S$1,'2020'!$D:$D,Category!$C322)</f>
        <v>0</v>
      </c>
      <c r="T322" s="234">
        <f>SUMIFS('2020'!$I:$I,'2020'!$E:$E,Category!$B$278,'2020'!$N:$N,Category!T$1,'2020'!$D:$D,Category!$C322)</f>
        <v>0</v>
      </c>
      <c r="U322" s="234">
        <f>SUMIFS('2020'!$I:$I,'2020'!$E:$E,Category!$B$278,'2020'!$N:$N,Category!U$1,'2020'!$D:$D,Category!$C322)</f>
        <v>0</v>
      </c>
      <c r="V322" s="234">
        <f>SUMIFS('2020'!$I:$I,'2020'!$E:$E,Category!$B$278,'2020'!$N:$N,Category!V$1,'2020'!$D:$D,Category!$C322)</f>
        <v>0</v>
      </c>
      <c r="W322" s="234">
        <f>SUMIFS('2020'!$I:$I,'2020'!$E:$E,Category!$B$278,'2020'!$N:$N,Category!W$1,'2020'!$D:$D,Category!$C322)</f>
        <v>0</v>
      </c>
      <c r="X322" s="234">
        <f t="shared" si="117"/>
        <v>0</v>
      </c>
      <c r="Y322" s="507">
        <f>IFERROR(VLOOKUP(C322,'2021'!$D:$G,4,0),0)</f>
        <v>0</v>
      </c>
      <c r="Z322" s="234">
        <f>SUMIFS('2021'!$I:$I,'2021'!$E:$E,Category!$B$278,'2021'!$N:$N,Category!Z$1,'2021'!$D:$D,Category!$C322)</f>
        <v>0</v>
      </c>
      <c r="AA322" s="234">
        <f>SUMIFS('2021'!$I:$I,'2021'!$E:$E,Category!$B$278,'2021'!$N:$N,Category!AA$1,'2021'!$D:$D,Category!$C322)</f>
        <v>0</v>
      </c>
      <c r="AB322" s="234">
        <f>SUMIFS('2021'!$I:$I,'2021'!$E:$E,Category!$B$278,'2021'!$N:$N,Category!AB$1,'2021'!$D:$D,Category!$C322)</f>
        <v>0</v>
      </c>
      <c r="AC322" s="234">
        <f>SUMIFS('2021'!$I:$I,'2021'!$E:$E,Category!$B$278,'2021'!$N:$N,Category!AC$1,'2021'!$D:$D,Category!$C322)</f>
        <v>0</v>
      </c>
      <c r="AD322" s="234">
        <f>SUMIFS('2021'!$I:$I,'2021'!$E:$E,Category!$B$278,'2021'!$N:$N,Category!AD$1,'2021'!$D:$D,Category!$C322)</f>
        <v>0</v>
      </c>
      <c r="AE322" s="234">
        <f>SUMIFS('2021'!$I:$I,'2021'!$E:$E,Category!$B$278,'2021'!$N:$N,Category!AE$1,'2021'!$D:$D,Category!$C322)</f>
        <v>0</v>
      </c>
      <c r="AF322" s="234">
        <f>SUMIFS('2021'!$I:$I,'2021'!$E:$E,Category!$B$278,'2021'!$N:$N,Category!AF$1,'2021'!$D:$D,Category!$C322)</f>
        <v>0</v>
      </c>
      <c r="AG322" s="234">
        <f>SUMIFS('2021'!$I:$I,'2021'!$E:$E,Category!$B$278,'2021'!$N:$N,Category!AG$1,'2021'!$D:$D,Category!$C322)</f>
        <v>0</v>
      </c>
      <c r="AH322" s="234">
        <f>SUMIFS('2021'!$I:$I,'2021'!$E:$E,Category!$B$278,'2021'!$N:$N,Category!AH$1,'2021'!$D:$D,Category!$C322)</f>
        <v>0</v>
      </c>
      <c r="AI322" s="234">
        <f>SUMIFS('2021'!$I:$I,'2021'!$E:$E,Category!$B$278,'2021'!$N:$N,Category!AI$1,'2021'!$D:$D,Category!$C322)</f>
        <v>0</v>
      </c>
      <c r="AJ322" s="234">
        <f>SUMIFS('2021'!$I:$I,'2021'!$E:$E,Category!$B$278,'2021'!$N:$N,Category!AJ$1,'2021'!$D:$D,Category!$C322)</f>
        <v>0</v>
      </c>
      <c r="AK322" s="234">
        <f>SUMIFS('2021'!$I:$I,'2021'!$E:$E,Category!$B$278,'2021'!$N:$N,Category!AK$1,'2021'!$D:$D,Category!$C322)</f>
        <v>0</v>
      </c>
      <c r="AL322" s="250">
        <f t="shared" si="118"/>
        <v>0</v>
      </c>
      <c r="AM322" s="507">
        <f>IFERROR(VLOOKUP(C322,'2022'!$D:$G,4,0),0)</f>
        <v>0</v>
      </c>
      <c r="AN322" s="234">
        <f>SUMIFS('2022'!$I:$I,'2022'!$E:$E,Category!$B$278,'2022'!$N:$N,Category!AN$1,'2022'!$D:$D,Category!$C322)</f>
        <v>0</v>
      </c>
      <c r="AO322" s="234">
        <f>SUMIFS('2022'!$I:$I,'2022'!$E:$E,Category!$B$278,'2022'!$N:$N,Category!AO$1,'2022'!$D:$D,Category!$C322)</f>
        <v>0</v>
      </c>
      <c r="AP322" s="234">
        <f>SUMIFS('2022'!$I:$I,'2022'!$E:$E,Category!$B$278,'2022'!$N:$N,Category!AP$1,'2022'!$D:$D,Category!$C322)</f>
        <v>0</v>
      </c>
      <c r="AQ322" s="234">
        <f>SUMIFS('2022'!$I:$I,'2022'!$E:$E,Category!$B$278,'2022'!$N:$N,Category!AQ$1,'2022'!$D:$D,Category!$C322)</f>
        <v>0</v>
      </c>
      <c r="AR322" s="234">
        <f>SUMIFS('2022'!$I:$I,'2022'!$E:$E,Category!$B$278,'2022'!$N:$N,Category!AR$1,'2022'!$D:$D,Category!$C322)</f>
        <v>0</v>
      </c>
      <c r="AS322" s="234">
        <f>SUMIFS('2022'!$I:$I,'2022'!$E:$E,Category!$B$278,'2022'!$N:$N,Category!AS$1,'2022'!$D:$D,Category!$C322)</f>
        <v>0</v>
      </c>
      <c r="AT322" s="234">
        <f>SUMIFS('2022'!$I:$I,'2022'!$E:$E,Category!$B$278,'2022'!$N:$N,Category!AT$1,'2022'!$D:$D,Category!$C322)</f>
        <v>0</v>
      </c>
      <c r="AU322" s="234">
        <f>SUMIFS('2022'!$I:$I,'2022'!$E:$E,Category!$B$278,'2022'!$N:$N,Category!AU$1,'2022'!$D:$D,Category!$C322)</f>
        <v>0</v>
      </c>
      <c r="AV322" s="234">
        <f>SUMIFS('2022'!$I:$I,'2022'!$E:$E,Category!$B$278,'2022'!$N:$N,Category!AV$1,'2022'!$D:$D,Category!$C322)</f>
        <v>0</v>
      </c>
      <c r="AW322" s="234">
        <f>SUMIFS('2022'!$I:$I,'2022'!$E:$E,Category!$B$278,'2022'!$N:$N,Category!AW$1,'2022'!$D:$D,Category!$C322)</f>
        <v>0</v>
      </c>
      <c r="AX322" s="234">
        <f>SUMIFS('2022'!$I:$I,'2022'!$E:$E,Category!$B$278,'2022'!$N:$N,Category!AX$1,'2022'!$D:$D,Category!$C322)</f>
        <v>0</v>
      </c>
      <c r="AY322" s="234">
        <f>SUMIFS('2022'!$I:$I,'2022'!$E:$E,Category!$B$278,'2022'!$N:$N,Category!AY$1,'2022'!$D:$D,Category!$C322)</f>
        <v>0</v>
      </c>
      <c r="AZ322" s="250">
        <f t="shared" si="119"/>
        <v>0</v>
      </c>
      <c r="BA322" s="507">
        <f>IFERROR(VLOOKUP(C322,'2023'!$D:$G,4,0),0)</f>
        <v>0</v>
      </c>
      <c r="BB322" s="234">
        <f>SUMIFS('2023'!$I:$I,'2023'!$E:$E,Category!$B$278,'2023'!$N:$N,Category!BB$1,'2023'!$D:$D,Category!$C322)</f>
        <v>0</v>
      </c>
      <c r="BC322" s="234">
        <f>SUMIFS('2023'!$I:$I,'2023'!$E:$E,Category!$B$278,'2023'!$N:$N,Category!BC$1,'2023'!$D:$D,Category!$C322)</f>
        <v>0</v>
      </c>
      <c r="BD322" s="234">
        <f>SUMIFS('2023'!$I:$I,'2023'!$E:$E,Category!$B$278,'2023'!$N:$N,Category!BD$1,'2023'!$D:$D,Category!$C322)</f>
        <v>0</v>
      </c>
      <c r="BE322" s="234">
        <f>SUMIFS('2023'!$I:$I,'2023'!$E:$E,Category!$B$278,'2023'!$N:$N,Category!BE$1,'2023'!$D:$D,Category!$C322)</f>
        <v>0</v>
      </c>
      <c r="BF322" s="234">
        <f>SUMIFS('2023'!$I:$I,'2023'!$E:$E,Category!$B$278,'2023'!$N:$N,Category!BF$1,'2023'!$D:$D,Category!$C322)</f>
        <v>0</v>
      </c>
      <c r="BG322" s="234">
        <f>SUMIFS('2023'!$I:$I,'2023'!$E:$E,Category!$B$278,'2023'!$N:$N,Category!BG$1,'2023'!$D:$D,Category!$C322)</f>
        <v>0</v>
      </c>
      <c r="BH322" s="234">
        <f>SUMIFS('2023'!$I:$I,'2023'!$E:$E,Category!$B$278,'2023'!$N:$N,Category!BH$1,'2023'!$D:$D,Category!$C322)</f>
        <v>0</v>
      </c>
      <c r="BI322" s="234">
        <f>SUMIFS('2023'!$I:$I,'2023'!$E:$E,Category!$B$278,'2023'!$N:$N,Category!BI$1,'2023'!$D:$D,Category!$C322)</f>
        <v>0</v>
      </c>
      <c r="BJ322" s="234">
        <f>SUMIFS('2023'!$I:$I,'2023'!$E:$E,Category!$B$278,'2023'!$N:$N,Category!BJ$1,'2023'!$D:$D,Category!$C322)</f>
        <v>0</v>
      </c>
      <c r="BK322" s="234">
        <f>SUMIFS('2023'!$I:$I,'2023'!$E:$E,Category!$B$278,'2023'!$N:$N,Category!BK$1,'2023'!$D:$D,Category!$C322)</f>
        <v>0</v>
      </c>
      <c r="BL322" s="234">
        <f>SUMIFS('2023'!$I:$I,'2023'!$E:$E,Category!$B$278,'2023'!$N:$N,Category!BL$1,'2023'!$D:$D,Category!$C322)</f>
        <v>0</v>
      </c>
      <c r="BM322" s="234">
        <f>SUMIFS('2023'!$I:$I,'2023'!$E:$E,Category!$B$278,'2023'!$N:$N,Category!BM$1,'2023'!$D:$D,Category!$C322)</f>
        <v>0</v>
      </c>
      <c r="BN322" s="250">
        <f t="shared" si="114"/>
        <v>0</v>
      </c>
    </row>
    <row r="323" spans="1:66" ht="21" hidden="1" customHeight="1" x14ac:dyDescent="0.3">
      <c r="A323" s="249"/>
      <c r="B323" s="235"/>
      <c r="C323" s="235"/>
      <c r="D323" s="527">
        <f>IFERROR(VLOOKUP($C323,'2019'!$D:$G,4,0),0)</f>
        <v>0</v>
      </c>
      <c r="E323" s="234">
        <f>SUMIFS('2019'!$I:$I,'2019'!$E:$E,Category!$B$278,'2019'!$N:$N,Category!E$1,'2019'!$D:$D,Category!$C323)</f>
        <v>0</v>
      </c>
      <c r="F323" s="234">
        <f>SUMIFS('2019'!$I:$I,'2019'!$E:$E,Category!$B$278,'2019'!$N:$N,Category!F$1,'2019'!$D:$D,Category!$C323)</f>
        <v>0</v>
      </c>
      <c r="G323" s="234">
        <f>SUMIFS('2019'!$I:$I,'2019'!$E:$E,Category!$B$278,'2019'!$N:$N,Category!G$1,'2019'!$D:$D,Category!$C323)</f>
        <v>0</v>
      </c>
      <c r="H323" s="234">
        <f>SUMIFS('2019'!$I:$I,'2019'!$E:$E,Category!$B$278,'2019'!$N:$N,Category!H$1,'2019'!$D:$D,Category!$C323)</f>
        <v>0</v>
      </c>
      <c r="I323" s="234">
        <f>SUMIFS('2019'!$I:$I,'2019'!$E:$E,Category!$B$278,'2019'!$N:$N,Category!I$1,'2019'!$D:$D,Category!$C323)</f>
        <v>0</v>
      </c>
      <c r="J323" s="234">
        <f t="shared" si="116"/>
        <v>0</v>
      </c>
      <c r="K323" s="507">
        <f>IFERROR(VLOOKUP($C323,'2020'!$D:$G,4,0),0)</f>
        <v>0</v>
      </c>
      <c r="L323" s="234">
        <f>SUMIFS('2020'!$I:$I,'2020'!$E:$E,Category!$B$278,'2020'!$N:$N,Category!L$1,'2020'!$D:$D,Category!$C323)</f>
        <v>0</v>
      </c>
      <c r="M323" s="234">
        <f>SUMIFS('2020'!$I:$I,'2020'!$E:$E,Category!$B$278,'2020'!$N:$N,Category!M$1,'2020'!$D:$D,Category!$C323)</f>
        <v>0</v>
      </c>
      <c r="N323" s="234">
        <f>SUMIFS('2020'!$I:$I,'2020'!$E:$E,Category!$B$278,'2020'!$N:$N,Category!N$1,'2020'!$D:$D,Category!$C323)</f>
        <v>0</v>
      </c>
      <c r="O323" s="234">
        <f>SUMIFS('2020'!$I:$I,'2020'!$E:$E,Category!$B$278,'2020'!$N:$N,Category!O$1,'2020'!$D:$D,Category!$C323)</f>
        <v>0</v>
      </c>
      <c r="P323" s="234">
        <f>SUMIFS('2020'!$I:$I,'2020'!$E:$E,Category!$B$278,'2020'!$N:$N,Category!P$1,'2020'!$D:$D,Category!$C323)</f>
        <v>0</v>
      </c>
      <c r="Q323" s="234">
        <f>SUMIFS('2020'!$I:$I,'2020'!$E:$E,Category!$B$278,'2020'!$N:$N,Category!Q$1,'2020'!$D:$D,Category!$C323)</f>
        <v>0</v>
      </c>
      <c r="R323" s="234">
        <f>SUMIFS('2020'!$I:$I,'2020'!$E:$E,Category!$B$278,'2020'!$N:$N,Category!R$1,'2020'!$D:$D,Category!$C323)</f>
        <v>0</v>
      </c>
      <c r="S323" s="234">
        <f>SUMIFS('2020'!$I:$I,'2020'!$E:$E,Category!$B$278,'2020'!$N:$N,Category!S$1,'2020'!$D:$D,Category!$C323)</f>
        <v>0</v>
      </c>
      <c r="T323" s="234">
        <f>SUMIFS('2020'!$I:$I,'2020'!$E:$E,Category!$B$278,'2020'!$N:$N,Category!T$1,'2020'!$D:$D,Category!$C323)</f>
        <v>0</v>
      </c>
      <c r="U323" s="234">
        <f>SUMIFS('2020'!$I:$I,'2020'!$E:$E,Category!$B$278,'2020'!$N:$N,Category!U$1,'2020'!$D:$D,Category!$C323)</f>
        <v>0</v>
      </c>
      <c r="V323" s="234">
        <f>SUMIFS('2020'!$I:$I,'2020'!$E:$E,Category!$B$278,'2020'!$N:$N,Category!V$1,'2020'!$D:$D,Category!$C323)</f>
        <v>0</v>
      </c>
      <c r="W323" s="234">
        <f>SUMIFS('2020'!$I:$I,'2020'!$E:$E,Category!$B$278,'2020'!$N:$N,Category!W$1,'2020'!$D:$D,Category!$C323)</f>
        <v>0</v>
      </c>
      <c r="X323" s="234">
        <f t="shared" si="117"/>
        <v>0</v>
      </c>
      <c r="Y323" s="507">
        <f>IFERROR(VLOOKUP(C323,'2021'!$D:$G,4,0),0)</f>
        <v>0</v>
      </c>
      <c r="Z323" s="234">
        <f>SUMIFS('2021'!$I:$I,'2021'!$E:$E,Category!$B$278,'2021'!$N:$N,Category!Z$1,'2021'!$D:$D,Category!$C323)</f>
        <v>0</v>
      </c>
      <c r="AA323" s="234">
        <f>SUMIFS('2021'!$I:$I,'2021'!$E:$E,Category!$B$278,'2021'!$N:$N,Category!AA$1,'2021'!$D:$D,Category!$C323)</f>
        <v>0</v>
      </c>
      <c r="AB323" s="234">
        <f>SUMIFS('2021'!$I:$I,'2021'!$E:$E,Category!$B$278,'2021'!$N:$N,Category!AB$1,'2021'!$D:$D,Category!$C323)</f>
        <v>0</v>
      </c>
      <c r="AC323" s="234">
        <f>SUMIFS('2021'!$I:$I,'2021'!$E:$E,Category!$B$278,'2021'!$N:$N,Category!AC$1,'2021'!$D:$D,Category!$C323)</f>
        <v>0</v>
      </c>
      <c r="AD323" s="234">
        <f>SUMIFS('2021'!$I:$I,'2021'!$E:$E,Category!$B$278,'2021'!$N:$N,Category!AD$1,'2021'!$D:$D,Category!$C323)</f>
        <v>0</v>
      </c>
      <c r="AE323" s="234">
        <f>SUMIFS('2021'!$I:$I,'2021'!$E:$E,Category!$B$278,'2021'!$N:$N,Category!AE$1,'2021'!$D:$D,Category!$C323)</f>
        <v>0</v>
      </c>
      <c r="AF323" s="234">
        <f>SUMIFS('2021'!$I:$I,'2021'!$E:$E,Category!$B$278,'2021'!$N:$N,Category!AF$1,'2021'!$D:$D,Category!$C323)</f>
        <v>0</v>
      </c>
      <c r="AG323" s="234">
        <f>SUMIFS('2021'!$I:$I,'2021'!$E:$E,Category!$B$278,'2021'!$N:$N,Category!AG$1,'2021'!$D:$D,Category!$C323)</f>
        <v>0</v>
      </c>
      <c r="AH323" s="234">
        <f>SUMIFS('2021'!$I:$I,'2021'!$E:$E,Category!$B$278,'2021'!$N:$N,Category!AH$1,'2021'!$D:$D,Category!$C323)</f>
        <v>0</v>
      </c>
      <c r="AI323" s="234">
        <f>SUMIFS('2021'!$I:$I,'2021'!$E:$E,Category!$B$278,'2021'!$N:$N,Category!AI$1,'2021'!$D:$D,Category!$C323)</f>
        <v>0</v>
      </c>
      <c r="AJ323" s="234">
        <f>SUMIFS('2021'!$I:$I,'2021'!$E:$E,Category!$B$278,'2021'!$N:$N,Category!AJ$1,'2021'!$D:$D,Category!$C323)</f>
        <v>0</v>
      </c>
      <c r="AK323" s="234">
        <f>SUMIFS('2021'!$I:$I,'2021'!$E:$E,Category!$B$278,'2021'!$N:$N,Category!AK$1,'2021'!$D:$D,Category!$C323)</f>
        <v>0</v>
      </c>
      <c r="AL323" s="250">
        <f t="shared" si="118"/>
        <v>0</v>
      </c>
      <c r="AM323" s="507">
        <f>IFERROR(VLOOKUP(C323,'2022'!$D:$G,4,0),0)</f>
        <v>0</v>
      </c>
      <c r="AN323" s="234">
        <f>SUMIFS('2022'!$I:$I,'2022'!$E:$E,Category!$B$278,'2022'!$N:$N,Category!AN$1,'2022'!$D:$D,Category!$C323)</f>
        <v>0</v>
      </c>
      <c r="AO323" s="234">
        <f>SUMIFS('2022'!$I:$I,'2022'!$E:$E,Category!$B$278,'2022'!$N:$N,Category!AO$1,'2022'!$D:$D,Category!$C323)</f>
        <v>0</v>
      </c>
      <c r="AP323" s="234">
        <f>SUMIFS('2022'!$I:$I,'2022'!$E:$E,Category!$B$278,'2022'!$N:$N,Category!AP$1,'2022'!$D:$D,Category!$C323)</f>
        <v>0</v>
      </c>
      <c r="AQ323" s="234">
        <f>SUMIFS('2022'!$I:$I,'2022'!$E:$E,Category!$B$278,'2022'!$N:$N,Category!AQ$1,'2022'!$D:$D,Category!$C323)</f>
        <v>0</v>
      </c>
      <c r="AR323" s="234">
        <f>SUMIFS('2022'!$I:$I,'2022'!$E:$E,Category!$B$278,'2022'!$N:$N,Category!AR$1,'2022'!$D:$D,Category!$C323)</f>
        <v>0</v>
      </c>
      <c r="AS323" s="234">
        <f>SUMIFS('2022'!$I:$I,'2022'!$E:$E,Category!$B$278,'2022'!$N:$N,Category!AS$1,'2022'!$D:$D,Category!$C323)</f>
        <v>0</v>
      </c>
      <c r="AT323" s="234">
        <f>SUMIFS('2022'!$I:$I,'2022'!$E:$E,Category!$B$278,'2022'!$N:$N,Category!AT$1,'2022'!$D:$D,Category!$C323)</f>
        <v>0</v>
      </c>
      <c r="AU323" s="234">
        <f>SUMIFS('2022'!$I:$I,'2022'!$E:$E,Category!$B$278,'2022'!$N:$N,Category!AU$1,'2022'!$D:$D,Category!$C323)</f>
        <v>0</v>
      </c>
      <c r="AV323" s="234">
        <f>SUMIFS('2022'!$I:$I,'2022'!$E:$E,Category!$B$278,'2022'!$N:$N,Category!AV$1,'2022'!$D:$D,Category!$C323)</f>
        <v>0</v>
      </c>
      <c r="AW323" s="234">
        <f>SUMIFS('2022'!$I:$I,'2022'!$E:$E,Category!$B$278,'2022'!$N:$N,Category!AW$1,'2022'!$D:$D,Category!$C323)</f>
        <v>0</v>
      </c>
      <c r="AX323" s="234">
        <f>SUMIFS('2022'!$I:$I,'2022'!$E:$E,Category!$B$278,'2022'!$N:$N,Category!AX$1,'2022'!$D:$D,Category!$C323)</f>
        <v>0</v>
      </c>
      <c r="AY323" s="234">
        <f>SUMIFS('2022'!$I:$I,'2022'!$E:$E,Category!$B$278,'2022'!$N:$N,Category!AY$1,'2022'!$D:$D,Category!$C323)</f>
        <v>0</v>
      </c>
      <c r="AZ323" s="250">
        <f t="shared" si="119"/>
        <v>0</v>
      </c>
      <c r="BA323" s="507">
        <f>IFERROR(VLOOKUP(C323,'2023'!$D:$G,4,0),0)</f>
        <v>0</v>
      </c>
      <c r="BB323" s="234">
        <f>SUMIFS('2023'!$I:$I,'2023'!$E:$E,Category!$B$278,'2023'!$N:$N,Category!BB$1,'2023'!$D:$D,Category!$C323)</f>
        <v>0</v>
      </c>
      <c r="BC323" s="234">
        <f>SUMIFS('2023'!$I:$I,'2023'!$E:$E,Category!$B$278,'2023'!$N:$N,Category!BC$1,'2023'!$D:$D,Category!$C323)</f>
        <v>0</v>
      </c>
      <c r="BD323" s="234">
        <f>SUMIFS('2023'!$I:$I,'2023'!$E:$E,Category!$B$278,'2023'!$N:$N,Category!BD$1,'2023'!$D:$D,Category!$C323)</f>
        <v>0</v>
      </c>
      <c r="BE323" s="234">
        <f>SUMIFS('2023'!$I:$I,'2023'!$E:$E,Category!$B$278,'2023'!$N:$N,Category!BE$1,'2023'!$D:$D,Category!$C323)</f>
        <v>0</v>
      </c>
      <c r="BF323" s="234">
        <f>SUMIFS('2023'!$I:$I,'2023'!$E:$E,Category!$B$278,'2023'!$N:$N,Category!BF$1,'2023'!$D:$D,Category!$C323)</f>
        <v>0</v>
      </c>
      <c r="BG323" s="234">
        <f>SUMIFS('2023'!$I:$I,'2023'!$E:$E,Category!$B$278,'2023'!$N:$N,Category!BG$1,'2023'!$D:$D,Category!$C323)</f>
        <v>0</v>
      </c>
      <c r="BH323" s="234">
        <f>SUMIFS('2023'!$I:$I,'2023'!$E:$E,Category!$B$278,'2023'!$N:$N,Category!BH$1,'2023'!$D:$D,Category!$C323)</f>
        <v>0</v>
      </c>
      <c r="BI323" s="234">
        <f>SUMIFS('2023'!$I:$I,'2023'!$E:$E,Category!$B$278,'2023'!$N:$N,Category!BI$1,'2023'!$D:$D,Category!$C323)</f>
        <v>0</v>
      </c>
      <c r="BJ323" s="234">
        <f>SUMIFS('2023'!$I:$I,'2023'!$E:$E,Category!$B$278,'2023'!$N:$N,Category!BJ$1,'2023'!$D:$D,Category!$C323)</f>
        <v>0</v>
      </c>
      <c r="BK323" s="234">
        <f>SUMIFS('2023'!$I:$I,'2023'!$E:$E,Category!$B$278,'2023'!$N:$N,Category!BK$1,'2023'!$D:$D,Category!$C323)</f>
        <v>0</v>
      </c>
      <c r="BL323" s="234">
        <f>SUMIFS('2023'!$I:$I,'2023'!$E:$E,Category!$B$278,'2023'!$N:$N,Category!BL$1,'2023'!$D:$D,Category!$C323)</f>
        <v>0</v>
      </c>
      <c r="BM323" s="234">
        <f>SUMIFS('2023'!$I:$I,'2023'!$E:$E,Category!$B$278,'2023'!$N:$N,Category!BM$1,'2023'!$D:$D,Category!$C323)</f>
        <v>0</v>
      </c>
      <c r="BN323" s="250">
        <f t="shared" si="114"/>
        <v>0</v>
      </c>
    </row>
    <row r="324" spans="1:66" ht="21" hidden="1" customHeight="1" x14ac:dyDescent="0.3">
      <c r="A324" s="249"/>
      <c r="B324" s="235"/>
      <c r="C324" s="235"/>
      <c r="D324" s="527">
        <f>IFERROR(VLOOKUP($C324,'2019'!$D:$G,4,0),0)</f>
        <v>0</v>
      </c>
      <c r="E324" s="234">
        <f>SUMIFS('2019'!$I:$I,'2019'!$E:$E,Category!$B$278,'2019'!$N:$N,Category!E$1,'2019'!$D:$D,Category!$C324)</f>
        <v>0</v>
      </c>
      <c r="F324" s="234">
        <f>SUMIFS('2019'!$I:$I,'2019'!$E:$E,Category!$B$278,'2019'!$N:$N,Category!F$1,'2019'!$D:$D,Category!$C324)</f>
        <v>0</v>
      </c>
      <c r="G324" s="234">
        <f>SUMIFS('2019'!$I:$I,'2019'!$E:$E,Category!$B$278,'2019'!$N:$N,Category!G$1,'2019'!$D:$D,Category!$C324)</f>
        <v>0</v>
      </c>
      <c r="H324" s="234">
        <f>SUMIFS('2019'!$I:$I,'2019'!$E:$E,Category!$B$278,'2019'!$N:$N,Category!H$1,'2019'!$D:$D,Category!$C324)</f>
        <v>0</v>
      </c>
      <c r="I324" s="234">
        <f>SUMIFS('2019'!$I:$I,'2019'!$E:$E,Category!$B$278,'2019'!$N:$N,Category!I$1,'2019'!$D:$D,Category!$C324)</f>
        <v>0</v>
      </c>
      <c r="J324" s="234">
        <f t="shared" si="116"/>
        <v>0</v>
      </c>
      <c r="K324" s="507">
        <f>IFERROR(VLOOKUP($C324,'2020'!$D:$G,4,0),0)</f>
        <v>0</v>
      </c>
      <c r="L324" s="234">
        <f>SUMIFS('2020'!$I:$I,'2020'!$E:$E,Category!$B$278,'2020'!$N:$N,Category!L$1,'2020'!$D:$D,Category!$C324)</f>
        <v>0</v>
      </c>
      <c r="M324" s="234">
        <f>SUMIFS('2020'!$I:$I,'2020'!$E:$E,Category!$B$278,'2020'!$N:$N,Category!M$1,'2020'!$D:$D,Category!$C324)</f>
        <v>0</v>
      </c>
      <c r="N324" s="234">
        <f>SUMIFS('2020'!$I:$I,'2020'!$E:$E,Category!$B$278,'2020'!$N:$N,Category!N$1,'2020'!$D:$D,Category!$C324)</f>
        <v>0</v>
      </c>
      <c r="O324" s="234">
        <f>SUMIFS('2020'!$I:$I,'2020'!$E:$E,Category!$B$278,'2020'!$N:$N,Category!O$1,'2020'!$D:$D,Category!$C324)</f>
        <v>0</v>
      </c>
      <c r="P324" s="234">
        <f>SUMIFS('2020'!$I:$I,'2020'!$E:$E,Category!$B$278,'2020'!$N:$N,Category!P$1,'2020'!$D:$D,Category!$C324)</f>
        <v>0</v>
      </c>
      <c r="Q324" s="234">
        <f>SUMIFS('2020'!$I:$I,'2020'!$E:$E,Category!$B$278,'2020'!$N:$N,Category!Q$1,'2020'!$D:$D,Category!$C324)</f>
        <v>0</v>
      </c>
      <c r="R324" s="234">
        <f>SUMIFS('2020'!$I:$I,'2020'!$E:$E,Category!$B$278,'2020'!$N:$N,Category!R$1,'2020'!$D:$D,Category!$C324)</f>
        <v>0</v>
      </c>
      <c r="S324" s="234">
        <f>SUMIFS('2020'!$I:$I,'2020'!$E:$E,Category!$B$278,'2020'!$N:$N,Category!S$1,'2020'!$D:$D,Category!$C324)</f>
        <v>0</v>
      </c>
      <c r="T324" s="234">
        <f>SUMIFS('2020'!$I:$I,'2020'!$E:$E,Category!$B$278,'2020'!$N:$N,Category!T$1,'2020'!$D:$D,Category!$C324)</f>
        <v>0</v>
      </c>
      <c r="U324" s="234">
        <f>SUMIFS('2020'!$I:$I,'2020'!$E:$E,Category!$B$278,'2020'!$N:$N,Category!U$1,'2020'!$D:$D,Category!$C324)</f>
        <v>0</v>
      </c>
      <c r="V324" s="234">
        <f>SUMIFS('2020'!$I:$I,'2020'!$E:$E,Category!$B$278,'2020'!$N:$N,Category!V$1,'2020'!$D:$D,Category!$C324)</f>
        <v>0</v>
      </c>
      <c r="W324" s="234">
        <f>SUMIFS('2020'!$I:$I,'2020'!$E:$E,Category!$B$278,'2020'!$N:$N,Category!W$1,'2020'!$D:$D,Category!$C324)</f>
        <v>0</v>
      </c>
      <c r="X324" s="234">
        <f t="shared" si="117"/>
        <v>0</v>
      </c>
      <c r="Y324" s="507">
        <f>IFERROR(VLOOKUP(C324,'2021'!$D:$G,4,0),0)</f>
        <v>0</v>
      </c>
      <c r="Z324" s="234">
        <f>SUMIFS('2021'!$I:$I,'2021'!$E:$E,Category!$B$278,'2021'!$N:$N,Category!Z$1,'2021'!$D:$D,Category!$C324)</f>
        <v>0</v>
      </c>
      <c r="AA324" s="234">
        <f>SUMIFS('2021'!$I:$I,'2021'!$E:$E,Category!$B$278,'2021'!$N:$N,Category!AA$1,'2021'!$D:$D,Category!$C324)</f>
        <v>0</v>
      </c>
      <c r="AB324" s="234">
        <f>SUMIFS('2021'!$I:$I,'2021'!$E:$E,Category!$B$278,'2021'!$N:$N,Category!AB$1,'2021'!$D:$D,Category!$C324)</f>
        <v>0</v>
      </c>
      <c r="AC324" s="234">
        <f>SUMIFS('2021'!$I:$I,'2021'!$E:$E,Category!$B$278,'2021'!$N:$N,Category!AC$1,'2021'!$D:$D,Category!$C324)</f>
        <v>0</v>
      </c>
      <c r="AD324" s="234">
        <f>SUMIFS('2021'!$I:$I,'2021'!$E:$E,Category!$B$278,'2021'!$N:$N,Category!AD$1,'2021'!$D:$D,Category!$C324)</f>
        <v>0</v>
      </c>
      <c r="AE324" s="234">
        <f>SUMIFS('2021'!$I:$I,'2021'!$E:$E,Category!$B$278,'2021'!$N:$N,Category!AE$1,'2021'!$D:$D,Category!$C324)</f>
        <v>0</v>
      </c>
      <c r="AF324" s="234">
        <f>SUMIFS('2021'!$I:$I,'2021'!$E:$E,Category!$B$278,'2021'!$N:$N,Category!AF$1,'2021'!$D:$D,Category!$C324)</f>
        <v>0</v>
      </c>
      <c r="AG324" s="234">
        <f>SUMIFS('2021'!$I:$I,'2021'!$E:$E,Category!$B$278,'2021'!$N:$N,Category!AG$1,'2021'!$D:$D,Category!$C324)</f>
        <v>0</v>
      </c>
      <c r="AH324" s="234">
        <f>SUMIFS('2021'!$I:$I,'2021'!$E:$E,Category!$B$278,'2021'!$N:$N,Category!AH$1,'2021'!$D:$D,Category!$C324)</f>
        <v>0</v>
      </c>
      <c r="AI324" s="234">
        <f>SUMIFS('2021'!$I:$I,'2021'!$E:$E,Category!$B$278,'2021'!$N:$N,Category!AI$1,'2021'!$D:$D,Category!$C324)</f>
        <v>0</v>
      </c>
      <c r="AJ324" s="234">
        <f>SUMIFS('2021'!$I:$I,'2021'!$E:$E,Category!$B$278,'2021'!$N:$N,Category!AJ$1,'2021'!$D:$D,Category!$C324)</f>
        <v>0</v>
      </c>
      <c r="AK324" s="234">
        <f>SUMIFS('2021'!$I:$I,'2021'!$E:$E,Category!$B$278,'2021'!$N:$N,Category!AK$1,'2021'!$D:$D,Category!$C324)</f>
        <v>0</v>
      </c>
      <c r="AL324" s="250">
        <f t="shared" si="118"/>
        <v>0</v>
      </c>
      <c r="AM324" s="507">
        <f>IFERROR(VLOOKUP(C324,'2022'!$D:$G,4,0),0)</f>
        <v>0</v>
      </c>
      <c r="AN324" s="234">
        <f>SUMIFS('2022'!$I:$I,'2022'!$E:$E,Category!$B$278,'2022'!$N:$N,Category!AN$1,'2022'!$D:$D,Category!$C324)</f>
        <v>0</v>
      </c>
      <c r="AO324" s="234">
        <f>SUMIFS('2022'!$I:$I,'2022'!$E:$E,Category!$B$278,'2022'!$N:$N,Category!AO$1,'2022'!$D:$D,Category!$C324)</f>
        <v>0</v>
      </c>
      <c r="AP324" s="234">
        <f>SUMIFS('2022'!$I:$I,'2022'!$E:$E,Category!$B$278,'2022'!$N:$N,Category!AP$1,'2022'!$D:$D,Category!$C324)</f>
        <v>0</v>
      </c>
      <c r="AQ324" s="234">
        <f>SUMIFS('2022'!$I:$I,'2022'!$E:$E,Category!$B$278,'2022'!$N:$N,Category!AQ$1,'2022'!$D:$D,Category!$C324)</f>
        <v>0</v>
      </c>
      <c r="AR324" s="234">
        <f>SUMIFS('2022'!$I:$I,'2022'!$E:$E,Category!$B$278,'2022'!$N:$N,Category!AR$1,'2022'!$D:$D,Category!$C324)</f>
        <v>0</v>
      </c>
      <c r="AS324" s="234">
        <f>SUMIFS('2022'!$I:$I,'2022'!$E:$E,Category!$B$278,'2022'!$N:$N,Category!AS$1,'2022'!$D:$D,Category!$C324)</f>
        <v>0</v>
      </c>
      <c r="AT324" s="234">
        <f>SUMIFS('2022'!$I:$I,'2022'!$E:$E,Category!$B$278,'2022'!$N:$N,Category!AT$1,'2022'!$D:$D,Category!$C324)</f>
        <v>0</v>
      </c>
      <c r="AU324" s="234">
        <f>SUMIFS('2022'!$I:$I,'2022'!$E:$E,Category!$B$278,'2022'!$N:$N,Category!AU$1,'2022'!$D:$D,Category!$C324)</f>
        <v>0</v>
      </c>
      <c r="AV324" s="234">
        <f>SUMIFS('2022'!$I:$I,'2022'!$E:$E,Category!$B$278,'2022'!$N:$N,Category!AV$1,'2022'!$D:$D,Category!$C324)</f>
        <v>0</v>
      </c>
      <c r="AW324" s="234">
        <f>SUMIFS('2022'!$I:$I,'2022'!$E:$E,Category!$B$278,'2022'!$N:$N,Category!AW$1,'2022'!$D:$D,Category!$C324)</f>
        <v>0</v>
      </c>
      <c r="AX324" s="234">
        <f>SUMIFS('2022'!$I:$I,'2022'!$E:$E,Category!$B$278,'2022'!$N:$N,Category!AX$1,'2022'!$D:$D,Category!$C324)</f>
        <v>0</v>
      </c>
      <c r="AY324" s="234">
        <f>SUMIFS('2022'!$I:$I,'2022'!$E:$E,Category!$B$278,'2022'!$N:$N,Category!AY$1,'2022'!$D:$D,Category!$C324)</f>
        <v>0</v>
      </c>
      <c r="AZ324" s="250">
        <f t="shared" si="119"/>
        <v>0</v>
      </c>
      <c r="BA324" s="507">
        <f>IFERROR(VLOOKUP(C324,'2023'!$D:$G,4,0),0)</f>
        <v>0</v>
      </c>
      <c r="BB324" s="234">
        <f>SUMIFS('2023'!$I:$I,'2023'!$E:$E,Category!$B$278,'2023'!$N:$N,Category!BB$1,'2023'!$D:$D,Category!$C324)</f>
        <v>0</v>
      </c>
      <c r="BC324" s="234">
        <f>SUMIFS('2023'!$I:$I,'2023'!$E:$E,Category!$B$278,'2023'!$N:$N,Category!BC$1,'2023'!$D:$D,Category!$C324)</f>
        <v>0</v>
      </c>
      <c r="BD324" s="234">
        <f>SUMIFS('2023'!$I:$I,'2023'!$E:$E,Category!$B$278,'2023'!$N:$N,Category!BD$1,'2023'!$D:$D,Category!$C324)</f>
        <v>0</v>
      </c>
      <c r="BE324" s="234">
        <f>SUMIFS('2023'!$I:$I,'2023'!$E:$E,Category!$B$278,'2023'!$N:$N,Category!BE$1,'2023'!$D:$D,Category!$C324)</f>
        <v>0</v>
      </c>
      <c r="BF324" s="234">
        <f>SUMIFS('2023'!$I:$I,'2023'!$E:$E,Category!$B$278,'2023'!$N:$N,Category!BF$1,'2023'!$D:$D,Category!$C324)</f>
        <v>0</v>
      </c>
      <c r="BG324" s="234">
        <f>SUMIFS('2023'!$I:$I,'2023'!$E:$E,Category!$B$278,'2023'!$N:$N,Category!BG$1,'2023'!$D:$D,Category!$C324)</f>
        <v>0</v>
      </c>
      <c r="BH324" s="234">
        <f>SUMIFS('2023'!$I:$I,'2023'!$E:$E,Category!$B$278,'2023'!$N:$N,Category!BH$1,'2023'!$D:$D,Category!$C324)</f>
        <v>0</v>
      </c>
      <c r="BI324" s="234">
        <f>SUMIFS('2023'!$I:$I,'2023'!$E:$E,Category!$B$278,'2023'!$N:$N,Category!BI$1,'2023'!$D:$D,Category!$C324)</f>
        <v>0</v>
      </c>
      <c r="BJ324" s="234">
        <f>SUMIFS('2023'!$I:$I,'2023'!$E:$E,Category!$B$278,'2023'!$N:$N,Category!BJ$1,'2023'!$D:$D,Category!$C324)</f>
        <v>0</v>
      </c>
      <c r="BK324" s="234">
        <f>SUMIFS('2023'!$I:$I,'2023'!$E:$E,Category!$B$278,'2023'!$N:$N,Category!BK$1,'2023'!$D:$D,Category!$C324)</f>
        <v>0</v>
      </c>
      <c r="BL324" s="234">
        <f>SUMIFS('2023'!$I:$I,'2023'!$E:$E,Category!$B$278,'2023'!$N:$N,Category!BL$1,'2023'!$D:$D,Category!$C324)</f>
        <v>0</v>
      </c>
      <c r="BM324" s="234">
        <f>SUMIFS('2023'!$I:$I,'2023'!$E:$E,Category!$B$278,'2023'!$N:$N,Category!BM$1,'2023'!$D:$D,Category!$C324)</f>
        <v>0</v>
      </c>
      <c r="BN324" s="250">
        <f t="shared" si="114"/>
        <v>0</v>
      </c>
    </row>
    <row r="325" spans="1:66" ht="21" hidden="1" customHeight="1" x14ac:dyDescent="0.3">
      <c r="A325" s="249"/>
      <c r="B325" s="235"/>
      <c r="C325" s="235"/>
      <c r="D325" s="527">
        <f>IFERROR(VLOOKUP($C325,'2019'!$D:$G,4,0),0)</f>
        <v>0</v>
      </c>
      <c r="E325" s="234">
        <f>SUMIFS('2019'!$I:$I,'2019'!$E:$E,Category!$B$278,'2019'!$N:$N,Category!E$1,'2019'!$D:$D,Category!$C325)</f>
        <v>0</v>
      </c>
      <c r="F325" s="234">
        <f>SUMIFS('2019'!$I:$I,'2019'!$E:$E,Category!$B$278,'2019'!$N:$N,Category!F$1,'2019'!$D:$D,Category!$C325)</f>
        <v>0</v>
      </c>
      <c r="G325" s="234">
        <f>SUMIFS('2019'!$I:$I,'2019'!$E:$E,Category!$B$278,'2019'!$N:$N,Category!G$1,'2019'!$D:$D,Category!$C325)</f>
        <v>0</v>
      </c>
      <c r="H325" s="234">
        <f>SUMIFS('2019'!$I:$I,'2019'!$E:$E,Category!$B$278,'2019'!$N:$N,Category!H$1,'2019'!$D:$D,Category!$C325)</f>
        <v>0</v>
      </c>
      <c r="I325" s="234">
        <f>SUMIFS('2019'!$I:$I,'2019'!$E:$E,Category!$B$278,'2019'!$N:$N,Category!I$1,'2019'!$D:$D,Category!$C325)</f>
        <v>0</v>
      </c>
      <c r="J325" s="234">
        <f t="shared" si="116"/>
        <v>0</v>
      </c>
      <c r="K325" s="507">
        <f>IFERROR(VLOOKUP($C325,'2020'!$D:$G,4,0),0)</f>
        <v>0</v>
      </c>
      <c r="L325" s="234">
        <f>SUMIFS('2020'!$I:$I,'2020'!$E:$E,Category!$B$278,'2020'!$N:$N,Category!L$1,'2020'!$D:$D,Category!$C325)</f>
        <v>0</v>
      </c>
      <c r="M325" s="234">
        <f>SUMIFS('2020'!$I:$I,'2020'!$E:$E,Category!$B$278,'2020'!$N:$N,Category!M$1,'2020'!$D:$D,Category!$C325)</f>
        <v>0</v>
      </c>
      <c r="N325" s="234">
        <f>SUMIFS('2020'!$I:$I,'2020'!$E:$E,Category!$B$278,'2020'!$N:$N,Category!N$1,'2020'!$D:$D,Category!$C325)</f>
        <v>0</v>
      </c>
      <c r="O325" s="234">
        <f>SUMIFS('2020'!$I:$I,'2020'!$E:$E,Category!$B$278,'2020'!$N:$N,Category!O$1,'2020'!$D:$D,Category!$C325)</f>
        <v>0</v>
      </c>
      <c r="P325" s="234">
        <f>SUMIFS('2020'!$I:$I,'2020'!$E:$E,Category!$B$278,'2020'!$N:$N,Category!P$1,'2020'!$D:$D,Category!$C325)</f>
        <v>0</v>
      </c>
      <c r="Q325" s="234">
        <f>SUMIFS('2020'!$I:$I,'2020'!$E:$E,Category!$B$278,'2020'!$N:$N,Category!Q$1,'2020'!$D:$D,Category!$C325)</f>
        <v>0</v>
      </c>
      <c r="R325" s="234">
        <f>SUMIFS('2020'!$I:$I,'2020'!$E:$E,Category!$B$278,'2020'!$N:$N,Category!R$1,'2020'!$D:$D,Category!$C325)</f>
        <v>0</v>
      </c>
      <c r="S325" s="234">
        <f>SUMIFS('2020'!$I:$I,'2020'!$E:$E,Category!$B$278,'2020'!$N:$N,Category!S$1,'2020'!$D:$D,Category!$C325)</f>
        <v>0</v>
      </c>
      <c r="T325" s="234">
        <f>SUMIFS('2020'!$I:$I,'2020'!$E:$E,Category!$B$278,'2020'!$N:$N,Category!T$1,'2020'!$D:$D,Category!$C325)</f>
        <v>0</v>
      </c>
      <c r="U325" s="234">
        <f>SUMIFS('2020'!$I:$I,'2020'!$E:$E,Category!$B$278,'2020'!$N:$N,Category!U$1,'2020'!$D:$D,Category!$C325)</f>
        <v>0</v>
      </c>
      <c r="V325" s="234">
        <f>SUMIFS('2020'!$I:$I,'2020'!$E:$E,Category!$B$278,'2020'!$N:$N,Category!V$1,'2020'!$D:$D,Category!$C325)</f>
        <v>0</v>
      </c>
      <c r="W325" s="234">
        <f>SUMIFS('2020'!$I:$I,'2020'!$E:$E,Category!$B$278,'2020'!$N:$N,Category!W$1,'2020'!$D:$D,Category!$C325)</f>
        <v>0</v>
      </c>
      <c r="X325" s="234">
        <f t="shared" si="117"/>
        <v>0</v>
      </c>
      <c r="Y325" s="507">
        <f>IFERROR(VLOOKUP(C325,'2021'!$D:$G,4,0),0)</f>
        <v>0</v>
      </c>
      <c r="Z325" s="234">
        <f>SUMIFS('2021'!$I:$I,'2021'!$E:$E,Category!$B$278,'2021'!$N:$N,Category!Z$1,'2021'!$D:$D,Category!$C325)</f>
        <v>0</v>
      </c>
      <c r="AA325" s="234">
        <f>SUMIFS('2021'!$I:$I,'2021'!$E:$E,Category!$B$278,'2021'!$N:$N,Category!AA$1,'2021'!$D:$D,Category!$C325)</f>
        <v>0</v>
      </c>
      <c r="AB325" s="234">
        <f>SUMIFS('2021'!$I:$I,'2021'!$E:$E,Category!$B$278,'2021'!$N:$N,Category!AB$1,'2021'!$D:$D,Category!$C325)</f>
        <v>0</v>
      </c>
      <c r="AC325" s="234">
        <f>SUMIFS('2021'!$I:$I,'2021'!$E:$E,Category!$B$278,'2021'!$N:$N,Category!AC$1,'2021'!$D:$D,Category!$C325)</f>
        <v>0</v>
      </c>
      <c r="AD325" s="234">
        <f>SUMIFS('2021'!$I:$I,'2021'!$E:$E,Category!$B$278,'2021'!$N:$N,Category!AD$1,'2021'!$D:$D,Category!$C325)</f>
        <v>0</v>
      </c>
      <c r="AE325" s="234">
        <f>SUMIFS('2021'!$I:$I,'2021'!$E:$E,Category!$B$278,'2021'!$N:$N,Category!AE$1,'2021'!$D:$D,Category!$C325)</f>
        <v>0</v>
      </c>
      <c r="AF325" s="234">
        <f>SUMIFS('2021'!$I:$I,'2021'!$E:$E,Category!$B$278,'2021'!$N:$N,Category!AF$1,'2021'!$D:$D,Category!$C325)</f>
        <v>0</v>
      </c>
      <c r="AG325" s="234">
        <f>SUMIFS('2021'!$I:$I,'2021'!$E:$E,Category!$B$278,'2021'!$N:$N,Category!AG$1,'2021'!$D:$D,Category!$C325)</f>
        <v>0</v>
      </c>
      <c r="AH325" s="234">
        <f>SUMIFS('2021'!$I:$I,'2021'!$E:$E,Category!$B$278,'2021'!$N:$N,Category!AH$1,'2021'!$D:$D,Category!$C325)</f>
        <v>0</v>
      </c>
      <c r="AI325" s="234">
        <f>SUMIFS('2021'!$I:$I,'2021'!$E:$E,Category!$B$278,'2021'!$N:$N,Category!AI$1,'2021'!$D:$D,Category!$C325)</f>
        <v>0</v>
      </c>
      <c r="AJ325" s="234">
        <f>SUMIFS('2021'!$I:$I,'2021'!$E:$E,Category!$B$278,'2021'!$N:$N,Category!AJ$1,'2021'!$D:$D,Category!$C325)</f>
        <v>0</v>
      </c>
      <c r="AK325" s="234">
        <f>SUMIFS('2021'!$I:$I,'2021'!$E:$E,Category!$B$278,'2021'!$N:$N,Category!AK$1,'2021'!$D:$D,Category!$C325)</f>
        <v>0</v>
      </c>
      <c r="AL325" s="250">
        <f t="shared" si="118"/>
        <v>0</v>
      </c>
      <c r="AM325" s="507">
        <f>IFERROR(VLOOKUP(C325,'2022'!$D:$G,4,0),0)</f>
        <v>0</v>
      </c>
      <c r="AN325" s="234">
        <f>SUMIFS('2022'!$I:$I,'2022'!$E:$E,Category!$B$278,'2022'!$N:$N,Category!AN$1,'2022'!$D:$D,Category!$C325)</f>
        <v>0</v>
      </c>
      <c r="AO325" s="234">
        <f>SUMIFS('2022'!$I:$I,'2022'!$E:$E,Category!$B$278,'2022'!$N:$N,Category!AO$1,'2022'!$D:$D,Category!$C325)</f>
        <v>0</v>
      </c>
      <c r="AP325" s="234">
        <f>SUMIFS('2022'!$I:$I,'2022'!$E:$E,Category!$B$278,'2022'!$N:$N,Category!AP$1,'2022'!$D:$D,Category!$C325)</f>
        <v>0</v>
      </c>
      <c r="AQ325" s="234">
        <f>SUMIFS('2022'!$I:$I,'2022'!$E:$E,Category!$B$278,'2022'!$N:$N,Category!AQ$1,'2022'!$D:$D,Category!$C325)</f>
        <v>0</v>
      </c>
      <c r="AR325" s="234">
        <f>SUMIFS('2022'!$I:$I,'2022'!$E:$E,Category!$B$278,'2022'!$N:$N,Category!AR$1,'2022'!$D:$D,Category!$C325)</f>
        <v>0</v>
      </c>
      <c r="AS325" s="234">
        <f>SUMIFS('2022'!$I:$I,'2022'!$E:$E,Category!$B$278,'2022'!$N:$N,Category!AS$1,'2022'!$D:$D,Category!$C325)</f>
        <v>0</v>
      </c>
      <c r="AT325" s="234">
        <f>SUMIFS('2022'!$I:$I,'2022'!$E:$E,Category!$B$278,'2022'!$N:$N,Category!AT$1,'2022'!$D:$D,Category!$C325)</f>
        <v>0</v>
      </c>
      <c r="AU325" s="234">
        <f>SUMIFS('2022'!$I:$I,'2022'!$E:$E,Category!$B$278,'2022'!$N:$N,Category!AU$1,'2022'!$D:$D,Category!$C325)</f>
        <v>0</v>
      </c>
      <c r="AV325" s="234">
        <f>SUMIFS('2022'!$I:$I,'2022'!$E:$E,Category!$B$278,'2022'!$N:$N,Category!AV$1,'2022'!$D:$D,Category!$C325)</f>
        <v>0</v>
      </c>
      <c r="AW325" s="234">
        <f>SUMIFS('2022'!$I:$I,'2022'!$E:$E,Category!$B$278,'2022'!$N:$N,Category!AW$1,'2022'!$D:$D,Category!$C325)</f>
        <v>0</v>
      </c>
      <c r="AX325" s="234">
        <f>SUMIFS('2022'!$I:$I,'2022'!$E:$E,Category!$B$278,'2022'!$N:$N,Category!AX$1,'2022'!$D:$D,Category!$C325)</f>
        <v>0</v>
      </c>
      <c r="AY325" s="234">
        <f>SUMIFS('2022'!$I:$I,'2022'!$E:$E,Category!$B$278,'2022'!$N:$N,Category!AY$1,'2022'!$D:$D,Category!$C325)</f>
        <v>0</v>
      </c>
      <c r="AZ325" s="250">
        <f t="shared" si="119"/>
        <v>0</v>
      </c>
      <c r="BA325" s="507">
        <f>IFERROR(VLOOKUP(C325,'2023'!$D:$G,4,0),0)</f>
        <v>0</v>
      </c>
      <c r="BB325" s="234">
        <f>SUMIFS('2023'!$I:$I,'2023'!$E:$E,Category!$B$278,'2023'!$N:$N,Category!BB$1,'2023'!$D:$D,Category!$C325)</f>
        <v>0</v>
      </c>
      <c r="BC325" s="234">
        <f>SUMIFS('2023'!$I:$I,'2023'!$E:$E,Category!$B$278,'2023'!$N:$N,Category!BC$1,'2023'!$D:$D,Category!$C325)</f>
        <v>0</v>
      </c>
      <c r="BD325" s="234">
        <f>SUMIFS('2023'!$I:$I,'2023'!$E:$E,Category!$B$278,'2023'!$N:$N,Category!BD$1,'2023'!$D:$D,Category!$C325)</f>
        <v>0</v>
      </c>
      <c r="BE325" s="234">
        <f>SUMIFS('2023'!$I:$I,'2023'!$E:$E,Category!$B$278,'2023'!$N:$N,Category!BE$1,'2023'!$D:$D,Category!$C325)</f>
        <v>0</v>
      </c>
      <c r="BF325" s="234">
        <f>SUMIFS('2023'!$I:$I,'2023'!$E:$E,Category!$B$278,'2023'!$N:$N,Category!BF$1,'2023'!$D:$D,Category!$C325)</f>
        <v>0</v>
      </c>
      <c r="BG325" s="234">
        <f>SUMIFS('2023'!$I:$I,'2023'!$E:$E,Category!$B$278,'2023'!$N:$N,Category!BG$1,'2023'!$D:$D,Category!$C325)</f>
        <v>0</v>
      </c>
      <c r="BH325" s="234">
        <f>SUMIFS('2023'!$I:$I,'2023'!$E:$E,Category!$B$278,'2023'!$N:$N,Category!BH$1,'2023'!$D:$D,Category!$C325)</f>
        <v>0</v>
      </c>
      <c r="BI325" s="234">
        <f>SUMIFS('2023'!$I:$I,'2023'!$E:$E,Category!$B$278,'2023'!$N:$N,Category!BI$1,'2023'!$D:$D,Category!$C325)</f>
        <v>0</v>
      </c>
      <c r="BJ325" s="234">
        <f>SUMIFS('2023'!$I:$I,'2023'!$E:$E,Category!$B$278,'2023'!$N:$N,Category!BJ$1,'2023'!$D:$D,Category!$C325)</f>
        <v>0</v>
      </c>
      <c r="BK325" s="234">
        <f>SUMIFS('2023'!$I:$I,'2023'!$E:$E,Category!$B$278,'2023'!$N:$N,Category!BK$1,'2023'!$D:$D,Category!$C325)</f>
        <v>0</v>
      </c>
      <c r="BL325" s="234">
        <f>SUMIFS('2023'!$I:$I,'2023'!$E:$E,Category!$B$278,'2023'!$N:$N,Category!BL$1,'2023'!$D:$D,Category!$C325)</f>
        <v>0</v>
      </c>
      <c r="BM325" s="234">
        <f>SUMIFS('2023'!$I:$I,'2023'!$E:$E,Category!$B$278,'2023'!$N:$N,Category!BM$1,'2023'!$D:$D,Category!$C325)</f>
        <v>0</v>
      </c>
      <c r="BN325" s="250">
        <f t="shared" si="114"/>
        <v>0</v>
      </c>
    </row>
    <row r="326" spans="1:66" ht="21" hidden="1" customHeight="1" x14ac:dyDescent="0.3">
      <c r="A326" s="249"/>
      <c r="B326" s="235"/>
      <c r="C326" s="235"/>
      <c r="D326" s="527">
        <f>IFERROR(VLOOKUP($C326,'2019'!$D:$G,4,0),0)</f>
        <v>0</v>
      </c>
      <c r="E326" s="234">
        <f>SUMIFS('2019'!$I:$I,'2019'!$E:$E,Category!$B$278,'2019'!$N:$N,Category!E$1,'2019'!$D:$D,Category!$C326)</f>
        <v>0</v>
      </c>
      <c r="F326" s="234">
        <f>SUMIFS('2019'!$I:$I,'2019'!$E:$E,Category!$B$278,'2019'!$N:$N,Category!F$1,'2019'!$D:$D,Category!$C326)</f>
        <v>0</v>
      </c>
      <c r="G326" s="234">
        <f>SUMIFS('2019'!$I:$I,'2019'!$E:$E,Category!$B$278,'2019'!$N:$N,Category!G$1,'2019'!$D:$D,Category!$C326)</f>
        <v>0</v>
      </c>
      <c r="H326" s="234">
        <f>SUMIFS('2019'!$I:$I,'2019'!$E:$E,Category!$B$278,'2019'!$N:$N,Category!H$1,'2019'!$D:$D,Category!$C326)</f>
        <v>0</v>
      </c>
      <c r="I326" s="234">
        <f>SUMIFS('2019'!$I:$I,'2019'!$E:$E,Category!$B$278,'2019'!$N:$N,Category!I$1,'2019'!$D:$D,Category!$C326)</f>
        <v>0</v>
      </c>
      <c r="J326" s="234">
        <f t="shared" si="116"/>
        <v>0</v>
      </c>
      <c r="K326" s="507">
        <f>IFERROR(VLOOKUP($C326,'2020'!$D:$G,4,0),0)</f>
        <v>0</v>
      </c>
      <c r="L326" s="234">
        <f>SUMIFS('2020'!$I:$I,'2020'!$E:$E,Category!$B$278,'2020'!$N:$N,Category!L$1,'2020'!$D:$D,Category!$C326)</f>
        <v>0</v>
      </c>
      <c r="M326" s="234">
        <f>SUMIFS('2020'!$I:$I,'2020'!$E:$E,Category!$B$278,'2020'!$N:$N,Category!M$1,'2020'!$D:$D,Category!$C326)</f>
        <v>0</v>
      </c>
      <c r="N326" s="234">
        <f>SUMIFS('2020'!$I:$I,'2020'!$E:$E,Category!$B$278,'2020'!$N:$N,Category!N$1,'2020'!$D:$D,Category!$C326)</f>
        <v>0</v>
      </c>
      <c r="O326" s="234">
        <f>SUMIFS('2020'!$I:$I,'2020'!$E:$E,Category!$B$278,'2020'!$N:$N,Category!O$1,'2020'!$D:$D,Category!$C326)</f>
        <v>0</v>
      </c>
      <c r="P326" s="234">
        <f>SUMIFS('2020'!$I:$I,'2020'!$E:$E,Category!$B$278,'2020'!$N:$N,Category!P$1,'2020'!$D:$D,Category!$C326)</f>
        <v>0</v>
      </c>
      <c r="Q326" s="234">
        <f>SUMIFS('2020'!$I:$I,'2020'!$E:$E,Category!$B$278,'2020'!$N:$N,Category!Q$1,'2020'!$D:$D,Category!$C326)</f>
        <v>0</v>
      </c>
      <c r="R326" s="234">
        <f>SUMIFS('2020'!$I:$I,'2020'!$E:$E,Category!$B$278,'2020'!$N:$N,Category!R$1,'2020'!$D:$D,Category!$C326)</f>
        <v>0</v>
      </c>
      <c r="S326" s="234">
        <f>SUMIFS('2020'!$I:$I,'2020'!$E:$E,Category!$B$278,'2020'!$N:$N,Category!S$1,'2020'!$D:$D,Category!$C326)</f>
        <v>0</v>
      </c>
      <c r="T326" s="234">
        <f>SUMIFS('2020'!$I:$I,'2020'!$E:$E,Category!$B$278,'2020'!$N:$N,Category!T$1,'2020'!$D:$D,Category!$C326)</f>
        <v>0</v>
      </c>
      <c r="U326" s="234">
        <f>SUMIFS('2020'!$I:$I,'2020'!$E:$E,Category!$B$278,'2020'!$N:$N,Category!U$1,'2020'!$D:$D,Category!$C326)</f>
        <v>0</v>
      </c>
      <c r="V326" s="234">
        <f>SUMIFS('2020'!$I:$I,'2020'!$E:$E,Category!$B$278,'2020'!$N:$N,Category!V$1,'2020'!$D:$D,Category!$C326)</f>
        <v>0</v>
      </c>
      <c r="W326" s="234">
        <f>SUMIFS('2020'!$I:$I,'2020'!$E:$E,Category!$B$278,'2020'!$N:$N,Category!W$1,'2020'!$D:$D,Category!$C326)</f>
        <v>0</v>
      </c>
      <c r="X326" s="234">
        <f t="shared" si="117"/>
        <v>0</v>
      </c>
      <c r="Y326" s="507">
        <f>IFERROR(VLOOKUP(C326,'2021'!$D:$G,4,0),0)</f>
        <v>0</v>
      </c>
      <c r="Z326" s="234">
        <f>SUMIFS('2021'!$I:$I,'2021'!$E:$E,Category!$B$278,'2021'!$N:$N,Category!Z$1,'2021'!$D:$D,Category!$C326)</f>
        <v>0</v>
      </c>
      <c r="AA326" s="234">
        <f>SUMIFS('2021'!$I:$I,'2021'!$E:$E,Category!$B$278,'2021'!$N:$N,Category!AA$1,'2021'!$D:$D,Category!$C326)</f>
        <v>0</v>
      </c>
      <c r="AB326" s="234">
        <f>SUMIFS('2021'!$I:$I,'2021'!$E:$E,Category!$B$278,'2021'!$N:$N,Category!AB$1,'2021'!$D:$D,Category!$C326)</f>
        <v>0</v>
      </c>
      <c r="AC326" s="234">
        <f>SUMIFS('2021'!$I:$I,'2021'!$E:$E,Category!$B$278,'2021'!$N:$N,Category!AC$1,'2021'!$D:$D,Category!$C326)</f>
        <v>0</v>
      </c>
      <c r="AD326" s="234">
        <f>SUMIFS('2021'!$I:$I,'2021'!$E:$E,Category!$B$278,'2021'!$N:$N,Category!AD$1,'2021'!$D:$D,Category!$C326)</f>
        <v>0</v>
      </c>
      <c r="AE326" s="234">
        <f>SUMIFS('2021'!$I:$I,'2021'!$E:$E,Category!$B$278,'2021'!$N:$N,Category!AE$1,'2021'!$D:$D,Category!$C326)</f>
        <v>0</v>
      </c>
      <c r="AF326" s="234">
        <f>SUMIFS('2021'!$I:$I,'2021'!$E:$E,Category!$B$278,'2021'!$N:$N,Category!AF$1,'2021'!$D:$D,Category!$C326)</f>
        <v>0</v>
      </c>
      <c r="AG326" s="234">
        <f>SUMIFS('2021'!$I:$I,'2021'!$E:$E,Category!$B$278,'2021'!$N:$N,Category!AG$1,'2021'!$D:$D,Category!$C326)</f>
        <v>0</v>
      </c>
      <c r="AH326" s="234">
        <f>SUMIFS('2021'!$I:$I,'2021'!$E:$E,Category!$B$278,'2021'!$N:$N,Category!AH$1,'2021'!$D:$D,Category!$C326)</f>
        <v>0</v>
      </c>
      <c r="AI326" s="234">
        <f>SUMIFS('2021'!$I:$I,'2021'!$E:$E,Category!$B$278,'2021'!$N:$N,Category!AI$1,'2021'!$D:$D,Category!$C326)</f>
        <v>0</v>
      </c>
      <c r="AJ326" s="234">
        <f>SUMIFS('2021'!$I:$I,'2021'!$E:$E,Category!$B$278,'2021'!$N:$N,Category!AJ$1,'2021'!$D:$D,Category!$C326)</f>
        <v>0</v>
      </c>
      <c r="AK326" s="234">
        <f>SUMIFS('2021'!$I:$I,'2021'!$E:$E,Category!$B$278,'2021'!$N:$N,Category!AK$1,'2021'!$D:$D,Category!$C326)</f>
        <v>0</v>
      </c>
      <c r="AL326" s="250">
        <f t="shared" si="118"/>
        <v>0</v>
      </c>
      <c r="AM326" s="507">
        <f>IFERROR(VLOOKUP(C326,'2022'!$D:$G,4,0),0)</f>
        <v>0</v>
      </c>
      <c r="AN326" s="234">
        <f>SUMIFS('2022'!$I:$I,'2022'!$E:$E,Category!$B$278,'2022'!$N:$N,Category!AN$1,'2022'!$D:$D,Category!$C326)</f>
        <v>0</v>
      </c>
      <c r="AO326" s="234">
        <f>SUMIFS('2022'!$I:$I,'2022'!$E:$E,Category!$B$278,'2022'!$N:$N,Category!AO$1,'2022'!$D:$D,Category!$C326)</f>
        <v>0</v>
      </c>
      <c r="AP326" s="234">
        <f>SUMIFS('2022'!$I:$I,'2022'!$E:$E,Category!$B$278,'2022'!$N:$N,Category!AP$1,'2022'!$D:$D,Category!$C326)</f>
        <v>0</v>
      </c>
      <c r="AQ326" s="234">
        <f>SUMIFS('2022'!$I:$I,'2022'!$E:$E,Category!$B$278,'2022'!$N:$N,Category!AQ$1,'2022'!$D:$D,Category!$C326)</f>
        <v>0</v>
      </c>
      <c r="AR326" s="234">
        <f>SUMIFS('2022'!$I:$I,'2022'!$E:$E,Category!$B$278,'2022'!$N:$N,Category!AR$1,'2022'!$D:$D,Category!$C326)</f>
        <v>0</v>
      </c>
      <c r="AS326" s="234">
        <f>SUMIFS('2022'!$I:$I,'2022'!$E:$E,Category!$B$278,'2022'!$N:$N,Category!AS$1,'2022'!$D:$D,Category!$C326)</f>
        <v>0</v>
      </c>
      <c r="AT326" s="234">
        <f>SUMIFS('2022'!$I:$I,'2022'!$E:$E,Category!$B$278,'2022'!$N:$N,Category!AT$1,'2022'!$D:$D,Category!$C326)</f>
        <v>0</v>
      </c>
      <c r="AU326" s="234">
        <f>SUMIFS('2022'!$I:$I,'2022'!$E:$E,Category!$B$278,'2022'!$N:$N,Category!AU$1,'2022'!$D:$D,Category!$C326)</f>
        <v>0</v>
      </c>
      <c r="AV326" s="234">
        <f>SUMIFS('2022'!$I:$I,'2022'!$E:$E,Category!$B$278,'2022'!$N:$N,Category!AV$1,'2022'!$D:$D,Category!$C326)</f>
        <v>0</v>
      </c>
      <c r="AW326" s="234">
        <f>SUMIFS('2022'!$I:$I,'2022'!$E:$E,Category!$B$278,'2022'!$N:$N,Category!AW$1,'2022'!$D:$D,Category!$C326)</f>
        <v>0</v>
      </c>
      <c r="AX326" s="234">
        <f>SUMIFS('2022'!$I:$I,'2022'!$E:$E,Category!$B$278,'2022'!$N:$N,Category!AX$1,'2022'!$D:$D,Category!$C326)</f>
        <v>0</v>
      </c>
      <c r="AY326" s="234">
        <f>SUMIFS('2022'!$I:$I,'2022'!$E:$E,Category!$B$278,'2022'!$N:$N,Category!AY$1,'2022'!$D:$D,Category!$C326)</f>
        <v>0</v>
      </c>
      <c r="AZ326" s="250">
        <f t="shared" si="119"/>
        <v>0</v>
      </c>
      <c r="BA326" s="507">
        <f>IFERROR(VLOOKUP(C326,'2023'!$D:$G,4,0),0)</f>
        <v>0</v>
      </c>
      <c r="BB326" s="234">
        <f>SUMIFS('2023'!$I:$I,'2023'!$E:$E,Category!$B$278,'2023'!$N:$N,Category!BB$1,'2023'!$D:$D,Category!$C326)</f>
        <v>0</v>
      </c>
      <c r="BC326" s="234">
        <f>SUMIFS('2023'!$I:$I,'2023'!$E:$E,Category!$B$278,'2023'!$N:$N,Category!BC$1,'2023'!$D:$D,Category!$C326)</f>
        <v>0</v>
      </c>
      <c r="BD326" s="234">
        <f>SUMIFS('2023'!$I:$I,'2023'!$E:$E,Category!$B$278,'2023'!$N:$N,Category!BD$1,'2023'!$D:$D,Category!$C326)</f>
        <v>0</v>
      </c>
      <c r="BE326" s="234">
        <f>SUMIFS('2023'!$I:$I,'2023'!$E:$E,Category!$B$278,'2023'!$N:$N,Category!BE$1,'2023'!$D:$D,Category!$C326)</f>
        <v>0</v>
      </c>
      <c r="BF326" s="234">
        <f>SUMIFS('2023'!$I:$I,'2023'!$E:$E,Category!$B$278,'2023'!$N:$N,Category!BF$1,'2023'!$D:$D,Category!$C326)</f>
        <v>0</v>
      </c>
      <c r="BG326" s="234">
        <f>SUMIFS('2023'!$I:$I,'2023'!$E:$E,Category!$B$278,'2023'!$N:$N,Category!BG$1,'2023'!$D:$D,Category!$C326)</f>
        <v>0</v>
      </c>
      <c r="BH326" s="234">
        <f>SUMIFS('2023'!$I:$I,'2023'!$E:$E,Category!$B$278,'2023'!$N:$N,Category!BH$1,'2023'!$D:$D,Category!$C326)</f>
        <v>0</v>
      </c>
      <c r="BI326" s="234">
        <f>SUMIFS('2023'!$I:$I,'2023'!$E:$E,Category!$B$278,'2023'!$N:$N,Category!BI$1,'2023'!$D:$D,Category!$C326)</f>
        <v>0</v>
      </c>
      <c r="BJ326" s="234">
        <f>SUMIFS('2023'!$I:$I,'2023'!$E:$E,Category!$B$278,'2023'!$N:$N,Category!BJ$1,'2023'!$D:$D,Category!$C326)</f>
        <v>0</v>
      </c>
      <c r="BK326" s="234">
        <f>SUMIFS('2023'!$I:$I,'2023'!$E:$E,Category!$B$278,'2023'!$N:$N,Category!BK$1,'2023'!$D:$D,Category!$C326)</f>
        <v>0</v>
      </c>
      <c r="BL326" s="234">
        <f>SUMIFS('2023'!$I:$I,'2023'!$E:$E,Category!$B$278,'2023'!$N:$N,Category!BL$1,'2023'!$D:$D,Category!$C326)</f>
        <v>0</v>
      </c>
      <c r="BM326" s="234">
        <f>SUMIFS('2023'!$I:$I,'2023'!$E:$E,Category!$B$278,'2023'!$N:$N,Category!BM$1,'2023'!$D:$D,Category!$C326)</f>
        <v>0</v>
      </c>
      <c r="BN326" s="250">
        <f t="shared" si="114"/>
        <v>0</v>
      </c>
    </row>
    <row r="327" spans="1:66" ht="21" hidden="1" customHeight="1" x14ac:dyDescent="0.3">
      <c r="A327" s="249"/>
      <c r="B327" s="235"/>
      <c r="C327" s="235"/>
      <c r="D327" s="527">
        <f>IFERROR(VLOOKUP($C327,'2019'!$D:$G,4,0),0)</f>
        <v>0</v>
      </c>
      <c r="E327" s="234">
        <f>SUMIFS('2019'!$I:$I,'2019'!$E:$E,Category!$B$278,'2019'!$N:$N,Category!E$1,'2019'!$D:$D,Category!$C327)</f>
        <v>0</v>
      </c>
      <c r="F327" s="234">
        <f>SUMIFS('2019'!$I:$I,'2019'!$E:$E,Category!$B$278,'2019'!$N:$N,Category!F$1,'2019'!$D:$D,Category!$C327)</f>
        <v>0</v>
      </c>
      <c r="G327" s="234">
        <f>SUMIFS('2019'!$I:$I,'2019'!$E:$E,Category!$B$278,'2019'!$N:$N,Category!G$1,'2019'!$D:$D,Category!$C327)</f>
        <v>0</v>
      </c>
      <c r="H327" s="234">
        <f>SUMIFS('2019'!$I:$I,'2019'!$E:$E,Category!$B$278,'2019'!$N:$N,Category!H$1,'2019'!$D:$D,Category!$C327)</f>
        <v>0</v>
      </c>
      <c r="I327" s="234">
        <f>SUMIFS('2019'!$I:$I,'2019'!$E:$E,Category!$B$278,'2019'!$N:$N,Category!I$1,'2019'!$D:$D,Category!$C327)</f>
        <v>0</v>
      </c>
      <c r="J327" s="234">
        <f t="shared" si="116"/>
        <v>0</v>
      </c>
      <c r="K327" s="507">
        <f>IFERROR(VLOOKUP($C327,'2020'!$D:$G,4,0),0)</f>
        <v>0</v>
      </c>
      <c r="L327" s="234">
        <f>SUMIFS('2020'!$I:$I,'2020'!$E:$E,Category!$B$278,'2020'!$N:$N,Category!L$1,'2020'!$D:$D,Category!$C327)</f>
        <v>0</v>
      </c>
      <c r="M327" s="234">
        <f>SUMIFS('2020'!$I:$I,'2020'!$E:$E,Category!$B$278,'2020'!$N:$N,Category!M$1,'2020'!$D:$D,Category!$C327)</f>
        <v>0</v>
      </c>
      <c r="N327" s="234">
        <f>SUMIFS('2020'!$I:$I,'2020'!$E:$E,Category!$B$278,'2020'!$N:$N,Category!N$1,'2020'!$D:$D,Category!$C327)</f>
        <v>0</v>
      </c>
      <c r="O327" s="234">
        <f>SUMIFS('2020'!$I:$I,'2020'!$E:$E,Category!$B$278,'2020'!$N:$N,Category!O$1,'2020'!$D:$D,Category!$C327)</f>
        <v>0</v>
      </c>
      <c r="P327" s="234">
        <f>SUMIFS('2020'!$I:$I,'2020'!$E:$E,Category!$B$278,'2020'!$N:$N,Category!P$1,'2020'!$D:$D,Category!$C327)</f>
        <v>0</v>
      </c>
      <c r="Q327" s="234">
        <f>SUMIFS('2020'!$I:$I,'2020'!$E:$E,Category!$B$278,'2020'!$N:$N,Category!Q$1,'2020'!$D:$D,Category!$C327)</f>
        <v>0</v>
      </c>
      <c r="R327" s="234">
        <f>SUMIFS('2020'!$I:$I,'2020'!$E:$E,Category!$B$278,'2020'!$N:$N,Category!R$1,'2020'!$D:$D,Category!$C327)</f>
        <v>0</v>
      </c>
      <c r="S327" s="234">
        <f>SUMIFS('2020'!$I:$I,'2020'!$E:$E,Category!$B$278,'2020'!$N:$N,Category!S$1,'2020'!$D:$D,Category!$C327)</f>
        <v>0</v>
      </c>
      <c r="T327" s="234">
        <f>SUMIFS('2020'!$I:$I,'2020'!$E:$E,Category!$B$278,'2020'!$N:$N,Category!T$1,'2020'!$D:$D,Category!$C327)</f>
        <v>0</v>
      </c>
      <c r="U327" s="234">
        <f>SUMIFS('2020'!$I:$I,'2020'!$E:$E,Category!$B$278,'2020'!$N:$N,Category!U$1,'2020'!$D:$D,Category!$C327)</f>
        <v>0</v>
      </c>
      <c r="V327" s="234">
        <f>SUMIFS('2020'!$I:$I,'2020'!$E:$E,Category!$B$278,'2020'!$N:$N,Category!V$1,'2020'!$D:$D,Category!$C327)</f>
        <v>0</v>
      </c>
      <c r="W327" s="234">
        <f>SUMIFS('2020'!$I:$I,'2020'!$E:$E,Category!$B$278,'2020'!$N:$N,Category!W$1,'2020'!$D:$D,Category!$C327)</f>
        <v>0</v>
      </c>
      <c r="X327" s="234">
        <f t="shared" si="117"/>
        <v>0</v>
      </c>
      <c r="Y327" s="507">
        <f>IFERROR(VLOOKUP(C327,'2021'!$D:$G,4,0),0)</f>
        <v>0</v>
      </c>
      <c r="Z327" s="234">
        <f>SUMIFS('2021'!$I:$I,'2021'!$E:$E,Category!$B$278,'2021'!$N:$N,Category!Z$1,'2021'!$D:$D,Category!$C327)</f>
        <v>0</v>
      </c>
      <c r="AA327" s="234">
        <f>SUMIFS('2021'!$I:$I,'2021'!$E:$E,Category!$B$278,'2021'!$N:$N,Category!AA$1,'2021'!$D:$D,Category!$C327)</f>
        <v>0</v>
      </c>
      <c r="AB327" s="234">
        <f>SUMIFS('2021'!$I:$I,'2021'!$E:$E,Category!$B$278,'2021'!$N:$N,Category!AB$1,'2021'!$D:$D,Category!$C327)</f>
        <v>0</v>
      </c>
      <c r="AC327" s="234">
        <f>SUMIFS('2021'!$I:$I,'2021'!$E:$E,Category!$B$278,'2021'!$N:$N,Category!AC$1,'2021'!$D:$D,Category!$C327)</f>
        <v>0</v>
      </c>
      <c r="AD327" s="234">
        <f>SUMIFS('2021'!$I:$I,'2021'!$E:$E,Category!$B$278,'2021'!$N:$N,Category!AD$1,'2021'!$D:$D,Category!$C327)</f>
        <v>0</v>
      </c>
      <c r="AE327" s="234">
        <f>SUMIFS('2021'!$I:$I,'2021'!$E:$E,Category!$B$278,'2021'!$N:$N,Category!AE$1,'2021'!$D:$D,Category!$C327)</f>
        <v>0</v>
      </c>
      <c r="AF327" s="234">
        <f>SUMIFS('2021'!$I:$I,'2021'!$E:$E,Category!$B$278,'2021'!$N:$N,Category!AF$1,'2021'!$D:$D,Category!$C327)</f>
        <v>0</v>
      </c>
      <c r="AG327" s="234">
        <f>SUMIFS('2021'!$I:$I,'2021'!$E:$E,Category!$B$278,'2021'!$N:$N,Category!AG$1,'2021'!$D:$D,Category!$C327)</f>
        <v>0</v>
      </c>
      <c r="AH327" s="234">
        <f>SUMIFS('2021'!$I:$I,'2021'!$E:$E,Category!$B$278,'2021'!$N:$N,Category!AH$1,'2021'!$D:$D,Category!$C327)</f>
        <v>0</v>
      </c>
      <c r="AI327" s="234">
        <f>SUMIFS('2021'!$I:$I,'2021'!$E:$E,Category!$B$278,'2021'!$N:$N,Category!AI$1,'2021'!$D:$D,Category!$C327)</f>
        <v>0</v>
      </c>
      <c r="AJ327" s="234">
        <f>SUMIFS('2021'!$I:$I,'2021'!$E:$E,Category!$B$278,'2021'!$N:$N,Category!AJ$1,'2021'!$D:$D,Category!$C327)</f>
        <v>0</v>
      </c>
      <c r="AK327" s="234">
        <f>SUMIFS('2021'!$I:$I,'2021'!$E:$E,Category!$B$278,'2021'!$N:$N,Category!AK$1,'2021'!$D:$D,Category!$C327)</f>
        <v>0</v>
      </c>
      <c r="AL327" s="250">
        <f t="shared" si="118"/>
        <v>0</v>
      </c>
      <c r="AM327" s="507">
        <f>IFERROR(VLOOKUP(C327,'2022'!$D:$G,4,0),0)</f>
        <v>0</v>
      </c>
      <c r="AN327" s="234">
        <f>SUMIFS('2022'!$I:$I,'2022'!$E:$E,Category!$B$278,'2022'!$N:$N,Category!AN$1,'2022'!$D:$D,Category!$C327)</f>
        <v>0</v>
      </c>
      <c r="AO327" s="234">
        <f>SUMIFS('2022'!$I:$I,'2022'!$E:$E,Category!$B$278,'2022'!$N:$N,Category!AO$1,'2022'!$D:$D,Category!$C327)</f>
        <v>0</v>
      </c>
      <c r="AP327" s="234">
        <f>SUMIFS('2022'!$I:$I,'2022'!$E:$E,Category!$B$278,'2022'!$N:$N,Category!AP$1,'2022'!$D:$D,Category!$C327)</f>
        <v>0</v>
      </c>
      <c r="AQ327" s="234">
        <f>SUMIFS('2022'!$I:$I,'2022'!$E:$E,Category!$B$278,'2022'!$N:$N,Category!AQ$1,'2022'!$D:$D,Category!$C327)</f>
        <v>0</v>
      </c>
      <c r="AR327" s="234">
        <f>SUMIFS('2022'!$I:$I,'2022'!$E:$E,Category!$B$278,'2022'!$N:$N,Category!AR$1,'2022'!$D:$D,Category!$C327)</f>
        <v>0</v>
      </c>
      <c r="AS327" s="234">
        <f>SUMIFS('2022'!$I:$I,'2022'!$E:$E,Category!$B$278,'2022'!$N:$N,Category!AS$1,'2022'!$D:$D,Category!$C327)</f>
        <v>0</v>
      </c>
      <c r="AT327" s="234">
        <f>SUMIFS('2022'!$I:$I,'2022'!$E:$E,Category!$B$278,'2022'!$N:$N,Category!AT$1,'2022'!$D:$D,Category!$C327)</f>
        <v>0</v>
      </c>
      <c r="AU327" s="234">
        <f>SUMIFS('2022'!$I:$I,'2022'!$E:$E,Category!$B$278,'2022'!$N:$N,Category!AU$1,'2022'!$D:$D,Category!$C327)</f>
        <v>0</v>
      </c>
      <c r="AV327" s="234">
        <f>SUMIFS('2022'!$I:$I,'2022'!$E:$E,Category!$B$278,'2022'!$N:$N,Category!AV$1,'2022'!$D:$D,Category!$C327)</f>
        <v>0</v>
      </c>
      <c r="AW327" s="234">
        <f>SUMIFS('2022'!$I:$I,'2022'!$E:$E,Category!$B$278,'2022'!$N:$N,Category!AW$1,'2022'!$D:$D,Category!$C327)</f>
        <v>0</v>
      </c>
      <c r="AX327" s="234">
        <f>SUMIFS('2022'!$I:$I,'2022'!$E:$E,Category!$B$278,'2022'!$N:$N,Category!AX$1,'2022'!$D:$D,Category!$C327)</f>
        <v>0</v>
      </c>
      <c r="AY327" s="234">
        <f>SUMIFS('2022'!$I:$I,'2022'!$E:$E,Category!$B$278,'2022'!$N:$N,Category!AY$1,'2022'!$D:$D,Category!$C327)</f>
        <v>0</v>
      </c>
      <c r="AZ327" s="250">
        <f t="shared" si="119"/>
        <v>0</v>
      </c>
      <c r="BA327" s="507">
        <f>IFERROR(VLOOKUP(C327,'2023'!$D:$G,4,0),0)</f>
        <v>0</v>
      </c>
      <c r="BB327" s="234">
        <f>SUMIFS('2023'!$I:$I,'2023'!$E:$E,Category!$B$278,'2023'!$N:$N,Category!BB$1,'2023'!$D:$D,Category!$C327)</f>
        <v>0</v>
      </c>
      <c r="BC327" s="234">
        <f>SUMIFS('2023'!$I:$I,'2023'!$E:$E,Category!$B$278,'2023'!$N:$N,Category!BC$1,'2023'!$D:$D,Category!$C327)</f>
        <v>0</v>
      </c>
      <c r="BD327" s="234">
        <f>SUMIFS('2023'!$I:$I,'2023'!$E:$E,Category!$B$278,'2023'!$N:$N,Category!BD$1,'2023'!$D:$D,Category!$C327)</f>
        <v>0</v>
      </c>
      <c r="BE327" s="234">
        <f>SUMIFS('2023'!$I:$I,'2023'!$E:$E,Category!$B$278,'2023'!$N:$N,Category!BE$1,'2023'!$D:$D,Category!$C327)</f>
        <v>0</v>
      </c>
      <c r="BF327" s="234">
        <f>SUMIFS('2023'!$I:$I,'2023'!$E:$E,Category!$B$278,'2023'!$N:$N,Category!BF$1,'2023'!$D:$D,Category!$C327)</f>
        <v>0</v>
      </c>
      <c r="BG327" s="234">
        <f>SUMIFS('2023'!$I:$I,'2023'!$E:$E,Category!$B$278,'2023'!$N:$N,Category!BG$1,'2023'!$D:$D,Category!$C327)</f>
        <v>0</v>
      </c>
      <c r="BH327" s="234">
        <f>SUMIFS('2023'!$I:$I,'2023'!$E:$E,Category!$B$278,'2023'!$N:$N,Category!BH$1,'2023'!$D:$D,Category!$C327)</f>
        <v>0</v>
      </c>
      <c r="BI327" s="234">
        <f>SUMIFS('2023'!$I:$I,'2023'!$E:$E,Category!$B$278,'2023'!$N:$N,Category!BI$1,'2023'!$D:$D,Category!$C327)</f>
        <v>0</v>
      </c>
      <c r="BJ327" s="234">
        <f>SUMIFS('2023'!$I:$I,'2023'!$E:$E,Category!$B$278,'2023'!$N:$N,Category!BJ$1,'2023'!$D:$D,Category!$C327)</f>
        <v>0</v>
      </c>
      <c r="BK327" s="234">
        <f>SUMIFS('2023'!$I:$I,'2023'!$E:$E,Category!$B$278,'2023'!$N:$N,Category!BK$1,'2023'!$D:$D,Category!$C327)</f>
        <v>0</v>
      </c>
      <c r="BL327" s="234">
        <f>SUMIFS('2023'!$I:$I,'2023'!$E:$E,Category!$B$278,'2023'!$N:$N,Category!BL$1,'2023'!$D:$D,Category!$C327)</f>
        <v>0</v>
      </c>
      <c r="BM327" s="234">
        <f>SUMIFS('2023'!$I:$I,'2023'!$E:$E,Category!$B$278,'2023'!$N:$N,Category!BM$1,'2023'!$D:$D,Category!$C327)</f>
        <v>0</v>
      </c>
      <c r="BN327" s="250">
        <f t="shared" si="114"/>
        <v>0</v>
      </c>
    </row>
    <row r="328" spans="1:66" ht="21" hidden="1" customHeight="1" x14ac:dyDescent="0.3">
      <c r="A328" s="249"/>
      <c r="B328" s="235"/>
      <c r="C328" s="235"/>
      <c r="D328" s="527">
        <f>IFERROR(VLOOKUP($C328,'2019'!$D:$G,4,0),0)</f>
        <v>0</v>
      </c>
      <c r="E328" s="234">
        <f>SUMIFS('2019'!$I:$I,'2019'!$E:$E,Category!$B$278,'2019'!$N:$N,Category!E$1,'2019'!$D:$D,Category!$C328)</f>
        <v>0</v>
      </c>
      <c r="F328" s="234">
        <f>SUMIFS('2019'!$I:$I,'2019'!$E:$E,Category!$B$278,'2019'!$N:$N,Category!F$1,'2019'!$D:$D,Category!$C328)</f>
        <v>0</v>
      </c>
      <c r="G328" s="234">
        <f>SUMIFS('2019'!$I:$I,'2019'!$E:$E,Category!$B$278,'2019'!$N:$N,Category!G$1,'2019'!$D:$D,Category!$C328)</f>
        <v>0</v>
      </c>
      <c r="H328" s="234">
        <f>SUMIFS('2019'!$I:$I,'2019'!$E:$E,Category!$B$278,'2019'!$N:$N,Category!H$1,'2019'!$D:$D,Category!$C328)</f>
        <v>0</v>
      </c>
      <c r="I328" s="234">
        <f>SUMIFS('2019'!$I:$I,'2019'!$E:$E,Category!$B$278,'2019'!$N:$N,Category!I$1,'2019'!$D:$D,Category!$C328)</f>
        <v>0</v>
      </c>
      <c r="J328" s="234">
        <f t="shared" si="116"/>
        <v>0</v>
      </c>
      <c r="K328" s="507">
        <f>IFERROR(VLOOKUP($C328,'2020'!$D:$G,4,0),0)</f>
        <v>0</v>
      </c>
      <c r="L328" s="234">
        <f>SUMIFS('2020'!$I:$I,'2020'!$E:$E,Category!$B$278,'2020'!$N:$N,Category!L$1,'2020'!$D:$D,Category!$C328)</f>
        <v>0</v>
      </c>
      <c r="M328" s="234">
        <f>SUMIFS('2020'!$I:$I,'2020'!$E:$E,Category!$B$278,'2020'!$N:$N,Category!M$1,'2020'!$D:$D,Category!$C328)</f>
        <v>0</v>
      </c>
      <c r="N328" s="234">
        <f>SUMIFS('2020'!$I:$I,'2020'!$E:$E,Category!$B$278,'2020'!$N:$N,Category!N$1,'2020'!$D:$D,Category!$C328)</f>
        <v>0</v>
      </c>
      <c r="O328" s="234">
        <f>SUMIFS('2020'!$I:$I,'2020'!$E:$E,Category!$B$278,'2020'!$N:$N,Category!O$1,'2020'!$D:$D,Category!$C328)</f>
        <v>0</v>
      </c>
      <c r="P328" s="234">
        <f>SUMIFS('2020'!$I:$I,'2020'!$E:$E,Category!$B$278,'2020'!$N:$N,Category!P$1,'2020'!$D:$D,Category!$C328)</f>
        <v>0</v>
      </c>
      <c r="Q328" s="234">
        <f>SUMIFS('2020'!$I:$I,'2020'!$E:$E,Category!$B$278,'2020'!$N:$N,Category!Q$1,'2020'!$D:$D,Category!$C328)</f>
        <v>0</v>
      </c>
      <c r="R328" s="234">
        <f>SUMIFS('2020'!$I:$I,'2020'!$E:$E,Category!$B$278,'2020'!$N:$N,Category!R$1,'2020'!$D:$D,Category!$C328)</f>
        <v>0</v>
      </c>
      <c r="S328" s="234">
        <f>SUMIFS('2020'!$I:$I,'2020'!$E:$E,Category!$B$278,'2020'!$N:$N,Category!S$1,'2020'!$D:$D,Category!$C328)</f>
        <v>0</v>
      </c>
      <c r="T328" s="234">
        <f>SUMIFS('2020'!$I:$I,'2020'!$E:$E,Category!$B$278,'2020'!$N:$N,Category!T$1,'2020'!$D:$D,Category!$C328)</f>
        <v>0</v>
      </c>
      <c r="U328" s="234">
        <f>SUMIFS('2020'!$I:$I,'2020'!$E:$E,Category!$B$278,'2020'!$N:$N,Category!U$1,'2020'!$D:$D,Category!$C328)</f>
        <v>0</v>
      </c>
      <c r="V328" s="234">
        <f>SUMIFS('2020'!$I:$I,'2020'!$E:$E,Category!$B$278,'2020'!$N:$N,Category!V$1,'2020'!$D:$D,Category!$C328)</f>
        <v>0</v>
      </c>
      <c r="W328" s="234">
        <f>SUMIFS('2020'!$I:$I,'2020'!$E:$E,Category!$B$278,'2020'!$N:$N,Category!W$1,'2020'!$D:$D,Category!$C328)</f>
        <v>0</v>
      </c>
      <c r="X328" s="234">
        <f t="shared" si="117"/>
        <v>0</v>
      </c>
      <c r="Y328" s="507">
        <f>IFERROR(VLOOKUP(C328,'2021'!$D:$G,4,0),0)</f>
        <v>0</v>
      </c>
      <c r="Z328" s="234">
        <f>SUMIFS('2021'!$I:$I,'2021'!$E:$E,Category!$B$278,'2021'!$N:$N,Category!Z$1,'2021'!$D:$D,Category!$C328)</f>
        <v>0</v>
      </c>
      <c r="AA328" s="234">
        <f>SUMIFS('2021'!$I:$I,'2021'!$E:$E,Category!$B$278,'2021'!$N:$N,Category!AA$1,'2021'!$D:$D,Category!$C328)</f>
        <v>0</v>
      </c>
      <c r="AB328" s="234">
        <f>SUMIFS('2021'!$I:$I,'2021'!$E:$E,Category!$B$278,'2021'!$N:$N,Category!AB$1,'2021'!$D:$D,Category!$C328)</f>
        <v>0</v>
      </c>
      <c r="AC328" s="234">
        <f>SUMIFS('2021'!$I:$I,'2021'!$E:$E,Category!$B$278,'2021'!$N:$N,Category!AC$1,'2021'!$D:$D,Category!$C328)</f>
        <v>0</v>
      </c>
      <c r="AD328" s="234">
        <f>SUMIFS('2021'!$I:$I,'2021'!$E:$E,Category!$B$278,'2021'!$N:$N,Category!AD$1,'2021'!$D:$D,Category!$C328)</f>
        <v>0</v>
      </c>
      <c r="AE328" s="234">
        <f>SUMIFS('2021'!$I:$I,'2021'!$E:$E,Category!$B$278,'2021'!$N:$N,Category!AE$1,'2021'!$D:$D,Category!$C328)</f>
        <v>0</v>
      </c>
      <c r="AF328" s="234">
        <f>SUMIFS('2021'!$I:$I,'2021'!$E:$E,Category!$B$278,'2021'!$N:$N,Category!AF$1,'2021'!$D:$D,Category!$C328)</f>
        <v>0</v>
      </c>
      <c r="AG328" s="234">
        <f>SUMIFS('2021'!$I:$I,'2021'!$E:$E,Category!$B$278,'2021'!$N:$N,Category!AG$1,'2021'!$D:$D,Category!$C328)</f>
        <v>0</v>
      </c>
      <c r="AH328" s="234">
        <f>SUMIFS('2021'!$I:$I,'2021'!$E:$E,Category!$B$278,'2021'!$N:$N,Category!AH$1,'2021'!$D:$D,Category!$C328)</f>
        <v>0</v>
      </c>
      <c r="AI328" s="234">
        <f>SUMIFS('2021'!$I:$I,'2021'!$E:$E,Category!$B$278,'2021'!$N:$N,Category!AI$1,'2021'!$D:$D,Category!$C328)</f>
        <v>0</v>
      </c>
      <c r="AJ328" s="234">
        <f>SUMIFS('2021'!$I:$I,'2021'!$E:$E,Category!$B$278,'2021'!$N:$N,Category!AJ$1,'2021'!$D:$D,Category!$C328)</f>
        <v>0</v>
      </c>
      <c r="AK328" s="234">
        <f>SUMIFS('2021'!$I:$I,'2021'!$E:$E,Category!$B$278,'2021'!$N:$N,Category!AK$1,'2021'!$D:$D,Category!$C328)</f>
        <v>0</v>
      </c>
      <c r="AL328" s="250">
        <f t="shared" si="118"/>
        <v>0</v>
      </c>
      <c r="AM328" s="507">
        <f>IFERROR(VLOOKUP(C328,'2022'!$D:$G,4,0),0)</f>
        <v>0</v>
      </c>
      <c r="AN328" s="234">
        <f>SUMIFS('2022'!$I:$I,'2022'!$E:$E,Category!$B$278,'2022'!$N:$N,Category!AN$1,'2022'!$D:$D,Category!$C328)</f>
        <v>0</v>
      </c>
      <c r="AO328" s="234">
        <f>SUMIFS('2022'!$I:$I,'2022'!$E:$E,Category!$B$278,'2022'!$N:$N,Category!AO$1,'2022'!$D:$D,Category!$C328)</f>
        <v>0</v>
      </c>
      <c r="AP328" s="234">
        <f>SUMIFS('2022'!$I:$I,'2022'!$E:$E,Category!$B$278,'2022'!$N:$N,Category!AP$1,'2022'!$D:$D,Category!$C328)</f>
        <v>0</v>
      </c>
      <c r="AQ328" s="234">
        <f>SUMIFS('2022'!$I:$I,'2022'!$E:$E,Category!$B$278,'2022'!$N:$N,Category!AQ$1,'2022'!$D:$D,Category!$C328)</f>
        <v>0</v>
      </c>
      <c r="AR328" s="234">
        <f>SUMIFS('2022'!$I:$I,'2022'!$E:$E,Category!$B$278,'2022'!$N:$N,Category!AR$1,'2022'!$D:$D,Category!$C328)</f>
        <v>0</v>
      </c>
      <c r="AS328" s="234">
        <f>SUMIFS('2022'!$I:$I,'2022'!$E:$E,Category!$B$278,'2022'!$N:$N,Category!AS$1,'2022'!$D:$D,Category!$C328)</f>
        <v>0</v>
      </c>
      <c r="AT328" s="234">
        <f>SUMIFS('2022'!$I:$I,'2022'!$E:$E,Category!$B$278,'2022'!$N:$N,Category!AT$1,'2022'!$D:$D,Category!$C328)</f>
        <v>0</v>
      </c>
      <c r="AU328" s="234">
        <f>SUMIFS('2022'!$I:$I,'2022'!$E:$E,Category!$B$278,'2022'!$N:$N,Category!AU$1,'2022'!$D:$D,Category!$C328)</f>
        <v>0</v>
      </c>
      <c r="AV328" s="234">
        <f>SUMIFS('2022'!$I:$I,'2022'!$E:$E,Category!$B$278,'2022'!$N:$N,Category!AV$1,'2022'!$D:$D,Category!$C328)</f>
        <v>0</v>
      </c>
      <c r="AW328" s="234">
        <f>SUMIFS('2022'!$I:$I,'2022'!$E:$E,Category!$B$278,'2022'!$N:$N,Category!AW$1,'2022'!$D:$D,Category!$C328)</f>
        <v>0</v>
      </c>
      <c r="AX328" s="234">
        <f>SUMIFS('2022'!$I:$I,'2022'!$E:$E,Category!$B$278,'2022'!$N:$N,Category!AX$1,'2022'!$D:$D,Category!$C328)</f>
        <v>0</v>
      </c>
      <c r="AY328" s="234">
        <f>SUMIFS('2022'!$I:$I,'2022'!$E:$E,Category!$B$278,'2022'!$N:$N,Category!AY$1,'2022'!$D:$D,Category!$C328)</f>
        <v>0</v>
      </c>
      <c r="AZ328" s="250">
        <f t="shared" si="119"/>
        <v>0</v>
      </c>
      <c r="BA328" s="507">
        <f>IFERROR(VLOOKUP(C328,'2023'!$D:$G,4,0),0)</f>
        <v>0</v>
      </c>
      <c r="BB328" s="234">
        <f>SUMIFS('2023'!$I:$I,'2023'!$E:$E,Category!$B$278,'2023'!$N:$N,Category!BB$1,'2023'!$D:$D,Category!$C328)</f>
        <v>0</v>
      </c>
      <c r="BC328" s="234">
        <f>SUMIFS('2023'!$I:$I,'2023'!$E:$E,Category!$B$278,'2023'!$N:$N,Category!BC$1,'2023'!$D:$D,Category!$C328)</f>
        <v>0</v>
      </c>
      <c r="BD328" s="234">
        <f>SUMIFS('2023'!$I:$I,'2023'!$E:$E,Category!$B$278,'2023'!$N:$N,Category!BD$1,'2023'!$D:$D,Category!$C328)</f>
        <v>0</v>
      </c>
      <c r="BE328" s="234">
        <f>SUMIFS('2023'!$I:$I,'2023'!$E:$E,Category!$B$278,'2023'!$N:$N,Category!BE$1,'2023'!$D:$D,Category!$C328)</f>
        <v>0</v>
      </c>
      <c r="BF328" s="234">
        <f>SUMIFS('2023'!$I:$I,'2023'!$E:$E,Category!$B$278,'2023'!$N:$N,Category!BF$1,'2023'!$D:$D,Category!$C328)</f>
        <v>0</v>
      </c>
      <c r="BG328" s="234">
        <f>SUMIFS('2023'!$I:$I,'2023'!$E:$E,Category!$B$278,'2023'!$N:$N,Category!BG$1,'2023'!$D:$D,Category!$C328)</f>
        <v>0</v>
      </c>
      <c r="BH328" s="234">
        <f>SUMIFS('2023'!$I:$I,'2023'!$E:$E,Category!$B$278,'2023'!$N:$N,Category!BH$1,'2023'!$D:$D,Category!$C328)</f>
        <v>0</v>
      </c>
      <c r="BI328" s="234">
        <f>SUMIFS('2023'!$I:$I,'2023'!$E:$E,Category!$B$278,'2023'!$N:$N,Category!BI$1,'2023'!$D:$D,Category!$C328)</f>
        <v>0</v>
      </c>
      <c r="BJ328" s="234">
        <f>SUMIFS('2023'!$I:$I,'2023'!$E:$E,Category!$B$278,'2023'!$N:$N,Category!BJ$1,'2023'!$D:$D,Category!$C328)</f>
        <v>0</v>
      </c>
      <c r="BK328" s="234">
        <f>SUMIFS('2023'!$I:$I,'2023'!$E:$E,Category!$B$278,'2023'!$N:$N,Category!BK$1,'2023'!$D:$D,Category!$C328)</f>
        <v>0</v>
      </c>
      <c r="BL328" s="234">
        <f>SUMIFS('2023'!$I:$I,'2023'!$E:$E,Category!$B$278,'2023'!$N:$N,Category!BL$1,'2023'!$D:$D,Category!$C328)</f>
        <v>0</v>
      </c>
      <c r="BM328" s="234">
        <f>SUMIFS('2023'!$I:$I,'2023'!$E:$E,Category!$B$278,'2023'!$N:$N,Category!BM$1,'2023'!$D:$D,Category!$C328)</f>
        <v>0</v>
      </c>
      <c r="BN328" s="250">
        <f t="shared" si="114"/>
        <v>0</v>
      </c>
    </row>
    <row r="329" spans="1:66" ht="21" hidden="1" customHeight="1" x14ac:dyDescent="0.3">
      <c r="A329" s="249"/>
      <c r="B329" s="235"/>
      <c r="C329" s="235"/>
      <c r="D329" s="527">
        <f>IFERROR(VLOOKUP($C329,'2019'!$D:$G,4,0),0)</f>
        <v>0</v>
      </c>
      <c r="E329" s="234">
        <f>SUMIFS('2019'!$I:$I,'2019'!$E:$E,Category!$B$278,'2019'!$N:$N,Category!E$1,'2019'!$D:$D,Category!$C329)</f>
        <v>0</v>
      </c>
      <c r="F329" s="234">
        <f>SUMIFS('2019'!$I:$I,'2019'!$E:$E,Category!$B$278,'2019'!$N:$N,Category!F$1,'2019'!$D:$D,Category!$C329)</f>
        <v>0</v>
      </c>
      <c r="G329" s="234">
        <f>SUMIFS('2019'!$I:$I,'2019'!$E:$E,Category!$B$278,'2019'!$N:$N,Category!G$1,'2019'!$D:$D,Category!$C329)</f>
        <v>0</v>
      </c>
      <c r="H329" s="234">
        <f>SUMIFS('2019'!$I:$I,'2019'!$E:$E,Category!$B$278,'2019'!$N:$N,Category!H$1,'2019'!$D:$D,Category!$C329)</f>
        <v>0</v>
      </c>
      <c r="I329" s="234">
        <f>SUMIFS('2019'!$I:$I,'2019'!$E:$E,Category!$B$278,'2019'!$N:$N,Category!I$1,'2019'!$D:$D,Category!$C329)</f>
        <v>0</v>
      </c>
      <c r="J329" s="234">
        <f t="shared" si="116"/>
        <v>0</v>
      </c>
      <c r="K329" s="507">
        <f>IFERROR(VLOOKUP($C329,'2020'!$D:$G,4,0),0)</f>
        <v>0</v>
      </c>
      <c r="L329" s="234">
        <f>SUMIFS('2020'!$I:$I,'2020'!$E:$E,Category!$B$278,'2020'!$N:$N,Category!L$1,'2020'!$D:$D,Category!$C329)</f>
        <v>0</v>
      </c>
      <c r="M329" s="234">
        <f>SUMIFS('2020'!$I:$I,'2020'!$E:$E,Category!$B$278,'2020'!$N:$N,Category!M$1,'2020'!$D:$D,Category!$C329)</f>
        <v>0</v>
      </c>
      <c r="N329" s="234">
        <f>SUMIFS('2020'!$I:$I,'2020'!$E:$E,Category!$B$278,'2020'!$N:$N,Category!N$1,'2020'!$D:$D,Category!$C329)</f>
        <v>0</v>
      </c>
      <c r="O329" s="234">
        <f>SUMIFS('2020'!$I:$I,'2020'!$E:$E,Category!$B$278,'2020'!$N:$N,Category!O$1,'2020'!$D:$D,Category!$C329)</f>
        <v>0</v>
      </c>
      <c r="P329" s="234">
        <f>SUMIFS('2020'!$I:$I,'2020'!$E:$E,Category!$B$278,'2020'!$N:$N,Category!P$1,'2020'!$D:$D,Category!$C329)</f>
        <v>0</v>
      </c>
      <c r="Q329" s="234">
        <f>SUMIFS('2020'!$I:$I,'2020'!$E:$E,Category!$B$278,'2020'!$N:$N,Category!Q$1,'2020'!$D:$D,Category!$C329)</f>
        <v>0</v>
      </c>
      <c r="R329" s="234">
        <f>SUMIFS('2020'!$I:$I,'2020'!$E:$E,Category!$B$278,'2020'!$N:$N,Category!R$1,'2020'!$D:$D,Category!$C329)</f>
        <v>0</v>
      </c>
      <c r="S329" s="234">
        <f>SUMIFS('2020'!$I:$I,'2020'!$E:$E,Category!$B$278,'2020'!$N:$N,Category!S$1,'2020'!$D:$D,Category!$C329)</f>
        <v>0</v>
      </c>
      <c r="T329" s="234">
        <f>SUMIFS('2020'!$I:$I,'2020'!$E:$E,Category!$B$278,'2020'!$N:$N,Category!T$1,'2020'!$D:$D,Category!$C329)</f>
        <v>0</v>
      </c>
      <c r="U329" s="234">
        <f>SUMIFS('2020'!$I:$I,'2020'!$E:$E,Category!$B$278,'2020'!$N:$N,Category!U$1,'2020'!$D:$D,Category!$C329)</f>
        <v>0</v>
      </c>
      <c r="V329" s="234">
        <f>SUMIFS('2020'!$I:$I,'2020'!$E:$E,Category!$B$278,'2020'!$N:$N,Category!V$1,'2020'!$D:$D,Category!$C329)</f>
        <v>0</v>
      </c>
      <c r="W329" s="234">
        <f>SUMIFS('2020'!$I:$I,'2020'!$E:$E,Category!$B$278,'2020'!$N:$N,Category!W$1,'2020'!$D:$D,Category!$C329)</f>
        <v>0</v>
      </c>
      <c r="X329" s="234">
        <f t="shared" si="117"/>
        <v>0</v>
      </c>
      <c r="Y329" s="507">
        <f>IFERROR(VLOOKUP(C329,'2021'!$D:$G,4,0),0)</f>
        <v>0</v>
      </c>
      <c r="Z329" s="234">
        <f>SUMIFS('2021'!$I:$I,'2021'!$E:$E,Category!$B$278,'2021'!$N:$N,Category!Z$1,'2021'!$D:$D,Category!$C329)</f>
        <v>0</v>
      </c>
      <c r="AA329" s="234">
        <f>SUMIFS('2021'!$I:$I,'2021'!$E:$E,Category!$B$278,'2021'!$N:$N,Category!AA$1,'2021'!$D:$D,Category!$C329)</f>
        <v>0</v>
      </c>
      <c r="AB329" s="234">
        <f>SUMIFS('2021'!$I:$I,'2021'!$E:$E,Category!$B$278,'2021'!$N:$N,Category!AB$1,'2021'!$D:$D,Category!$C329)</f>
        <v>0</v>
      </c>
      <c r="AC329" s="234">
        <f>SUMIFS('2021'!$I:$I,'2021'!$E:$E,Category!$B$278,'2021'!$N:$N,Category!AC$1,'2021'!$D:$D,Category!$C329)</f>
        <v>0</v>
      </c>
      <c r="AD329" s="234">
        <f>SUMIFS('2021'!$I:$I,'2021'!$E:$E,Category!$B$278,'2021'!$N:$N,Category!AD$1,'2021'!$D:$D,Category!$C329)</f>
        <v>0</v>
      </c>
      <c r="AE329" s="234">
        <f>SUMIFS('2021'!$I:$I,'2021'!$E:$E,Category!$B$278,'2021'!$N:$N,Category!AE$1,'2021'!$D:$D,Category!$C329)</f>
        <v>0</v>
      </c>
      <c r="AF329" s="234">
        <f>SUMIFS('2021'!$I:$I,'2021'!$E:$E,Category!$B$278,'2021'!$N:$N,Category!AF$1,'2021'!$D:$D,Category!$C329)</f>
        <v>0</v>
      </c>
      <c r="AG329" s="234">
        <f>SUMIFS('2021'!$I:$I,'2021'!$E:$E,Category!$B$278,'2021'!$N:$N,Category!AG$1,'2021'!$D:$D,Category!$C329)</f>
        <v>0</v>
      </c>
      <c r="AH329" s="234">
        <f>SUMIFS('2021'!$I:$I,'2021'!$E:$E,Category!$B$278,'2021'!$N:$N,Category!AH$1,'2021'!$D:$D,Category!$C329)</f>
        <v>0</v>
      </c>
      <c r="AI329" s="234">
        <f>SUMIFS('2021'!$I:$I,'2021'!$E:$E,Category!$B$278,'2021'!$N:$N,Category!AI$1,'2021'!$D:$D,Category!$C329)</f>
        <v>0</v>
      </c>
      <c r="AJ329" s="234">
        <f>SUMIFS('2021'!$I:$I,'2021'!$E:$E,Category!$B$278,'2021'!$N:$N,Category!AJ$1,'2021'!$D:$D,Category!$C329)</f>
        <v>0</v>
      </c>
      <c r="AK329" s="234">
        <f>SUMIFS('2021'!$I:$I,'2021'!$E:$E,Category!$B$278,'2021'!$N:$N,Category!AK$1,'2021'!$D:$D,Category!$C329)</f>
        <v>0</v>
      </c>
      <c r="AL329" s="250">
        <f t="shared" si="118"/>
        <v>0</v>
      </c>
      <c r="AM329" s="507">
        <f>IFERROR(VLOOKUP(C329,'2022'!$D:$G,4,0),0)</f>
        <v>0</v>
      </c>
      <c r="AN329" s="234">
        <f>SUMIFS('2022'!$I:$I,'2022'!$E:$E,Category!$B$278,'2022'!$N:$N,Category!AN$1,'2022'!$D:$D,Category!$C329)</f>
        <v>0</v>
      </c>
      <c r="AO329" s="234">
        <f>SUMIFS('2022'!$I:$I,'2022'!$E:$E,Category!$B$278,'2022'!$N:$N,Category!AO$1,'2022'!$D:$D,Category!$C329)</f>
        <v>0</v>
      </c>
      <c r="AP329" s="234">
        <f>SUMIFS('2022'!$I:$I,'2022'!$E:$E,Category!$B$278,'2022'!$N:$N,Category!AP$1,'2022'!$D:$D,Category!$C329)</f>
        <v>0</v>
      </c>
      <c r="AQ329" s="234">
        <f>SUMIFS('2022'!$I:$I,'2022'!$E:$E,Category!$B$278,'2022'!$N:$N,Category!AQ$1,'2022'!$D:$D,Category!$C329)</f>
        <v>0</v>
      </c>
      <c r="AR329" s="234">
        <f>SUMIFS('2022'!$I:$I,'2022'!$E:$E,Category!$B$278,'2022'!$N:$N,Category!AR$1,'2022'!$D:$D,Category!$C329)</f>
        <v>0</v>
      </c>
      <c r="AS329" s="234">
        <f>SUMIFS('2022'!$I:$I,'2022'!$E:$E,Category!$B$278,'2022'!$N:$N,Category!AS$1,'2022'!$D:$D,Category!$C329)</f>
        <v>0</v>
      </c>
      <c r="AT329" s="234">
        <f>SUMIFS('2022'!$I:$I,'2022'!$E:$E,Category!$B$278,'2022'!$N:$N,Category!AT$1,'2022'!$D:$D,Category!$C329)</f>
        <v>0</v>
      </c>
      <c r="AU329" s="234">
        <f>SUMIFS('2022'!$I:$I,'2022'!$E:$E,Category!$B$278,'2022'!$N:$N,Category!AU$1,'2022'!$D:$D,Category!$C329)</f>
        <v>0</v>
      </c>
      <c r="AV329" s="234">
        <f>SUMIFS('2022'!$I:$I,'2022'!$E:$E,Category!$B$278,'2022'!$N:$N,Category!AV$1,'2022'!$D:$D,Category!$C329)</f>
        <v>0</v>
      </c>
      <c r="AW329" s="234">
        <f>SUMIFS('2022'!$I:$I,'2022'!$E:$E,Category!$B$278,'2022'!$N:$N,Category!AW$1,'2022'!$D:$D,Category!$C329)</f>
        <v>0</v>
      </c>
      <c r="AX329" s="234">
        <f>SUMIFS('2022'!$I:$I,'2022'!$E:$E,Category!$B$278,'2022'!$N:$N,Category!AX$1,'2022'!$D:$D,Category!$C329)</f>
        <v>0</v>
      </c>
      <c r="AY329" s="234">
        <f>SUMIFS('2022'!$I:$I,'2022'!$E:$E,Category!$B$278,'2022'!$N:$N,Category!AY$1,'2022'!$D:$D,Category!$C329)</f>
        <v>0</v>
      </c>
      <c r="AZ329" s="250">
        <f t="shared" si="119"/>
        <v>0</v>
      </c>
      <c r="BA329" s="507">
        <f>IFERROR(VLOOKUP(C329,'2023'!$D:$G,4,0),0)</f>
        <v>0</v>
      </c>
      <c r="BB329" s="234">
        <f>SUMIFS('2023'!$I:$I,'2023'!$E:$E,Category!$B$278,'2023'!$N:$N,Category!BB$1,'2023'!$D:$D,Category!$C329)</f>
        <v>0</v>
      </c>
      <c r="BC329" s="234">
        <f>SUMIFS('2023'!$I:$I,'2023'!$E:$E,Category!$B$278,'2023'!$N:$N,Category!BC$1,'2023'!$D:$D,Category!$C329)</f>
        <v>0</v>
      </c>
      <c r="BD329" s="234">
        <f>SUMIFS('2023'!$I:$I,'2023'!$E:$E,Category!$B$278,'2023'!$N:$N,Category!BD$1,'2023'!$D:$D,Category!$C329)</f>
        <v>0</v>
      </c>
      <c r="BE329" s="234">
        <f>SUMIFS('2023'!$I:$I,'2023'!$E:$E,Category!$B$278,'2023'!$N:$N,Category!BE$1,'2023'!$D:$D,Category!$C329)</f>
        <v>0</v>
      </c>
      <c r="BF329" s="234">
        <f>SUMIFS('2023'!$I:$I,'2023'!$E:$E,Category!$B$278,'2023'!$N:$N,Category!BF$1,'2023'!$D:$D,Category!$C329)</f>
        <v>0</v>
      </c>
      <c r="BG329" s="234">
        <f>SUMIFS('2023'!$I:$I,'2023'!$E:$E,Category!$B$278,'2023'!$N:$N,Category!BG$1,'2023'!$D:$D,Category!$C329)</f>
        <v>0</v>
      </c>
      <c r="BH329" s="234">
        <f>SUMIFS('2023'!$I:$I,'2023'!$E:$E,Category!$B$278,'2023'!$N:$N,Category!BH$1,'2023'!$D:$D,Category!$C329)</f>
        <v>0</v>
      </c>
      <c r="BI329" s="234">
        <f>SUMIFS('2023'!$I:$I,'2023'!$E:$E,Category!$B$278,'2023'!$N:$N,Category!BI$1,'2023'!$D:$D,Category!$C329)</f>
        <v>0</v>
      </c>
      <c r="BJ329" s="234">
        <f>SUMIFS('2023'!$I:$I,'2023'!$E:$E,Category!$B$278,'2023'!$N:$N,Category!BJ$1,'2023'!$D:$D,Category!$C329)</f>
        <v>0</v>
      </c>
      <c r="BK329" s="234">
        <f>SUMIFS('2023'!$I:$I,'2023'!$E:$E,Category!$B$278,'2023'!$N:$N,Category!BK$1,'2023'!$D:$D,Category!$C329)</f>
        <v>0</v>
      </c>
      <c r="BL329" s="234">
        <f>SUMIFS('2023'!$I:$I,'2023'!$E:$E,Category!$B$278,'2023'!$N:$N,Category!BL$1,'2023'!$D:$D,Category!$C329)</f>
        <v>0</v>
      </c>
      <c r="BM329" s="234">
        <f>SUMIFS('2023'!$I:$I,'2023'!$E:$E,Category!$B$278,'2023'!$N:$N,Category!BM$1,'2023'!$D:$D,Category!$C329)</f>
        <v>0</v>
      </c>
      <c r="BN329" s="250">
        <f t="shared" si="114"/>
        <v>0</v>
      </c>
    </row>
    <row r="330" spans="1:66" ht="21" hidden="1" customHeight="1" x14ac:dyDescent="0.3">
      <c r="A330" s="249"/>
      <c r="B330" s="235"/>
      <c r="C330" s="235"/>
      <c r="D330" s="527">
        <f>IFERROR(VLOOKUP($C330,'2019'!$D:$G,4,0),0)</f>
        <v>0</v>
      </c>
      <c r="E330" s="234">
        <f>SUMIFS('2019'!$I:$I,'2019'!$E:$E,Category!$B$278,'2019'!$N:$N,Category!E$1,'2019'!$D:$D,Category!$C330)</f>
        <v>0</v>
      </c>
      <c r="F330" s="234">
        <f>SUMIFS('2019'!$I:$I,'2019'!$E:$E,Category!$B$278,'2019'!$N:$N,Category!F$1,'2019'!$D:$D,Category!$C330)</f>
        <v>0</v>
      </c>
      <c r="G330" s="234">
        <f>SUMIFS('2019'!$I:$I,'2019'!$E:$E,Category!$B$278,'2019'!$N:$N,Category!G$1,'2019'!$D:$D,Category!$C330)</f>
        <v>0</v>
      </c>
      <c r="H330" s="234">
        <f>SUMIFS('2019'!$I:$I,'2019'!$E:$E,Category!$B$278,'2019'!$N:$N,Category!H$1,'2019'!$D:$D,Category!$C330)</f>
        <v>0</v>
      </c>
      <c r="I330" s="234">
        <f>SUMIFS('2019'!$I:$I,'2019'!$E:$E,Category!$B$278,'2019'!$N:$N,Category!I$1,'2019'!$D:$D,Category!$C330)</f>
        <v>0</v>
      </c>
      <c r="J330" s="234">
        <f t="shared" si="116"/>
        <v>0</v>
      </c>
      <c r="K330" s="507">
        <f>IFERROR(VLOOKUP($C330,'2020'!$D:$G,4,0),0)</f>
        <v>0</v>
      </c>
      <c r="L330" s="234">
        <f>SUMIFS('2020'!$I:$I,'2020'!$E:$E,Category!$B$278,'2020'!$N:$N,Category!L$1,'2020'!$D:$D,Category!$C330)</f>
        <v>0</v>
      </c>
      <c r="M330" s="234">
        <f>SUMIFS('2020'!$I:$I,'2020'!$E:$E,Category!$B$278,'2020'!$N:$N,Category!M$1,'2020'!$D:$D,Category!$C330)</f>
        <v>0</v>
      </c>
      <c r="N330" s="234">
        <f>SUMIFS('2020'!$I:$I,'2020'!$E:$E,Category!$B$278,'2020'!$N:$N,Category!N$1,'2020'!$D:$D,Category!$C330)</f>
        <v>0</v>
      </c>
      <c r="O330" s="234">
        <f>SUMIFS('2020'!$I:$I,'2020'!$E:$E,Category!$B$278,'2020'!$N:$N,Category!O$1,'2020'!$D:$D,Category!$C330)</f>
        <v>0</v>
      </c>
      <c r="P330" s="234">
        <f>SUMIFS('2020'!$I:$I,'2020'!$E:$E,Category!$B$278,'2020'!$N:$N,Category!P$1,'2020'!$D:$D,Category!$C330)</f>
        <v>0</v>
      </c>
      <c r="Q330" s="234">
        <f>SUMIFS('2020'!$I:$I,'2020'!$E:$E,Category!$B$278,'2020'!$N:$N,Category!Q$1,'2020'!$D:$D,Category!$C330)</f>
        <v>0</v>
      </c>
      <c r="R330" s="234">
        <f>SUMIFS('2020'!$I:$I,'2020'!$E:$E,Category!$B$278,'2020'!$N:$N,Category!R$1,'2020'!$D:$D,Category!$C330)</f>
        <v>0</v>
      </c>
      <c r="S330" s="234">
        <f>SUMIFS('2020'!$I:$I,'2020'!$E:$E,Category!$B$278,'2020'!$N:$N,Category!S$1,'2020'!$D:$D,Category!$C330)</f>
        <v>0</v>
      </c>
      <c r="T330" s="234">
        <f>SUMIFS('2020'!$I:$I,'2020'!$E:$E,Category!$B$278,'2020'!$N:$N,Category!T$1,'2020'!$D:$D,Category!$C330)</f>
        <v>0</v>
      </c>
      <c r="U330" s="234">
        <f>SUMIFS('2020'!$I:$I,'2020'!$E:$E,Category!$B$278,'2020'!$N:$N,Category!U$1,'2020'!$D:$D,Category!$C330)</f>
        <v>0</v>
      </c>
      <c r="V330" s="234">
        <f>SUMIFS('2020'!$I:$I,'2020'!$E:$E,Category!$B$278,'2020'!$N:$N,Category!V$1,'2020'!$D:$D,Category!$C330)</f>
        <v>0</v>
      </c>
      <c r="W330" s="234">
        <f>SUMIFS('2020'!$I:$I,'2020'!$E:$E,Category!$B$278,'2020'!$N:$N,Category!W$1,'2020'!$D:$D,Category!$C330)</f>
        <v>0</v>
      </c>
      <c r="X330" s="234">
        <f t="shared" si="117"/>
        <v>0</v>
      </c>
      <c r="Y330" s="507">
        <f>IFERROR(VLOOKUP(C330,'2021'!$D:$G,4,0),0)</f>
        <v>0</v>
      </c>
      <c r="Z330" s="234">
        <f>SUMIFS('2021'!$I:$I,'2021'!$E:$E,Category!$B$278,'2021'!$N:$N,Category!Z$1,'2021'!$D:$D,Category!$C330)</f>
        <v>0</v>
      </c>
      <c r="AA330" s="234">
        <f>SUMIFS('2021'!$I:$I,'2021'!$E:$E,Category!$B$278,'2021'!$N:$N,Category!AA$1,'2021'!$D:$D,Category!$C330)</f>
        <v>0</v>
      </c>
      <c r="AB330" s="234">
        <f>SUMIFS('2021'!$I:$I,'2021'!$E:$E,Category!$B$278,'2021'!$N:$N,Category!AB$1,'2021'!$D:$D,Category!$C330)</f>
        <v>0</v>
      </c>
      <c r="AC330" s="234">
        <f>SUMIFS('2021'!$I:$I,'2021'!$E:$E,Category!$B$278,'2021'!$N:$N,Category!AC$1,'2021'!$D:$D,Category!$C330)</f>
        <v>0</v>
      </c>
      <c r="AD330" s="234">
        <f>SUMIFS('2021'!$I:$I,'2021'!$E:$E,Category!$B$278,'2021'!$N:$N,Category!AD$1,'2021'!$D:$D,Category!$C330)</f>
        <v>0</v>
      </c>
      <c r="AE330" s="234">
        <f>SUMIFS('2021'!$I:$I,'2021'!$E:$E,Category!$B$278,'2021'!$N:$N,Category!AE$1,'2021'!$D:$D,Category!$C330)</f>
        <v>0</v>
      </c>
      <c r="AF330" s="234">
        <f>SUMIFS('2021'!$I:$I,'2021'!$E:$E,Category!$B$278,'2021'!$N:$N,Category!AF$1,'2021'!$D:$D,Category!$C330)</f>
        <v>0</v>
      </c>
      <c r="AG330" s="234">
        <f>SUMIFS('2021'!$I:$I,'2021'!$E:$E,Category!$B$278,'2021'!$N:$N,Category!AG$1,'2021'!$D:$D,Category!$C330)</f>
        <v>0</v>
      </c>
      <c r="AH330" s="234">
        <f>SUMIFS('2021'!$I:$I,'2021'!$E:$E,Category!$B$278,'2021'!$N:$N,Category!AH$1,'2021'!$D:$D,Category!$C330)</f>
        <v>0</v>
      </c>
      <c r="AI330" s="234">
        <f>SUMIFS('2021'!$I:$I,'2021'!$E:$E,Category!$B$278,'2021'!$N:$N,Category!AI$1,'2021'!$D:$D,Category!$C330)</f>
        <v>0</v>
      </c>
      <c r="AJ330" s="234">
        <f>SUMIFS('2021'!$I:$I,'2021'!$E:$E,Category!$B$278,'2021'!$N:$N,Category!AJ$1,'2021'!$D:$D,Category!$C330)</f>
        <v>0</v>
      </c>
      <c r="AK330" s="234">
        <f>SUMIFS('2021'!$I:$I,'2021'!$E:$E,Category!$B$278,'2021'!$N:$N,Category!AK$1,'2021'!$D:$D,Category!$C330)</f>
        <v>0</v>
      </c>
      <c r="AL330" s="250">
        <f t="shared" ref="AL330:AL337" si="120">SUM(Z330:AK330)</f>
        <v>0</v>
      </c>
      <c r="AM330" s="507">
        <f>IFERROR(VLOOKUP(C330,'2022'!$D:$G,4,0),0)</f>
        <v>0</v>
      </c>
      <c r="AN330" s="234">
        <f>SUMIFS('2022'!$I:$I,'2022'!$E:$E,Category!$B$278,'2022'!$N:$N,Category!AN$1,'2022'!$D:$D,Category!$C330)</f>
        <v>0</v>
      </c>
      <c r="AO330" s="234">
        <f>SUMIFS('2022'!$I:$I,'2022'!$E:$E,Category!$B$278,'2022'!$N:$N,Category!AO$1,'2022'!$D:$D,Category!$C330)</f>
        <v>0</v>
      </c>
      <c r="AP330" s="234">
        <f>SUMIFS('2022'!$I:$I,'2022'!$E:$E,Category!$B$278,'2022'!$N:$N,Category!AP$1,'2022'!$D:$D,Category!$C330)</f>
        <v>0</v>
      </c>
      <c r="AQ330" s="234">
        <f>SUMIFS('2022'!$I:$I,'2022'!$E:$E,Category!$B$278,'2022'!$N:$N,Category!AQ$1,'2022'!$D:$D,Category!$C330)</f>
        <v>0</v>
      </c>
      <c r="AR330" s="234">
        <f>SUMIFS('2022'!$I:$I,'2022'!$E:$E,Category!$B$278,'2022'!$N:$N,Category!AR$1,'2022'!$D:$D,Category!$C330)</f>
        <v>0</v>
      </c>
      <c r="AS330" s="234">
        <f>SUMIFS('2022'!$I:$I,'2022'!$E:$E,Category!$B$278,'2022'!$N:$N,Category!AS$1,'2022'!$D:$D,Category!$C330)</f>
        <v>0</v>
      </c>
      <c r="AT330" s="234">
        <f>SUMIFS('2022'!$I:$I,'2022'!$E:$E,Category!$B$278,'2022'!$N:$N,Category!AT$1,'2022'!$D:$D,Category!$C330)</f>
        <v>0</v>
      </c>
      <c r="AU330" s="234">
        <f>SUMIFS('2022'!$I:$I,'2022'!$E:$E,Category!$B$278,'2022'!$N:$N,Category!AU$1,'2022'!$D:$D,Category!$C330)</f>
        <v>0</v>
      </c>
      <c r="AV330" s="234">
        <f>SUMIFS('2022'!$I:$I,'2022'!$E:$E,Category!$B$278,'2022'!$N:$N,Category!AV$1,'2022'!$D:$D,Category!$C330)</f>
        <v>0</v>
      </c>
      <c r="AW330" s="234">
        <f>SUMIFS('2022'!$I:$I,'2022'!$E:$E,Category!$B$278,'2022'!$N:$N,Category!AW$1,'2022'!$D:$D,Category!$C330)</f>
        <v>0</v>
      </c>
      <c r="AX330" s="234">
        <f>SUMIFS('2022'!$I:$I,'2022'!$E:$E,Category!$B$278,'2022'!$N:$N,Category!AX$1,'2022'!$D:$D,Category!$C330)</f>
        <v>0</v>
      </c>
      <c r="AY330" s="234">
        <f>SUMIFS('2022'!$I:$I,'2022'!$E:$E,Category!$B$278,'2022'!$N:$N,Category!AY$1,'2022'!$D:$D,Category!$C330)</f>
        <v>0</v>
      </c>
      <c r="AZ330" s="250">
        <f t="shared" ref="AZ330:AZ337" si="121">SUM(AN330:AY330)</f>
        <v>0</v>
      </c>
      <c r="BA330" s="507">
        <f>IFERROR(VLOOKUP(C330,'2023'!$D:$G,4,0),0)</f>
        <v>0</v>
      </c>
      <c r="BB330" s="234">
        <f>SUMIFS('2023'!$I:$I,'2023'!$E:$E,Category!$B$278,'2023'!$N:$N,Category!BB$1,'2023'!$D:$D,Category!$C330)</f>
        <v>0</v>
      </c>
      <c r="BC330" s="234">
        <f>SUMIFS('2023'!$I:$I,'2023'!$E:$E,Category!$B$278,'2023'!$N:$N,Category!BC$1,'2023'!$D:$D,Category!$C330)</f>
        <v>0</v>
      </c>
      <c r="BD330" s="234">
        <f>SUMIFS('2023'!$I:$I,'2023'!$E:$E,Category!$B$278,'2023'!$N:$N,Category!BD$1,'2023'!$D:$D,Category!$C330)</f>
        <v>0</v>
      </c>
      <c r="BE330" s="234">
        <f>SUMIFS('2023'!$I:$I,'2023'!$E:$E,Category!$B$278,'2023'!$N:$N,Category!BE$1,'2023'!$D:$D,Category!$C330)</f>
        <v>0</v>
      </c>
      <c r="BF330" s="234">
        <f>SUMIFS('2023'!$I:$I,'2023'!$E:$E,Category!$B$278,'2023'!$N:$N,Category!BF$1,'2023'!$D:$D,Category!$C330)</f>
        <v>0</v>
      </c>
      <c r="BG330" s="234">
        <f>SUMIFS('2023'!$I:$I,'2023'!$E:$E,Category!$B$278,'2023'!$N:$N,Category!BG$1,'2023'!$D:$D,Category!$C330)</f>
        <v>0</v>
      </c>
      <c r="BH330" s="234">
        <f>SUMIFS('2023'!$I:$I,'2023'!$E:$E,Category!$B$278,'2023'!$N:$N,Category!BH$1,'2023'!$D:$D,Category!$C330)</f>
        <v>0</v>
      </c>
      <c r="BI330" s="234">
        <f>SUMIFS('2023'!$I:$I,'2023'!$E:$E,Category!$B$278,'2023'!$N:$N,Category!BI$1,'2023'!$D:$D,Category!$C330)</f>
        <v>0</v>
      </c>
      <c r="BJ330" s="234">
        <f>SUMIFS('2023'!$I:$I,'2023'!$E:$E,Category!$B$278,'2023'!$N:$N,Category!BJ$1,'2023'!$D:$D,Category!$C330)</f>
        <v>0</v>
      </c>
      <c r="BK330" s="234">
        <f>SUMIFS('2023'!$I:$I,'2023'!$E:$E,Category!$B$278,'2023'!$N:$N,Category!BK$1,'2023'!$D:$D,Category!$C330)</f>
        <v>0</v>
      </c>
      <c r="BL330" s="234">
        <f>SUMIFS('2023'!$I:$I,'2023'!$E:$E,Category!$B$278,'2023'!$N:$N,Category!BL$1,'2023'!$D:$D,Category!$C330)</f>
        <v>0</v>
      </c>
      <c r="BM330" s="234">
        <f>SUMIFS('2023'!$I:$I,'2023'!$E:$E,Category!$B$278,'2023'!$N:$N,Category!BM$1,'2023'!$D:$D,Category!$C330)</f>
        <v>0</v>
      </c>
      <c r="BN330" s="250">
        <f t="shared" si="114"/>
        <v>0</v>
      </c>
    </row>
    <row r="331" spans="1:66" x14ac:dyDescent="0.3">
      <c r="A331" s="249"/>
      <c r="B331" s="235"/>
      <c r="C331" s="235" t="s">
        <v>1466</v>
      </c>
      <c r="D331" s="527">
        <f>IFERROR(VLOOKUP($C331,'2019'!$D:$G,4,0),0)</f>
        <v>0</v>
      </c>
      <c r="E331" s="234">
        <f>SUMIFS('2019'!$I:$I,'2019'!$E:$E,Category!$B$278,'2019'!$N:$N,Category!E$1,'2019'!$D:$D,Category!$C331)</f>
        <v>0</v>
      </c>
      <c r="F331" s="234">
        <f>SUMIFS('2019'!$I:$I,'2019'!$E:$E,Category!$B$278,'2019'!$N:$N,Category!F$1,'2019'!$D:$D,Category!$C331)</f>
        <v>0</v>
      </c>
      <c r="G331" s="234">
        <f>SUMIFS('2019'!$I:$I,'2019'!$E:$E,Category!$B$278,'2019'!$N:$N,Category!G$1,'2019'!$D:$D,Category!$C331)</f>
        <v>0</v>
      </c>
      <c r="H331" s="234">
        <f>SUMIFS('2019'!$I:$I,'2019'!$E:$E,Category!$B$278,'2019'!$N:$N,Category!H$1,'2019'!$D:$D,Category!$C331)</f>
        <v>0</v>
      </c>
      <c r="I331" s="234">
        <f>SUMIFS('2019'!$I:$I,'2019'!$E:$E,Category!$B$278,'2019'!$N:$N,Category!I$1,'2019'!$D:$D,Category!$C331)</f>
        <v>0</v>
      </c>
      <c r="J331" s="234">
        <f t="shared" ref="J331:J337" si="122">SUM(E331:I331)</f>
        <v>0</v>
      </c>
      <c r="K331" s="507">
        <f>IFERROR(VLOOKUP($C331,'2020'!$D:$G,4,0),0)</f>
        <v>0</v>
      </c>
      <c r="L331" s="234">
        <f>SUMIFS('2020'!$I:$I,'2020'!$E:$E,Category!$B$278,'2020'!$N:$N,Category!L$1,'2020'!$D:$D,Category!$C331)</f>
        <v>10619000</v>
      </c>
      <c r="M331" s="234">
        <f>SUMIFS('2020'!$I:$I,'2020'!$E:$E,Category!$B$278,'2020'!$N:$N,Category!M$1,'2020'!$D:$D,Category!$C331)</f>
        <v>0</v>
      </c>
      <c r="N331" s="234">
        <f>SUMIFS('2020'!$I:$I,'2020'!$E:$E,Category!$B$278,'2020'!$N:$N,Category!N$1,'2020'!$D:$D,Category!$C331)</f>
        <v>0</v>
      </c>
      <c r="O331" s="234">
        <f>SUMIFS('2020'!$I:$I,'2020'!$E:$E,Category!$B$278,'2020'!$N:$N,Category!O$1,'2020'!$D:$D,Category!$C331)</f>
        <v>0</v>
      </c>
      <c r="P331" s="234">
        <f>SUMIFS('2020'!$I:$I,'2020'!$E:$E,Category!$B$278,'2020'!$N:$N,Category!P$1,'2020'!$D:$D,Category!$C331)</f>
        <v>0</v>
      </c>
      <c r="Q331" s="234">
        <f>SUMIFS('2020'!$I:$I,'2020'!$E:$E,Category!$B$278,'2020'!$N:$N,Category!Q$1,'2020'!$D:$D,Category!$C331)</f>
        <v>0</v>
      </c>
      <c r="R331" s="234">
        <f>SUMIFS('2020'!$I:$I,'2020'!$E:$E,Category!$B$278,'2020'!$N:$N,Category!R$1,'2020'!$D:$D,Category!$C331)</f>
        <v>0</v>
      </c>
      <c r="S331" s="234">
        <f>SUMIFS('2020'!$I:$I,'2020'!$E:$E,Category!$B$278,'2020'!$N:$N,Category!S$1,'2020'!$D:$D,Category!$C331)</f>
        <v>0</v>
      </c>
      <c r="T331" s="234">
        <f>SUMIFS('2020'!$I:$I,'2020'!$E:$E,Category!$B$278,'2020'!$N:$N,Category!T$1,'2020'!$D:$D,Category!$C331)</f>
        <v>0</v>
      </c>
      <c r="U331" s="234">
        <f>SUMIFS('2020'!$I:$I,'2020'!$E:$E,Category!$B$278,'2020'!$N:$N,Category!U$1,'2020'!$D:$D,Category!$C331)</f>
        <v>0</v>
      </c>
      <c r="V331" s="234">
        <f>SUMIFS('2020'!$I:$I,'2020'!$E:$E,Category!$B$278,'2020'!$N:$N,Category!V$1,'2020'!$D:$D,Category!$C331)</f>
        <v>0</v>
      </c>
      <c r="W331" s="234">
        <f>SUMIFS('2020'!$I:$I,'2020'!$E:$E,Category!$B$278,'2020'!$N:$N,Category!W$1,'2020'!$D:$D,Category!$C331)</f>
        <v>0</v>
      </c>
      <c r="X331" s="234">
        <f t="shared" ref="X331:X337" si="123">SUM(L331:W331)</f>
        <v>10619000</v>
      </c>
      <c r="Y331" s="507">
        <f>IFERROR(VLOOKUP(C331,'2021'!$D:$G,4,0),0)</f>
        <v>0</v>
      </c>
      <c r="Z331" s="234">
        <f>SUMIFS('2021'!$I:$I,'2021'!$E:$E,Category!$B$278,'2021'!$N:$N,Category!Z$1,'2021'!$D:$D,Category!$C331)</f>
        <v>0</v>
      </c>
      <c r="AA331" s="234">
        <f>SUMIFS('2021'!$I:$I,'2021'!$E:$E,Category!$B$278,'2021'!$N:$N,Category!AA$1,'2021'!$D:$D,Category!$C331)</f>
        <v>0</v>
      </c>
      <c r="AB331" s="234">
        <f>SUMIFS('2021'!$I:$I,'2021'!$E:$E,Category!$B$278,'2021'!$N:$N,Category!AB$1,'2021'!$D:$D,Category!$C331)</f>
        <v>0</v>
      </c>
      <c r="AC331" s="234">
        <f>SUMIFS('2021'!$I:$I,'2021'!$E:$E,Category!$B$278,'2021'!$N:$N,Category!AC$1,'2021'!$D:$D,Category!$C331)</f>
        <v>0</v>
      </c>
      <c r="AD331" s="234">
        <f>SUMIFS('2021'!$I:$I,'2021'!$E:$E,Category!$B$278,'2021'!$N:$N,Category!AD$1,'2021'!$D:$D,Category!$C331)</f>
        <v>0</v>
      </c>
      <c r="AE331" s="234">
        <f>SUMIFS('2021'!$I:$I,'2021'!$E:$E,Category!$B$278,'2021'!$N:$N,Category!AE$1,'2021'!$D:$D,Category!$C331)</f>
        <v>0</v>
      </c>
      <c r="AF331" s="234">
        <f>SUMIFS('2021'!$I:$I,'2021'!$E:$E,Category!$B$278,'2021'!$N:$N,Category!AF$1,'2021'!$D:$D,Category!$C331)</f>
        <v>0</v>
      </c>
      <c r="AG331" s="234">
        <f>SUMIFS('2021'!$I:$I,'2021'!$E:$E,Category!$B$278,'2021'!$N:$N,Category!AG$1,'2021'!$D:$D,Category!$C331)</f>
        <v>0</v>
      </c>
      <c r="AH331" s="234">
        <f>SUMIFS('2021'!$I:$I,'2021'!$E:$E,Category!$B$278,'2021'!$N:$N,Category!AH$1,'2021'!$D:$D,Category!$C331)</f>
        <v>0</v>
      </c>
      <c r="AI331" s="234">
        <f>SUMIFS('2021'!$I:$I,'2021'!$E:$E,Category!$B$278,'2021'!$N:$N,Category!AI$1,'2021'!$D:$D,Category!$C331)</f>
        <v>0</v>
      </c>
      <c r="AJ331" s="234">
        <f>SUMIFS('2021'!$I:$I,'2021'!$E:$E,Category!$B$278,'2021'!$N:$N,Category!AJ$1,'2021'!$D:$D,Category!$C331)</f>
        <v>0</v>
      </c>
      <c r="AK331" s="234">
        <f>SUMIFS('2021'!$I:$I,'2021'!$E:$E,Category!$B$278,'2021'!$N:$N,Category!AK$1,'2021'!$D:$D,Category!$C331)</f>
        <v>0</v>
      </c>
      <c r="AL331" s="250">
        <f t="shared" si="120"/>
        <v>0</v>
      </c>
      <c r="AM331" s="507">
        <f>IFERROR(VLOOKUP(C331,'2022'!$D:$G,4,0),0)</f>
        <v>0</v>
      </c>
      <c r="AN331" s="234">
        <f>SUMIFS('2022'!$I:$I,'2022'!$E:$E,Category!$B$278,'2022'!$N:$N,Category!AN$1,'2022'!$D:$D,Category!$C331)</f>
        <v>0</v>
      </c>
      <c r="AO331" s="234">
        <f>SUMIFS('2022'!$I:$I,'2022'!$E:$E,Category!$B$278,'2022'!$N:$N,Category!AO$1,'2022'!$D:$D,Category!$C331)</f>
        <v>0</v>
      </c>
      <c r="AP331" s="234">
        <f>SUMIFS('2022'!$I:$I,'2022'!$E:$E,Category!$B$278,'2022'!$N:$N,Category!AP$1,'2022'!$D:$D,Category!$C331)</f>
        <v>0</v>
      </c>
      <c r="AQ331" s="234">
        <f>SUMIFS('2022'!$I:$I,'2022'!$E:$E,Category!$B$278,'2022'!$N:$N,Category!AQ$1,'2022'!$D:$D,Category!$C331)</f>
        <v>0</v>
      </c>
      <c r="AR331" s="234">
        <f>SUMIFS('2022'!$I:$I,'2022'!$E:$E,Category!$B$278,'2022'!$N:$N,Category!AR$1,'2022'!$D:$D,Category!$C331)</f>
        <v>0</v>
      </c>
      <c r="AS331" s="234">
        <f>SUMIFS('2022'!$I:$I,'2022'!$E:$E,Category!$B$278,'2022'!$N:$N,Category!AS$1,'2022'!$D:$D,Category!$C331)</f>
        <v>0</v>
      </c>
      <c r="AT331" s="234">
        <f>SUMIFS('2022'!$I:$I,'2022'!$E:$E,Category!$B$278,'2022'!$N:$N,Category!AT$1,'2022'!$D:$D,Category!$C331)</f>
        <v>0</v>
      </c>
      <c r="AU331" s="234">
        <f>SUMIFS('2022'!$I:$I,'2022'!$E:$E,Category!$B$278,'2022'!$N:$N,Category!AU$1,'2022'!$D:$D,Category!$C331)</f>
        <v>0</v>
      </c>
      <c r="AV331" s="234">
        <f>SUMIFS('2022'!$I:$I,'2022'!$E:$E,Category!$B$278,'2022'!$N:$N,Category!AV$1,'2022'!$D:$D,Category!$C331)</f>
        <v>0</v>
      </c>
      <c r="AW331" s="234">
        <f>SUMIFS('2022'!$I:$I,'2022'!$E:$E,Category!$B$278,'2022'!$N:$N,Category!AW$1,'2022'!$D:$D,Category!$C331)</f>
        <v>0</v>
      </c>
      <c r="AX331" s="234">
        <f>SUMIFS('2022'!$I:$I,'2022'!$E:$E,Category!$B$278,'2022'!$N:$N,Category!AX$1,'2022'!$D:$D,Category!$C331)</f>
        <v>0</v>
      </c>
      <c r="AY331" s="234">
        <f>SUMIFS('2022'!$I:$I,'2022'!$E:$E,Category!$B$278,'2022'!$N:$N,Category!AY$1,'2022'!$D:$D,Category!$C331)</f>
        <v>0</v>
      </c>
      <c r="AZ331" s="250">
        <f t="shared" si="121"/>
        <v>0</v>
      </c>
      <c r="BA331" s="507">
        <f>IFERROR(VLOOKUP(C331,'2023'!$D:$G,4,0),0)</f>
        <v>0</v>
      </c>
      <c r="BB331" s="234">
        <f>SUMIFS('2023'!$I:$I,'2023'!$E:$E,Category!$B$278,'2023'!$N:$N,Category!BB$1,'2023'!$D:$D,Category!$C331)</f>
        <v>0</v>
      </c>
      <c r="BC331" s="234">
        <f>SUMIFS('2023'!$I:$I,'2023'!$E:$E,Category!$B$278,'2023'!$N:$N,Category!BC$1,'2023'!$D:$D,Category!$C331)</f>
        <v>0</v>
      </c>
      <c r="BD331" s="234">
        <f>SUMIFS('2023'!$I:$I,'2023'!$E:$E,Category!$B$278,'2023'!$N:$N,Category!BD$1,'2023'!$D:$D,Category!$C331)</f>
        <v>0</v>
      </c>
      <c r="BE331" s="234">
        <f>SUMIFS('2023'!$I:$I,'2023'!$E:$E,Category!$B$278,'2023'!$N:$N,Category!BE$1,'2023'!$D:$D,Category!$C331)</f>
        <v>0</v>
      </c>
      <c r="BF331" s="234">
        <f>SUMIFS('2023'!$I:$I,'2023'!$E:$E,Category!$B$278,'2023'!$N:$N,Category!BF$1,'2023'!$D:$D,Category!$C331)</f>
        <v>0</v>
      </c>
      <c r="BG331" s="234">
        <f>SUMIFS('2023'!$I:$I,'2023'!$E:$E,Category!$B$278,'2023'!$N:$N,Category!BG$1,'2023'!$D:$D,Category!$C331)</f>
        <v>0</v>
      </c>
      <c r="BH331" s="234">
        <f>SUMIFS('2023'!$I:$I,'2023'!$E:$E,Category!$B$278,'2023'!$N:$N,Category!BH$1,'2023'!$D:$D,Category!$C331)</f>
        <v>0</v>
      </c>
      <c r="BI331" s="234">
        <f>SUMIFS('2023'!$I:$I,'2023'!$E:$E,Category!$B$278,'2023'!$N:$N,Category!BI$1,'2023'!$D:$D,Category!$C331)</f>
        <v>0</v>
      </c>
      <c r="BJ331" s="234">
        <f>SUMIFS('2023'!$I:$I,'2023'!$E:$E,Category!$B$278,'2023'!$N:$N,Category!BJ$1,'2023'!$D:$D,Category!$C331)</f>
        <v>0</v>
      </c>
      <c r="BK331" s="234">
        <f>SUMIFS('2023'!$I:$I,'2023'!$E:$E,Category!$B$278,'2023'!$N:$N,Category!BK$1,'2023'!$D:$D,Category!$C331)</f>
        <v>0</v>
      </c>
      <c r="BL331" s="234">
        <f>SUMIFS('2023'!$I:$I,'2023'!$E:$E,Category!$B$278,'2023'!$N:$N,Category!BL$1,'2023'!$D:$D,Category!$C331)</f>
        <v>0</v>
      </c>
      <c r="BM331" s="234">
        <f>SUMIFS('2023'!$I:$I,'2023'!$E:$E,Category!$B$278,'2023'!$N:$N,Category!BM$1,'2023'!$D:$D,Category!$C331)</f>
        <v>0</v>
      </c>
      <c r="BN331" s="250">
        <f t="shared" ref="BN331:BN337" si="124">SUM(BB331:BM331)</f>
        <v>0</v>
      </c>
    </row>
    <row r="332" spans="1:66" ht="39.75" x14ac:dyDescent="0.3">
      <c r="A332" s="249"/>
      <c r="B332" s="235"/>
      <c r="C332" s="235" t="s">
        <v>1753</v>
      </c>
      <c r="D332" s="527">
        <f>IFERROR(VLOOKUP($C332,'2019'!$D:$G,4,0),0)</f>
        <v>0</v>
      </c>
      <c r="E332" s="234">
        <f>SUMIFS('2019'!$I:$I,'2019'!$E:$E,Category!$B$278,'2019'!$N:$N,Category!E$1,'2019'!$D:$D,Category!$C332)</f>
        <v>0</v>
      </c>
      <c r="F332" s="234">
        <f>SUMIFS('2019'!$I:$I,'2019'!$E:$E,Category!$B$278,'2019'!$N:$N,Category!F$1,'2019'!$D:$D,Category!$C332)</f>
        <v>0</v>
      </c>
      <c r="G332" s="234">
        <f>SUMIFS('2019'!$I:$I,'2019'!$E:$E,Category!$B$278,'2019'!$N:$N,Category!G$1,'2019'!$D:$D,Category!$C332)</f>
        <v>0</v>
      </c>
      <c r="H332" s="234">
        <f>SUMIFS('2019'!$I:$I,'2019'!$E:$E,Category!$B$278,'2019'!$N:$N,Category!H$1,'2019'!$D:$D,Category!$C332)</f>
        <v>0</v>
      </c>
      <c r="I332" s="234">
        <f>SUMIFS('2019'!$I:$I,'2019'!$E:$E,Category!$B$278,'2019'!$N:$N,Category!I$1,'2019'!$D:$D,Category!$C332)</f>
        <v>0</v>
      </c>
      <c r="J332" s="234">
        <f t="shared" si="122"/>
        <v>0</v>
      </c>
      <c r="K332" s="507">
        <f>IFERROR(VLOOKUP($C332,'2020'!$D:$G,4,0),0)</f>
        <v>0</v>
      </c>
      <c r="L332" s="234">
        <f>SUMIFS('2020'!$I:$I,'2020'!$E:$E,Category!$B$278,'2020'!$N:$N,Category!L$1,'2020'!$D:$D,Category!$C332)</f>
        <v>0</v>
      </c>
      <c r="M332" s="234">
        <f>SUMIFS('2020'!$I:$I,'2020'!$E:$E,Category!$B$278,'2020'!$N:$N,Category!M$1,'2020'!$D:$D,Category!$C332)</f>
        <v>0</v>
      </c>
      <c r="N332" s="234">
        <f>SUMIFS('2020'!$I:$I,'2020'!$E:$E,Category!$B$278,'2020'!$N:$N,Category!N$1,'2020'!$D:$D,Category!$C332)</f>
        <v>0</v>
      </c>
      <c r="O332" s="234">
        <f>SUMIFS('2020'!$I:$I,'2020'!$E:$E,Category!$B$278,'2020'!$N:$N,Category!O$1,'2020'!$D:$D,Category!$C332)</f>
        <v>0</v>
      </c>
      <c r="P332" s="234">
        <f>SUMIFS('2020'!$I:$I,'2020'!$E:$E,Category!$B$278,'2020'!$N:$N,Category!P$1,'2020'!$D:$D,Category!$C332)</f>
        <v>0</v>
      </c>
      <c r="Q332" s="234">
        <f>SUMIFS('2020'!$I:$I,'2020'!$E:$E,Category!$B$278,'2020'!$N:$N,Category!Q$1,'2020'!$D:$D,Category!$C332)</f>
        <v>0</v>
      </c>
      <c r="R332" s="234">
        <f>SUMIFS('2020'!$I:$I,'2020'!$E:$E,Category!$B$278,'2020'!$N:$N,Category!R$1,'2020'!$D:$D,Category!$C332)</f>
        <v>0</v>
      </c>
      <c r="S332" s="234">
        <f>SUMIFS('2020'!$I:$I,'2020'!$E:$E,Category!$B$278,'2020'!$N:$N,Category!S$1,'2020'!$D:$D,Category!$C332)</f>
        <v>0</v>
      </c>
      <c r="T332" s="234">
        <f>SUMIFS('2020'!$I:$I,'2020'!$E:$E,Category!$B$278,'2020'!$N:$N,Category!T$1,'2020'!$D:$D,Category!$C332)</f>
        <v>0</v>
      </c>
      <c r="U332" s="234">
        <f>SUMIFS('2020'!$I:$I,'2020'!$E:$E,Category!$B$278,'2020'!$N:$N,Category!U$1,'2020'!$D:$D,Category!$C332)</f>
        <v>0</v>
      </c>
      <c r="V332" s="234">
        <f>SUMIFS('2020'!$I:$I,'2020'!$E:$E,Category!$B$278,'2020'!$N:$N,Category!V$1,'2020'!$D:$D,Category!$C332)</f>
        <v>0</v>
      </c>
      <c r="W332" s="234">
        <f>SUMIFS('2020'!$I:$I,'2020'!$E:$E,Category!$B$278,'2020'!$N:$N,Category!W$1,'2020'!$D:$D,Category!$C332)</f>
        <v>0</v>
      </c>
      <c r="X332" s="234">
        <f t="shared" si="123"/>
        <v>0</v>
      </c>
      <c r="Y332" s="507">
        <f>IFERROR(VLOOKUP(C332,'2021'!$D:$G,4,0),0)</f>
        <v>0</v>
      </c>
      <c r="Z332" s="234">
        <f>SUMIFS('2021'!$I:$I,'2021'!$E:$E,Category!$B$278,'2021'!$N:$N,Category!Z$1,'2021'!$D:$D,Category!$C332)</f>
        <v>0</v>
      </c>
      <c r="AA332" s="234">
        <f>SUMIFS('2021'!$I:$I,'2021'!$E:$E,Category!$B$278,'2021'!$N:$N,Category!AA$1,'2021'!$D:$D,Category!$C332)</f>
        <v>0</v>
      </c>
      <c r="AB332" s="234">
        <f>SUMIFS('2021'!$I:$I,'2021'!$E:$E,Category!$B$278,'2021'!$N:$N,Category!AB$1,'2021'!$D:$D,Category!$C332)</f>
        <v>0</v>
      </c>
      <c r="AC332" s="234">
        <f>SUMIFS('2021'!$I:$I,'2021'!$E:$E,Category!$B$278,'2021'!$N:$N,Category!AC$1,'2021'!$D:$D,Category!$C332)</f>
        <v>0</v>
      </c>
      <c r="AD332" s="234">
        <f>SUMIFS('2021'!$I:$I,'2021'!$E:$E,Category!$B$278,'2021'!$N:$N,Category!AD$1,'2021'!$D:$D,Category!$C332)</f>
        <v>0</v>
      </c>
      <c r="AE332" s="234">
        <f>SUMIFS('2021'!$I:$I,'2021'!$E:$E,Category!$B$278,'2021'!$N:$N,Category!AE$1,'2021'!$D:$D,Category!$C332)</f>
        <v>0</v>
      </c>
      <c r="AF332" s="234">
        <f>SUMIFS('2021'!$I:$I,'2021'!$E:$E,Category!$B$278,'2021'!$N:$N,Category!AF$1,'2021'!$D:$D,Category!$C332)</f>
        <v>0</v>
      </c>
      <c r="AG332" s="234">
        <f>SUMIFS('2021'!$I:$I,'2021'!$E:$E,Category!$B$278,'2021'!$N:$N,Category!AG$1,'2021'!$D:$D,Category!$C332)</f>
        <v>0</v>
      </c>
      <c r="AH332" s="234">
        <f>SUMIFS('2021'!$I:$I,'2021'!$E:$E,Category!$B$278,'2021'!$N:$N,Category!AH$1,'2021'!$D:$D,Category!$C332)</f>
        <v>0</v>
      </c>
      <c r="AI332" s="234">
        <f>SUMIFS('2021'!$I:$I,'2021'!$E:$E,Category!$B$278,'2021'!$N:$N,Category!AI$1,'2021'!$D:$D,Category!$C332)</f>
        <v>0</v>
      </c>
      <c r="AJ332" s="234">
        <f>SUMIFS('2021'!$I:$I,'2021'!$E:$E,Category!$B$278,'2021'!$N:$N,Category!AJ$1,'2021'!$D:$D,Category!$C332)</f>
        <v>0</v>
      </c>
      <c r="AK332" s="234">
        <f>SUMIFS('2021'!$I:$I,'2021'!$E:$E,Category!$B$278,'2021'!$N:$N,Category!AK$1,'2021'!$D:$D,Category!$C332)</f>
        <v>0</v>
      </c>
      <c r="AL332" s="250">
        <f t="shared" si="120"/>
        <v>0</v>
      </c>
      <c r="AM332" s="507">
        <f>IFERROR(VLOOKUP(C332,'2022'!$D:$G,4,0),0)</f>
        <v>0</v>
      </c>
      <c r="AN332" s="234">
        <f>SUMIFS('2022'!$I:$I,'2022'!$E:$E,Category!$B$278,'2022'!$N:$N,Category!AN$1,'2022'!$D:$D,Category!$C332)</f>
        <v>0</v>
      </c>
      <c r="AO332" s="234">
        <f>SUMIFS('2022'!$I:$I,'2022'!$E:$E,Category!$B$278,'2022'!$N:$N,Category!AO$1,'2022'!$D:$D,Category!$C332)</f>
        <v>0</v>
      </c>
      <c r="AP332" s="234">
        <f>SUMIFS('2022'!$I:$I,'2022'!$E:$E,Category!$B$278,'2022'!$N:$N,Category!AP$1,'2022'!$D:$D,Category!$C332)</f>
        <v>0</v>
      </c>
      <c r="AQ332" s="234">
        <f>SUMIFS('2022'!$I:$I,'2022'!$E:$E,Category!$B$278,'2022'!$N:$N,Category!AQ$1,'2022'!$D:$D,Category!$C332)</f>
        <v>0</v>
      </c>
      <c r="AR332" s="234">
        <f>SUMIFS('2022'!$I:$I,'2022'!$E:$E,Category!$B$278,'2022'!$N:$N,Category!AR$1,'2022'!$D:$D,Category!$C332)</f>
        <v>0</v>
      </c>
      <c r="AS332" s="234">
        <f>SUMIFS('2022'!$I:$I,'2022'!$E:$E,Category!$B$278,'2022'!$N:$N,Category!AS$1,'2022'!$D:$D,Category!$C332)</f>
        <v>0</v>
      </c>
      <c r="AT332" s="234">
        <f>SUMIFS('2022'!$I:$I,'2022'!$E:$E,Category!$B$278,'2022'!$N:$N,Category!AT$1,'2022'!$D:$D,Category!$C332)</f>
        <v>0</v>
      </c>
      <c r="AU332" s="234">
        <f>SUMIFS('2022'!$I:$I,'2022'!$E:$E,Category!$B$278,'2022'!$N:$N,Category!AU$1,'2022'!$D:$D,Category!$C332)</f>
        <v>0</v>
      </c>
      <c r="AV332" s="234">
        <f>SUMIFS('2022'!$I:$I,'2022'!$E:$E,Category!$B$278,'2022'!$N:$N,Category!AV$1,'2022'!$D:$D,Category!$C332)</f>
        <v>0</v>
      </c>
      <c r="AW332" s="234">
        <f>SUMIFS('2022'!$I:$I,'2022'!$E:$E,Category!$B$278,'2022'!$N:$N,Category!AW$1,'2022'!$D:$D,Category!$C332)</f>
        <v>0</v>
      </c>
      <c r="AX332" s="234">
        <f>SUMIFS('2022'!$I:$I,'2022'!$E:$E,Category!$B$278,'2022'!$N:$N,Category!AX$1,'2022'!$D:$D,Category!$C332)</f>
        <v>0</v>
      </c>
      <c r="AY332" s="234">
        <f>SUMIFS('2022'!$I:$I,'2022'!$E:$E,Category!$B$278,'2022'!$N:$N,Category!AY$1,'2022'!$D:$D,Category!$C332)</f>
        <v>191930000</v>
      </c>
      <c r="AZ332" s="250">
        <f t="shared" si="121"/>
        <v>191930000</v>
      </c>
      <c r="BA332" s="507">
        <f>IFERROR(VLOOKUP(C332,'2023'!$D:$G,4,0),0)</f>
        <v>0</v>
      </c>
      <c r="BB332" s="234">
        <f>SUMIFS('2023'!$I:$I,'2023'!$E:$E,Category!$B$278,'2023'!$N:$N,Category!BB$1,'2023'!$D:$D,Category!$C332)</f>
        <v>0</v>
      </c>
      <c r="BC332" s="234">
        <f>SUMIFS('2023'!$I:$I,'2023'!$E:$E,Category!$B$278,'2023'!$N:$N,Category!BC$1,'2023'!$D:$D,Category!$C332)</f>
        <v>0</v>
      </c>
      <c r="BD332" s="234">
        <f>SUMIFS('2023'!$I:$I,'2023'!$E:$E,Category!$B$278,'2023'!$N:$N,Category!BD$1,'2023'!$D:$D,Category!$C332)</f>
        <v>0</v>
      </c>
      <c r="BE332" s="234">
        <f>SUMIFS('2023'!$I:$I,'2023'!$E:$E,Category!$B$278,'2023'!$N:$N,Category!BE$1,'2023'!$D:$D,Category!$C332)</f>
        <v>0</v>
      </c>
      <c r="BF332" s="234">
        <f>SUMIFS('2023'!$I:$I,'2023'!$E:$E,Category!$B$278,'2023'!$N:$N,Category!BF$1,'2023'!$D:$D,Category!$C332)</f>
        <v>0</v>
      </c>
      <c r="BG332" s="234">
        <f>SUMIFS('2023'!$I:$I,'2023'!$E:$E,Category!$B$278,'2023'!$N:$N,Category!BG$1,'2023'!$D:$D,Category!$C332)</f>
        <v>0</v>
      </c>
      <c r="BH332" s="234">
        <f>SUMIFS('2023'!$I:$I,'2023'!$E:$E,Category!$B$278,'2023'!$N:$N,Category!BH$1,'2023'!$D:$D,Category!$C332)</f>
        <v>0</v>
      </c>
      <c r="BI332" s="234">
        <f>SUMIFS('2023'!$I:$I,'2023'!$E:$E,Category!$B$278,'2023'!$N:$N,Category!BI$1,'2023'!$D:$D,Category!$C332)</f>
        <v>0</v>
      </c>
      <c r="BJ332" s="234">
        <f>SUMIFS('2023'!$I:$I,'2023'!$E:$E,Category!$B$278,'2023'!$N:$N,Category!BJ$1,'2023'!$D:$D,Category!$C332)</f>
        <v>0</v>
      </c>
      <c r="BK332" s="234">
        <f>SUMIFS('2023'!$I:$I,'2023'!$E:$E,Category!$B$278,'2023'!$N:$N,Category!BK$1,'2023'!$D:$D,Category!$C332)</f>
        <v>0</v>
      </c>
      <c r="BL332" s="234">
        <f>SUMIFS('2023'!$I:$I,'2023'!$E:$E,Category!$B$278,'2023'!$N:$N,Category!BL$1,'2023'!$D:$D,Category!$C332)</f>
        <v>0</v>
      </c>
      <c r="BM332" s="234">
        <f>SUMIFS('2023'!$I:$I,'2023'!$E:$E,Category!$B$278,'2023'!$N:$N,Category!BM$1,'2023'!$D:$D,Category!$C332)</f>
        <v>0</v>
      </c>
      <c r="BN332" s="250">
        <f t="shared" si="124"/>
        <v>0</v>
      </c>
    </row>
    <row r="333" spans="1:66" x14ac:dyDescent="0.3">
      <c r="A333" s="249"/>
      <c r="B333" s="235"/>
      <c r="C333" s="235" t="s">
        <v>1341</v>
      </c>
      <c r="D333" s="527">
        <f>IFERROR(VLOOKUP($C333,'2019'!$D:$G,4,0),0)</f>
        <v>0</v>
      </c>
      <c r="E333" s="234">
        <f>SUMIFS('2019'!$I:$I,'2019'!$E:$E,Category!$B$278,'2019'!$N:$N,Category!E$1,'2019'!$D:$D,Category!$C333)</f>
        <v>0</v>
      </c>
      <c r="F333" s="234">
        <f>SUMIFS('2019'!$I:$I,'2019'!$E:$E,Category!$B$278,'2019'!$N:$N,Category!F$1,'2019'!$D:$D,Category!$C333)</f>
        <v>0</v>
      </c>
      <c r="G333" s="234">
        <f>SUMIFS('2019'!$I:$I,'2019'!$E:$E,Category!$B$278,'2019'!$N:$N,Category!G$1,'2019'!$D:$D,Category!$C333)</f>
        <v>0</v>
      </c>
      <c r="H333" s="234">
        <f>SUMIFS('2019'!$I:$I,'2019'!$E:$E,Category!$B$278,'2019'!$N:$N,Category!H$1,'2019'!$D:$D,Category!$C333)</f>
        <v>0</v>
      </c>
      <c r="I333" s="234">
        <f>SUMIFS('2019'!$I:$I,'2019'!$E:$E,Category!$B$278,'2019'!$N:$N,Category!I$1,'2019'!$D:$D,Category!$C333)</f>
        <v>0</v>
      </c>
      <c r="J333" s="234">
        <f t="shared" si="122"/>
        <v>0</v>
      </c>
      <c r="K333" s="507">
        <f>IFERROR(VLOOKUP($C333,'2020'!$D:$G,4,0),0)</f>
        <v>0</v>
      </c>
      <c r="L333" s="234">
        <f>SUMIFS('2020'!$I:$I,'2020'!$E:$E,Category!$B$278,'2020'!$N:$N,Category!L$1,'2020'!$D:$D,Category!$C333)</f>
        <v>0</v>
      </c>
      <c r="M333" s="234">
        <f>SUMIFS('2020'!$I:$I,'2020'!$E:$E,Category!$B$278,'2020'!$N:$N,Category!M$1,'2020'!$D:$D,Category!$C333)</f>
        <v>0</v>
      </c>
      <c r="N333" s="234">
        <f>SUMIFS('2020'!$I:$I,'2020'!$E:$E,Category!$B$278,'2020'!$N:$N,Category!N$1,'2020'!$D:$D,Category!$C333)</f>
        <v>0</v>
      </c>
      <c r="O333" s="234">
        <f>SUMIFS('2020'!$I:$I,'2020'!$E:$E,Category!$B$278,'2020'!$N:$N,Category!O$1,'2020'!$D:$D,Category!$C333)</f>
        <v>0</v>
      </c>
      <c r="P333" s="234">
        <f>SUMIFS('2020'!$I:$I,'2020'!$E:$E,Category!$B$278,'2020'!$N:$N,Category!P$1,'2020'!$D:$D,Category!$C333)</f>
        <v>0</v>
      </c>
      <c r="Q333" s="234">
        <f>SUMIFS('2020'!$I:$I,'2020'!$E:$E,Category!$B$278,'2020'!$N:$N,Category!Q$1,'2020'!$D:$D,Category!$C333)</f>
        <v>0</v>
      </c>
      <c r="R333" s="234">
        <f>SUMIFS('2020'!$I:$I,'2020'!$E:$E,Category!$B$278,'2020'!$N:$N,Category!R$1,'2020'!$D:$D,Category!$C333)</f>
        <v>0</v>
      </c>
      <c r="S333" s="234">
        <f>SUMIFS('2020'!$I:$I,'2020'!$E:$E,Category!$B$278,'2020'!$N:$N,Category!S$1,'2020'!$D:$D,Category!$C333)</f>
        <v>0</v>
      </c>
      <c r="T333" s="234">
        <f>SUMIFS('2020'!$I:$I,'2020'!$E:$E,Category!$B$278,'2020'!$N:$N,Category!T$1,'2020'!$D:$D,Category!$C333)</f>
        <v>0</v>
      </c>
      <c r="U333" s="234">
        <f>SUMIFS('2020'!$I:$I,'2020'!$E:$E,Category!$B$278,'2020'!$N:$N,Category!U$1,'2020'!$D:$D,Category!$C333)</f>
        <v>0</v>
      </c>
      <c r="V333" s="234">
        <f>SUMIFS('2020'!$I:$I,'2020'!$E:$E,Category!$B$278,'2020'!$N:$N,Category!V$1,'2020'!$D:$D,Category!$C333)</f>
        <v>0</v>
      </c>
      <c r="W333" s="234">
        <f>SUMIFS('2020'!$I:$I,'2020'!$E:$E,Category!$B$278,'2020'!$N:$N,Category!W$1,'2020'!$D:$D,Category!$C333)</f>
        <v>0</v>
      </c>
      <c r="X333" s="234">
        <f t="shared" si="123"/>
        <v>0</v>
      </c>
      <c r="Y333" s="507">
        <f>IFERROR(VLOOKUP(C333,'2021'!$D:$G,4,0),0)</f>
        <v>0</v>
      </c>
      <c r="Z333" s="234">
        <f>SUMIFS('2021'!$I:$I,'2021'!$E:$E,Category!$B$278,'2021'!$N:$N,Category!Z$1,'2021'!$D:$D,Category!$C333)</f>
        <v>0</v>
      </c>
      <c r="AA333" s="234">
        <f>SUMIFS('2021'!$I:$I,'2021'!$E:$E,Category!$B$278,'2021'!$N:$N,Category!AA$1,'2021'!$D:$D,Category!$C333)</f>
        <v>0</v>
      </c>
      <c r="AB333" s="234">
        <f>SUMIFS('2021'!$I:$I,'2021'!$E:$E,Category!$B$278,'2021'!$N:$N,Category!AB$1,'2021'!$D:$D,Category!$C333)</f>
        <v>0</v>
      </c>
      <c r="AC333" s="234">
        <f>SUMIFS('2021'!$I:$I,'2021'!$E:$E,Category!$B$278,'2021'!$N:$N,Category!AC$1,'2021'!$D:$D,Category!$C333)</f>
        <v>0</v>
      </c>
      <c r="AD333" s="234">
        <f>SUMIFS('2021'!$I:$I,'2021'!$E:$E,Category!$B$278,'2021'!$N:$N,Category!AD$1,'2021'!$D:$D,Category!$C333)</f>
        <v>0</v>
      </c>
      <c r="AE333" s="234">
        <f>SUMIFS('2021'!$I:$I,'2021'!$E:$E,Category!$B$278,'2021'!$N:$N,Category!AE$1,'2021'!$D:$D,Category!$C333)</f>
        <v>0</v>
      </c>
      <c r="AF333" s="234">
        <f>SUMIFS('2021'!$I:$I,'2021'!$E:$E,Category!$B$278,'2021'!$N:$N,Category!AF$1,'2021'!$D:$D,Category!$C333)</f>
        <v>0</v>
      </c>
      <c r="AG333" s="234">
        <f>SUMIFS('2021'!$I:$I,'2021'!$E:$E,Category!$B$278,'2021'!$N:$N,Category!AG$1,'2021'!$D:$D,Category!$C333)</f>
        <v>0</v>
      </c>
      <c r="AH333" s="234">
        <f>SUMIFS('2021'!$I:$I,'2021'!$E:$E,Category!$B$278,'2021'!$N:$N,Category!AH$1,'2021'!$D:$D,Category!$C333)</f>
        <v>0</v>
      </c>
      <c r="AI333" s="234">
        <f>SUMIFS('2021'!$I:$I,'2021'!$E:$E,Category!$B$278,'2021'!$N:$N,Category!AI$1,'2021'!$D:$D,Category!$C333)</f>
        <v>0</v>
      </c>
      <c r="AJ333" s="234">
        <f>SUMIFS('2021'!$I:$I,'2021'!$E:$E,Category!$B$278,'2021'!$N:$N,Category!AJ$1,'2021'!$D:$D,Category!$C333)</f>
        <v>0</v>
      </c>
      <c r="AK333" s="234">
        <f>SUMIFS('2021'!$I:$I,'2021'!$E:$E,Category!$B$278,'2021'!$N:$N,Category!AK$1,'2021'!$D:$D,Category!$C333)</f>
        <v>0</v>
      </c>
      <c r="AL333" s="250">
        <f t="shared" si="120"/>
        <v>0</v>
      </c>
      <c r="AM333" s="507">
        <f>IFERROR(VLOOKUP(C333,'2022'!$D:$G,4,0),0)</f>
        <v>0</v>
      </c>
      <c r="AN333" s="234">
        <f>SUMIFS('2022'!$I:$I,'2022'!$E:$E,Category!$B$278,'2022'!$N:$N,Category!AN$1,'2022'!$D:$D,Category!$C333)</f>
        <v>0</v>
      </c>
      <c r="AO333" s="234">
        <f>SUMIFS('2022'!$I:$I,'2022'!$E:$E,Category!$B$278,'2022'!$N:$N,Category!AO$1,'2022'!$D:$D,Category!$C333)</f>
        <v>0</v>
      </c>
      <c r="AP333" s="234">
        <f>SUMIFS('2022'!$I:$I,'2022'!$E:$E,Category!$B$278,'2022'!$N:$N,Category!AP$1,'2022'!$D:$D,Category!$C333)</f>
        <v>0</v>
      </c>
      <c r="AQ333" s="234">
        <f>SUMIFS('2022'!$I:$I,'2022'!$E:$E,Category!$B$278,'2022'!$N:$N,Category!AQ$1,'2022'!$D:$D,Category!$C333)</f>
        <v>0</v>
      </c>
      <c r="AR333" s="234">
        <f>SUMIFS('2022'!$I:$I,'2022'!$E:$E,Category!$B$278,'2022'!$N:$N,Category!AR$1,'2022'!$D:$D,Category!$C333)</f>
        <v>0</v>
      </c>
      <c r="AS333" s="234">
        <f>SUMIFS('2022'!$I:$I,'2022'!$E:$E,Category!$B$278,'2022'!$N:$N,Category!AS$1,'2022'!$D:$D,Category!$C333)</f>
        <v>0</v>
      </c>
      <c r="AT333" s="234">
        <f>SUMIFS('2022'!$I:$I,'2022'!$E:$E,Category!$B$278,'2022'!$N:$N,Category!AT$1,'2022'!$D:$D,Category!$C333)</f>
        <v>0</v>
      </c>
      <c r="AU333" s="234">
        <f>SUMIFS('2022'!$I:$I,'2022'!$E:$E,Category!$B$278,'2022'!$N:$N,Category!AU$1,'2022'!$D:$D,Category!$C333)</f>
        <v>0</v>
      </c>
      <c r="AV333" s="234">
        <f>SUMIFS('2022'!$I:$I,'2022'!$E:$E,Category!$B$278,'2022'!$N:$N,Category!AV$1,'2022'!$D:$D,Category!$C333)</f>
        <v>0</v>
      </c>
      <c r="AW333" s="234">
        <f>SUMIFS('2022'!$I:$I,'2022'!$E:$E,Category!$B$278,'2022'!$N:$N,Category!AW$1,'2022'!$D:$D,Category!$C333)</f>
        <v>0</v>
      </c>
      <c r="AX333" s="234">
        <f>SUMIFS('2022'!$I:$I,'2022'!$E:$E,Category!$B$278,'2022'!$N:$N,Category!AX$1,'2022'!$D:$D,Category!$C333)</f>
        <v>0</v>
      </c>
      <c r="AY333" s="234">
        <f>SUMIFS('2022'!$I:$I,'2022'!$E:$E,Category!$B$278,'2022'!$N:$N,Category!AY$1,'2022'!$D:$D,Category!$C333)</f>
        <v>100000000</v>
      </c>
      <c r="AZ333" s="250">
        <f t="shared" si="121"/>
        <v>100000000</v>
      </c>
      <c r="BA333" s="507">
        <f>IFERROR(VLOOKUP(C333,'2023'!$D:$G,4,0),0)</f>
        <v>0</v>
      </c>
      <c r="BB333" s="234">
        <f>SUMIFS('2023'!$I:$I,'2023'!$E:$E,Category!$B$278,'2023'!$N:$N,Category!BB$1,'2023'!$D:$D,Category!$C333)</f>
        <v>0</v>
      </c>
      <c r="BC333" s="234">
        <f>SUMIFS('2023'!$I:$I,'2023'!$E:$E,Category!$B$278,'2023'!$N:$N,Category!BC$1,'2023'!$D:$D,Category!$C333)</f>
        <v>0</v>
      </c>
      <c r="BD333" s="234">
        <f>SUMIFS('2023'!$I:$I,'2023'!$E:$E,Category!$B$278,'2023'!$N:$N,Category!BD$1,'2023'!$D:$D,Category!$C333)</f>
        <v>0</v>
      </c>
      <c r="BE333" s="234">
        <f>SUMIFS('2023'!$I:$I,'2023'!$E:$E,Category!$B$278,'2023'!$N:$N,Category!BE$1,'2023'!$D:$D,Category!$C333)</f>
        <v>0</v>
      </c>
      <c r="BF333" s="234">
        <f>SUMIFS('2023'!$I:$I,'2023'!$E:$E,Category!$B$278,'2023'!$N:$N,Category!BF$1,'2023'!$D:$D,Category!$C333)</f>
        <v>0</v>
      </c>
      <c r="BG333" s="234">
        <f>SUMIFS('2023'!$I:$I,'2023'!$E:$E,Category!$B$278,'2023'!$N:$N,Category!BG$1,'2023'!$D:$D,Category!$C333)</f>
        <v>0</v>
      </c>
      <c r="BH333" s="234">
        <f>SUMIFS('2023'!$I:$I,'2023'!$E:$E,Category!$B$278,'2023'!$N:$N,Category!BH$1,'2023'!$D:$D,Category!$C333)</f>
        <v>0</v>
      </c>
      <c r="BI333" s="234">
        <f>SUMIFS('2023'!$I:$I,'2023'!$E:$E,Category!$B$278,'2023'!$N:$N,Category!BI$1,'2023'!$D:$D,Category!$C333)</f>
        <v>0</v>
      </c>
      <c r="BJ333" s="234">
        <f>SUMIFS('2023'!$I:$I,'2023'!$E:$E,Category!$B$278,'2023'!$N:$N,Category!BJ$1,'2023'!$D:$D,Category!$C333)</f>
        <v>0</v>
      </c>
      <c r="BK333" s="234">
        <f>SUMIFS('2023'!$I:$I,'2023'!$E:$E,Category!$B$278,'2023'!$N:$N,Category!BK$1,'2023'!$D:$D,Category!$C333)</f>
        <v>0</v>
      </c>
      <c r="BL333" s="234">
        <f>SUMIFS('2023'!$I:$I,'2023'!$E:$E,Category!$B$278,'2023'!$N:$N,Category!BL$1,'2023'!$D:$D,Category!$C333)</f>
        <v>0</v>
      </c>
      <c r="BM333" s="234">
        <f>SUMIFS('2023'!$I:$I,'2023'!$E:$E,Category!$B$278,'2023'!$N:$N,Category!BM$1,'2023'!$D:$D,Category!$C333)</f>
        <v>0</v>
      </c>
      <c r="BN333" s="250">
        <f t="shared" si="124"/>
        <v>0</v>
      </c>
    </row>
    <row r="334" spans="1:66" x14ac:dyDescent="0.3">
      <c r="A334" s="249"/>
      <c r="B334" s="235"/>
      <c r="C334" s="235"/>
      <c r="D334" s="527">
        <f>IFERROR(VLOOKUP($C334,'2019'!$D:$G,4,0),0)</f>
        <v>0</v>
      </c>
      <c r="E334" s="234">
        <f>SUMIFS('2019'!$I:$I,'2019'!$E:$E,Category!$B$278,'2019'!$N:$N,Category!E$1,'2019'!$D:$D,Category!$C334)</f>
        <v>0</v>
      </c>
      <c r="F334" s="234">
        <f>SUMIFS('2019'!$I:$I,'2019'!$E:$E,Category!$B$278,'2019'!$N:$N,Category!F$1,'2019'!$D:$D,Category!$C334)</f>
        <v>0</v>
      </c>
      <c r="G334" s="234">
        <f>SUMIFS('2019'!$I:$I,'2019'!$E:$E,Category!$B$278,'2019'!$N:$N,Category!G$1,'2019'!$D:$D,Category!$C334)</f>
        <v>0</v>
      </c>
      <c r="H334" s="234">
        <f>SUMIFS('2019'!$I:$I,'2019'!$E:$E,Category!$B$278,'2019'!$N:$N,Category!H$1,'2019'!$D:$D,Category!$C334)</f>
        <v>0</v>
      </c>
      <c r="I334" s="234">
        <f>SUMIFS('2019'!$I:$I,'2019'!$E:$E,Category!$B$278,'2019'!$N:$N,Category!I$1,'2019'!$D:$D,Category!$C334)</f>
        <v>0</v>
      </c>
      <c r="J334" s="234">
        <f t="shared" si="122"/>
        <v>0</v>
      </c>
      <c r="K334" s="507">
        <f>IFERROR(VLOOKUP($C334,'2020'!$D:$G,4,0),0)</f>
        <v>0</v>
      </c>
      <c r="L334" s="234">
        <f>SUMIFS('2020'!$I:$I,'2020'!$E:$E,Category!$B$278,'2020'!$N:$N,Category!L$1,'2020'!$D:$D,Category!$C334)</f>
        <v>0</v>
      </c>
      <c r="M334" s="234">
        <f>SUMIFS('2020'!$I:$I,'2020'!$E:$E,Category!$B$278,'2020'!$N:$N,Category!M$1,'2020'!$D:$D,Category!$C334)</f>
        <v>0</v>
      </c>
      <c r="N334" s="234">
        <f>SUMIFS('2020'!$I:$I,'2020'!$E:$E,Category!$B$278,'2020'!$N:$N,Category!N$1,'2020'!$D:$D,Category!$C334)</f>
        <v>0</v>
      </c>
      <c r="O334" s="234">
        <f>SUMIFS('2020'!$I:$I,'2020'!$E:$E,Category!$B$278,'2020'!$N:$N,Category!O$1,'2020'!$D:$D,Category!$C334)</f>
        <v>0</v>
      </c>
      <c r="P334" s="234">
        <f>SUMIFS('2020'!$I:$I,'2020'!$E:$E,Category!$B$278,'2020'!$N:$N,Category!P$1,'2020'!$D:$D,Category!$C334)</f>
        <v>0</v>
      </c>
      <c r="Q334" s="234">
        <f>SUMIFS('2020'!$I:$I,'2020'!$E:$E,Category!$B$278,'2020'!$N:$N,Category!Q$1,'2020'!$D:$D,Category!$C334)</f>
        <v>0</v>
      </c>
      <c r="R334" s="234">
        <f>SUMIFS('2020'!$I:$I,'2020'!$E:$E,Category!$B$278,'2020'!$N:$N,Category!R$1,'2020'!$D:$D,Category!$C334)</f>
        <v>0</v>
      </c>
      <c r="S334" s="234">
        <f>SUMIFS('2020'!$I:$I,'2020'!$E:$E,Category!$B$278,'2020'!$N:$N,Category!S$1,'2020'!$D:$D,Category!$C334)</f>
        <v>0</v>
      </c>
      <c r="T334" s="234">
        <f>SUMIFS('2020'!$I:$I,'2020'!$E:$E,Category!$B$278,'2020'!$N:$N,Category!T$1,'2020'!$D:$D,Category!$C334)</f>
        <v>0</v>
      </c>
      <c r="U334" s="234">
        <f>SUMIFS('2020'!$I:$I,'2020'!$E:$E,Category!$B$278,'2020'!$N:$N,Category!U$1,'2020'!$D:$D,Category!$C334)</f>
        <v>0</v>
      </c>
      <c r="V334" s="234">
        <f>SUMIFS('2020'!$I:$I,'2020'!$E:$E,Category!$B$278,'2020'!$N:$N,Category!V$1,'2020'!$D:$D,Category!$C334)</f>
        <v>0</v>
      </c>
      <c r="W334" s="234">
        <f>SUMIFS('2020'!$I:$I,'2020'!$E:$E,Category!$B$278,'2020'!$N:$N,Category!W$1,'2020'!$D:$D,Category!$C334)</f>
        <v>0</v>
      </c>
      <c r="X334" s="234">
        <f t="shared" si="123"/>
        <v>0</v>
      </c>
      <c r="Y334" s="507">
        <f>IFERROR(VLOOKUP(C334,'2021'!$D:$G,4,0),0)</f>
        <v>0</v>
      </c>
      <c r="Z334" s="234">
        <f>SUMIFS('2021'!$I:$I,'2021'!$E:$E,Category!$B$278,'2021'!$N:$N,Category!Z$1,'2021'!$D:$D,Category!$C334)</f>
        <v>0</v>
      </c>
      <c r="AA334" s="234">
        <f>SUMIFS('2021'!$I:$I,'2021'!$E:$E,Category!$B$278,'2021'!$N:$N,Category!AA$1,'2021'!$D:$D,Category!$C334)</f>
        <v>0</v>
      </c>
      <c r="AB334" s="234">
        <f>SUMIFS('2021'!$I:$I,'2021'!$E:$E,Category!$B$278,'2021'!$N:$N,Category!AB$1,'2021'!$D:$D,Category!$C334)</f>
        <v>0</v>
      </c>
      <c r="AC334" s="234">
        <f>SUMIFS('2021'!$I:$I,'2021'!$E:$E,Category!$B$278,'2021'!$N:$N,Category!AC$1,'2021'!$D:$D,Category!$C334)</f>
        <v>0</v>
      </c>
      <c r="AD334" s="234">
        <f>SUMIFS('2021'!$I:$I,'2021'!$E:$E,Category!$B$278,'2021'!$N:$N,Category!AD$1,'2021'!$D:$D,Category!$C334)</f>
        <v>0</v>
      </c>
      <c r="AE334" s="234">
        <f>SUMIFS('2021'!$I:$I,'2021'!$E:$E,Category!$B$278,'2021'!$N:$N,Category!AE$1,'2021'!$D:$D,Category!$C334)</f>
        <v>0</v>
      </c>
      <c r="AF334" s="234">
        <f>SUMIFS('2021'!$I:$I,'2021'!$E:$E,Category!$B$278,'2021'!$N:$N,Category!AF$1,'2021'!$D:$D,Category!$C334)</f>
        <v>0</v>
      </c>
      <c r="AG334" s="234">
        <f>SUMIFS('2021'!$I:$I,'2021'!$E:$E,Category!$B$278,'2021'!$N:$N,Category!AG$1,'2021'!$D:$D,Category!$C334)</f>
        <v>0</v>
      </c>
      <c r="AH334" s="234">
        <f>SUMIFS('2021'!$I:$I,'2021'!$E:$E,Category!$B$278,'2021'!$N:$N,Category!AH$1,'2021'!$D:$D,Category!$C334)</f>
        <v>0</v>
      </c>
      <c r="AI334" s="234">
        <f>SUMIFS('2021'!$I:$I,'2021'!$E:$E,Category!$B$278,'2021'!$N:$N,Category!AI$1,'2021'!$D:$D,Category!$C334)</f>
        <v>0</v>
      </c>
      <c r="AJ334" s="234">
        <f>SUMIFS('2021'!$I:$I,'2021'!$E:$E,Category!$B$278,'2021'!$N:$N,Category!AJ$1,'2021'!$D:$D,Category!$C334)</f>
        <v>0</v>
      </c>
      <c r="AK334" s="234">
        <f>SUMIFS('2021'!$I:$I,'2021'!$E:$E,Category!$B$278,'2021'!$N:$N,Category!AK$1,'2021'!$D:$D,Category!$C334)</f>
        <v>0</v>
      </c>
      <c r="AL334" s="250">
        <f t="shared" si="120"/>
        <v>0</v>
      </c>
      <c r="AM334" s="507">
        <f>IFERROR(VLOOKUP(C334,'2022'!$D:$G,4,0),0)</f>
        <v>0</v>
      </c>
      <c r="AN334" s="234">
        <f>SUMIFS('2022'!$I:$I,'2022'!$E:$E,Category!$B$278,'2022'!$N:$N,Category!AN$1,'2022'!$D:$D,Category!$C334)</f>
        <v>0</v>
      </c>
      <c r="AO334" s="234">
        <f>SUMIFS('2022'!$I:$I,'2022'!$E:$E,Category!$B$278,'2022'!$N:$N,Category!AO$1,'2022'!$D:$D,Category!$C334)</f>
        <v>0</v>
      </c>
      <c r="AP334" s="234">
        <f>SUMIFS('2022'!$I:$I,'2022'!$E:$E,Category!$B$278,'2022'!$N:$N,Category!AP$1,'2022'!$D:$D,Category!$C334)</f>
        <v>0</v>
      </c>
      <c r="AQ334" s="234">
        <f>SUMIFS('2022'!$I:$I,'2022'!$E:$E,Category!$B$278,'2022'!$N:$N,Category!AQ$1,'2022'!$D:$D,Category!$C334)</f>
        <v>0</v>
      </c>
      <c r="AR334" s="234">
        <f>SUMIFS('2022'!$I:$I,'2022'!$E:$E,Category!$B$278,'2022'!$N:$N,Category!AR$1,'2022'!$D:$D,Category!$C334)</f>
        <v>0</v>
      </c>
      <c r="AS334" s="234">
        <f>SUMIFS('2022'!$I:$I,'2022'!$E:$E,Category!$B$278,'2022'!$N:$N,Category!AS$1,'2022'!$D:$D,Category!$C334)</f>
        <v>0</v>
      </c>
      <c r="AT334" s="234">
        <f>SUMIFS('2022'!$I:$I,'2022'!$E:$E,Category!$B$278,'2022'!$N:$N,Category!AT$1,'2022'!$D:$D,Category!$C334)</f>
        <v>0</v>
      </c>
      <c r="AU334" s="234">
        <f>SUMIFS('2022'!$I:$I,'2022'!$E:$E,Category!$B$278,'2022'!$N:$N,Category!AU$1,'2022'!$D:$D,Category!$C334)</f>
        <v>0</v>
      </c>
      <c r="AV334" s="234">
        <f>SUMIFS('2022'!$I:$I,'2022'!$E:$E,Category!$B$278,'2022'!$N:$N,Category!AV$1,'2022'!$D:$D,Category!$C334)</f>
        <v>0</v>
      </c>
      <c r="AW334" s="234">
        <f>SUMIFS('2022'!$I:$I,'2022'!$E:$E,Category!$B$278,'2022'!$N:$N,Category!AW$1,'2022'!$D:$D,Category!$C334)</f>
        <v>0</v>
      </c>
      <c r="AX334" s="234">
        <f>SUMIFS('2022'!$I:$I,'2022'!$E:$E,Category!$B$278,'2022'!$N:$N,Category!AX$1,'2022'!$D:$D,Category!$C334)</f>
        <v>0</v>
      </c>
      <c r="AY334" s="234">
        <f>SUMIFS('2022'!$I:$I,'2022'!$E:$E,Category!$B$278,'2022'!$N:$N,Category!AY$1,'2022'!$D:$D,Category!$C334)</f>
        <v>0</v>
      </c>
      <c r="AZ334" s="250">
        <f t="shared" si="121"/>
        <v>0</v>
      </c>
      <c r="BA334" s="507">
        <f>IFERROR(VLOOKUP(C334,'2023'!$D:$G,4,0),0)</f>
        <v>0</v>
      </c>
      <c r="BB334" s="234">
        <f>SUMIFS('2023'!$I:$I,'2023'!$E:$E,Category!$B$278,'2023'!$N:$N,Category!BB$1,'2023'!$D:$D,Category!$C334)</f>
        <v>0</v>
      </c>
      <c r="BC334" s="234">
        <f>SUMIFS('2023'!$I:$I,'2023'!$E:$E,Category!$B$278,'2023'!$N:$N,Category!BC$1,'2023'!$D:$D,Category!$C334)</f>
        <v>0</v>
      </c>
      <c r="BD334" s="234">
        <f>SUMIFS('2023'!$I:$I,'2023'!$E:$E,Category!$B$278,'2023'!$N:$N,Category!BD$1,'2023'!$D:$D,Category!$C334)</f>
        <v>0</v>
      </c>
      <c r="BE334" s="234">
        <f>SUMIFS('2023'!$I:$I,'2023'!$E:$E,Category!$B$278,'2023'!$N:$N,Category!BE$1,'2023'!$D:$D,Category!$C334)</f>
        <v>0</v>
      </c>
      <c r="BF334" s="234">
        <f>SUMIFS('2023'!$I:$I,'2023'!$E:$E,Category!$B$278,'2023'!$N:$N,Category!BF$1,'2023'!$D:$D,Category!$C334)</f>
        <v>0</v>
      </c>
      <c r="BG334" s="234">
        <f>SUMIFS('2023'!$I:$I,'2023'!$E:$E,Category!$B$278,'2023'!$N:$N,Category!BG$1,'2023'!$D:$D,Category!$C334)</f>
        <v>0</v>
      </c>
      <c r="BH334" s="234">
        <f>SUMIFS('2023'!$I:$I,'2023'!$E:$E,Category!$B$278,'2023'!$N:$N,Category!BH$1,'2023'!$D:$D,Category!$C334)</f>
        <v>0</v>
      </c>
      <c r="BI334" s="234">
        <f>SUMIFS('2023'!$I:$I,'2023'!$E:$E,Category!$B$278,'2023'!$N:$N,Category!BI$1,'2023'!$D:$D,Category!$C334)</f>
        <v>0</v>
      </c>
      <c r="BJ334" s="234">
        <f>SUMIFS('2023'!$I:$I,'2023'!$E:$E,Category!$B$278,'2023'!$N:$N,Category!BJ$1,'2023'!$D:$D,Category!$C334)</f>
        <v>0</v>
      </c>
      <c r="BK334" s="234">
        <f>SUMIFS('2023'!$I:$I,'2023'!$E:$E,Category!$B$278,'2023'!$N:$N,Category!BK$1,'2023'!$D:$D,Category!$C334)</f>
        <v>0</v>
      </c>
      <c r="BL334" s="234">
        <f>SUMIFS('2023'!$I:$I,'2023'!$E:$E,Category!$B$278,'2023'!$N:$N,Category!BL$1,'2023'!$D:$D,Category!$C334)</f>
        <v>0</v>
      </c>
      <c r="BM334" s="234">
        <f>SUMIFS('2023'!$I:$I,'2023'!$E:$E,Category!$B$278,'2023'!$N:$N,Category!BM$1,'2023'!$D:$D,Category!$C334)</f>
        <v>0</v>
      </c>
      <c r="BN334" s="250">
        <f t="shared" si="124"/>
        <v>0</v>
      </c>
    </row>
    <row r="335" spans="1:66" x14ac:dyDescent="0.3">
      <c r="A335" s="249"/>
      <c r="B335" s="235"/>
      <c r="C335" s="235"/>
      <c r="D335" s="527">
        <f>IFERROR(VLOOKUP($C335,'2019'!$D:$G,4,0),0)</f>
        <v>0</v>
      </c>
      <c r="E335" s="234">
        <f>SUMIFS('2019'!$I:$I,'2019'!$E:$E,Category!$B$278,'2019'!$N:$N,Category!E$1,'2019'!$D:$D,Category!$C335)</f>
        <v>0</v>
      </c>
      <c r="F335" s="234">
        <f>SUMIFS('2019'!$I:$I,'2019'!$E:$E,Category!$B$278,'2019'!$N:$N,Category!F$1,'2019'!$D:$D,Category!$C335)</f>
        <v>0</v>
      </c>
      <c r="G335" s="234">
        <f>SUMIFS('2019'!$I:$I,'2019'!$E:$E,Category!$B$278,'2019'!$N:$N,Category!G$1,'2019'!$D:$D,Category!$C335)</f>
        <v>0</v>
      </c>
      <c r="H335" s="234">
        <f>SUMIFS('2019'!$I:$I,'2019'!$E:$E,Category!$B$278,'2019'!$N:$N,Category!H$1,'2019'!$D:$D,Category!$C335)</f>
        <v>0</v>
      </c>
      <c r="I335" s="234">
        <f>SUMIFS('2019'!$I:$I,'2019'!$E:$E,Category!$B$278,'2019'!$N:$N,Category!I$1,'2019'!$D:$D,Category!$C335)</f>
        <v>0</v>
      </c>
      <c r="J335" s="234">
        <f t="shared" si="122"/>
        <v>0</v>
      </c>
      <c r="K335" s="507">
        <f>IFERROR(VLOOKUP($C335,'2020'!$D:$G,4,0),0)</f>
        <v>0</v>
      </c>
      <c r="L335" s="234">
        <f>SUMIFS('2020'!$I:$I,'2020'!$E:$E,Category!$B$278,'2020'!$N:$N,Category!L$1,'2020'!$D:$D,Category!$C335)</f>
        <v>0</v>
      </c>
      <c r="M335" s="234">
        <f>SUMIFS('2020'!$I:$I,'2020'!$E:$E,Category!$B$278,'2020'!$N:$N,Category!M$1,'2020'!$D:$D,Category!$C335)</f>
        <v>0</v>
      </c>
      <c r="N335" s="234">
        <f>SUMIFS('2020'!$I:$I,'2020'!$E:$E,Category!$B$278,'2020'!$N:$N,Category!N$1,'2020'!$D:$D,Category!$C335)</f>
        <v>0</v>
      </c>
      <c r="O335" s="234">
        <f>SUMIFS('2020'!$I:$I,'2020'!$E:$E,Category!$B$278,'2020'!$N:$N,Category!O$1,'2020'!$D:$D,Category!$C335)</f>
        <v>0</v>
      </c>
      <c r="P335" s="234">
        <f>SUMIFS('2020'!$I:$I,'2020'!$E:$E,Category!$B$278,'2020'!$N:$N,Category!P$1,'2020'!$D:$D,Category!$C335)</f>
        <v>0</v>
      </c>
      <c r="Q335" s="234">
        <f>SUMIFS('2020'!$I:$I,'2020'!$E:$E,Category!$B$278,'2020'!$N:$N,Category!Q$1,'2020'!$D:$D,Category!$C335)</f>
        <v>0</v>
      </c>
      <c r="R335" s="234">
        <f>SUMIFS('2020'!$I:$I,'2020'!$E:$E,Category!$B$278,'2020'!$N:$N,Category!R$1,'2020'!$D:$D,Category!$C335)</f>
        <v>0</v>
      </c>
      <c r="S335" s="234">
        <f>SUMIFS('2020'!$I:$I,'2020'!$E:$E,Category!$B$278,'2020'!$N:$N,Category!S$1,'2020'!$D:$D,Category!$C335)</f>
        <v>0</v>
      </c>
      <c r="T335" s="234">
        <f>SUMIFS('2020'!$I:$I,'2020'!$E:$E,Category!$B$278,'2020'!$N:$N,Category!T$1,'2020'!$D:$D,Category!$C335)</f>
        <v>0</v>
      </c>
      <c r="U335" s="234">
        <f>SUMIFS('2020'!$I:$I,'2020'!$E:$E,Category!$B$278,'2020'!$N:$N,Category!U$1,'2020'!$D:$D,Category!$C335)</f>
        <v>0</v>
      </c>
      <c r="V335" s="234">
        <f>SUMIFS('2020'!$I:$I,'2020'!$E:$E,Category!$B$278,'2020'!$N:$N,Category!V$1,'2020'!$D:$D,Category!$C335)</f>
        <v>0</v>
      </c>
      <c r="W335" s="234">
        <f>SUMIFS('2020'!$I:$I,'2020'!$E:$E,Category!$B$278,'2020'!$N:$N,Category!W$1,'2020'!$D:$D,Category!$C335)</f>
        <v>0</v>
      </c>
      <c r="X335" s="234">
        <f t="shared" si="123"/>
        <v>0</v>
      </c>
      <c r="Y335" s="507">
        <f>IFERROR(VLOOKUP(C335,'2021'!$D:$G,4,0),0)</f>
        <v>0</v>
      </c>
      <c r="Z335" s="234">
        <f>SUMIFS('2021'!$I:$I,'2021'!$E:$E,Category!$B$278,'2021'!$N:$N,Category!Z$1,'2021'!$D:$D,Category!$C335)</f>
        <v>0</v>
      </c>
      <c r="AA335" s="234">
        <f>SUMIFS('2021'!$I:$I,'2021'!$E:$E,Category!$B$278,'2021'!$N:$N,Category!AA$1,'2021'!$D:$D,Category!$C335)</f>
        <v>0</v>
      </c>
      <c r="AB335" s="234">
        <f>SUMIFS('2021'!$I:$I,'2021'!$E:$E,Category!$B$278,'2021'!$N:$N,Category!AB$1,'2021'!$D:$D,Category!$C335)</f>
        <v>0</v>
      </c>
      <c r="AC335" s="234">
        <f>SUMIFS('2021'!$I:$I,'2021'!$E:$E,Category!$B$278,'2021'!$N:$N,Category!AC$1,'2021'!$D:$D,Category!$C335)</f>
        <v>0</v>
      </c>
      <c r="AD335" s="234">
        <f>SUMIFS('2021'!$I:$I,'2021'!$E:$E,Category!$B$278,'2021'!$N:$N,Category!AD$1,'2021'!$D:$D,Category!$C335)</f>
        <v>0</v>
      </c>
      <c r="AE335" s="234">
        <f>SUMIFS('2021'!$I:$I,'2021'!$E:$E,Category!$B$278,'2021'!$N:$N,Category!AE$1,'2021'!$D:$D,Category!$C335)</f>
        <v>0</v>
      </c>
      <c r="AF335" s="234">
        <f>SUMIFS('2021'!$I:$I,'2021'!$E:$E,Category!$B$278,'2021'!$N:$N,Category!AF$1,'2021'!$D:$D,Category!$C335)</f>
        <v>0</v>
      </c>
      <c r="AG335" s="234">
        <f>SUMIFS('2021'!$I:$I,'2021'!$E:$E,Category!$B$278,'2021'!$N:$N,Category!AG$1,'2021'!$D:$D,Category!$C335)</f>
        <v>0</v>
      </c>
      <c r="AH335" s="234">
        <f>SUMIFS('2021'!$I:$I,'2021'!$E:$E,Category!$B$278,'2021'!$N:$N,Category!AH$1,'2021'!$D:$D,Category!$C335)</f>
        <v>0</v>
      </c>
      <c r="AI335" s="234">
        <f>SUMIFS('2021'!$I:$I,'2021'!$E:$E,Category!$B$278,'2021'!$N:$N,Category!AI$1,'2021'!$D:$D,Category!$C335)</f>
        <v>0</v>
      </c>
      <c r="AJ335" s="234">
        <f>SUMIFS('2021'!$I:$I,'2021'!$E:$E,Category!$B$278,'2021'!$N:$N,Category!AJ$1,'2021'!$D:$D,Category!$C335)</f>
        <v>0</v>
      </c>
      <c r="AK335" s="234">
        <f>SUMIFS('2021'!$I:$I,'2021'!$E:$E,Category!$B$278,'2021'!$N:$N,Category!AK$1,'2021'!$D:$D,Category!$C335)</f>
        <v>0</v>
      </c>
      <c r="AL335" s="250">
        <f t="shared" si="120"/>
        <v>0</v>
      </c>
      <c r="AM335" s="507">
        <f>IFERROR(VLOOKUP(C335,'2022'!$D:$G,4,0),0)</f>
        <v>0</v>
      </c>
      <c r="AN335" s="234">
        <f>SUMIFS('2022'!$I:$I,'2022'!$E:$E,Category!$B$278,'2022'!$N:$N,Category!AN$1,'2022'!$D:$D,Category!$C335)</f>
        <v>0</v>
      </c>
      <c r="AO335" s="234">
        <f>SUMIFS('2022'!$I:$I,'2022'!$E:$E,Category!$B$278,'2022'!$N:$N,Category!AO$1,'2022'!$D:$D,Category!$C335)</f>
        <v>0</v>
      </c>
      <c r="AP335" s="234">
        <f>SUMIFS('2022'!$I:$I,'2022'!$E:$E,Category!$B$278,'2022'!$N:$N,Category!AP$1,'2022'!$D:$D,Category!$C335)</f>
        <v>0</v>
      </c>
      <c r="AQ335" s="234">
        <f>SUMIFS('2022'!$I:$I,'2022'!$E:$E,Category!$B$278,'2022'!$N:$N,Category!AQ$1,'2022'!$D:$D,Category!$C335)</f>
        <v>0</v>
      </c>
      <c r="AR335" s="234">
        <f>SUMIFS('2022'!$I:$I,'2022'!$E:$E,Category!$B$278,'2022'!$N:$N,Category!AR$1,'2022'!$D:$D,Category!$C335)</f>
        <v>0</v>
      </c>
      <c r="AS335" s="234">
        <f>SUMIFS('2022'!$I:$I,'2022'!$E:$E,Category!$B$278,'2022'!$N:$N,Category!AS$1,'2022'!$D:$D,Category!$C335)</f>
        <v>0</v>
      </c>
      <c r="AT335" s="234">
        <f>SUMIFS('2022'!$I:$I,'2022'!$E:$E,Category!$B$278,'2022'!$N:$N,Category!AT$1,'2022'!$D:$D,Category!$C335)</f>
        <v>0</v>
      </c>
      <c r="AU335" s="234">
        <f>SUMIFS('2022'!$I:$I,'2022'!$E:$E,Category!$B$278,'2022'!$N:$N,Category!AU$1,'2022'!$D:$D,Category!$C335)</f>
        <v>0</v>
      </c>
      <c r="AV335" s="234">
        <f>SUMIFS('2022'!$I:$I,'2022'!$E:$E,Category!$B$278,'2022'!$N:$N,Category!AV$1,'2022'!$D:$D,Category!$C335)</f>
        <v>0</v>
      </c>
      <c r="AW335" s="234">
        <f>SUMIFS('2022'!$I:$I,'2022'!$E:$E,Category!$B$278,'2022'!$N:$N,Category!AW$1,'2022'!$D:$D,Category!$C335)</f>
        <v>0</v>
      </c>
      <c r="AX335" s="234">
        <f>SUMIFS('2022'!$I:$I,'2022'!$E:$E,Category!$B$278,'2022'!$N:$N,Category!AX$1,'2022'!$D:$D,Category!$C335)</f>
        <v>0</v>
      </c>
      <c r="AY335" s="234">
        <f>SUMIFS('2022'!$I:$I,'2022'!$E:$E,Category!$B$278,'2022'!$N:$N,Category!AY$1,'2022'!$D:$D,Category!$C335)</f>
        <v>0</v>
      </c>
      <c r="AZ335" s="250">
        <f t="shared" si="121"/>
        <v>0</v>
      </c>
      <c r="BA335" s="507">
        <f>IFERROR(VLOOKUP(C335,'2023'!$D:$G,4,0),0)</f>
        <v>0</v>
      </c>
      <c r="BB335" s="234">
        <f>SUMIFS('2023'!$I:$I,'2023'!$E:$E,Category!$B$278,'2023'!$N:$N,Category!BB$1,'2023'!$D:$D,Category!$C335)</f>
        <v>0</v>
      </c>
      <c r="BC335" s="234">
        <f>SUMIFS('2023'!$I:$I,'2023'!$E:$E,Category!$B$278,'2023'!$N:$N,Category!BC$1,'2023'!$D:$D,Category!$C335)</f>
        <v>0</v>
      </c>
      <c r="BD335" s="234">
        <f>SUMIFS('2023'!$I:$I,'2023'!$E:$E,Category!$B$278,'2023'!$N:$N,Category!BD$1,'2023'!$D:$D,Category!$C335)</f>
        <v>0</v>
      </c>
      <c r="BE335" s="234">
        <f>SUMIFS('2023'!$I:$I,'2023'!$E:$E,Category!$B$278,'2023'!$N:$N,Category!BE$1,'2023'!$D:$D,Category!$C335)</f>
        <v>0</v>
      </c>
      <c r="BF335" s="234">
        <f>SUMIFS('2023'!$I:$I,'2023'!$E:$E,Category!$B$278,'2023'!$N:$N,Category!BF$1,'2023'!$D:$D,Category!$C335)</f>
        <v>0</v>
      </c>
      <c r="BG335" s="234">
        <f>SUMIFS('2023'!$I:$I,'2023'!$E:$E,Category!$B$278,'2023'!$N:$N,Category!BG$1,'2023'!$D:$D,Category!$C335)</f>
        <v>0</v>
      </c>
      <c r="BH335" s="234">
        <f>SUMIFS('2023'!$I:$I,'2023'!$E:$E,Category!$B$278,'2023'!$N:$N,Category!BH$1,'2023'!$D:$D,Category!$C335)</f>
        <v>0</v>
      </c>
      <c r="BI335" s="234">
        <f>SUMIFS('2023'!$I:$I,'2023'!$E:$E,Category!$B$278,'2023'!$N:$N,Category!BI$1,'2023'!$D:$D,Category!$C335)</f>
        <v>0</v>
      </c>
      <c r="BJ335" s="234">
        <f>SUMIFS('2023'!$I:$I,'2023'!$E:$E,Category!$B$278,'2023'!$N:$N,Category!BJ$1,'2023'!$D:$D,Category!$C335)</f>
        <v>0</v>
      </c>
      <c r="BK335" s="234">
        <f>SUMIFS('2023'!$I:$I,'2023'!$E:$E,Category!$B$278,'2023'!$N:$N,Category!BK$1,'2023'!$D:$D,Category!$C335)</f>
        <v>0</v>
      </c>
      <c r="BL335" s="234">
        <f>SUMIFS('2023'!$I:$I,'2023'!$E:$E,Category!$B$278,'2023'!$N:$N,Category!BL$1,'2023'!$D:$D,Category!$C335)</f>
        <v>0</v>
      </c>
      <c r="BM335" s="234">
        <f>SUMIFS('2023'!$I:$I,'2023'!$E:$E,Category!$B$278,'2023'!$N:$N,Category!BM$1,'2023'!$D:$D,Category!$C335)</f>
        <v>0</v>
      </c>
      <c r="BN335" s="250">
        <f t="shared" si="124"/>
        <v>0</v>
      </c>
    </row>
    <row r="336" spans="1:66" x14ac:dyDescent="0.3">
      <c r="A336" s="249"/>
      <c r="B336" s="235"/>
      <c r="C336" s="235"/>
      <c r="D336" s="527">
        <f>IFERROR(VLOOKUP($C336,'2019'!$D:$G,4,0),0)</f>
        <v>0</v>
      </c>
      <c r="E336" s="234">
        <f>SUMIFS('2019'!$I:$I,'2019'!$E:$E,Category!$B$278,'2019'!$N:$N,Category!E$1,'2019'!$D:$D,Category!$C336)</f>
        <v>0</v>
      </c>
      <c r="F336" s="234">
        <f>SUMIFS('2019'!$I:$I,'2019'!$E:$E,Category!$B$278,'2019'!$N:$N,Category!F$1,'2019'!$D:$D,Category!$C336)</f>
        <v>0</v>
      </c>
      <c r="G336" s="234">
        <f>SUMIFS('2019'!$I:$I,'2019'!$E:$E,Category!$B$278,'2019'!$N:$N,Category!G$1,'2019'!$D:$D,Category!$C336)</f>
        <v>0</v>
      </c>
      <c r="H336" s="234">
        <f>SUMIFS('2019'!$I:$I,'2019'!$E:$E,Category!$B$278,'2019'!$N:$N,Category!H$1,'2019'!$D:$D,Category!$C336)</f>
        <v>0</v>
      </c>
      <c r="I336" s="234">
        <f>SUMIFS('2019'!$I:$I,'2019'!$E:$E,Category!$B$278,'2019'!$N:$N,Category!I$1,'2019'!$D:$D,Category!$C336)</f>
        <v>0</v>
      </c>
      <c r="J336" s="234">
        <f t="shared" si="122"/>
        <v>0</v>
      </c>
      <c r="K336" s="507">
        <f>IFERROR(VLOOKUP($C336,'2020'!$D:$G,4,0),0)</f>
        <v>0</v>
      </c>
      <c r="L336" s="234">
        <f>SUMIFS('2020'!$I:$I,'2020'!$E:$E,Category!$B$278,'2020'!$N:$N,Category!L$1,'2020'!$D:$D,Category!$C336)</f>
        <v>0</v>
      </c>
      <c r="M336" s="234">
        <f>SUMIFS('2020'!$I:$I,'2020'!$E:$E,Category!$B$278,'2020'!$N:$N,Category!M$1,'2020'!$D:$D,Category!$C336)</f>
        <v>0</v>
      </c>
      <c r="N336" s="234">
        <f>SUMIFS('2020'!$I:$I,'2020'!$E:$E,Category!$B$278,'2020'!$N:$N,Category!N$1,'2020'!$D:$D,Category!$C336)</f>
        <v>0</v>
      </c>
      <c r="O336" s="234">
        <f>SUMIFS('2020'!$I:$I,'2020'!$E:$E,Category!$B$278,'2020'!$N:$N,Category!O$1,'2020'!$D:$D,Category!$C336)</f>
        <v>0</v>
      </c>
      <c r="P336" s="234">
        <f>SUMIFS('2020'!$I:$I,'2020'!$E:$E,Category!$B$278,'2020'!$N:$N,Category!P$1,'2020'!$D:$D,Category!$C336)</f>
        <v>0</v>
      </c>
      <c r="Q336" s="234">
        <f>SUMIFS('2020'!$I:$I,'2020'!$E:$E,Category!$B$278,'2020'!$N:$N,Category!Q$1,'2020'!$D:$D,Category!$C336)</f>
        <v>0</v>
      </c>
      <c r="R336" s="234">
        <f>SUMIFS('2020'!$I:$I,'2020'!$E:$E,Category!$B$278,'2020'!$N:$N,Category!R$1,'2020'!$D:$D,Category!$C336)</f>
        <v>0</v>
      </c>
      <c r="S336" s="234">
        <f>SUMIFS('2020'!$I:$I,'2020'!$E:$E,Category!$B$278,'2020'!$N:$N,Category!S$1,'2020'!$D:$D,Category!$C336)</f>
        <v>0</v>
      </c>
      <c r="T336" s="234">
        <f>SUMIFS('2020'!$I:$I,'2020'!$E:$E,Category!$B$278,'2020'!$N:$N,Category!T$1,'2020'!$D:$D,Category!$C336)</f>
        <v>0</v>
      </c>
      <c r="U336" s="234">
        <f>SUMIFS('2020'!$I:$I,'2020'!$E:$E,Category!$B$278,'2020'!$N:$N,Category!U$1,'2020'!$D:$D,Category!$C336)</f>
        <v>0</v>
      </c>
      <c r="V336" s="234">
        <f>SUMIFS('2020'!$I:$I,'2020'!$E:$E,Category!$B$278,'2020'!$N:$N,Category!V$1,'2020'!$D:$D,Category!$C336)</f>
        <v>0</v>
      </c>
      <c r="W336" s="234">
        <f>SUMIFS('2020'!$I:$I,'2020'!$E:$E,Category!$B$278,'2020'!$N:$N,Category!W$1,'2020'!$D:$D,Category!$C336)</f>
        <v>0</v>
      </c>
      <c r="X336" s="234">
        <f t="shared" si="123"/>
        <v>0</v>
      </c>
      <c r="Y336" s="507">
        <f>IFERROR(VLOOKUP(C336,'2021'!$D:$G,4,0),0)</f>
        <v>0</v>
      </c>
      <c r="Z336" s="234">
        <f>SUMIFS('2021'!$I:$I,'2021'!$E:$E,Category!$B$278,'2021'!$N:$N,Category!Z$1,'2021'!$D:$D,Category!$C336)</f>
        <v>0</v>
      </c>
      <c r="AA336" s="234">
        <f>SUMIFS('2021'!$I:$I,'2021'!$E:$E,Category!$B$278,'2021'!$N:$N,Category!AA$1,'2021'!$D:$D,Category!$C336)</f>
        <v>0</v>
      </c>
      <c r="AB336" s="234">
        <f>SUMIFS('2021'!$I:$I,'2021'!$E:$E,Category!$B$278,'2021'!$N:$N,Category!AB$1,'2021'!$D:$D,Category!$C336)</f>
        <v>0</v>
      </c>
      <c r="AC336" s="234">
        <f>SUMIFS('2021'!$I:$I,'2021'!$E:$E,Category!$B$278,'2021'!$N:$N,Category!AC$1,'2021'!$D:$D,Category!$C336)</f>
        <v>0</v>
      </c>
      <c r="AD336" s="234">
        <f>SUMIFS('2021'!$I:$I,'2021'!$E:$E,Category!$B$278,'2021'!$N:$N,Category!AD$1,'2021'!$D:$D,Category!$C336)</f>
        <v>0</v>
      </c>
      <c r="AE336" s="234">
        <f>SUMIFS('2021'!$I:$I,'2021'!$E:$E,Category!$B$278,'2021'!$N:$N,Category!AE$1,'2021'!$D:$D,Category!$C336)</f>
        <v>0</v>
      </c>
      <c r="AF336" s="234">
        <f>SUMIFS('2021'!$I:$I,'2021'!$E:$E,Category!$B$278,'2021'!$N:$N,Category!AF$1,'2021'!$D:$D,Category!$C336)</f>
        <v>0</v>
      </c>
      <c r="AG336" s="234">
        <f>SUMIFS('2021'!$I:$I,'2021'!$E:$E,Category!$B$278,'2021'!$N:$N,Category!AG$1,'2021'!$D:$D,Category!$C336)</f>
        <v>0</v>
      </c>
      <c r="AH336" s="234">
        <f>SUMIFS('2021'!$I:$I,'2021'!$E:$E,Category!$B$278,'2021'!$N:$N,Category!AH$1,'2021'!$D:$D,Category!$C336)</f>
        <v>0</v>
      </c>
      <c r="AI336" s="234">
        <f>SUMIFS('2021'!$I:$I,'2021'!$E:$E,Category!$B$278,'2021'!$N:$N,Category!AI$1,'2021'!$D:$D,Category!$C336)</f>
        <v>0</v>
      </c>
      <c r="AJ336" s="234">
        <f>SUMIFS('2021'!$I:$I,'2021'!$E:$E,Category!$B$278,'2021'!$N:$N,Category!AJ$1,'2021'!$D:$D,Category!$C336)</f>
        <v>0</v>
      </c>
      <c r="AK336" s="234">
        <f>SUMIFS('2021'!$I:$I,'2021'!$E:$E,Category!$B$278,'2021'!$N:$N,Category!AK$1,'2021'!$D:$D,Category!$C336)</f>
        <v>0</v>
      </c>
      <c r="AL336" s="250">
        <f t="shared" si="120"/>
        <v>0</v>
      </c>
      <c r="AM336" s="507">
        <f>IFERROR(VLOOKUP(C336,'2022'!$D:$G,4,0),0)</f>
        <v>0</v>
      </c>
      <c r="AN336" s="234">
        <f>SUMIFS('2022'!$I:$I,'2022'!$E:$E,Category!$B$278,'2022'!$N:$N,Category!AN$1,'2022'!$D:$D,Category!$C336)</f>
        <v>0</v>
      </c>
      <c r="AO336" s="234">
        <f>SUMIFS('2022'!$I:$I,'2022'!$E:$E,Category!$B$278,'2022'!$N:$N,Category!AO$1,'2022'!$D:$D,Category!$C336)</f>
        <v>0</v>
      </c>
      <c r="AP336" s="234">
        <f>SUMIFS('2022'!$I:$I,'2022'!$E:$E,Category!$B$278,'2022'!$N:$N,Category!AP$1,'2022'!$D:$D,Category!$C336)</f>
        <v>0</v>
      </c>
      <c r="AQ336" s="234">
        <f>SUMIFS('2022'!$I:$I,'2022'!$E:$E,Category!$B$278,'2022'!$N:$N,Category!AQ$1,'2022'!$D:$D,Category!$C336)</f>
        <v>0</v>
      </c>
      <c r="AR336" s="234">
        <f>SUMIFS('2022'!$I:$I,'2022'!$E:$E,Category!$B$278,'2022'!$N:$N,Category!AR$1,'2022'!$D:$D,Category!$C336)</f>
        <v>0</v>
      </c>
      <c r="AS336" s="234">
        <f>SUMIFS('2022'!$I:$I,'2022'!$E:$E,Category!$B$278,'2022'!$N:$N,Category!AS$1,'2022'!$D:$D,Category!$C336)</f>
        <v>0</v>
      </c>
      <c r="AT336" s="234">
        <f>SUMIFS('2022'!$I:$I,'2022'!$E:$E,Category!$B$278,'2022'!$N:$N,Category!AT$1,'2022'!$D:$D,Category!$C336)</f>
        <v>0</v>
      </c>
      <c r="AU336" s="234">
        <f>SUMIFS('2022'!$I:$I,'2022'!$E:$E,Category!$B$278,'2022'!$N:$N,Category!AU$1,'2022'!$D:$D,Category!$C336)</f>
        <v>0</v>
      </c>
      <c r="AV336" s="234">
        <f>SUMIFS('2022'!$I:$I,'2022'!$E:$E,Category!$B$278,'2022'!$N:$N,Category!AV$1,'2022'!$D:$D,Category!$C336)</f>
        <v>0</v>
      </c>
      <c r="AW336" s="234">
        <f>SUMIFS('2022'!$I:$I,'2022'!$E:$E,Category!$B$278,'2022'!$N:$N,Category!AW$1,'2022'!$D:$D,Category!$C336)</f>
        <v>0</v>
      </c>
      <c r="AX336" s="234">
        <f>SUMIFS('2022'!$I:$I,'2022'!$E:$E,Category!$B$278,'2022'!$N:$N,Category!AX$1,'2022'!$D:$D,Category!$C336)</f>
        <v>0</v>
      </c>
      <c r="AY336" s="234">
        <f>SUMIFS('2022'!$I:$I,'2022'!$E:$E,Category!$B$278,'2022'!$N:$N,Category!AY$1,'2022'!$D:$D,Category!$C336)</f>
        <v>0</v>
      </c>
      <c r="AZ336" s="250">
        <f t="shared" si="121"/>
        <v>0</v>
      </c>
      <c r="BA336" s="507">
        <f>IFERROR(VLOOKUP(C336,'2023'!$D:$G,4,0),0)</f>
        <v>0</v>
      </c>
      <c r="BB336" s="234">
        <f>SUMIFS('2023'!$I:$I,'2023'!$E:$E,Category!$B$278,'2023'!$N:$N,Category!BB$1,'2023'!$D:$D,Category!$C336)</f>
        <v>0</v>
      </c>
      <c r="BC336" s="234">
        <f>SUMIFS('2023'!$I:$I,'2023'!$E:$E,Category!$B$278,'2023'!$N:$N,Category!BC$1,'2023'!$D:$D,Category!$C336)</f>
        <v>0</v>
      </c>
      <c r="BD336" s="234">
        <f>SUMIFS('2023'!$I:$I,'2023'!$E:$E,Category!$B$278,'2023'!$N:$N,Category!BD$1,'2023'!$D:$D,Category!$C336)</f>
        <v>0</v>
      </c>
      <c r="BE336" s="234">
        <f>SUMIFS('2023'!$I:$I,'2023'!$E:$E,Category!$B$278,'2023'!$N:$N,Category!BE$1,'2023'!$D:$D,Category!$C336)</f>
        <v>0</v>
      </c>
      <c r="BF336" s="234">
        <f>SUMIFS('2023'!$I:$I,'2023'!$E:$E,Category!$B$278,'2023'!$N:$N,Category!BF$1,'2023'!$D:$D,Category!$C336)</f>
        <v>0</v>
      </c>
      <c r="BG336" s="234">
        <f>SUMIFS('2023'!$I:$I,'2023'!$E:$E,Category!$B$278,'2023'!$N:$N,Category!BG$1,'2023'!$D:$D,Category!$C336)</f>
        <v>0</v>
      </c>
      <c r="BH336" s="234">
        <f>SUMIFS('2023'!$I:$I,'2023'!$E:$E,Category!$B$278,'2023'!$N:$N,Category!BH$1,'2023'!$D:$D,Category!$C336)</f>
        <v>0</v>
      </c>
      <c r="BI336" s="234">
        <f>SUMIFS('2023'!$I:$I,'2023'!$E:$E,Category!$B$278,'2023'!$N:$N,Category!BI$1,'2023'!$D:$D,Category!$C336)</f>
        <v>0</v>
      </c>
      <c r="BJ336" s="234">
        <f>SUMIFS('2023'!$I:$I,'2023'!$E:$E,Category!$B$278,'2023'!$N:$N,Category!BJ$1,'2023'!$D:$D,Category!$C336)</f>
        <v>0</v>
      </c>
      <c r="BK336" s="234">
        <f>SUMIFS('2023'!$I:$I,'2023'!$E:$E,Category!$B$278,'2023'!$N:$N,Category!BK$1,'2023'!$D:$D,Category!$C336)</f>
        <v>0</v>
      </c>
      <c r="BL336" s="234">
        <f>SUMIFS('2023'!$I:$I,'2023'!$E:$E,Category!$B$278,'2023'!$N:$N,Category!BL$1,'2023'!$D:$D,Category!$C336)</f>
        <v>0</v>
      </c>
      <c r="BM336" s="234">
        <f>SUMIFS('2023'!$I:$I,'2023'!$E:$E,Category!$B$278,'2023'!$N:$N,Category!BM$1,'2023'!$D:$D,Category!$C336)</f>
        <v>0</v>
      </c>
      <c r="BN336" s="250">
        <f t="shared" si="124"/>
        <v>0</v>
      </c>
    </row>
    <row r="337" spans="1:66" x14ac:dyDescent="0.3">
      <c r="A337" s="249"/>
      <c r="B337" s="235"/>
      <c r="C337" s="235"/>
      <c r="D337" s="527">
        <f>IFERROR(VLOOKUP($C337,'2019'!$D:$G,4,0),0)</f>
        <v>0</v>
      </c>
      <c r="E337" s="234">
        <f>SUMIFS('2019'!$I:$I,'2019'!$E:$E,Category!$B$278,'2019'!$N:$N,Category!E$1,'2019'!$D:$D,Category!$C337)</f>
        <v>0</v>
      </c>
      <c r="F337" s="234">
        <f>SUMIFS('2019'!$I:$I,'2019'!$E:$E,Category!$B$278,'2019'!$N:$N,Category!F$1,'2019'!$D:$D,Category!$C337)</f>
        <v>0</v>
      </c>
      <c r="G337" s="234">
        <f>SUMIFS('2019'!$I:$I,'2019'!$E:$E,Category!$B$278,'2019'!$N:$N,Category!G$1,'2019'!$D:$D,Category!$C337)</f>
        <v>0</v>
      </c>
      <c r="H337" s="234">
        <f>SUMIFS('2019'!$I:$I,'2019'!$E:$E,Category!$B$278,'2019'!$N:$N,Category!H$1,'2019'!$D:$D,Category!$C337)</f>
        <v>0</v>
      </c>
      <c r="I337" s="234">
        <f>SUMIFS('2019'!$I:$I,'2019'!$E:$E,Category!$B$278,'2019'!$N:$N,Category!I$1,'2019'!$D:$D,Category!$C337)</f>
        <v>0</v>
      </c>
      <c r="J337" s="234">
        <f t="shared" si="122"/>
        <v>0</v>
      </c>
      <c r="K337" s="507">
        <f>IFERROR(VLOOKUP($C337,'2020'!$D:$G,4,0),0)</f>
        <v>0</v>
      </c>
      <c r="L337" s="234">
        <f>SUMIFS('2020'!$I:$I,'2020'!$E:$E,Category!$B$278,'2020'!$N:$N,Category!L$1,'2020'!$D:$D,Category!$C337)</f>
        <v>0</v>
      </c>
      <c r="M337" s="234">
        <f>SUMIFS('2020'!$I:$I,'2020'!$E:$E,Category!$B$278,'2020'!$N:$N,Category!M$1,'2020'!$D:$D,Category!$C337)</f>
        <v>0</v>
      </c>
      <c r="N337" s="234">
        <f>SUMIFS('2020'!$I:$I,'2020'!$E:$E,Category!$B$278,'2020'!$N:$N,Category!N$1,'2020'!$D:$D,Category!$C337)</f>
        <v>0</v>
      </c>
      <c r="O337" s="234">
        <f>SUMIFS('2020'!$I:$I,'2020'!$E:$E,Category!$B$278,'2020'!$N:$N,Category!O$1,'2020'!$D:$D,Category!$C337)</f>
        <v>0</v>
      </c>
      <c r="P337" s="234">
        <f>SUMIFS('2020'!$I:$I,'2020'!$E:$E,Category!$B$278,'2020'!$N:$N,Category!P$1,'2020'!$D:$D,Category!$C337)</f>
        <v>0</v>
      </c>
      <c r="Q337" s="234">
        <f>SUMIFS('2020'!$I:$I,'2020'!$E:$E,Category!$B$278,'2020'!$N:$N,Category!Q$1,'2020'!$D:$D,Category!$C337)</f>
        <v>0</v>
      </c>
      <c r="R337" s="234">
        <f>SUMIFS('2020'!$I:$I,'2020'!$E:$E,Category!$B$278,'2020'!$N:$N,Category!R$1,'2020'!$D:$D,Category!$C337)</f>
        <v>0</v>
      </c>
      <c r="S337" s="234">
        <f>SUMIFS('2020'!$I:$I,'2020'!$E:$E,Category!$B$278,'2020'!$N:$N,Category!S$1,'2020'!$D:$D,Category!$C337)</f>
        <v>0</v>
      </c>
      <c r="T337" s="234">
        <f>SUMIFS('2020'!$I:$I,'2020'!$E:$E,Category!$B$278,'2020'!$N:$N,Category!T$1,'2020'!$D:$D,Category!$C337)</f>
        <v>0</v>
      </c>
      <c r="U337" s="234">
        <f>SUMIFS('2020'!$I:$I,'2020'!$E:$E,Category!$B$278,'2020'!$N:$N,Category!U$1,'2020'!$D:$D,Category!$C337)</f>
        <v>0</v>
      </c>
      <c r="V337" s="234">
        <f>SUMIFS('2020'!$I:$I,'2020'!$E:$E,Category!$B$278,'2020'!$N:$N,Category!V$1,'2020'!$D:$D,Category!$C337)</f>
        <v>0</v>
      </c>
      <c r="W337" s="234">
        <f>SUMIFS('2020'!$I:$I,'2020'!$E:$E,Category!$B$278,'2020'!$N:$N,Category!W$1,'2020'!$D:$D,Category!$C337)</f>
        <v>0</v>
      </c>
      <c r="X337" s="234">
        <f t="shared" si="123"/>
        <v>0</v>
      </c>
      <c r="Y337" s="507">
        <f>IFERROR(VLOOKUP(C337,'2021'!$D:$G,4,0),0)</f>
        <v>0</v>
      </c>
      <c r="Z337" s="234">
        <f>SUMIFS('2021'!$I:$I,'2021'!$E:$E,Category!$B$278,'2021'!$N:$N,Category!Z$1,'2021'!$D:$D,Category!$C337)</f>
        <v>0</v>
      </c>
      <c r="AA337" s="234">
        <f>SUMIFS('2021'!$I:$I,'2021'!$E:$E,Category!$B$278,'2021'!$N:$N,Category!AA$1,'2021'!$D:$D,Category!$C337)</f>
        <v>0</v>
      </c>
      <c r="AB337" s="234">
        <f>SUMIFS('2021'!$I:$I,'2021'!$E:$E,Category!$B$278,'2021'!$N:$N,Category!AB$1,'2021'!$D:$D,Category!$C337)</f>
        <v>0</v>
      </c>
      <c r="AC337" s="234">
        <f>SUMIFS('2021'!$I:$I,'2021'!$E:$E,Category!$B$278,'2021'!$N:$N,Category!AC$1,'2021'!$D:$D,Category!$C337)</f>
        <v>0</v>
      </c>
      <c r="AD337" s="234">
        <f>SUMIFS('2021'!$I:$I,'2021'!$E:$E,Category!$B$278,'2021'!$N:$N,Category!AD$1,'2021'!$D:$D,Category!$C337)</f>
        <v>0</v>
      </c>
      <c r="AE337" s="234">
        <f>SUMIFS('2021'!$I:$I,'2021'!$E:$E,Category!$B$278,'2021'!$N:$N,Category!AE$1,'2021'!$D:$D,Category!$C337)</f>
        <v>0</v>
      </c>
      <c r="AF337" s="234">
        <f>SUMIFS('2021'!$I:$I,'2021'!$E:$E,Category!$B$278,'2021'!$N:$N,Category!AF$1,'2021'!$D:$D,Category!$C337)</f>
        <v>0</v>
      </c>
      <c r="AG337" s="234">
        <f>SUMIFS('2021'!$I:$I,'2021'!$E:$E,Category!$B$278,'2021'!$N:$N,Category!AG$1,'2021'!$D:$D,Category!$C337)</f>
        <v>0</v>
      </c>
      <c r="AH337" s="234">
        <f>SUMIFS('2021'!$I:$I,'2021'!$E:$E,Category!$B$278,'2021'!$N:$N,Category!AH$1,'2021'!$D:$D,Category!$C337)</f>
        <v>0</v>
      </c>
      <c r="AI337" s="234">
        <f>SUMIFS('2021'!$I:$I,'2021'!$E:$E,Category!$B$278,'2021'!$N:$N,Category!AI$1,'2021'!$D:$D,Category!$C337)</f>
        <v>0</v>
      </c>
      <c r="AJ337" s="234">
        <f>SUMIFS('2021'!$I:$I,'2021'!$E:$E,Category!$B$278,'2021'!$N:$N,Category!AJ$1,'2021'!$D:$D,Category!$C337)</f>
        <v>0</v>
      </c>
      <c r="AK337" s="234">
        <f>SUMIFS('2021'!$I:$I,'2021'!$E:$E,Category!$B$278,'2021'!$N:$N,Category!AK$1,'2021'!$D:$D,Category!$C337)</f>
        <v>0</v>
      </c>
      <c r="AL337" s="250">
        <f t="shared" si="120"/>
        <v>0</v>
      </c>
      <c r="AM337" s="507">
        <f>IFERROR(VLOOKUP(C337,'2022'!$D:$G,4,0),0)</f>
        <v>0</v>
      </c>
      <c r="AN337" s="234">
        <f>SUMIFS('2022'!$I:$I,'2022'!$E:$E,Category!$B$278,'2022'!$N:$N,Category!AN$1,'2022'!$D:$D,Category!$C337)</f>
        <v>0</v>
      </c>
      <c r="AO337" s="234">
        <f>SUMIFS('2022'!$I:$I,'2022'!$E:$E,Category!$B$278,'2022'!$N:$N,Category!AO$1,'2022'!$D:$D,Category!$C337)</f>
        <v>0</v>
      </c>
      <c r="AP337" s="234">
        <f>SUMIFS('2022'!$I:$I,'2022'!$E:$E,Category!$B$278,'2022'!$N:$N,Category!AP$1,'2022'!$D:$D,Category!$C337)</f>
        <v>0</v>
      </c>
      <c r="AQ337" s="234">
        <f>SUMIFS('2022'!$I:$I,'2022'!$E:$E,Category!$B$278,'2022'!$N:$N,Category!AQ$1,'2022'!$D:$D,Category!$C337)</f>
        <v>0</v>
      </c>
      <c r="AR337" s="234">
        <f>SUMIFS('2022'!$I:$I,'2022'!$E:$E,Category!$B$278,'2022'!$N:$N,Category!AR$1,'2022'!$D:$D,Category!$C337)</f>
        <v>0</v>
      </c>
      <c r="AS337" s="234">
        <f>SUMIFS('2022'!$I:$I,'2022'!$E:$E,Category!$B$278,'2022'!$N:$N,Category!AS$1,'2022'!$D:$D,Category!$C337)</f>
        <v>0</v>
      </c>
      <c r="AT337" s="234">
        <f>SUMIFS('2022'!$I:$I,'2022'!$E:$E,Category!$B$278,'2022'!$N:$N,Category!AT$1,'2022'!$D:$D,Category!$C337)</f>
        <v>0</v>
      </c>
      <c r="AU337" s="234">
        <f>SUMIFS('2022'!$I:$I,'2022'!$E:$E,Category!$B$278,'2022'!$N:$N,Category!AU$1,'2022'!$D:$D,Category!$C337)</f>
        <v>0</v>
      </c>
      <c r="AV337" s="234">
        <f>SUMIFS('2022'!$I:$I,'2022'!$E:$E,Category!$B$278,'2022'!$N:$N,Category!AV$1,'2022'!$D:$D,Category!$C337)</f>
        <v>0</v>
      </c>
      <c r="AW337" s="234">
        <f>SUMIFS('2022'!$I:$I,'2022'!$E:$E,Category!$B$278,'2022'!$N:$N,Category!AW$1,'2022'!$D:$D,Category!$C337)</f>
        <v>0</v>
      </c>
      <c r="AX337" s="234">
        <f>SUMIFS('2022'!$I:$I,'2022'!$E:$E,Category!$B$278,'2022'!$N:$N,Category!AX$1,'2022'!$D:$D,Category!$C337)</f>
        <v>0</v>
      </c>
      <c r="AY337" s="234">
        <f>SUMIFS('2022'!$I:$I,'2022'!$E:$E,Category!$B$278,'2022'!$N:$N,Category!AY$1,'2022'!$D:$D,Category!$C337)</f>
        <v>0</v>
      </c>
      <c r="AZ337" s="250">
        <f t="shared" si="121"/>
        <v>0</v>
      </c>
      <c r="BA337" s="507">
        <f>IFERROR(VLOOKUP(C337,'2023'!$D:$G,4,0),0)</f>
        <v>0</v>
      </c>
      <c r="BB337" s="234">
        <f>SUMIFS('2023'!$I:$I,'2023'!$E:$E,Category!$B$278,'2023'!$N:$N,Category!BB$1,'2023'!$D:$D,Category!$C337)</f>
        <v>0</v>
      </c>
      <c r="BC337" s="234">
        <f>SUMIFS('2023'!$I:$I,'2023'!$E:$E,Category!$B$278,'2023'!$N:$N,Category!BC$1,'2023'!$D:$D,Category!$C337)</f>
        <v>0</v>
      </c>
      <c r="BD337" s="234">
        <f>SUMIFS('2023'!$I:$I,'2023'!$E:$E,Category!$B$278,'2023'!$N:$N,Category!BD$1,'2023'!$D:$D,Category!$C337)</f>
        <v>0</v>
      </c>
      <c r="BE337" s="234">
        <f>SUMIFS('2023'!$I:$I,'2023'!$E:$E,Category!$B$278,'2023'!$N:$N,Category!BE$1,'2023'!$D:$D,Category!$C337)</f>
        <v>0</v>
      </c>
      <c r="BF337" s="234">
        <f>SUMIFS('2023'!$I:$I,'2023'!$E:$E,Category!$B$278,'2023'!$N:$N,Category!BF$1,'2023'!$D:$D,Category!$C337)</f>
        <v>0</v>
      </c>
      <c r="BG337" s="234">
        <f>SUMIFS('2023'!$I:$I,'2023'!$E:$E,Category!$B$278,'2023'!$N:$N,Category!BG$1,'2023'!$D:$D,Category!$C337)</f>
        <v>0</v>
      </c>
      <c r="BH337" s="234">
        <f>SUMIFS('2023'!$I:$I,'2023'!$E:$E,Category!$B$278,'2023'!$N:$N,Category!BH$1,'2023'!$D:$D,Category!$C337)</f>
        <v>0</v>
      </c>
      <c r="BI337" s="234">
        <f>SUMIFS('2023'!$I:$I,'2023'!$E:$E,Category!$B$278,'2023'!$N:$N,Category!BI$1,'2023'!$D:$D,Category!$C337)</f>
        <v>0</v>
      </c>
      <c r="BJ337" s="234">
        <f>SUMIFS('2023'!$I:$I,'2023'!$E:$E,Category!$B$278,'2023'!$N:$N,Category!BJ$1,'2023'!$D:$D,Category!$C337)</f>
        <v>0</v>
      </c>
      <c r="BK337" s="234">
        <f>SUMIFS('2023'!$I:$I,'2023'!$E:$E,Category!$B$278,'2023'!$N:$N,Category!BK$1,'2023'!$D:$D,Category!$C337)</f>
        <v>0</v>
      </c>
      <c r="BL337" s="234">
        <f>SUMIFS('2023'!$I:$I,'2023'!$E:$E,Category!$B$278,'2023'!$N:$N,Category!BL$1,'2023'!$D:$D,Category!$C337)</f>
        <v>0</v>
      </c>
      <c r="BM337" s="234">
        <f>SUMIFS('2023'!$I:$I,'2023'!$E:$E,Category!$B$278,'2023'!$N:$N,Category!BM$1,'2023'!$D:$D,Category!$C337)</f>
        <v>0</v>
      </c>
      <c r="BN337" s="250">
        <f t="shared" si="124"/>
        <v>0</v>
      </c>
    </row>
    <row r="338" spans="1:66" x14ac:dyDescent="0.3">
      <c r="A338" s="355"/>
      <c r="D338" s="303">
        <f>SUM(D278,D246,D134,D121,D103,D74,D26,D4)</f>
        <v>467</v>
      </c>
      <c r="E338" s="356">
        <f t="shared" ref="E338:J338" si="125">SUM(E134,E121,E103,E74,E26,E4,E246,E278)</f>
        <v>62800000</v>
      </c>
      <c r="F338" s="356">
        <f t="shared" si="125"/>
        <v>13187300</v>
      </c>
      <c r="G338" s="356">
        <f t="shared" si="125"/>
        <v>104017491</v>
      </c>
      <c r="H338" s="356">
        <f t="shared" si="125"/>
        <v>240958000</v>
      </c>
      <c r="I338" s="356">
        <f t="shared" si="125"/>
        <v>150996360</v>
      </c>
      <c r="J338" s="356">
        <f t="shared" si="125"/>
        <v>571959151</v>
      </c>
      <c r="K338" s="356">
        <f t="shared" ref="K338:W338" si="126">SUM(K278,K246,K134,K121,K103,K74,K26,K4)</f>
        <v>1002</v>
      </c>
      <c r="L338" s="356">
        <f t="shared" si="126"/>
        <v>27748259</v>
      </c>
      <c r="M338" s="356">
        <f t="shared" si="126"/>
        <v>11721990</v>
      </c>
      <c r="N338" s="356">
        <f t="shared" si="126"/>
        <v>47635735</v>
      </c>
      <c r="O338" s="356">
        <f t="shared" si="126"/>
        <v>0</v>
      </c>
      <c r="P338" s="356">
        <f t="shared" si="126"/>
        <v>13500000</v>
      </c>
      <c r="Q338" s="356">
        <f t="shared" si="126"/>
        <v>19453000</v>
      </c>
      <c r="R338" s="356">
        <f t="shared" si="126"/>
        <v>16245000</v>
      </c>
      <c r="S338" s="356">
        <f t="shared" si="126"/>
        <v>61515500</v>
      </c>
      <c r="T338" s="356">
        <f t="shared" si="126"/>
        <v>266962000</v>
      </c>
      <c r="U338" s="356">
        <f t="shared" si="126"/>
        <v>32500028</v>
      </c>
      <c r="V338" s="356">
        <f t="shared" si="126"/>
        <v>350314500</v>
      </c>
      <c r="W338" s="356">
        <f t="shared" si="126"/>
        <v>123910000</v>
      </c>
      <c r="X338" s="356">
        <f>SUM(X134,X121,X103,X74,X26,X4,X246,X278)</f>
        <v>971506012</v>
      </c>
      <c r="Y338" s="356">
        <f t="shared" ref="Y338:BN338" si="127">SUM(Y278,Y246,Y134,Y121,Y103,Y74,Y26,Y4)</f>
        <v>3274</v>
      </c>
      <c r="Z338" s="356">
        <f t="shared" si="127"/>
        <v>186270000</v>
      </c>
      <c r="AA338" s="356">
        <f t="shared" si="127"/>
        <v>142518200</v>
      </c>
      <c r="AB338" s="356">
        <f t="shared" si="127"/>
        <v>128022400</v>
      </c>
      <c r="AC338" s="356">
        <f t="shared" si="127"/>
        <v>277730474</v>
      </c>
      <c r="AD338" s="356">
        <f t="shared" si="127"/>
        <v>137580254</v>
      </c>
      <c r="AE338" s="356">
        <f t="shared" si="127"/>
        <v>193676174</v>
      </c>
      <c r="AF338" s="356">
        <f t="shared" si="127"/>
        <v>153000000</v>
      </c>
      <c r="AG338" s="356">
        <f t="shared" si="127"/>
        <v>306140823</v>
      </c>
      <c r="AH338" s="356">
        <f t="shared" si="127"/>
        <v>161657700</v>
      </c>
      <c r="AI338" s="356">
        <f t="shared" si="127"/>
        <v>222099000</v>
      </c>
      <c r="AJ338" s="356">
        <f t="shared" si="127"/>
        <v>688385100</v>
      </c>
      <c r="AK338" s="356">
        <f t="shared" si="127"/>
        <v>770723441</v>
      </c>
      <c r="AL338" s="356">
        <f t="shared" si="127"/>
        <v>3367803566</v>
      </c>
      <c r="AM338" s="356">
        <f t="shared" si="127"/>
        <v>3190</v>
      </c>
      <c r="AN338" s="356">
        <f t="shared" si="127"/>
        <v>510869600</v>
      </c>
      <c r="AO338" s="356">
        <f t="shared" si="127"/>
        <v>224260000</v>
      </c>
      <c r="AP338" s="356">
        <f t="shared" si="127"/>
        <v>610246124</v>
      </c>
      <c r="AQ338" s="356">
        <f t="shared" si="127"/>
        <v>446761403</v>
      </c>
      <c r="AR338" s="356">
        <f t="shared" si="127"/>
        <v>472015900</v>
      </c>
      <c r="AS338" s="356">
        <f t="shared" si="127"/>
        <v>343177200</v>
      </c>
      <c r="AT338" s="356">
        <f t="shared" si="127"/>
        <v>342237610</v>
      </c>
      <c r="AU338" s="356">
        <f t="shared" si="127"/>
        <v>592391860</v>
      </c>
      <c r="AV338" s="356">
        <f t="shared" si="127"/>
        <v>457082940</v>
      </c>
      <c r="AW338" s="356">
        <f t="shared" si="127"/>
        <v>382862770</v>
      </c>
      <c r="AX338" s="356">
        <f t="shared" si="127"/>
        <v>514636770</v>
      </c>
      <c r="AY338" s="356">
        <f t="shared" si="127"/>
        <v>670754670.47000003</v>
      </c>
      <c r="AZ338" s="356">
        <f t="shared" si="127"/>
        <v>5567296847.4699993</v>
      </c>
      <c r="BA338" s="356">
        <f t="shared" si="127"/>
        <v>2635</v>
      </c>
      <c r="BB338" s="356">
        <f t="shared" si="127"/>
        <v>391625990</v>
      </c>
      <c r="BC338" s="356">
        <f t="shared" si="127"/>
        <v>459280512</v>
      </c>
      <c r="BD338" s="356">
        <f t="shared" si="127"/>
        <v>0</v>
      </c>
      <c r="BE338" s="356">
        <f t="shared" si="127"/>
        <v>0</v>
      </c>
      <c r="BF338" s="356">
        <f t="shared" si="127"/>
        <v>0</v>
      </c>
      <c r="BG338" s="356">
        <f t="shared" si="127"/>
        <v>0</v>
      </c>
      <c r="BH338" s="356">
        <f t="shared" si="127"/>
        <v>0</v>
      </c>
      <c r="BI338" s="356">
        <f t="shared" si="127"/>
        <v>0</v>
      </c>
      <c r="BJ338" s="356">
        <f t="shared" si="127"/>
        <v>0</v>
      </c>
      <c r="BK338" s="356">
        <f t="shared" si="127"/>
        <v>0</v>
      </c>
      <c r="BL338" s="356">
        <f t="shared" si="127"/>
        <v>0</v>
      </c>
      <c r="BM338" s="356">
        <f t="shared" si="127"/>
        <v>0</v>
      </c>
      <c r="BN338" s="356">
        <f t="shared" si="127"/>
        <v>850906502</v>
      </c>
    </row>
    <row r="339" spans="1:66" ht="25.5" x14ac:dyDescent="0.25">
      <c r="A339" s="355"/>
      <c r="E339" s="357"/>
      <c r="F339" s="357"/>
      <c r="G339" s="357"/>
      <c r="H339" s="357"/>
      <c r="I339" s="358" t="s">
        <v>172</v>
      </c>
      <c r="J339" s="359">
        <f>+J338-List5[[#Totals],[Jumlah Transfer]]</f>
        <v>0</v>
      </c>
      <c r="L339" s="357"/>
      <c r="M339" s="357"/>
      <c r="N339" s="357"/>
      <c r="O339" s="357"/>
      <c r="P339" s="357"/>
      <c r="Q339" s="357"/>
      <c r="R339" s="357"/>
      <c r="S339" s="357"/>
      <c r="T339" s="357"/>
      <c r="U339" s="357"/>
      <c r="V339" s="357"/>
      <c r="W339" s="358" t="s">
        <v>172</v>
      </c>
      <c r="X339" s="359">
        <f>X338-List[[#Totals],[Jumlah Transfer]]</f>
        <v>0</v>
      </c>
      <c r="Z339" s="360"/>
      <c r="AA339" s="360"/>
      <c r="AB339" s="357">
        <f>SUMIF(List3[Bulan],Category!AB$1,List3[Pengajuan Donasi])-AB338</f>
        <v>0</v>
      </c>
      <c r="AC339" s="357">
        <f>SUMIF(List3[Bulan],Category!AC$1,List3[Pengajuan Donasi])-AC338</f>
        <v>-50</v>
      </c>
      <c r="AD339" s="357">
        <f>SUMIF(List3[Bulan],Category!AD$1,List3[Pengajuan Donasi])-AD338</f>
        <v>0</v>
      </c>
      <c r="AE339" s="357">
        <f>SUMIF(List3[Bulan],Category!AE$1,List3[Pengajuan Donasi])-AE338</f>
        <v>26</v>
      </c>
      <c r="AF339" s="357">
        <f>SUMIF(List3[Bulan],Category!AF$1,List3[Pengajuan Donasi])-AF338</f>
        <v>0</v>
      </c>
      <c r="AG339" s="357">
        <f>SUMIF(List3[Bulan],Category!AG$1,List3[Pengajuan Donasi])-AG338</f>
        <v>0</v>
      </c>
      <c r="AH339" s="357"/>
      <c r="AI339" s="357"/>
      <c r="AJ339" s="357"/>
      <c r="AK339" s="357"/>
      <c r="AL339" s="361">
        <f>+AL338-List3[[#Totals],[Pengajuan Donasi]]</f>
        <v>-6268518</v>
      </c>
      <c r="AN339" s="362"/>
      <c r="AO339" s="360"/>
      <c r="AP339" s="357"/>
      <c r="AQ339" s="357"/>
      <c r="AR339" s="357"/>
      <c r="AS339" s="357"/>
      <c r="AT339" s="357"/>
      <c r="AU339" s="357"/>
      <c r="AV339" s="357"/>
      <c r="AW339" s="357"/>
      <c r="AX339" s="965">
        <f>+AX338-'S1 - S2  2022'!M11</f>
        <v>0</v>
      </c>
      <c r="AY339" s="357"/>
      <c r="AZ339" s="363">
        <f>SUM(AN338:AY338)-AZ338</f>
        <v>0</v>
      </c>
      <c r="BB339" s="362"/>
      <c r="BC339" s="360"/>
      <c r="BD339" s="357"/>
      <c r="BE339" s="357"/>
      <c r="BF339" s="357"/>
      <c r="BG339" s="357"/>
      <c r="BH339" s="357"/>
      <c r="BI339" s="357"/>
      <c r="BJ339" s="357"/>
      <c r="BK339" s="357"/>
      <c r="BL339" s="965" t="e">
        <f>+BL338-'[8]S1 - S2  2023'!AO11</f>
        <v>#REF!</v>
      </c>
      <c r="BM339" s="357"/>
      <c r="BN339" s="363">
        <f>SUM(BB338:BM338)-BN338</f>
        <v>0</v>
      </c>
    </row>
    <row r="340" spans="1:66" ht="21" hidden="1" customHeight="1" x14ac:dyDescent="0.3">
      <c r="C340" s="303">
        <v>1</v>
      </c>
      <c r="D340" s="303">
        <v>2</v>
      </c>
      <c r="E340" s="303">
        <v>10</v>
      </c>
      <c r="F340" s="303">
        <v>11</v>
      </c>
      <c r="G340" s="303">
        <v>12</v>
      </c>
      <c r="H340" s="303">
        <v>13</v>
      </c>
      <c r="I340" s="303">
        <v>14</v>
      </c>
      <c r="J340" s="303">
        <v>15</v>
      </c>
      <c r="K340" s="303">
        <v>2</v>
      </c>
      <c r="L340" s="303">
        <v>3</v>
      </c>
      <c r="M340" s="303">
        <v>4</v>
      </c>
      <c r="N340" s="303">
        <v>5</v>
      </c>
      <c r="O340" s="303">
        <v>6</v>
      </c>
      <c r="P340" s="303">
        <v>7</v>
      </c>
      <c r="Q340" s="303">
        <v>8</v>
      </c>
      <c r="R340" s="303">
        <v>9</v>
      </c>
      <c r="S340" s="303">
        <v>10</v>
      </c>
      <c r="T340" s="303">
        <v>11</v>
      </c>
      <c r="U340" s="303">
        <v>12</v>
      </c>
      <c r="V340" s="303">
        <v>13</v>
      </c>
      <c r="W340" s="303">
        <v>14</v>
      </c>
      <c r="X340" s="303">
        <v>15</v>
      </c>
      <c r="Y340" s="303">
        <v>2</v>
      </c>
      <c r="Z340" s="303">
        <v>16</v>
      </c>
      <c r="AA340" s="303">
        <v>17</v>
      </c>
      <c r="AB340" s="303">
        <v>18</v>
      </c>
      <c r="AC340" s="303">
        <v>19</v>
      </c>
      <c r="AD340" s="303">
        <v>20</v>
      </c>
      <c r="AE340" s="303">
        <v>21</v>
      </c>
      <c r="AF340" s="303">
        <v>22</v>
      </c>
      <c r="AG340" s="303">
        <v>23</v>
      </c>
      <c r="AH340" s="303">
        <v>24</v>
      </c>
      <c r="AI340" s="303">
        <v>25</v>
      </c>
      <c r="AJ340" s="303">
        <v>26</v>
      </c>
      <c r="AK340" s="303"/>
      <c r="AL340" s="303"/>
      <c r="AM340" s="303">
        <v>2</v>
      </c>
      <c r="AN340" s="303"/>
      <c r="AO340" s="303">
        <v>17</v>
      </c>
      <c r="AP340" s="303">
        <v>18</v>
      </c>
      <c r="AQ340" s="303">
        <v>19</v>
      </c>
      <c r="AR340" s="303">
        <v>20</v>
      </c>
      <c r="AS340" s="303"/>
      <c r="AT340" s="303">
        <v>22</v>
      </c>
      <c r="AU340" s="303">
        <v>23</v>
      </c>
      <c r="AV340" s="303"/>
      <c r="AW340" s="303">
        <v>25</v>
      </c>
      <c r="AX340" s="303">
        <v>26</v>
      </c>
      <c r="AY340" s="303">
        <v>27</v>
      </c>
      <c r="AZ340" s="303">
        <v>28</v>
      </c>
      <c r="BA340" s="303">
        <v>2</v>
      </c>
      <c r="BB340" s="303"/>
      <c r="BC340" s="303">
        <v>17</v>
      </c>
      <c r="BD340" s="303">
        <v>18</v>
      </c>
      <c r="BE340" s="303">
        <v>19</v>
      </c>
      <c r="BF340" s="303">
        <v>20</v>
      </c>
      <c r="BG340" s="303"/>
      <c r="BH340" s="303">
        <v>22</v>
      </c>
      <c r="BI340" s="303">
        <v>23</v>
      </c>
      <c r="BJ340" s="303"/>
      <c r="BK340" s="303">
        <v>25</v>
      </c>
      <c r="BL340" s="303">
        <v>26</v>
      </c>
      <c r="BM340" s="303">
        <v>27</v>
      </c>
      <c r="BN340" s="303">
        <v>28</v>
      </c>
    </row>
    <row r="341" spans="1:66" x14ac:dyDescent="0.2">
      <c r="E341" s="357"/>
      <c r="F341" s="357"/>
      <c r="G341" s="357"/>
      <c r="H341" s="357"/>
      <c r="I341" s="357"/>
      <c r="J341" s="357"/>
      <c r="L341" s="357"/>
      <c r="M341" s="357"/>
      <c r="N341" s="357"/>
      <c r="O341" s="357"/>
      <c r="P341" s="357"/>
      <c r="Q341" s="357"/>
      <c r="R341" s="357"/>
      <c r="S341" s="357"/>
      <c r="T341" s="357"/>
      <c r="U341" s="357"/>
      <c r="V341" s="357"/>
      <c r="W341" s="357"/>
      <c r="X341" s="357"/>
      <c r="Z341" s="357"/>
      <c r="AA341" s="357"/>
      <c r="AB341" s="357"/>
      <c r="AC341" s="357"/>
      <c r="AD341" s="357"/>
      <c r="AE341" s="357"/>
      <c r="AF341" s="357"/>
      <c r="AG341" s="357"/>
      <c r="AH341" s="357"/>
      <c r="AI341" s="357"/>
      <c r="AJ341" s="357"/>
      <c r="AK341" s="357"/>
      <c r="AL341" s="357"/>
      <c r="AN341" s="357"/>
      <c r="AO341" s="357"/>
      <c r="AP341" s="357"/>
      <c r="AQ341" s="357"/>
      <c r="AR341" s="357"/>
      <c r="AS341" s="357"/>
      <c r="AT341" s="357"/>
      <c r="AU341" s="357"/>
      <c r="AV341" s="357"/>
      <c r="AW341" s="357"/>
      <c r="AX341" s="357"/>
      <c r="AY341" s="357"/>
      <c r="AZ341" s="364"/>
      <c r="BB341" s="357"/>
      <c r="BC341" s="357"/>
      <c r="BD341" s="357"/>
      <c r="BE341" s="357"/>
      <c r="BF341" s="357"/>
      <c r="BG341" s="357"/>
      <c r="BH341" s="357"/>
      <c r="BI341" s="357"/>
      <c r="BJ341" s="357"/>
      <c r="BK341" s="357"/>
      <c r="BL341" s="357"/>
      <c r="BM341" s="357"/>
      <c r="BN341" s="364"/>
    </row>
    <row r="342" spans="1:66" x14ac:dyDescent="0.2">
      <c r="E342" s="365"/>
      <c r="F342" s="365"/>
      <c r="G342" s="365"/>
      <c r="H342" s="365"/>
      <c r="L342" s="365"/>
      <c r="M342" s="365"/>
      <c r="N342" s="365"/>
      <c r="O342" s="365"/>
      <c r="P342" s="365"/>
      <c r="Q342" s="365"/>
      <c r="R342" s="365"/>
      <c r="S342" s="365"/>
      <c r="T342" s="365"/>
      <c r="U342" s="365"/>
      <c r="V342" s="365"/>
      <c r="Z342" s="365"/>
      <c r="AA342" s="365"/>
      <c r="AB342" s="365"/>
      <c r="AC342" s="365"/>
      <c r="AD342" s="365"/>
      <c r="AE342" s="365"/>
      <c r="AF342" s="365"/>
      <c r="AG342" s="365"/>
      <c r="AH342" s="365"/>
      <c r="AI342" s="365"/>
      <c r="AJ342" s="365"/>
      <c r="AK342" s="365"/>
      <c r="AN342" s="365"/>
      <c r="AO342" s="365"/>
      <c r="AP342" s="365"/>
      <c r="AQ342" s="365"/>
      <c r="AR342" s="365"/>
      <c r="AS342" s="365"/>
      <c r="AT342" s="365"/>
      <c r="AU342" s="365"/>
      <c r="AV342" s="365"/>
      <c r="AW342" s="365"/>
      <c r="AX342" s="365"/>
      <c r="AY342" s="365"/>
      <c r="BB342" s="365"/>
      <c r="BC342" s="365"/>
      <c r="BD342" s="365"/>
      <c r="BE342" s="365"/>
      <c r="BF342" s="365"/>
      <c r="BG342" s="365"/>
      <c r="BH342" s="365"/>
      <c r="BI342" s="365"/>
      <c r="BJ342" s="365"/>
      <c r="BK342" s="365"/>
      <c r="BL342" s="365"/>
      <c r="BM342" s="365"/>
    </row>
    <row r="343" spans="1:66" x14ac:dyDescent="0.2">
      <c r="E343" s="365"/>
      <c r="F343" s="365"/>
      <c r="G343" s="365"/>
      <c r="H343" s="365"/>
      <c r="L343" s="365"/>
      <c r="M343" s="365"/>
      <c r="N343" s="365"/>
      <c r="O343" s="365"/>
      <c r="P343" s="365"/>
      <c r="Q343" s="365"/>
      <c r="R343" s="365"/>
      <c r="S343" s="365"/>
      <c r="T343" s="365"/>
      <c r="U343" s="365"/>
      <c r="V343" s="365"/>
      <c r="Z343" s="365"/>
      <c r="AA343" s="365"/>
      <c r="AB343" s="365"/>
      <c r="AC343" s="365"/>
      <c r="AD343" s="365"/>
      <c r="AE343" s="365"/>
      <c r="AF343" s="365"/>
      <c r="AG343" s="365"/>
      <c r="AH343" s="365"/>
      <c r="AI343" s="365"/>
      <c r="AJ343" s="365"/>
      <c r="AK343" s="365"/>
      <c r="AN343" s="365"/>
      <c r="AO343" s="365"/>
      <c r="AP343" s="365"/>
      <c r="AQ343" s="365"/>
      <c r="AR343" s="365"/>
      <c r="AS343" s="365"/>
      <c r="AT343" s="365"/>
      <c r="AU343" s="365"/>
      <c r="AV343" s="365"/>
      <c r="AW343" s="365"/>
      <c r="AX343" s="365"/>
      <c r="AY343" s="365"/>
      <c r="BB343" s="365"/>
      <c r="BC343" s="365"/>
      <c r="BD343" s="365"/>
      <c r="BE343" s="365"/>
      <c r="BF343" s="365"/>
      <c r="BG343" s="365"/>
      <c r="BH343" s="365"/>
      <c r="BI343" s="365"/>
      <c r="BJ343" s="365"/>
      <c r="BK343" s="365"/>
      <c r="BL343" s="365"/>
      <c r="BM343" s="365"/>
    </row>
    <row r="344" spans="1:66" x14ac:dyDescent="0.2">
      <c r="E344" s="365"/>
      <c r="F344" s="365"/>
      <c r="G344" s="365"/>
      <c r="H344" s="365"/>
      <c r="L344" s="365"/>
      <c r="M344" s="365"/>
      <c r="N344" s="365"/>
      <c r="O344" s="365"/>
      <c r="P344" s="365"/>
      <c r="Q344" s="365"/>
      <c r="R344" s="365"/>
      <c r="S344" s="365"/>
      <c r="T344" s="365"/>
      <c r="U344" s="365"/>
      <c r="V344" s="365"/>
      <c r="Z344" s="365"/>
      <c r="AA344" s="365"/>
      <c r="AB344" s="365"/>
      <c r="AC344" s="365"/>
      <c r="AD344" s="365"/>
      <c r="AE344" s="365"/>
      <c r="AF344" s="365"/>
      <c r="AG344" s="365"/>
      <c r="AH344" s="365"/>
      <c r="AI344" s="365"/>
      <c r="AJ344" s="365"/>
      <c r="AK344" s="365"/>
      <c r="AN344" s="365"/>
      <c r="AO344" s="365"/>
      <c r="AP344" s="365"/>
      <c r="AQ344" s="365"/>
      <c r="AR344" s="365"/>
      <c r="AS344" s="365"/>
      <c r="AT344" s="365"/>
      <c r="AU344" s="365"/>
      <c r="AV344" s="365"/>
      <c r="AW344" s="365"/>
      <c r="AX344" s="365"/>
      <c r="AY344" s="365"/>
      <c r="BB344" s="365"/>
      <c r="BC344" s="365"/>
      <c r="BD344" s="365"/>
      <c r="BE344" s="365"/>
      <c r="BF344" s="365"/>
      <c r="BG344" s="365"/>
      <c r="BH344" s="365"/>
      <c r="BI344" s="365"/>
      <c r="BJ344" s="365"/>
      <c r="BK344" s="365"/>
      <c r="BL344" s="365"/>
      <c r="BM344" s="365"/>
    </row>
    <row r="345" spans="1:66" x14ac:dyDescent="0.2">
      <c r="E345" s="365"/>
      <c r="F345" s="365"/>
      <c r="G345" s="365"/>
      <c r="H345" s="365"/>
      <c r="L345" s="365"/>
      <c r="M345" s="365"/>
      <c r="N345" s="365"/>
      <c r="O345" s="365"/>
      <c r="P345" s="365"/>
      <c r="Q345" s="365"/>
      <c r="R345" s="365"/>
      <c r="S345" s="365"/>
      <c r="T345" s="365"/>
      <c r="U345" s="365"/>
      <c r="V345" s="365"/>
      <c r="Z345" s="365"/>
      <c r="AA345" s="365"/>
      <c r="AB345" s="365"/>
      <c r="AC345" s="365"/>
      <c r="AD345" s="365"/>
      <c r="AE345" s="365"/>
      <c r="AF345" s="365"/>
      <c r="AG345" s="365"/>
      <c r="AH345" s="365"/>
      <c r="AI345" s="365"/>
      <c r="AJ345" s="365"/>
      <c r="AK345" s="365"/>
      <c r="AN345" s="365"/>
      <c r="AO345" s="365"/>
      <c r="AP345" s="365"/>
      <c r="AQ345" s="366"/>
      <c r="AR345" s="365"/>
      <c r="AS345" s="365"/>
      <c r="AT345" s="365"/>
      <c r="AU345" s="365"/>
      <c r="AV345" s="365"/>
      <c r="AW345" s="365"/>
      <c r="AX345" s="365"/>
      <c r="AY345" s="365"/>
      <c r="BB345" s="365"/>
      <c r="BC345" s="365"/>
      <c r="BD345" s="365"/>
      <c r="BE345" s="366"/>
      <c r="BF345" s="365"/>
      <c r="BG345" s="365"/>
      <c r="BH345" s="365"/>
      <c r="BI345" s="365"/>
      <c r="BJ345" s="365"/>
      <c r="BK345" s="365"/>
      <c r="BL345" s="365"/>
      <c r="BM345" s="365"/>
    </row>
    <row r="346" spans="1:66" x14ac:dyDescent="0.2">
      <c r="E346" s="365"/>
      <c r="F346" s="365"/>
      <c r="G346" s="365"/>
      <c r="H346" s="365"/>
      <c r="L346" s="365"/>
      <c r="M346" s="365"/>
      <c r="N346" s="365"/>
      <c r="O346" s="365"/>
      <c r="P346" s="365"/>
      <c r="Q346" s="365"/>
      <c r="R346" s="365"/>
      <c r="S346" s="365"/>
      <c r="T346" s="365"/>
      <c r="U346" s="365"/>
      <c r="V346" s="365"/>
      <c r="Z346" s="365"/>
      <c r="AA346" s="365"/>
      <c r="AB346" s="365"/>
      <c r="AC346" s="365"/>
      <c r="AD346" s="365"/>
      <c r="AE346" s="365"/>
      <c r="AF346" s="365"/>
      <c r="AG346" s="365"/>
      <c r="AH346" s="365"/>
      <c r="AI346" s="365"/>
      <c r="AJ346" s="365"/>
      <c r="AK346" s="365"/>
      <c r="AN346" s="365"/>
      <c r="AO346" s="365"/>
      <c r="AP346" s="365"/>
      <c r="AQ346" s="365"/>
      <c r="AR346" s="365"/>
      <c r="AS346" s="365"/>
      <c r="AT346" s="365"/>
      <c r="AU346" s="365"/>
      <c r="AV346" s="365"/>
      <c r="AW346" s="365"/>
      <c r="AX346" s="365"/>
      <c r="AY346" s="365"/>
      <c r="BB346" s="365"/>
      <c r="BC346" s="365"/>
      <c r="BD346" s="365"/>
      <c r="BE346" s="365"/>
      <c r="BF346" s="365"/>
      <c r="BG346" s="365"/>
      <c r="BH346" s="365"/>
      <c r="BI346" s="365"/>
      <c r="BJ346" s="365"/>
      <c r="BK346" s="365"/>
      <c r="BL346" s="365"/>
      <c r="BM346" s="365"/>
    </row>
    <row r="347" spans="1:66" x14ac:dyDescent="0.2">
      <c r="E347" s="365"/>
      <c r="F347" s="365"/>
      <c r="G347" s="365"/>
      <c r="H347" s="365"/>
      <c r="L347" s="365"/>
      <c r="M347" s="365"/>
      <c r="N347" s="365"/>
      <c r="O347" s="365"/>
      <c r="P347" s="365"/>
      <c r="Q347" s="365"/>
      <c r="R347" s="365"/>
      <c r="S347" s="365"/>
      <c r="T347" s="365"/>
      <c r="U347" s="365"/>
      <c r="V347" s="365"/>
      <c r="Z347" s="365"/>
      <c r="AA347" s="365"/>
      <c r="AB347" s="365"/>
      <c r="AC347" s="365"/>
      <c r="AD347" s="365"/>
      <c r="AE347" s="365"/>
      <c r="AF347" s="365"/>
      <c r="AG347" s="365"/>
      <c r="AH347" s="365"/>
      <c r="AI347" s="365"/>
      <c r="AJ347" s="365"/>
      <c r="AK347" s="365"/>
      <c r="AN347" s="365"/>
      <c r="AO347" s="365"/>
      <c r="AP347" s="365"/>
      <c r="AQ347" s="365"/>
      <c r="AR347" s="365"/>
      <c r="AS347" s="365"/>
      <c r="AT347" s="365"/>
      <c r="AU347" s="365"/>
      <c r="AV347" s="365"/>
      <c r="AW347" s="365"/>
      <c r="AX347" s="365"/>
      <c r="AY347" s="365"/>
      <c r="BB347" s="365"/>
      <c r="BC347" s="365"/>
      <c r="BD347" s="365"/>
      <c r="BE347" s="365"/>
      <c r="BF347" s="365"/>
      <c r="BG347" s="365"/>
      <c r="BH347" s="365"/>
      <c r="BI347" s="365"/>
      <c r="BJ347" s="365"/>
      <c r="BK347" s="365"/>
      <c r="BL347" s="365"/>
      <c r="BM347" s="365"/>
    </row>
    <row r="350" spans="1:66" x14ac:dyDescent="0.2">
      <c r="AQ350" s="356"/>
      <c r="BE350" s="356"/>
    </row>
  </sheetData>
  <autoFilter ref="B3:AL339" xr:uid="{00000000-0009-0000-0000-00000A000000}"/>
  <mergeCells count="5">
    <mergeCell ref="BA2:BN2"/>
    <mergeCell ref="Y2:AL2"/>
    <mergeCell ref="AM2:AZ2"/>
    <mergeCell ref="D2:J2"/>
    <mergeCell ref="K2:X2"/>
  </mergeCells>
  <phoneticPr fontId="9" type="noConversion"/>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13"/>
  <sheetViews>
    <sheetView workbookViewId="0">
      <selection activeCell="V18" sqref="V18"/>
    </sheetView>
  </sheetViews>
  <sheetFormatPr defaultRowHeight="15" x14ac:dyDescent="0.2"/>
  <cols>
    <col min="1" max="1" width="35.2421875" customWidth="1"/>
    <col min="2" max="2" width="9.01171875" hidden="1" customWidth="1"/>
    <col min="3" max="13" width="11.02734375" hidden="1" customWidth="1"/>
    <col min="14" max="15" width="11.97265625" hidden="1" customWidth="1"/>
    <col min="16" max="16" width="11.97265625" style="476" hidden="1" customWidth="1"/>
    <col min="17" max="17" width="9.68359375" hidden="1" customWidth="1"/>
    <col min="18" max="18" width="11.02734375" hidden="1" customWidth="1"/>
    <col min="19" max="19" width="0" hidden="1" customWidth="1"/>
    <col min="20" max="20" width="9.14453125" style="476" bestFit="1" customWidth="1"/>
    <col min="21" max="32" width="11.97265625" customWidth="1"/>
    <col min="33" max="33" width="11.97265625" bestFit="1" customWidth="1"/>
  </cols>
  <sheetData>
    <row r="1" spans="1:33" s="248" customFormat="1" ht="21" x14ac:dyDescent="0.2">
      <c r="A1" s="1003" t="s">
        <v>157</v>
      </c>
      <c r="B1" s="1059">
        <v>2022</v>
      </c>
      <c r="C1" s="1059"/>
      <c r="D1" s="1059"/>
      <c r="E1" s="1059"/>
      <c r="F1" s="1059"/>
      <c r="G1" s="1059"/>
      <c r="H1" s="1059"/>
      <c r="I1" s="1059"/>
      <c r="J1" s="1059"/>
      <c r="K1" s="1059"/>
      <c r="L1" s="1059"/>
      <c r="M1" s="1059"/>
      <c r="N1" s="1059"/>
      <c r="O1" s="1059"/>
      <c r="P1" s="1060">
        <v>2023</v>
      </c>
      <c r="Q1" s="1061"/>
      <c r="R1" s="1061"/>
      <c r="S1" s="1061"/>
      <c r="T1" s="1061"/>
      <c r="U1" s="1061"/>
      <c r="V1" s="1061"/>
      <c r="W1" s="1061"/>
      <c r="X1" s="1061"/>
      <c r="Y1" s="1061"/>
      <c r="Z1" s="1061"/>
      <c r="AA1" s="1061"/>
      <c r="AB1" s="1061"/>
      <c r="AC1" s="1061"/>
      <c r="AD1" s="1061"/>
      <c r="AE1" s="1061"/>
      <c r="AF1" s="1061"/>
      <c r="AG1" s="1062"/>
    </row>
    <row r="2" spans="1:33" s="248" customFormat="1" ht="54.75" customHeight="1" x14ac:dyDescent="0.25">
      <c r="A2" s="1005" t="s">
        <v>158</v>
      </c>
      <c r="B2" s="1004" t="s">
        <v>1311</v>
      </c>
      <c r="C2" s="1004" t="s">
        <v>160</v>
      </c>
      <c r="D2" s="1004" t="s">
        <v>161</v>
      </c>
      <c r="E2" s="1004" t="s">
        <v>162</v>
      </c>
      <c r="F2" s="1004" t="s">
        <v>163</v>
      </c>
      <c r="G2" s="1004" t="s">
        <v>164</v>
      </c>
      <c r="H2" s="1004" t="s">
        <v>165</v>
      </c>
      <c r="I2" s="1004" t="s">
        <v>166</v>
      </c>
      <c r="J2" s="1004" t="s">
        <v>167</v>
      </c>
      <c r="K2" s="1004" t="s">
        <v>168</v>
      </c>
      <c r="L2" s="1004" t="s">
        <v>169</v>
      </c>
      <c r="M2" s="1004" t="s">
        <v>170</v>
      </c>
      <c r="N2" s="1004" t="s">
        <v>171</v>
      </c>
      <c r="O2" s="1007" t="s">
        <v>2104</v>
      </c>
      <c r="P2" s="1007" t="s">
        <v>2105</v>
      </c>
      <c r="Q2" s="1010" t="s">
        <v>1752</v>
      </c>
      <c r="R2" s="1010" t="s">
        <v>160</v>
      </c>
      <c r="S2" s="1009"/>
      <c r="T2" s="1004" t="s">
        <v>2107</v>
      </c>
      <c r="U2" s="1004" t="s">
        <v>160</v>
      </c>
      <c r="V2" s="1004" t="s">
        <v>161</v>
      </c>
      <c r="W2" s="1004" t="s">
        <v>162</v>
      </c>
      <c r="X2" s="1004" t="s">
        <v>163</v>
      </c>
      <c r="Y2" s="1004" t="s">
        <v>164</v>
      </c>
      <c r="Z2" s="1004" t="s">
        <v>165</v>
      </c>
      <c r="AA2" s="1004" t="s">
        <v>166</v>
      </c>
      <c r="AB2" s="1004" t="s">
        <v>167</v>
      </c>
      <c r="AC2" s="1004" t="s">
        <v>168</v>
      </c>
      <c r="AD2" s="1004" t="s">
        <v>169</v>
      </c>
      <c r="AE2" s="1004" t="s">
        <v>170</v>
      </c>
      <c r="AF2" s="1004" t="s">
        <v>171</v>
      </c>
      <c r="AG2" s="1007" t="s">
        <v>2106</v>
      </c>
    </row>
    <row r="3" spans="1:33" x14ac:dyDescent="0.2">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row>
    <row r="4" spans="1:33" ht="18.75" x14ac:dyDescent="0.25">
      <c r="A4" s="1006" t="s">
        <v>57</v>
      </c>
      <c r="B4" s="196">
        <v>391</v>
      </c>
      <c r="C4" s="196">
        <v>50000000</v>
      </c>
      <c r="D4" s="196">
        <v>60000000</v>
      </c>
      <c r="E4" s="196">
        <v>70000000</v>
      </c>
      <c r="F4" s="196">
        <v>75000000</v>
      </c>
      <c r="G4" s="196">
        <v>90000000</v>
      </c>
      <c r="H4" s="196">
        <v>65000000</v>
      </c>
      <c r="I4" s="196">
        <v>60000000</v>
      </c>
      <c r="J4" s="196">
        <v>81000000</v>
      </c>
      <c r="K4" s="196">
        <v>65481000</v>
      </c>
      <c r="L4" s="196">
        <v>98690000</v>
      </c>
      <c r="M4" s="196">
        <v>60962000</v>
      </c>
      <c r="N4" s="196">
        <v>85481000</v>
      </c>
      <c r="O4" s="196">
        <f>SUM(O5:O13)</f>
        <v>861614000</v>
      </c>
      <c r="P4" s="1008">
        <f>SUM(P5:P13)</f>
        <v>65481000</v>
      </c>
      <c r="Q4" s="196">
        <v>0</v>
      </c>
      <c r="R4" s="196">
        <v>55481000</v>
      </c>
      <c r="S4" s="477"/>
      <c r="T4" s="1012">
        <f>SUM(T5:T13)</f>
        <v>294</v>
      </c>
      <c r="U4" s="1011">
        <f>SUM(U5:U13)</f>
        <v>65481000</v>
      </c>
      <c r="V4" s="1011">
        <f t="shared" ref="V4:AF4" si="0">SUM(V5:V13)</f>
        <v>65481000</v>
      </c>
      <c r="W4" s="1011">
        <f t="shared" si="0"/>
        <v>65481000</v>
      </c>
      <c r="X4" s="1011">
        <f t="shared" si="0"/>
        <v>65481000</v>
      </c>
      <c r="Y4" s="1011">
        <f t="shared" si="0"/>
        <v>65481000</v>
      </c>
      <c r="Z4" s="1011">
        <f t="shared" si="0"/>
        <v>65481000</v>
      </c>
      <c r="AA4" s="1011">
        <f t="shared" si="0"/>
        <v>65481000</v>
      </c>
      <c r="AB4" s="1011">
        <f t="shared" si="0"/>
        <v>65481000</v>
      </c>
      <c r="AC4" s="1011">
        <f t="shared" si="0"/>
        <v>65481000</v>
      </c>
      <c r="AD4" s="1011">
        <f t="shared" si="0"/>
        <v>65481000</v>
      </c>
      <c r="AE4" s="1011">
        <f t="shared" si="0"/>
        <v>65481000</v>
      </c>
      <c r="AF4" s="1011">
        <f t="shared" si="0"/>
        <v>65481000</v>
      </c>
      <c r="AG4" s="1011">
        <f>SUM(U4:AF4)</f>
        <v>785772000</v>
      </c>
    </row>
    <row r="5" spans="1:33" x14ac:dyDescent="0.2">
      <c r="A5" s="477" t="s">
        <v>392</v>
      </c>
      <c r="B5" s="196">
        <v>75</v>
      </c>
      <c r="C5" s="196">
        <v>10000000</v>
      </c>
      <c r="D5" s="196">
        <v>10000000</v>
      </c>
      <c r="E5" s="196">
        <v>10000000</v>
      </c>
      <c r="F5" s="196">
        <v>10000000</v>
      </c>
      <c r="G5" s="196">
        <v>10000000</v>
      </c>
      <c r="H5" s="196">
        <v>10000000</v>
      </c>
      <c r="I5" s="196">
        <v>10000000</v>
      </c>
      <c r="J5" s="196">
        <v>10000000</v>
      </c>
      <c r="K5" s="196">
        <v>10000000</v>
      </c>
      <c r="L5" s="196">
        <v>10000000</v>
      </c>
      <c r="M5" s="196">
        <v>10000000</v>
      </c>
      <c r="N5" s="196">
        <v>10000000</v>
      </c>
      <c r="O5" s="196">
        <v>120000000</v>
      </c>
      <c r="P5" s="1008">
        <f t="shared" ref="P5:P12" si="1">+O5/12</f>
        <v>10000000</v>
      </c>
      <c r="Q5" s="196">
        <v>0</v>
      </c>
      <c r="R5" s="196">
        <v>10000000</v>
      </c>
      <c r="S5" s="477"/>
      <c r="T5" s="414">
        <v>85</v>
      </c>
      <c r="U5" s="1013">
        <v>10000000</v>
      </c>
      <c r="V5" s="1013">
        <v>10000000</v>
      </c>
      <c r="W5" s="1013">
        <v>10000000</v>
      </c>
      <c r="X5" s="1013">
        <v>10000000</v>
      </c>
      <c r="Y5" s="1013">
        <v>10000000</v>
      </c>
      <c r="Z5" s="1013">
        <v>10000000</v>
      </c>
      <c r="AA5" s="1013">
        <v>10000000</v>
      </c>
      <c r="AB5" s="1013">
        <v>10000000</v>
      </c>
      <c r="AC5" s="1013">
        <v>10000000</v>
      </c>
      <c r="AD5" s="1013">
        <v>10000000</v>
      </c>
      <c r="AE5" s="1013">
        <v>10000000</v>
      </c>
      <c r="AF5" s="1013">
        <v>10000000</v>
      </c>
      <c r="AG5" s="1011">
        <f>SUM(U5:AF5)</f>
        <v>120000000</v>
      </c>
    </row>
    <row r="6" spans="1:33" ht="27.75" x14ac:dyDescent="0.2">
      <c r="A6" s="477" t="s">
        <v>407</v>
      </c>
      <c r="B6" s="196">
        <v>64</v>
      </c>
      <c r="C6" s="196">
        <v>10000000</v>
      </c>
      <c r="D6" s="196">
        <v>10000000</v>
      </c>
      <c r="E6" s="196">
        <v>10000000</v>
      </c>
      <c r="F6" s="196">
        <v>10000000</v>
      </c>
      <c r="G6" s="196">
        <v>10000000</v>
      </c>
      <c r="H6" s="196">
        <v>10000000</v>
      </c>
      <c r="I6" s="196">
        <v>10000000</v>
      </c>
      <c r="J6" s="196">
        <v>10000000</v>
      </c>
      <c r="K6" s="196">
        <v>10000000</v>
      </c>
      <c r="L6" s="196">
        <v>10000000</v>
      </c>
      <c r="M6" s="196">
        <v>10000000</v>
      </c>
      <c r="N6" s="196">
        <v>10000000</v>
      </c>
      <c r="O6" s="196">
        <v>120000000</v>
      </c>
      <c r="P6" s="1008">
        <f t="shared" si="1"/>
        <v>10000000</v>
      </c>
      <c r="Q6" s="196">
        <v>0</v>
      </c>
      <c r="R6" s="196">
        <v>10000000</v>
      </c>
      <c r="S6" s="477"/>
      <c r="T6" s="414">
        <v>64</v>
      </c>
      <c r="U6" s="1013">
        <v>10000000</v>
      </c>
      <c r="V6" s="1013">
        <v>10000000</v>
      </c>
      <c r="W6" s="1013">
        <v>10000000</v>
      </c>
      <c r="X6" s="1013">
        <v>10000000</v>
      </c>
      <c r="Y6" s="1013">
        <v>10000000</v>
      </c>
      <c r="Z6" s="1013">
        <v>10000000</v>
      </c>
      <c r="AA6" s="1013">
        <v>10000000</v>
      </c>
      <c r="AB6" s="1013">
        <v>10000000</v>
      </c>
      <c r="AC6" s="1013">
        <v>10000000</v>
      </c>
      <c r="AD6" s="1013">
        <v>10000000</v>
      </c>
      <c r="AE6" s="1013">
        <v>10000000</v>
      </c>
      <c r="AF6" s="1013">
        <v>10000000</v>
      </c>
      <c r="AG6" s="1011">
        <f t="shared" ref="AG6:AG13" si="2">SUM(U6:AF6)</f>
        <v>120000000</v>
      </c>
    </row>
    <row r="7" spans="1:33" hidden="1" x14ac:dyDescent="0.2">
      <c r="A7" s="477" t="s">
        <v>410</v>
      </c>
      <c r="B7" s="196">
        <v>78</v>
      </c>
      <c r="C7" s="196">
        <v>5000000</v>
      </c>
      <c r="D7" s="196">
        <v>5000000</v>
      </c>
      <c r="E7" s="196">
        <v>5000000</v>
      </c>
      <c r="F7" s="196">
        <v>0</v>
      </c>
      <c r="G7" s="196">
        <v>0</v>
      </c>
      <c r="H7" s="196">
        <v>0</v>
      </c>
      <c r="I7" s="196">
        <v>0</v>
      </c>
      <c r="J7" s="196">
        <v>0</v>
      </c>
      <c r="K7" s="196">
        <v>0</v>
      </c>
      <c r="L7" s="196">
        <v>0</v>
      </c>
      <c r="M7" s="196">
        <v>0</v>
      </c>
      <c r="N7" s="196">
        <v>0</v>
      </c>
      <c r="O7" s="196">
        <v>15000000</v>
      </c>
      <c r="P7" s="1008">
        <v>0</v>
      </c>
      <c r="Q7" s="196">
        <v>0</v>
      </c>
      <c r="R7" s="196">
        <v>0</v>
      </c>
      <c r="S7" s="477"/>
      <c r="T7" s="414">
        <v>0</v>
      </c>
      <c r="U7" s="1013">
        <v>0</v>
      </c>
      <c r="V7" s="1013">
        <v>0</v>
      </c>
      <c r="W7" s="1013">
        <v>0</v>
      </c>
      <c r="X7" s="1013">
        <v>0</v>
      </c>
      <c r="Y7" s="1013">
        <v>0</v>
      </c>
      <c r="Z7" s="1013">
        <v>0</v>
      </c>
      <c r="AA7" s="1013">
        <v>0</v>
      </c>
      <c r="AB7" s="1013">
        <v>0</v>
      </c>
      <c r="AC7" s="1013">
        <v>0</v>
      </c>
      <c r="AD7" s="1013">
        <v>0</v>
      </c>
      <c r="AE7" s="1013">
        <v>0</v>
      </c>
      <c r="AF7" s="1013">
        <v>0</v>
      </c>
      <c r="AG7" s="1011">
        <f t="shared" si="2"/>
        <v>0</v>
      </c>
    </row>
    <row r="8" spans="1:33" ht="27.75" x14ac:dyDescent="0.2">
      <c r="A8" s="477" t="s">
        <v>413</v>
      </c>
      <c r="B8" s="196">
        <v>16</v>
      </c>
      <c r="C8" s="196">
        <v>10000000</v>
      </c>
      <c r="D8" s="196">
        <v>10000000</v>
      </c>
      <c r="E8" s="196">
        <v>10000000</v>
      </c>
      <c r="F8" s="196">
        <v>10000000</v>
      </c>
      <c r="G8" s="196">
        <v>10000000</v>
      </c>
      <c r="H8" s="196">
        <v>10000000</v>
      </c>
      <c r="I8" s="196">
        <v>10000000</v>
      </c>
      <c r="J8" s="196">
        <v>10000000</v>
      </c>
      <c r="K8" s="196">
        <v>10000000</v>
      </c>
      <c r="L8" s="196">
        <v>10000000</v>
      </c>
      <c r="M8" s="196">
        <v>10000000</v>
      </c>
      <c r="N8" s="196">
        <v>10000000</v>
      </c>
      <c r="O8" s="196">
        <v>120000000</v>
      </c>
      <c r="P8" s="1008">
        <f t="shared" si="1"/>
        <v>10000000</v>
      </c>
      <c r="Q8" s="196">
        <v>0</v>
      </c>
      <c r="R8" s="196">
        <v>10000000</v>
      </c>
      <c r="S8" s="477"/>
      <c r="T8" s="414">
        <v>22</v>
      </c>
      <c r="U8" s="1013">
        <v>10000000</v>
      </c>
      <c r="V8" s="1013">
        <v>10000000</v>
      </c>
      <c r="W8" s="1013">
        <v>10000000</v>
      </c>
      <c r="X8" s="1013">
        <v>10000000</v>
      </c>
      <c r="Y8" s="1013">
        <v>10000000</v>
      </c>
      <c r="Z8" s="1013">
        <v>10000000</v>
      </c>
      <c r="AA8" s="1013">
        <v>10000000</v>
      </c>
      <c r="AB8" s="1013">
        <v>10000000</v>
      </c>
      <c r="AC8" s="1013">
        <v>10000000</v>
      </c>
      <c r="AD8" s="1013">
        <v>10000000</v>
      </c>
      <c r="AE8" s="1013">
        <v>10000000</v>
      </c>
      <c r="AF8" s="1013">
        <v>10000000</v>
      </c>
      <c r="AG8" s="1011">
        <f t="shared" si="2"/>
        <v>120000000</v>
      </c>
    </row>
    <row r="9" spans="1:33" ht="27.75" x14ac:dyDescent="0.2">
      <c r="A9" s="477" t="s">
        <v>420</v>
      </c>
      <c r="B9" s="196">
        <v>29</v>
      </c>
      <c r="C9" s="196">
        <v>10000000</v>
      </c>
      <c r="D9" s="196">
        <v>10000000</v>
      </c>
      <c r="E9" s="196">
        <v>10000000</v>
      </c>
      <c r="F9" s="196">
        <v>10000000</v>
      </c>
      <c r="G9" s="196">
        <v>10000000</v>
      </c>
      <c r="H9" s="196">
        <v>10000000</v>
      </c>
      <c r="I9" s="196">
        <v>10000000</v>
      </c>
      <c r="J9" s="196">
        <v>10000000</v>
      </c>
      <c r="K9" s="196">
        <v>10000000</v>
      </c>
      <c r="L9" s="196">
        <v>10000000</v>
      </c>
      <c r="M9" s="196">
        <v>10000000</v>
      </c>
      <c r="N9" s="196">
        <v>10000000</v>
      </c>
      <c r="O9" s="196">
        <v>120000000</v>
      </c>
      <c r="P9" s="1008">
        <f t="shared" si="1"/>
        <v>10000000</v>
      </c>
      <c r="Q9" s="196">
        <v>0</v>
      </c>
      <c r="R9" s="196">
        <v>10000000</v>
      </c>
      <c r="S9" s="477"/>
      <c r="T9" s="414">
        <v>29</v>
      </c>
      <c r="U9" s="1013">
        <v>10000000</v>
      </c>
      <c r="V9" s="1013">
        <v>10000000</v>
      </c>
      <c r="W9" s="1013">
        <v>10000000</v>
      </c>
      <c r="X9" s="1013">
        <v>10000000</v>
      </c>
      <c r="Y9" s="1013">
        <v>10000000</v>
      </c>
      <c r="Z9" s="1013">
        <v>10000000</v>
      </c>
      <c r="AA9" s="1013">
        <v>10000000</v>
      </c>
      <c r="AB9" s="1013">
        <v>10000000</v>
      </c>
      <c r="AC9" s="1013">
        <v>10000000</v>
      </c>
      <c r="AD9" s="1013">
        <v>10000000</v>
      </c>
      <c r="AE9" s="1013">
        <v>10000000</v>
      </c>
      <c r="AF9" s="1013">
        <v>10000000</v>
      </c>
      <c r="AG9" s="1011">
        <f t="shared" si="2"/>
        <v>120000000</v>
      </c>
    </row>
    <row r="10" spans="1:33" hidden="1" x14ac:dyDescent="0.2">
      <c r="A10" s="477" t="s">
        <v>423</v>
      </c>
      <c r="B10" s="196">
        <v>35</v>
      </c>
      <c r="C10" s="196">
        <v>0</v>
      </c>
      <c r="D10" s="196">
        <v>10000000</v>
      </c>
      <c r="E10" s="196">
        <v>0</v>
      </c>
      <c r="F10" s="196">
        <v>0</v>
      </c>
      <c r="G10" s="196">
        <v>0</v>
      </c>
      <c r="H10" s="196">
        <v>0</v>
      </c>
      <c r="I10" s="196">
        <v>0</v>
      </c>
      <c r="J10" s="196">
        <v>0</v>
      </c>
      <c r="K10" s="196">
        <v>0</v>
      </c>
      <c r="L10" s="196">
        <v>0</v>
      </c>
      <c r="M10" s="196">
        <v>0</v>
      </c>
      <c r="N10" s="196">
        <v>30000000</v>
      </c>
      <c r="O10" s="196">
        <v>40000000</v>
      </c>
      <c r="P10" s="1008">
        <v>0</v>
      </c>
      <c r="Q10" s="196">
        <v>0</v>
      </c>
      <c r="R10" s="196">
        <v>0</v>
      </c>
      <c r="S10" s="477"/>
      <c r="T10" s="414">
        <v>0</v>
      </c>
      <c r="U10" s="1013">
        <v>0</v>
      </c>
      <c r="V10" s="1013">
        <v>0</v>
      </c>
      <c r="W10" s="1013">
        <v>0</v>
      </c>
      <c r="X10" s="1013">
        <v>0</v>
      </c>
      <c r="Y10" s="1013">
        <v>0</v>
      </c>
      <c r="Z10" s="1013">
        <v>0</v>
      </c>
      <c r="AA10" s="1013">
        <v>0</v>
      </c>
      <c r="AB10" s="1013">
        <v>0</v>
      </c>
      <c r="AC10" s="1013">
        <v>0</v>
      </c>
      <c r="AD10" s="1013">
        <v>0</v>
      </c>
      <c r="AE10" s="1013">
        <v>0</v>
      </c>
      <c r="AF10" s="1013">
        <v>0</v>
      </c>
      <c r="AG10" s="1011">
        <f t="shared" si="2"/>
        <v>0</v>
      </c>
    </row>
    <row r="11" spans="1:33" x14ac:dyDescent="0.2">
      <c r="A11" s="477" t="s">
        <v>426</v>
      </c>
      <c r="B11" s="196">
        <v>31</v>
      </c>
      <c r="C11" s="196">
        <v>0</v>
      </c>
      <c r="D11" s="196">
        <v>0</v>
      </c>
      <c r="E11" s="196">
        <v>20000000</v>
      </c>
      <c r="F11" s="196">
        <v>20000000</v>
      </c>
      <c r="G11" s="196">
        <v>10000000</v>
      </c>
      <c r="H11" s="196">
        <v>10000000</v>
      </c>
      <c r="I11" s="196">
        <v>10000000</v>
      </c>
      <c r="J11" s="196">
        <v>10000000</v>
      </c>
      <c r="K11" s="196">
        <v>10000000</v>
      </c>
      <c r="L11" s="196">
        <v>48690000</v>
      </c>
      <c r="M11" s="196">
        <v>0</v>
      </c>
      <c r="N11" s="196">
        <v>0</v>
      </c>
      <c r="O11" s="196">
        <v>138690000</v>
      </c>
      <c r="P11" s="1008">
        <v>10000000</v>
      </c>
      <c r="Q11" s="196">
        <v>0</v>
      </c>
      <c r="R11" s="196">
        <v>0</v>
      </c>
      <c r="S11" s="477"/>
      <c r="T11" s="414">
        <v>31</v>
      </c>
      <c r="U11" s="1013">
        <v>10000000</v>
      </c>
      <c r="V11" s="1013">
        <v>10000000</v>
      </c>
      <c r="W11" s="1013">
        <v>10000000</v>
      </c>
      <c r="X11" s="1013">
        <v>10000000</v>
      </c>
      <c r="Y11" s="1013">
        <v>10000000</v>
      </c>
      <c r="Z11" s="1013">
        <v>10000000</v>
      </c>
      <c r="AA11" s="1013">
        <v>10000000</v>
      </c>
      <c r="AB11" s="1013">
        <v>10000000</v>
      </c>
      <c r="AC11" s="1013">
        <v>10000000</v>
      </c>
      <c r="AD11" s="1013">
        <v>10000000</v>
      </c>
      <c r="AE11" s="1013">
        <v>10000000</v>
      </c>
      <c r="AF11" s="1013">
        <v>10000000</v>
      </c>
      <c r="AG11" s="1011">
        <f t="shared" si="2"/>
        <v>120000000</v>
      </c>
    </row>
    <row r="12" spans="1:33" ht="27.75" x14ac:dyDescent="0.2">
      <c r="A12" s="477" t="s">
        <v>429</v>
      </c>
      <c r="B12" s="196">
        <v>38</v>
      </c>
      <c r="C12" s="196">
        <v>5000000</v>
      </c>
      <c r="D12" s="196">
        <v>5000000</v>
      </c>
      <c r="E12" s="196">
        <v>5000000</v>
      </c>
      <c r="F12" s="196">
        <v>15000000</v>
      </c>
      <c r="G12" s="196">
        <v>15000000</v>
      </c>
      <c r="H12" s="196">
        <v>15000000</v>
      </c>
      <c r="I12" s="196">
        <v>10000000</v>
      </c>
      <c r="J12" s="196">
        <v>10000000</v>
      </c>
      <c r="K12" s="196">
        <v>10000000</v>
      </c>
      <c r="L12" s="196">
        <v>10000000</v>
      </c>
      <c r="M12" s="196">
        <v>10000000</v>
      </c>
      <c r="N12" s="196">
        <v>10000000</v>
      </c>
      <c r="O12" s="196">
        <v>120000000</v>
      </c>
      <c r="P12" s="1008">
        <f t="shared" si="1"/>
        <v>10000000</v>
      </c>
      <c r="Q12" s="196">
        <v>0</v>
      </c>
      <c r="R12" s="196">
        <v>10000000</v>
      </c>
      <c r="S12" s="477"/>
      <c r="T12" s="414">
        <v>38</v>
      </c>
      <c r="U12" s="1013">
        <v>10000000</v>
      </c>
      <c r="V12" s="1013">
        <v>10000000</v>
      </c>
      <c r="W12" s="1013">
        <v>10000000</v>
      </c>
      <c r="X12" s="1013">
        <v>10000000</v>
      </c>
      <c r="Y12" s="1013">
        <v>10000000</v>
      </c>
      <c r="Z12" s="1013">
        <v>10000000</v>
      </c>
      <c r="AA12" s="1013">
        <v>10000000</v>
      </c>
      <c r="AB12" s="1013">
        <v>10000000</v>
      </c>
      <c r="AC12" s="1013">
        <v>10000000</v>
      </c>
      <c r="AD12" s="1013">
        <v>10000000</v>
      </c>
      <c r="AE12" s="1013">
        <v>10000000</v>
      </c>
      <c r="AF12" s="1013">
        <v>10000000</v>
      </c>
      <c r="AG12" s="1011">
        <f t="shared" si="2"/>
        <v>120000000</v>
      </c>
    </row>
    <row r="13" spans="1:33" x14ac:dyDescent="0.2">
      <c r="A13" s="477" t="s">
        <v>558</v>
      </c>
      <c r="B13" s="196">
        <v>25</v>
      </c>
      <c r="C13" s="196">
        <v>0</v>
      </c>
      <c r="D13" s="196">
        <v>0</v>
      </c>
      <c r="E13" s="196">
        <v>0</v>
      </c>
      <c r="F13" s="196">
        <v>0</v>
      </c>
      <c r="G13" s="196">
        <v>25000000</v>
      </c>
      <c r="H13" s="196">
        <v>0</v>
      </c>
      <c r="I13" s="196">
        <v>0</v>
      </c>
      <c r="J13" s="196">
        <v>21000000</v>
      </c>
      <c r="K13" s="196">
        <v>5481000</v>
      </c>
      <c r="L13" s="196">
        <v>0</v>
      </c>
      <c r="M13" s="196">
        <v>10962000</v>
      </c>
      <c r="N13" s="196">
        <v>5481000</v>
      </c>
      <c r="O13" s="196">
        <v>67924000</v>
      </c>
      <c r="P13" s="1008">
        <f>+N13</f>
        <v>5481000</v>
      </c>
      <c r="Q13" s="196">
        <v>0</v>
      </c>
      <c r="R13" s="196">
        <v>5481000</v>
      </c>
      <c r="S13" s="477"/>
      <c r="T13" s="414">
        <v>25</v>
      </c>
      <c r="U13" s="1013">
        <v>5481000</v>
      </c>
      <c r="V13" s="1013">
        <v>5481000</v>
      </c>
      <c r="W13" s="1013">
        <v>5481000</v>
      </c>
      <c r="X13" s="1013">
        <v>5481000</v>
      </c>
      <c r="Y13" s="1013">
        <v>5481000</v>
      </c>
      <c r="Z13" s="1013">
        <v>5481000</v>
      </c>
      <c r="AA13" s="1013">
        <v>5481000</v>
      </c>
      <c r="AB13" s="1013">
        <v>5481000</v>
      </c>
      <c r="AC13" s="1013">
        <v>5481000</v>
      </c>
      <c r="AD13" s="1013">
        <v>5481000</v>
      </c>
      <c r="AE13" s="1013">
        <v>5481000</v>
      </c>
      <c r="AF13" s="1013">
        <v>5481000</v>
      </c>
      <c r="AG13" s="1011">
        <f t="shared" si="2"/>
        <v>65772000</v>
      </c>
    </row>
  </sheetData>
  <mergeCells count="2">
    <mergeCell ref="B1:O1"/>
    <mergeCell ref="P1:AG1"/>
  </mergeCells>
  <printOptions horizontalCentered="1"/>
  <pageMargins left="0.23622047244094491" right="0.23622047244094491"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V18" sqref="V18"/>
    </sheetView>
  </sheetViews>
  <sheetFormatPr defaultColWidth="9.14453125" defaultRowHeight="15" x14ac:dyDescent="0.2"/>
  <cols>
    <col min="1" max="1" width="9.14453125" style="1"/>
    <col min="2" max="2" width="14.796875" style="1" bestFit="1" customWidth="1"/>
    <col min="3" max="3" width="14.9296875" style="1" bestFit="1" customWidth="1"/>
    <col min="4" max="16384" width="9.14453125" style="1"/>
  </cols>
  <sheetData>
    <row r="1" spans="1:3" x14ac:dyDescent="0.2">
      <c r="A1" s="119" t="s">
        <v>35</v>
      </c>
      <c r="B1" s="119" t="s">
        <v>1225</v>
      </c>
      <c r="C1" s="454" t="s">
        <v>1226</v>
      </c>
    </row>
    <row r="2" spans="1:3" x14ac:dyDescent="0.2">
      <c r="A2" s="119" t="s">
        <v>83</v>
      </c>
      <c r="B2" s="119" t="s">
        <v>1227</v>
      </c>
      <c r="C2" s="454" t="s">
        <v>1228</v>
      </c>
    </row>
    <row r="3" spans="1:3" x14ac:dyDescent="0.2">
      <c r="A3" s="119" t="s">
        <v>79</v>
      </c>
      <c r="B3" s="119" t="s">
        <v>1229</v>
      </c>
      <c r="C3" s="454" t="s">
        <v>1230</v>
      </c>
    </row>
    <row r="4" spans="1:3" x14ac:dyDescent="0.2">
      <c r="A4" s="119" t="s">
        <v>1231</v>
      </c>
      <c r="B4" s="119" t="s">
        <v>1232</v>
      </c>
      <c r="C4" s="454" t="s">
        <v>1233</v>
      </c>
    </row>
    <row r="5" spans="1:3" x14ac:dyDescent="0.2">
      <c r="A5" s="119" t="s">
        <v>87</v>
      </c>
      <c r="B5" s="119" t="s">
        <v>1234</v>
      </c>
      <c r="C5" s="454" t="s">
        <v>1235</v>
      </c>
    </row>
    <row r="6" spans="1:3" x14ac:dyDescent="0.2">
      <c r="A6" s="119" t="s">
        <v>53</v>
      </c>
      <c r="B6" s="119" t="s">
        <v>1236</v>
      </c>
      <c r="C6" s="454" t="s">
        <v>1237</v>
      </c>
    </row>
    <row r="7" spans="1:3" x14ac:dyDescent="0.2">
      <c r="A7" s="119" t="s">
        <v>106</v>
      </c>
      <c r="B7" s="119" t="s">
        <v>1238</v>
      </c>
      <c r="C7" s="454" t="s">
        <v>1239</v>
      </c>
    </row>
    <row r="8" spans="1:3" x14ac:dyDescent="0.2">
      <c r="A8" s="119" t="s">
        <v>90</v>
      </c>
      <c r="B8" s="119" t="s">
        <v>1240</v>
      </c>
      <c r="C8" s="454" t="s">
        <v>1241</v>
      </c>
    </row>
    <row r="9" spans="1:3" x14ac:dyDescent="0.2">
      <c r="A9" s="119" t="s">
        <v>32</v>
      </c>
      <c r="B9" s="119" t="s">
        <v>1242</v>
      </c>
      <c r="C9" s="454" t="s">
        <v>1243</v>
      </c>
    </row>
    <row r="10" spans="1:3" x14ac:dyDescent="0.2">
      <c r="A10" s="119" t="s">
        <v>1244</v>
      </c>
      <c r="B10" s="119"/>
      <c r="C10" s="119"/>
    </row>
    <row r="11" spans="1:3" x14ac:dyDescent="0.2">
      <c r="A11" s="119" t="s">
        <v>48</v>
      </c>
      <c r="B11" s="119" t="s">
        <v>1245</v>
      </c>
      <c r="C11" s="454" t="s">
        <v>1246</v>
      </c>
    </row>
    <row r="12" spans="1:3" x14ac:dyDescent="0.2">
      <c r="A12" s="119" t="s">
        <v>25</v>
      </c>
      <c r="B12" s="119" t="s">
        <v>1247</v>
      </c>
      <c r="C12" s="454" t="s">
        <v>1248</v>
      </c>
    </row>
    <row r="13" spans="1:3" x14ac:dyDescent="0.2">
      <c r="A13" s="119" t="s">
        <v>64</v>
      </c>
      <c r="B13" s="119" t="s">
        <v>1249</v>
      </c>
      <c r="C13" s="454" t="s">
        <v>1250</v>
      </c>
    </row>
    <row r="14" spans="1:3" x14ac:dyDescent="0.2">
      <c r="A14" s="119" t="s">
        <v>1251</v>
      </c>
      <c r="B14" s="119" t="s">
        <v>1252</v>
      </c>
      <c r="C14" s="454" t="s">
        <v>1253</v>
      </c>
    </row>
    <row r="15" spans="1:3" x14ac:dyDescent="0.2">
      <c r="A15" s="119" t="s">
        <v>114</v>
      </c>
      <c r="B15" s="119" t="s">
        <v>695</v>
      </c>
      <c r="C15" s="454" t="s">
        <v>1254</v>
      </c>
    </row>
    <row r="16" spans="1:3" x14ac:dyDescent="0.2">
      <c r="A16" s="119" t="s">
        <v>75</v>
      </c>
      <c r="B16" s="119" t="s">
        <v>1255</v>
      </c>
      <c r="C16" s="454" t="s">
        <v>1256</v>
      </c>
    </row>
    <row r="17" spans="1:3" x14ac:dyDescent="0.2">
      <c r="A17" s="119" t="s">
        <v>60</v>
      </c>
      <c r="B17" s="119" t="s">
        <v>674</v>
      </c>
      <c r="C17" s="454" t="s">
        <v>1257</v>
      </c>
    </row>
    <row r="18" spans="1:3" x14ac:dyDescent="0.2">
      <c r="A18" s="119" t="s">
        <v>129</v>
      </c>
      <c r="B18" s="119" t="s">
        <v>1258</v>
      </c>
      <c r="C18" s="454" t="s">
        <v>1259</v>
      </c>
    </row>
  </sheetData>
  <sortState xmlns:xlrd2="http://schemas.microsoft.com/office/spreadsheetml/2017/richdata2" ref="F1:F16">
    <sortCondition ref="F27"/>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dimension ref="A1:J55"/>
  <sheetViews>
    <sheetView showGridLines="0" zoomScaleNormal="100" workbookViewId="0">
      <pane xSplit="2" ySplit="2" topLeftCell="C3" activePane="bottomRight" state="frozen"/>
      <selection activeCell="G27" sqref="G27"/>
      <selection pane="bottomLeft" activeCell="G27" sqref="G27"/>
      <selection pane="topRight" activeCell="G27" sqref="G27"/>
      <selection pane="bottomRight" activeCell="G24" sqref="G24"/>
    </sheetView>
  </sheetViews>
  <sheetFormatPr defaultColWidth="8.7421875" defaultRowHeight="13.5" x14ac:dyDescent="0.15"/>
  <cols>
    <col min="1" max="1" width="4.5703125" style="47" customWidth="1"/>
    <col min="2" max="2" width="19.50390625" style="39" customWidth="1"/>
    <col min="3" max="4" width="14.66015625" style="32" bestFit="1" customWidth="1"/>
    <col min="5" max="6" width="16.41015625" style="32" bestFit="1" customWidth="1"/>
    <col min="7" max="7" width="15.87109375" style="32" bestFit="1" customWidth="1"/>
    <col min="8" max="9" width="6.45703125" style="32" hidden="1" customWidth="1"/>
    <col min="10" max="10" width="4.9765625" style="32" hidden="1" customWidth="1"/>
    <col min="11" max="16384" width="8.7421875" style="32"/>
  </cols>
  <sheetData>
    <row r="1" spans="1:9" ht="11.1" customHeight="1" thickBot="1" x14ac:dyDescent="0.2">
      <c r="A1" s="47">
        <v>1</v>
      </c>
    </row>
    <row r="2" spans="1:9" ht="14.25" thickBot="1" x14ac:dyDescent="0.2">
      <c r="A2" s="46"/>
      <c r="B2" s="537" t="s">
        <v>195</v>
      </c>
      <c r="C2" s="560">
        <v>2019</v>
      </c>
      <c r="D2" s="560">
        <v>2020</v>
      </c>
      <c r="E2" s="560">
        <f>D2+1</f>
        <v>2021</v>
      </c>
      <c r="F2" s="560">
        <f>E2+1</f>
        <v>2022</v>
      </c>
      <c r="G2" s="560">
        <f>F2+1</f>
        <v>2023</v>
      </c>
      <c r="H2" s="29">
        <f>G2+1</f>
        <v>2024</v>
      </c>
      <c r="I2" s="29">
        <f>H2+1</f>
        <v>2025</v>
      </c>
    </row>
    <row r="3" spans="1:9" x14ac:dyDescent="0.15">
      <c r="A3" s="47">
        <v>1</v>
      </c>
      <c r="B3" s="33" t="s">
        <v>196</v>
      </c>
      <c r="C3" s="34">
        <f>SUMIF('2019'!$N:$N,Yearly!$A3,'2019'!$H:$H)/$A$1</f>
        <v>0</v>
      </c>
      <c r="D3" s="34">
        <f>SUMIF('2020'!$N:$N,Yearly!$A3,'2020'!$H:$H)/$A$1</f>
        <v>27748259</v>
      </c>
      <c r="E3" s="34">
        <f>SUMIF('2021'!$N:$N,Yearly!$A3,'2021'!$H:$H)/$A$1</f>
        <v>186270000</v>
      </c>
      <c r="F3" s="459">
        <f>SUMIF('2022'!$N:$N,Yearly!$A3,'2022'!$H:$H)/$A$1</f>
        <v>510869600</v>
      </c>
      <c r="G3" s="459">
        <f>SUMIF('2023'!$N:$N,Yearly!$A3,'2023'!$H:$H)/$A$1</f>
        <v>391625990</v>
      </c>
      <c r="H3" s="34"/>
      <c r="I3" s="34"/>
    </row>
    <row r="4" spans="1:9" x14ac:dyDescent="0.15">
      <c r="A4" s="47">
        <v>2</v>
      </c>
      <c r="B4" s="35" t="s">
        <v>197</v>
      </c>
      <c r="C4" s="36">
        <f>SUMIF('2019'!$N:$N,Yearly!$A4,'2019'!$H:$H)/$A$1</f>
        <v>0</v>
      </c>
      <c r="D4" s="36">
        <f>SUMIF('2020'!$N:$N,Yearly!$A4,'2020'!$H:$H)/$A$1</f>
        <v>11721990</v>
      </c>
      <c r="E4" s="36">
        <f>SUMIF('2021'!$N:$N,Yearly!$A4,'2021'!$H:$H)/$A$1</f>
        <v>142518200</v>
      </c>
      <c r="F4" s="460">
        <f>SUMIF('2022'!$N:$N,Yearly!$A4,'2022'!$H:$H)/$A$1</f>
        <v>224260000</v>
      </c>
      <c r="G4" s="460">
        <f>SUMIF('2023'!$N:$N,Yearly!$A4,'2023'!$H:$H)/$A$1</f>
        <v>459280512</v>
      </c>
      <c r="H4" s="36"/>
      <c r="I4" s="36"/>
    </row>
    <row r="5" spans="1:9" x14ac:dyDescent="0.15">
      <c r="A5" s="47">
        <v>3</v>
      </c>
      <c r="B5" s="35" t="s">
        <v>198</v>
      </c>
      <c r="C5" s="36">
        <f>SUMIF('2019'!$N:$N,Yearly!$A5,'2019'!$H:$H)/$A$1</f>
        <v>0</v>
      </c>
      <c r="D5" s="36">
        <f>SUMIF('2020'!$N:$N,Yearly!$A5,'2020'!$H:$H)/$A$1</f>
        <v>47635735</v>
      </c>
      <c r="E5" s="36">
        <f>SUMIF('2021'!$N:$N,Yearly!$A5,'2021'!$H:$H)/$A$1</f>
        <v>128022400</v>
      </c>
      <c r="F5" s="460">
        <f>SUMIF('2022'!$N:$N,Yearly!$A5,'2022'!$H:$H)/$A$1</f>
        <v>610246124</v>
      </c>
      <c r="G5" s="460">
        <f>SUMIF('2023'!$N:$N,Yearly!$A5,'2023'!$H:$H)/$A$1</f>
        <v>0</v>
      </c>
      <c r="H5" s="36"/>
      <c r="I5" s="36"/>
    </row>
    <row r="6" spans="1:9" x14ac:dyDescent="0.15">
      <c r="A6" s="47">
        <v>4</v>
      </c>
      <c r="B6" s="35" t="s">
        <v>199</v>
      </c>
      <c r="C6" s="36">
        <f>SUMIF('2019'!$N:$N,Yearly!$A6,'2019'!$H:$H)/$A$1</f>
        <v>0</v>
      </c>
      <c r="D6" s="36">
        <f>SUMIF('2020'!$N:$N,Yearly!$A6,'2020'!$H:$H)/$A$1</f>
        <v>0</v>
      </c>
      <c r="E6" s="36">
        <f>SUMIF('2021'!$N:$N,Yearly!$A6,'2021'!$H:$H)/$A$1</f>
        <v>277730424</v>
      </c>
      <c r="F6" s="460">
        <f>SUMIF('2022'!$N:$N,Yearly!$A6,'2022'!$H:$H)/$A$1</f>
        <v>446734403</v>
      </c>
      <c r="G6" s="460">
        <f>SUMIF('2023'!$N:$N,Yearly!$A6,'2023'!$H:$H)/$A$1</f>
        <v>0</v>
      </c>
      <c r="H6" s="36"/>
      <c r="I6" s="36"/>
    </row>
    <row r="7" spans="1:9" x14ac:dyDescent="0.15">
      <c r="A7" s="47">
        <v>5</v>
      </c>
      <c r="B7" s="35" t="s">
        <v>200</v>
      </c>
      <c r="C7" s="36">
        <f>SUMIF('2019'!$N:$N,Yearly!$A7,'2019'!$H:$H)/$A$1</f>
        <v>0</v>
      </c>
      <c r="D7" s="36">
        <f>SUMIF('2020'!$N:$N,Yearly!$A7,'2020'!$H:$H)/$A$1</f>
        <v>13500000</v>
      </c>
      <c r="E7" s="36">
        <f>SUMIF('2021'!$N:$N,Yearly!$A7,'2021'!$H:$H)/$A$1</f>
        <v>137580254</v>
      </c>
      <c r="F7" s="460">
        <f>SUMIF('2022'!$N:$N,Yearly!$A7,'2022'!$H:$H)/$A$1</f>
        <v>472015900</v>
      </c>
      <c r="G7" s="460">
        <f>SUMIF('2023'!$N:$N,Yearly!$A7,'2023'!$H:$H)/$A$1</f>
        <v>0</v>
      </c>
      <c r="H7" s="36"/>
      <c r="I7" s="36"/>
    </row>
    <row r="8" spans="1:9" x14ac:dyDescent="0.15">
      <c r="A8" s="47">
        <v>6</v>
      </c>
      <c r="B8" s="35" t="s">
        <v>201</v>
      </c>
      <c r="C8" s="36">
        <f>SUMIF('2019'!$N:$N,Yearly!$A8,'2019'!$H:$H)/$A$1</f>
        <v>0</v>
      </c>
      <c r="D8" s="36">
        <f>SUMIF('2020'!$N:$N,Yearly!$A8,'2020'!$H:$H)/$A$1</f>
        <v>19453000</v>
      </c>
      <c r="E8" s="36">
        <f>SUMIF('2021'!$N:$N,Yearly!$A8,'2021'!$H:$H)/$A$1</f>
        <v>193676200</v>
      </c>
      <c r="F8" s="460">
        <f>SUMIF('2022'!$N:$N,Yearly!$A8,'2022'!$H:$H)/$A$1</f>
        <v>343177200</v>
      </c>
      <c r="G8" s="460">
        <f>SUMIF('2023'!$N:$N,Yearly!$A8,'2023'!$H:$H)/$A$1</f>
        <v>0</v>
      </c>
      <c r="H8" s="36"/>
      <c r="I8" s="36"/>
    </row>
    <row r="9" spans="1:9" x14ac:dyDescent="0.15">
      <c r="A9" s="47">
        <v>7</v>
      </c>
      <c r="B9" s="35" t="s">
        <v>202</v>
      </c>
      <c r="C9" s="36">
        <f>SUMIF('2019'!$N:$N,Yearly!$A9,'2019'!$H:$H)/$A$1</f>
        <v>0</v>
      </c>
      <c r="D9" s="36">
        <f>SUMIF('2020'!$N:$N,Yearly!$A9,'2020'!$H:$H)/$A$1</f>
        <v>16245000</v>
      </c>
      <c r="E9" s="36">
        <f>SUMIF('2021'!$N:$N,Yearly!$A9,'2021'!$H:$H)/$A$1</f>
        <v>153000000</v>
      </c>
      <c r="F9" s="460">
        <f>SUMIF('2022'!$N:$N,Yearly!$A9,'2022'!$H:$H)/$A$1</f>
        <v>342237610</v>
      </c>
      <c r="G9" s="460">
        <f>SUMIF('2023'!$N:$N,Yearly!$A9,'2023'!$H:$H)/$A$1</f>
        <v>0</v>
      </c>
      <c r="H9" s="36"/>
      <c r="I9" s="36"/>
    </row>
    <row r="10" spans="1:9" x14ac:dyDescent="0.15">
      <c r="A10" s="47">
        <v>8</v>
      </c>
      <c r="B10" s="35" t="s">
        <v>203</v>
      </c>
      <c r="C10" s="36">
        <f>SUMIF('2019'!$N:$N,Yearly!$A10,'2019'!$H:$H)/$A$1</f>
        <v>62800000</v>
      </c>
      <c r="D10" s="36">
        <f>SUMIF('2020'!$N:$N,Yearly!$A10,'2020'!$H:$H)/$A$1</f>
        <v>61515500</v>
      </c>
      <c r="E10" s="36">
        <f>SUMIF('2021'!$N:$N,Yearly!$A10,'2021'!$H:$H)/$A$1</f>
        <v>306140823</v>
      </c>
      <c r="F10" s="460">
        <f>SUMIF('2022'!$N:$N,Yearly!$A10,'2022'!$H:$H)/$A$1</f>
        <v>592391860</v>
      </c>
      <c r="G10" s="460">
        <f>SUMIF('2023'!$N:$N,Yearly!$A10,'2023'!$H:$H)/$A$1</f>
        <v>0</v>
      </c>
      <c r="H10" s="36"/>
      <c r="I10" s="36"/>
    </row>
    <row r="11" spans="1:9" x14ac:dyDescent="0.15">
      <c r="A11" s="47">
        <v>9</v>
      </c>
      <c r="B11" s="35" t="s">
        <v>204</v>
      </c>
      <c r="C11" s="36">
        <f>SUMIF('2019'!$N:$N,Yearly!$A11,'2019'!$H:$H)/$A$1</f>
        <v>13187300</v>
      </c>
      <c r="D11" s="36">
        <f>SUMIF('2020'!$N:$N,Yearly!$A11,'2020'!$H:$H)/$A$1</f>
        <v>266962000</v>
      </c>
      <c r="E11" s="36">
        <f>SUMIF('2021'!$N:$N,Yearly!$A11,'2021'!$H:$H)/$A$1</f>
        <v>167926242</v>
      </c>
      <c r="F11" s="460">
        <f>SUMIF('2022'!$N:$N,Yearly!$A11,'2022'!$H:$H)/$A$1</f>
        <v>457082940</v>
      </c>
      <c r="G11" s="460">
        <f>SUMIF('2023'!$N:$N,Yearly!$A11,'2023'!$H:$H)/$A$1</f>
        <v>0</v>
      </c>
      <c r="H11" s="36"/>
      <c r="I11" s="36"/>
    </row>
    <row r="12" spans="1:9" x14ac:dyDescent="0.15">
      <c r="A12" s="47">
        <v>10</v>
      </c>
      <c r="B12" s="35" t="s">
        <v>205</v>
      </c>
      <c r="C12" s="36">
        <f>SUMIF('2019'!$N:$N,Yearly!$A12,'2019'!$H:$H)/$A$1</f>
        <v>104017491</v>
      </c>
      <c r="D12" s="36">
        <f>SUMIF('2020'!$N:$N,Yearly!$A12,'2020'!$H:$H)/$A$1</f>
        <v>32500028</v>
      </c>
      <c r="E12" s="36">
        <f>SUMIF('2021'!$N:$N,Yearly!$A12,'2021'!$H:$H)/$A$1</f>
        <v>222099000</v>
      </c>
      <c r="F12" s="460">
        <f>SUMIF('2022'!$N:$N,Yearly!$A12,'2022'!$H:$H)/$A$1</f>
        <v>382862770</v>
      </c>
      <c r="G12" s="460">
        <f>SUMIF('2023'!$N:$N,Yearly!$A12,'2023'!$H:$H)/$A$1</f>
        <v>0</v>
      </c>
      <c r="H12" s="36"/>
      <c r="I12" s="36"/>
    </row>
    <row r="13" spans="1:9" x14ac:dyDescent="0.15">
      <c r="A13" s="47">
        <v>11</v>
      </c>
      <c r="B13" s="35" t="s">
        <v>206</v>
      </c>
      <c r="C13" s="36">
        <f>SUMIF('2019'!$N:$N,Yearly!$A13,'2019'!$H:$H)/$A$1</f>
        <v>240958000</v>
      </c>
      <c r="D13" s="36">
        <f>SUMIF('2020'!$N:$N,Yearly!$A13,'2020'!$H:$H)/$A$1</f>
        <v>350314500</v>
      </c>
      <c r="E13" s="36">
        <f>SUMIF('2021'!$N:$N,Yearly!$A13,'2021'!$H:$H)/$A$1</f>
        <v>688385100</v>
      </c>
      <c r="F13" s="460">
        <f>SUMIF('2022'!$N:$N,Yearly!$A13,'2022'!$H:$H)/$A$1</f>
        <v>514636770</v>
      </c>
      <c r="G13" s="460">
        <f>SUMIF('2023'!$N:$N,Yearly!$A13,'2023'!$H:$H)/$A$1</f>
        <v>0</v>
      </c>
      <c r="H13" s="36"/>
      <c r="I13" s="36"/>
    </row>
    <row r="14" spans="1:9" x14ac:dyDescent="0.15">
      <c r="A14" s="47">
        <v>12</v>
      </c>
      <c r="B14" s="35" t="s">
        <v>207</v>
      </c>
      <c r="C14" s="37">
        <f>SUMIF('2019'!$N:$N,Yearly!$A14,'2019'!$H:$H)/$A$1</f>
        <v>150996360</v>
      </c>
      <c r="D14" s="37">
        <f>SUMIF('2020'!$N:$N,Yearly!$A14,'2020'!$H:$H)/$A$1</f>
        <v>123910000</v>
      </c>
      <c r="E14" s="36">
        <f>SUMIF('2021'!$N:$N,Yearly!$A14,'2021'!$H:$H)/$A$1</f>
        <v>770723441</v>
      </c>
      <c r="F14" s="460">
        <f>SUMIF('2022'!$N:$N,Yearly!$A14,'2022'!$H:$H)/$A$1</f>
        <v>670754670.46999991</v>
      </c>
      <c r="G14" s="460">
        <f>SUMIF('2023'!$N:$N,Yearly!$A14,'2023'!$H:$H)/$A$1</f>
        <v>0</v>
      </c>
      <c r="H14" s="37"/>
      <c r="I14" s="37"/>
    </row>
    <row r="15" spans="1:9" ht="14.25" thickBot="1" x14ac:dyDescent="0.2">
      <c r="B15" s="573" t="s">
        <v>156</v>
      </c>
      <c r="C15" s="574">
        <f>SUM(C3:C14)</f>
        <v>571959151</v>
      </c>
      <c r="D15" s="574">
        <f>SUM(D3:D14)</f>
        <v>971506012</v>
      </c>
      <c r="E15" s="574">
        <f>SUM(E3:E14)</f>
        <v>3374072084</v>
      </c>
      <c r="F15" s="574">
        <f>SUM(F3:F14)</f>
        <v>5567269847.4700003</v>
      </c>
      <c r="G15" s="574">
        <f>SUM(G3:G14)</f>
        <v>850906502</v>
      </c>
      <c r="H15" s="38"/>
      <c r="I15" s="38"/>
    </row>
    <row r="16" spans="1:9" ht="5.45" customHeight="1" thickTop="1" x14ac:dyDescent="0.15"/>
    <row r="17" spans="1:9" s="26" customFormat="1" x14ac:dyDescent="0.15">
      <c r="A17" s="48"/>
      <c r="B17" s="27" t="s">
        <v>208</v>
      </c>
      <c r="C17" s="28">
        <f>C15-'2019'!H53/$A$1</f>
        <v>0</v>
      </c>
      <c r="D17" s="28">
        <f>D15-'2020'!H87/$A$1</f>
        <v>0</v>
      </c>
      <c r="E17" s="28">
        <f>E15-List3[[#Totals],[Pengajuan Donasi]]/$A$1</f>
        <v>0</v>
      </c>
      <c r="F17" s="28">
        <f>F15-List34[[#Totals],[Pengajuan Donasi]]</f>
        <v>0</v>
      </c>
      <c r="G17" s="28">
        <f>G15-List346[[#Totals],[Pengajuan Donasi]]</f>
        <v>0</v>
      </c>
    </row>
    <row r="18" spans="1:9" ht="5.45" customHeight="1" thickBot="1" x14ac:dyDescent="0.2">
      <c r="G18" s="548"/>
    </row>
    <row r="19" spans="1:9" ht="14.25" thickBot="1" x14ac:dyDescent="0.2">
      <c r="A19" s="46"/>
      <c r="G19" s="548"/>
      <c r="H19" s="30"/>
      <c r="I19" s="31"/>
    </row>
    <row r="20" spans="1:9" x14ac:dyDescent="0.15">
      <c r="A20" s="47">
        <v>1</v>
      </c>
      <c r="H20" s="34"/>
      <c r="I20" s="34"/>
    </row>
    <row r="21" spans="1:9" x14ac:dyDescent="0.15">
      <c r="A21" s="47">
        <v>2</v>
      </c>
      <c r="H21" s="36"/>
      <c r="I21" s="36"/>
    </row>
    <row r="22" spans="1:9" x14ac:dyDescent="0.15">
      <c r="A22" s="47">
        <v>3</v>
      </c>
      <c r="H22" s="36"/>
      <c r="I22" s="36"/>
    </row>
    <row r="23" spans="1:9" x14ac:dyDescent="0.15">
      <c r="A23" s="47">
        <v>4</v>
      </c>
      <c r="H23" s="36"/>
      <c r="I23" s="36"/>
    </row>
    <row r="24" spans="1:9" x14ac:dyDescent="0.15">
      <c r="A24" s="47">
        <v>5</v>
      </c>
      <c r="H24" s="36"/>
      <c r="I24" s="36"/>
    </row>
    <row r="25" spans="1:9" x14ac:dyDescent="0.15">
      <c r="A25" s="47">
        <v>6</v>
      </c>
      <c r="H25" s="36"/>
      <c r="I25" s="36"/>
    </row>
    <row r="26" spans="1:9" x14ac:dyDescent="0.15">
      <c r="A26" s="47">
        <v>7</v>
      </c>
      <c r="H26" s="36"/>
      <c r="I26" s="36"/>
    </row>
    <row r="27" spans="1:9" x14ac:dyDescent="0.15">
      <c r="A27" s="47">
        <v>8</v>
      </c>
      <c r="H27" s="36"/>
      <c r="I27" s="36"/>
    </row>
    <row r="28" spans="1:9" x14ac:dyDescent="0.15">
      <c r="A28" s="47">
        <v>9</v>
      </c>
      <c r="H28" s="36"/>
      <c r="I28" s="36"/>
    </row>
    <row r="29" spans="1:9" x14ac:dyDescent="0.15">
      <c r="A29" s="47">
        <v>10</v>
      </c>
      <c r="H29" s="36"/>
      <c r="I29" s="36"/>
    </row>
    <row r="30" spans="1:9" x14ac:dyDescent="0.15">
      <c r="A30" s="47">
        <v>11</v>
      </c>
      <c r="H30" s="36"/>
      <c r="I30" s="36"/>
    </row>
    <row r="31" spans="1:9" x14ac:dyDescent="0.15">
      <c r="A31" s="47">
        <v>12</v>
      </c>
      <c r="H31" s="37"/>
      <c r="I31" s="37"/>
    </row>
    <row r="32" spans="1:9" ht="14.25" thickBot="1" x14ac:dyDescent="0.2">
      <c r="H32" s="38"/>
      <c r="I32" s="38"/>
    </row>
    <row r="33" spans="1:7" ht="14.25" thickTop="1" x14ac:dyDescent="0.15"/>
    <row r="34" spans="1:7" s="26" customFormat="1" x14ac:dyDescent="0.15">
      <c r="A34" s="48"/>
    </row>
    <row r="36" spans="1:7" ht="14.25" thickBot="1" x14ac:dyDescent="0.2"/>
    <row r="37" spans="1:7" ht="14.25" thickBot="1" x14ac:dyDescent="0.2">
      <c r="B37" s="107" t="s">
        <v>7</v>
      </c>
      <c r="C37" s="462">
        <v>2019</v>
      </c>
      <c r="D37" s="462">
        <v>2020</v>
      </c>
      <c r="E37" s="462">
        <v>2021</v>
      </c>
      <c r="F37" s="462">
        <v>2022</v>
      </c>
      <c r="G37" s="462">
        <v>2023</v>
      </c>
    </row>
    <row r="38" spans="1:7" x14ac:dyDescent="0.15">
      <c r="B38" s="33" t="s">
        <v>196</v>
      </c>
      <c r="C38" s="34">
        <f>SUMIF('2019'!$N:$N,Yearly!$A20,'2019'!$I:$I)</f>
        <v>0</v>
      </c>
      <c r="D38" s="34">
        <f>SUMIF('2020'!$N:$N,Yearly!$A20,'2020'!$I:$I)</f>
        <v>27748259</v>
      </c>
      <c r="E38" s="34">
        <f>SUMIF('2021'!$N:$N,Yearly!$A20,'2021'!$I:$I)</f>
        <v>186270000</v>
      </c>
      <c r="F38" s="459">
        <f>SUMIF('2022'!$N:$N,Yearly!$A20,'2022'!$I:$I)</f>
        <v>510869600</v>
      </c>
      <c r="G38" s="459">
        <f>SUMIF('2023'!$N:$N,Yearly!$A20,'2023'!$I:$I)</f>
        <v>391625990</v>
      </c>
    </row>
    <row r="39" spans="1:7" x14ac:dyDescent="0.15">
      <c r="B39" s="35" t="s">
        <v>197</v>
      </c>
      <c r="C39" s="36">
        <f>SUMIF('2019'!$N:$N,Yearly!$A21,'2019'!$I:$I)</f>
        <v>0</v>
      </c>
      <c r="D39" s="36">
        <f>SUMIF('2020'!$N:$N,Yearly!$A21,'2020'!$I:$I)</f>
        <v>11721990</v>
      </c>
      <c r="E39" s="36">
        <f>SUMIF('2021'!$N:$N,Yearly!$A21,'2021'!$I:$I)</f>
        <v>142518200</v>
      </c>
      <c r="F39" s="460">
        <f>SUMIF('2022'!$N:$N,Yearly!$A21,'2022'!$I:$I)</f>
        <v>224260000</v>
      </c>
      <c r="G39" s="460">
        <f>SUMIF('2023'!$N:$N,Yearly!$A21,'2023'!$I:$I)</f>
        <v>459280512</v>
      </c>
    </row>
    <row r="40" spans="1:7" x14ac:dyDescent="0.15">
      <c r="B40" s="35" t="s">
        <v>198</v>
      </c>
      <c r="C40" s="36">
        <f>SUMIF('2019'!$N:$N,Yearly!$A22,'2019'!$I:$I)</f>
        <v>0</v>
      </c>
      <c r="D40" s="36">
        <f>SUMIF('2020'!$N:$N,Yearly!$A22,'2020'!$I:$I)</f>
        <v>47635735</v>
      </c>
      <c r="E40" s="36">
        <f>SUMIF('2021'!$N:$N,Yearly!$A22,'2021'!$I:$I)</f>
        <v>128022400</v>
      </c>
      <c r="F40" s="460">
        <f>SUMIF('2022'!$N:$N,Yearly!$A22,'2022'!$I:$I)</f>
        <v>610246124</v>
      </c>
      <c r="G40" s="460">
        <f>SUMIF('2023'!$N:$N,Yearly!$A22,'2023'!$I:$I)</f>
        <v>0</v>
      </c>
    </row>
    <row r="41" spans="1:7" x14ac:dyDescent="0.15">
      <c r="B41" s="35" t="s">
        <v>199</v>
      </c>
      <c r="C41" s="36">
        <f>SUMIF('2019'!$N:$N,Yearly!$A23,'2019'!$I:$I)</f>
        <v>0</v>
      </c>
      <c r="D41" s="36">
        <f>SUMIF('2020'!$N:$N,Yearly!$A23,'2020'!$I:$I)</f>
        <v>0</v>
      </c>
      <c r="E41" s="36">
        <f>SUMIF('2021'!$N:$N,Yearly!$A23,'2021'!$I:$I)</f>
        <v>277730474</v>
      </c>
      <c r="F41" s="460">
        <f>SUMIF('2022'!$N:$N,Yearly!$A23,'2022'!$I:$I)</f>
        <v>446761403</v>
      </c>
      <c r="G41" s="460">
        <f>SUMIF('2023'!$N:$N,Yearly!$A23,'2023'!$I:$I)</f>
        <v>0</v>
      </c>
    </row>
    <row r="42" spans="1:7" x14ac:dyDescent="0.15">
      <c r="B42" s="35" t="s">
        <v>200</v>
      </c>
      <c r="C42" s="36">
        <f>SUMIF('2019'!$N:$N,Yearly!$A24,'2019'!$I:$I)</f>
        <v>0</v>
      </c>
      <c r="D42" s="36">
        <f>SUMIF('2020'!$N:$N,Yearly!$A24,'2020'!$I:$I)</f>
        <v>13500000</v>
      </c>
      <c r="E42" s="36">
        <f>SUMIF('2021'!$N:$N,Yearly!$A24,'2021'!$I:$I)</f>
        <v>137580254</v>
      </c>
      <c r="F42" s="460">
        <f>SUMIF('2022'!$N:$N,Yearly!$A24,'2022'!$I:$I)</f>
        <v>472015900</v>
      </c>
      <c r="G42" s="460">
        <f>SUMIF('2023'!$N:$N,Yearly!$A24,'2023'!$I:$I)</f>
        <v>0</v>
      </c>
    </row>
    <row r="43" spans="1:7" x14ac:dyDescent="0.15">
      <c r="B43" s="35" t="s">
        <v>201</v>
      </c>
      <c r="C43" s="36">
        <f>SUMIF('2019'!$N:$N,Yearly!$A25,'2019'!$I:$I)</f>
        <v>0</v>
      </c>
      <c r="D43" s="36">
        <f>SUMIF('2020'!$N:$N,Yearly!$A25,'2020'!$I:$I)</f>
        <v>19453000</v>
      </c>
      <c r="E43" s="36">
        <f>SUMIF('2021'!$N:$N,Yearly!$A25,'2021'!$I:$I)</f>
        <v>193676174</v>
      </c>
      <c r="F43" s="460">
        <f>SUMIF('2022'!$N:$N,Yearly!$A25,'2022'!$I:$I)</f>
        <v>343177200</v>
      </c>
      <c r="G43" s="460">
        <f>SUMIF('2023'!$N:$N,Yearly!$A25,'2023'!$I:$I)</f>
        <v>0</v>
      </c>
    </row>
    <row r="44" spans="1:7" x14ac:dyDescent="0.15">
      <c r="B44" s="35" t="s">
        <v>202</v>
      </c>
      <c r="C44" s="36">
        <f>SUMIF('2019'!$N:$N,Yearly!$A26,'2019'!$I:$I)</f>
        <v>0</v>
      </c>
      <c r="D44" s="36">
        <f>SUMIF('2020'!$N:$N,Yearly!$A26,'2020'!$I:$I)</f>
        <v>16245000</v>
      </c>
      <c r="E44" s="36">
        <f>SUMIF('2021'!$N:$N,Yearly!$A26,'2021'!$I:$I)</f>
        <v>153000000</v>
      </c>
      <c r="F44" s="460">
        <f>SUMIF('2022'!$N:$N,Yearly!$A26,'2022'!$I:$I)</f>
        <v>342237610</v>
      </c>
      <c r="G44" s="460">
        <f>SUMIF('2023'!$N:$N,Yearly!$A26,'2023'!$I:$I)</f>
        <v>0</v>
      </c>
    </row>
    <row r="45" spans="1:7" x14ac:dyDescent="0.15">
      <c r="B45" s="35" t="s">
        <v>203</v>
      </c>
      <c r="C45" s="36">
        <f>SUMIF('2019'!$N:$N,Yearly!$A27,'2019'!$I:$I)</f>
        <v>62800000</v>
      </c>
      <c r="D45" s="36">
        <f>SUMIF('2020'!$N:$N,Yearly!$A27,'2020'!$I:$I)</f>
        <v>61515500</v>
      </c>
      <c r="E45" s="36">
        <f>SUMIF('2021'!$N:$N,Yearly!$A27,'2021'!$I:$I)</f>
        <v>306140823</v>
      </c>
      <c r="F45" s="460">
        <f>SUMIF('2022'!$N:$N,Yearly!$A27,'2022'!$I:$I)</f>
        <v>592391860</v>
      </c>
      <c r="G45" s="460">
        <f>SUMIF('2023'!$N:$N,Yearly!$A27,'2023'!$I:$I)</f>
        <v>0</v>
      </c>
    </row>
    <row r="46" spans="1:7" x14ac:dyDescent="0.15">
      <c r="B46" s="35" t="s">
        <v>204</v>
      </c>
      <c r="C46" s="36">
        <f>SUMIF('2019'!$N:$N,Yearly!$A28,'2019'!$I:$I)</f>
        <v>13187300</v>
      </c>
      <c r="D46" s="36">
        <f>SUMIF('2020'!$N:$N,Yearly!$A28,'2020'!$I:$I)</f>
        <v>266962000</v>
      </c>
      <c r="E46" s="36">
        <f>SUMIF('2021'!$N:$N,Yearly!$A28,'2021'!$I:$I)</f>
        <v>167926242</v>
      </c>
      <c r="F46" s="460">
        <f>SUMIF('2022'!$N:$N,Yearly!$A28,'2022'!$I:$I)</f>
        <v>457082940</v>
      </c>
      <c r="G46" s="460">
        <f>SUMIF('2023'!$N:$N,Yearly!$A28,'2023'!$I:$I)</f>
        <v>0</v>
      </c>
    </row>
    <row r="47" spans="1:7" x14ac:dyDescent="0.15">
      <c r="B47" s="35" t="s">
        <v>205</v>
      </c>
      <c r="C47" s="36">
        <f>SUMIF('2019'!$N:$N,Yearly!$A29,'2019'!$I:$I)</f>
        <v>104017491</v>
      </c>
      <c r="D47" s="36">
        <f>SUMIF('2020'!$N:$N,Yearly!$A29,'2020'!$I:$I)</f>
        <v>32500028</v>
      </c>
      <c r="E47" s="36">
        <f>SUMIF('2021'!$N:$N,Yearly!$A29,'2021'!$I:$I)</f>
        <v>222099000</v>
      </c>
      <c r="F47" s="460">
        <f>SUMIF('2022'!$N:$N,Yearly!$A29,'2022'!$I:$I)</f>
        <v>382862770</v>
      </c>
      <c r="G47" s="460">
        <f>SUMIF('2023'!$N:$N,Yearly!$A29,'2023'!$I:$I)</f>
        <v>0</v>
      </c>
    </row>
    <row r="48" spans="1:7" x14ac:dyDescent="0.15">
      <c r="B48" s="35" t="s">
        <v>206</v>
      </c>
      <c r="C48" s="36">
        <f>SUMIF('2019'!$N:$N,Yearly!$A30,'2019'!$I:$I)</f>
        <v>240958000</v>
      </c>
      <c r="D48" s="36">
        <f>SUMIF('2020'!$N:$N,Yearly!$A30,'2020'!$I:$I)</f>
        <v>350314500</v>
      </c>
      <c r="E48" s="36">
        <f>SUMIF('2021'!$N:$N,Yearly!$A30,'2021'!$I:$I)</f>
        <v>688385100</v>
      </c>
      <c r="F48" s="460">
        <f>SUMIF('2022'!$N:$N,Yearly!$A30,'2022'!$I:$I)</f>
        <v>514636770</v>
      </c>
      <c r="G48" s="460">
        <f>SUMIF('2023'!$N:$N,Yearly!$A30,'2023'!$I:$I)</f>
        <v>0</v>
      </c>
    </row>
    <row r="49" spans="2:7" x14ac:dyDescent="0.15">
      <c r="B49" s="35" t="s">
        <v>207</v>
      </c>
      <c r="C49" s="37">
        <f>SUMIF('2019'!$N:$N,Yearly!$A31,'2019'!$I:$I)</f>
        <v>150996360</v>
      </c>
      <c r="D49" s="37">
        <f>SUMIF('2020'!$N:$N,Yearly!$A31,'2020'!$I:$I)</f>
        <v>123910000</v>
      </c>
      <c r="E49" s="37">
        <f>SUMIF('2021'!$N:$N,Yearly!$A31,'2021'!$I:$I)</f>
        <v>770723441</v>
      </c>
      <c r="F49" s="463">
        <f>SUMIF('2022'!$N:$N,Yearly!$A31,'2022'!$I:$I)</f>
        <v>670754670.46999991</v>
      </c>
      <c r="G49" s="463">
        <f>SUMIF('2023'!$N:$N,Yearly!$A31,'2023'!$I:$I)</f>
        <v>0</v>
      </c>
    </row>
    <row r="50" spans="2:7" ht="14.25" thickBot="1" x14ac:dyDescent="0.2">
      <c r="B50" s="464" t="s">
        <v>156</v>
      </c>
      <c r="C50" s="465">
        <f>SUM(C38:C49)</f>
        <v>571959151</v>
      </c>
      <c r="D50" s="465">
        <f>SUM(D38:D49)</f>
        <v>971506012</v>
      </c>
      <c r="E50" s="465">
        <f>SUM(E38:E49)</f>
        <v>3374072108</v>
      </c>
      <c r="F50" s="465">
        <f>SUM(F38:F49)</f>
        <v>5567296847.4700003</v>
      </c>
      <c r="G50" s="465">
        <f>SUM(G38:G49)</f>
        <v>850906502</v>
      </c>
    </row>
    <row r="51" spans="2:7" ht="14.25" thickTop="1" x14ac:dyDescent="0.15"/>
    <row r="52" spans="2:7" x14ac:dyDescent="0.15">
      <c r="B52" s="27" t="s">
        <v>208</v>
      </c>
      <c r="C52" s="28">
        <f>C50-'2019'!H53</f>
        <v>0</v>
      </c>
      <c r="D52" s="28">
        <f>D50-'2020'!I87</f>
        <v>0</v>
      </c>
      <c r="E52" s="28">
        <f>E50-List3[[#Totals],[Jumlah Transfer]]</f>
        <v>0</v>
      </c>
      <c r="F52" s="28">
        <f>F50-List34[[#Totals],[Jumlah Transfer]]</f>
        <v>0</v>
      </c>
      <c r="G52" s="28">
        <f>G50-List346[[#Totals],[Jumlah Transfer]]</f>
        <v>0</v>
      </c>
    </row>
    <row r="53" spans="2:7" x14ac:dyDescent="0.15">
      <c r="F53" s="548">
        <f>SUM(C50:F50)</f>
        <v>10484834118.470001</v>
      </c>
      <c r="G53" s="548">
        <f>SUM(C50:G50)</f>
        <v>11335740620.470001</v>
      </c>
    </row>
    <row r="54" spans="2:7" x14ac:dyDescent="0.15">
      <c r="G54" s="548">
        <f>+G53-F53</f>
        <v>850906502</v>
      </c>
    </row>
    <row r="55" spans="2:7" x14ac:dyDescent="0.15">
      <c r="G55" s="548">
        <f>+G15-G54</f>
        <v>0</v>
      </c>
    </row>
  </sheetData>
  <phoneticPr fontId="9" type="noConversion"/>
  <printOptions horizontalCentered="1"/>
  <pageMargins left="0.19685039370078741" right="0.19685039370078741" top="0.74803149606299213" bottom="0.74803149606299213" header="0.31496062992125984" footer="0.31496062992125984"/>
  <pageSetup paperSize="9" scale="75" orientation="landscape" r:id="rId1"/>
  <ignoredErrors>
    <ignoredError sqref="D15:E15 D2 A3:B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42"/>
  <sheetViews>
    <sheetView showGridLines="0" zoomScaleNormal="100" workbookViewId="0">
      <pane xSplit="2" ySplit="4" topLeftCell="C8" activePane="bottomRight" state="frozen"/>
      <selection activeCell="G27" sqref="G27"/>
      <selection pane="bottomLeft" activeCell="G27" sqref="G27"/>
      <selection pane="topRight" activeCell="G27" sqref="G27"/>
      <selection pane="bottomRight" activeCell="J31" sqref="J31"/>
    </sheetView>
  </sheetViews>
  <sheetFormatPr defaultColWidth="8.7421875" defaultRowHeight="13.5" x14ac:dyDescent="0.15"/>
  <cols>
    <col min="1" max="1" width="4.5703125" style="47" customWidth="1"/>
    <col min="2" max="2" width="26.23046875" style="39" customWidth="1"/>
    <col min="3" max="4" width="14.66015625" style="32" bestFit="1" customWidth="1"/>
    <col min="5" max="5" width="16.94921875" style="32" customWidth="1"/>
    <col min="6" max="6" width="16.41015625" style="32" bestFit="1" customWidth="1"/>
    <col min="7" max="7" width="15.73828125" style="32" customWidth="1"/>
    <col min="8" max="9" width="6.45703125" style="32" hidden="1" customWidth="1"/>
    <col min="10" max="10" width="4.9765625" style="32" customWidth="1"/>
    <col min="11" max="16384" width="8.7421875" style="32"/>
  </cols>
  <sheetData>
    <row r="2" spans="1:9" x14ac:dyDescent="0.15">
      <c r="B2" s="39" t="s">
        <v>1270</v>
      </c>
    </row>
    <row r="3" spans="1:9" ht="11.1" customHeight="1" thickBot="1" x14ac:dyDescent="0.2">
      <c r="A3" s="47">
        <v>1</v>
      </c>
    </row>
    <row r="4" spans="1:9" ht="14.25" thickBot="1" x14ac:dyDescent="0.2">
      <c r="A4" s="46"/>
      <c r="B4" s="569" t="s">
        <v>158</v>
      </c>
      <c r="C4" s="570">
        <v>2019</v>
      </c>
      <c r="D4" s="570">
        <v>2020</v>
      </c>
      <c r="E4" s="570">
        <f>D4+1</f>
        <v>2021</v>
      </c>
      <c r="F4" s="570">
        <f>E4+1</f>
        <v>2022</v>
      </c>
      <c r="G4" s="1042">
        <f>F4+1</f>
        <v>2023</v>
      </c>
      <c r="H4" s="29">
        <f>G4+1</f>
        <v>2024</v>
      </c>
      <c r="I4" s="29">
        <f>H4+1</f>
        <v>2025</v>
      </c>
    </row>
    <row r="5" spans="1:9" x14ac:dyDescent="0.15">
      <c r="A5" s="456" t="s">
        <v>179</v>
      </c>
      <c r="B5" s="457" t="s">
        <v>179</v>
      </c>
      <c r="C5" s="459">
        <f>SUMIF('2019'!$E:$E,'Per Kategori '!$B5,'2019'!$H:$H)/$A$3</f>
        <v>254244000</v>
      </c>
      <c r="D5" s="459">
        <f>SUMIF('2020'!$E:$E,'Per Kategori '!$B5,'2020'!$H:$H)/$A$3</f>
        <v>476857998</v>
      </c>
      <c r="E5" s="459">
        <f>SUMIF('2021'!$E:$E,'Per Kategori '!$A5,'2021'!$H:$H)/$A$3</f>
        <v>371324000</v>
      </c>
      <c r="F5" s="459">
        <f>SUMIF('2022'!$E:$E,'Per Kategori '!$A5,'2022'!$H:$H)/$A$3</f>
        <v>416489950</v>
      </c>
      <c r="G5" s="459">
        <f>SUMIF('2023'!$E:$E,'Per Kategori '!$A5,'2023'!$H:$H)/$A$3</f>
        <v>28040000</v>
      </c>
      <c r="H5" s="34"/>
      <c r="I5" s="34"/>
    </row>
    <row r="6" spans="1:9" x14ac:dyDescent="0.15">
      <c r="A6" s="456" t="s">
        <v>17</v>
      </c>
      <c r="B6" s="458" t="s">
        <v>17</v>
      </c>
      <c r="C6" s="460">
        <f>SUMIF('2019'!$E:$E,'Per Kategori '!$B6,'2019'!$H:$H)/$A$3</f>
        <v>45500000</v>
      </c>
      <c r="D6" s="460">
        <f>SUMIF('2020'!$E:$E,'Per Kategori '!$B6,'2020'!$H:$H)/$A$3</f>
        <v>204876000</v>
      </c>
      <c r="E6" s="461">
        <f>SUMIF('2021'!$E:$E,'Per Kategori '!$A6,'2021'!$H:$H)/$A$3</f>
        <v>1511462495</v>
      </c>
      <c r="F6" s="460">
        <f>SUMIF('2022'!$E:$E,'Per Kategori '!$A6,'2022'!$H:$H)/$A$3</f>
        <v>2624226223.4699998</v>
      </c>
      <c r="G6" s="460">
        <f>SUMIF('2023'!$E:$E,'Per Kategori '!$A6,'2023'!$H:$H)/$A$3</f>
        <v>471254070</v>
      </c>
      <c r="H6" s="36"/>
      <c r="I6" s="36"/>
    </row>
    <row r="7" spans="1:9" x14ac:dyDescent="0.15">
      <c r="A7" s="456" t="s">
        <v>107</v>
      </c>
      <c r="B7" s="458" t="s">
        <v>107</v>
      </c>
      <c r="C7" s="460">
        <f>SUMIF('2019'!$E:$E,'Per Kategori '!$B7,'2019'!$H:$H)/$A$3</f>
        <v>0</v>
      </c>
      <c r="D7" s="460">
        <f>SUMIF('2020'!$E:$E,'Per Kategori '!$B7,'2020'!$H:$H)/$A$3</f>
        <v>96880000</v>
      </c>
      <c r="E7" s="460">
        <f>SUMIF('2021'!$E:$E,'Per Kategori '!$A7,'2021'!$H:$H)/$A$3</f>
        <v>281445000</v>
      </c>
      <c r="F7" s="460">
        <f>SUMIF('2022'!$E:$E,'Per Kategori '!$A7,'2022'!$H:$H)/$A$3</f>
        <v>467315000</v>
      </c>
      <c r="G7" s="460">
        <f>SUMIF('2023'!$E:$E,'Per Kategori '!$A7,'2023'!$H:$H)/$A$3</f>
        <v>55000000</v>
      </c>
      <c r="H7" s="36"/>
      <c r="I7" s="36"/>
    </row>
    <row r="8" spans="1:9" x14ac:dyDescent="0.15">
      <c r="A8" s="456" t="s">
        <v>71</v>
      </c>
      <c r="B8" s="458" t="s">
        <v>71</v>
      </c>
      <c r="C8" s="460">
        <f>SUMIF('2019'!$E:$E,'Per Kategori '!$B8,'2019'!$H:$H)/$A$3</f>
        <v>1800000</v>
      </c>
      <c r="D8" s="460">
        <f>SUMIF('2020'!$E:$E,'Per Kategori '!$B8,'2020'!$H:$H)/$A$3</f>
        <v>1440737</v>
      </c>
      <c r="E8" s="460">
        <f>SUMIF('2021'!$E:$E,'Per Kategori '!$A8,'2021'!$H:$H)/$A$3</f>
        <v>2750000</v>
      </c>
      <c r="F8" s="460">
        <f>SUMIF('2022'!$E:$E,'Per Kategori '!$A8,'2022'!$H:$H)/$A$3</f>
        <v>2325000</v>
      </c>
      <c r="G8" s="460">
        <f>SUMIF('2023'!$E:$E,'Per Kategori '!$A8,'2023'!$H:$H)/$A$3</f>
        <v>5000000</v>
      </c>
      <c r="H8" s="36"/>
      <c r="I8" s="36"/>
    </row>
    <row r="9" spans="1:9" ht="16.5" customHeight="1" x14ac:dyDescent="0.15">
      <c r="A9" s="456" t="s">
        <v>57</v>
      </c>
      <c r="B9" s="568" t="s">
        <v>57</v>
      </c>
      <c r="C9" s="1031">
        <f>SUMIF('2019'!$E:$E,'Per Kategori '!$B9,'2019'!$H:$H)/$A$3</f>
        <v>0</v>
      </c>
      <c r="D9" s="1031">
        <f>SUMIF('2020'!$E:$E,'Per Kategori '!$B9,'2020'!$H:$H)/$A$3</f>
        <v>30000000</v>
      </c>
      <c r="E9" s="1031">
        <f>SUMIF('2021'!$E:$E,'Per Kategori '!$A9,'2021'!$H:$H)/$A$3</f>
        <v>542500000</v>
      </c>
      <c r="F9" s="1031">
        <f>SUMIF('2022'!$E:$E,'Per Kategori '!$A9,'2022'!$H:$H)/$A$3</f>
        <v>883114000</v>
      </c>
      <c r="G9" s="1031">
        <f>SUMIF('2023'!$E:$E,'Per Kategori '!$A9,'2023'!$H:$H)/$A$3</f>
        <v>130962000</v>
      </c>
      <c r="H9" s="36"/>
      <c r="I9" s="36"/>
    </row>
    <row r="10" spans="1:9" x14ac:dyDescent="0.15">
      <c r="A10" s="456" t="s">
        <v>26</v>
      </c>
      <c r="B10" s="458" t="s">
        <v>26</v>
      </c>
      <c r="C10" s="460">
        <f>SUMIF('2019'!$E:$E,'Per Kategori '!$B10,'2019'!$H:$H)/$A$3</f>
        <v>0</v>
      </c>
      <c r="D10" s="460">
        <f>SUMIF('2020'!$E:$E,'Per Kategori '!$B10,'2020'!$H:$H)/$A$3</f>
        <v>72075028</v>
      </c>
      <c r="E10" s="460">
        <f>SUMIF('2021'!$E:$E,'Per Kategori '!$A10,'2021'!$H:$H)/$A$3</f>
        <v>508488847</v>
      </c>
      <c r="F10" s="460">
        <f>SUMIF('2022'!$E:$E,'Per Kategori '!$A10,'2022'!$H:$H)/$A$3</f>
        <v>517898324</v>
      </c>
      <c r="G10" s="460">
        <f>SUMIF('2023'!$E:$E,'Per Kategori '!$A10,'2023'!$H:$H)/$A$3</f>
        <v>157650432</v>
      </c>
      <c r="H10" s="36"/>
      <c r="I10" s="36"/>
    </row>
    <row r="11" spans="1:9" x14ac:dyDescent="0.15">
      <c r="A11" s="456" t="s">
        <v>1054</v>
      </c>
      <c r="B11" s="458" t="s">
        <v>1054</v>
      </c>
      <c r="C11" s="460">
        <f>SUMIF('2019'!$E:$E,'Per Kategori '!$B11,'2019'!$H:$H)/$A$3</f>
        <v>95258041</v>
      </c>
      <c r="D11" s="460">
        <f>SUMIF('2020'!$E:$E,'Per Kategori '!$B11,'2020'!$H:$H)/$A$3</f>
        <v>20000000</v>
      </c>
      <c r="E11" s="460">
        <f>SUMIF('2021'!$E:$E,'Per Kategori '!$A11,'2021'!$H:$H)/$A$3</f>
        <v>6268542</v>
      </c>
      <c r="F11" s="460">
        <f>SUMIF('2022'!$E:$E,'Per Kategori '!$A11,'2022'!$H:$H)/$A$3</f>
        <v>234437850</v>
      </c>
      <c r="G11" s="460">
        <f>SUMIF('2023'!$E:$E,'Per Kategori '!$A11,'2023'!$H:$H)/$A$3</f>
        <v>3000000</v>
      </c>
      <c r="H11" s="36"/>
      <c r="I11" s="36"/>
    </row>
    <row r="12" spans="1:9" x14ac:dyDescent="0.15">
      <c r="A12" s="456" t="s">
        <v>1055</v>
      </c>
      <c r="B12" s="458" t="s">
        <v>1055</v>
      </c>
      <c r="C12" s="460">
        <f>SUMIF('2019'!$E:$E,'Per Kategori '!$B12,'2019'!$H:$H)/$A$3</f>
        <v>175157110</v>
      </c>
      <c r="D12" s="460">
        <f>SUMIF('2020'!$E:$E,'Per Kategori '!$B12,'2020'!$H:$H)/$A$3</f>
        <v>69376249</v>
      </c>
      <c r="E12" s="460">
        <f>SUMIF('2021'!$E:$E,'Per Kategori '!$A12,'2021'!$H:$H)/$A$3</f>
        <v>149833200</v>
      </c>
      <c r="F12" s="460">
        <f>SUMIF('2022'!$E:$E,'Per Kategori '!$A12,'2022'!$H:$H)/$A$3</f>
        <v>421463500</v>
      </c>
      <c r="G12" s="460">
        <f>SUMIF('2023'!$E:$E,'Per Kategori '!$A12,'2023'!$H:$H)/$A$3</f>
        <v>0</v>
      </c>
      <c r="H12" s="36"/>
      <c r="I12" s="36"/>
    </row>
    <row r="13" spans="1:9" x14ac:dyDescent="0.15">
      <c r="A13" s="47">
        <v>9</v>
      </c>
      <c r="B13" s="458"/>
      <c r="C13" s="460"/>
      <c r="D13" s="460"/>
      <c r="E13" s="36"/>
      <c r="F13" s="460"/>
      <c r="G13" s="460">
        <f>SUMIF('2023'!$N:$N,'Per Kategori '!$A13,'2023'!$H:$H)/$A$3</f>
        <v>0</v>
      </c>
      <c r="H13" s="36"/>
      <c r="I13" s="36"/>
    </row>
    <row r="14" spans="1:9" x14ac:dyDescent="0.15">
      <c r="A14" s="47">
        <v>10</v>
      </c>
      <c r="B14" s="458"/>
      <c r="C14" s="460"/>
      <c r="D14" s="460"/>
      <c r="E14" s="36"/>
      <c r="F14" s="460"/>
      <c r="G14" s="460">
        <f>SUMIF('2023'!$N:$N,'Per Kategori '!$A14,'2023'!$H:$H)/$A$3</f>
        <v>0</v>
      </c>
      <c r="H14" s="36"/>
      <c r="I14" s="36"/>
    </row>
    <row r="15" spans="1:9" x14ac:dyDescent="0.15">
      <c r="A15" s="47">
        <v>11</v>
      </c>
      <c r="B15" s="35"/>
      <c r="C15" s="36"/>
      <c r="D15" s="36"/>
      <c r="E15" s="36"/>
      <c r="F15" s="460"/>
      <c r="G15" s="460">
        <f>SUMIF('2023'!$N:$N,'Per Kategori '!$A15,'2023'!$H:$H)/$A$3</f>
        <v>0</v>
      </c>
      <c r="H15" s="36"/>
      <c r="I15" s="36"/>
    </row>
    <row r="16" spans="1:9" x14ac:dyDescent="0.15">
      <c r="A16" s="47">
        <v>12</v>
      </c>
      <c r="B16" s="35"/>
      <c r="C16" s="37"/>
      <c r="D16" s="37"/>
      <c r="E16" s="36"/>
      <c r="F16" s="460"/>
      <c r="G16" s="460">
        <f>SUMIF('2023'!$N:$N,'Per Kategori '!$A16,'2023'!$H:$H)/$A$3</f>
        <v>0</v>
      </c>
      <c r="H16" s="37"/>
      <c r="I16" s="37"/>
    </row>
    <row r="17" spans="1:9" ht="14.25" thickBot="1" x14ac:dyDescent="0.2">
      <c r="B17" s="571" t="s">
        <v>156</v>
      </c>
      <c r="C17" s="572">
        <f>SUM(C5:C16)</f>
        <v>571959151</v>
      </c>
      <c r="D17" s="572">
        <f>SUM(D5:D16)</f>
        <v>971506012</v>
      </c>
      <c r="E17" s="572">
        <f>SUM(E5:E16)</f>
        <v>3374072084</v>
      </c>
      <c r="F17" s="572">
        <f>SUM(F5:F16)</f>
        <v>5567269847.4699993</v>
      </c>
      <c r="G17" s="572">
        <f>SUM(G5:G16)</f>
        <v>850906502</v>
      </c>
      <c r="H17" s="38"/>
      <c r="I17" s="38"/>
    </row>
    <row r="18" spans="1:9" ht="5.45" customHeight="1" thickTop="1" x14ac:dyDescent="0.15"/>
    <row r="19" spans="1:9" s="26" customFormat="1" x14ac:dyDescent="0.15">
      <c r="A19" s="48"/>
      <c r="B19" s="27" t="s">
        <v>208</v>
      </c>
      <c r="C19" s="28">
        <f>C17-'2019'!H53/$A$3</f>
        <v>0</v>
      </c>
      <c r="D19" s="28">
        <f>D17-'2020'!H87/$A$3</f>
        <v>0</v>
      </c>
      <c r="E19" s="28">
        <f>E17-List3[[#Totals],[Pengajuan Donasi]]/$A$3</f>
        <v>0</v>
      </c>
      <c r="F19" s="28">
        <f>F17-List34[[#Totals],[Pengajuan Donasi]]</f>
        <v>0</v>
      </c>
      <c r="G19" s="28">
        <f>G17-List346[[#Totals],[Pengajuan Donasi]]</f>
        <v>0</v>
      </c>
    </row>
    <row r="20" spans="1:9" ht="5.45" customHeight="1" x14ac:dyDescent="0.15"/>
    <row r="25" spans="1:9" x14ac:dyDescent="0.15">
      <c r="B25" s="39" t="s">
        <v>1269</v>
      </c>
    </row>
    <row r="26" spans="1:9" ht="14.25" thickBot="1" x14ac:dyDescent="0.2"/>
    <row r="27" spans="1:9" ht="14.25" thickBot="1" x14ac:dyDescent="0.2">
      <c r="A27" s="46"/>
      <c r="B27" s="467" t="s">
        <v>158</v>
      </c>
      <c r="C27" s="462">
        <v>2019</v>
      </c>
      <c r="D27" s="462">
        <v>2020</v>
      </c>
      <c r="E27" s="462">
        <v>2021</v>
      </c>
      <c r="F27" s="462">
        <v>2022</v>
      </c>
      <c r="G27" s="462">
        <f>F27+1</f>
        <v>2023</v>
      </c>
      <c r="H27" s="30"/>
      <c r="I27" s="31"/>
    </row>
    <row r="28" spans="1:9" x14ac:dyDescent="0.15">
      <c r="A28" s="456" t="s">
        <v>179</v>
      </c>
      <c r="B28" s="33" t="s">
        <v>179</v>
      </c>
      <c r="C28" s="34">
        <f>SUMIF('2019'!$E:$E,'Per Kategori '!$A28,'2019'!$I:$I)</f>
        <v>254244000</v>
      </c>
      <c r="D28" s="34">
        <f>SUMIF('2020'!$E:$E,'Per Kategori '!$A28,'2020'!$I:$I)</f>
        <v>476857998</v>
      </c>
      <c r="E28" s="34">
        <f>SUMIF('2021'!$E:$E,'Per Kategori '!$A28,'2021'!$I:$I)</f>
        <v>371324000</v>
      </c>
      <c r="F28" s="459">
        <f>SUMIF('2022'!$E:$E,'Per Kategori '!$A28,'2022'!$I:$I)</f>
        <v>416489950</v>
      </c>
      <c r="G28" s="459">
        <f>SUMIF('2023'!$E:$E,'Per Kategori '!$A28,'2023'!$I:$I)</f>
        <v>28040000</v>
      </c>
      <c r="H28" s="34"/>
      <c r="I28" s="34"/>
    </row>
    <row r="29" spans="1:9" x14ac:dyDescent="0.15">
      <c r="A29" s="456" t="s">
        <v>17</v>
      </c>
      <c r="B29" s="35" t="s">
        <v>17</v>
      </c>
      <c r="C29" s="36">
        <f>SUMIF('2019'!$E:$E,'Per Kategori '!$A29,'2019'!$I:$I)</f>
        <v>45500000</v>
      </c>
      <c r="D29" s="36">
        <f>SUMIF('2020'!$E:$E,'Per Kategori '!$A29,'2020'!$I:$I)</f>
        <v>204876000</v>
      </c>
      <c r="E29" s="36">
        <f>SUMIF('2021'!$E:$E,'Per Kategori '!$A29,'2021'!$I:$I)</f>
        <v>1511462519</v>
      </c>
      <c r="F29" s="460">
        <f>SUMIF('2022'!$E:$E,'Per Kategori '!$A29,'2022'!$I:$I)</f>
        <v>2624226223.4699998</v>
      </c>
      <c r="G29" s="460">
        <f>SUMIF('2023'!$E:$E,'Per Kategori '!$A29,'2023'!$I:$I)</f>
        <v>471254070</v>
      </c>
      <c r="H29" s="36"/>
      <c r="I29" s="36"/>
    </row>
    <row r="30" spans="1:9" x14ac:dyDescent="0.15">
      <c r="A30" s="456" t="s">
        <v>107</v>
      </c>
      <c r="B30" s="35" t="s">
        <v>107</v>
      </c>
      <c r="C30" s="36">
        <f>SUMIF('2019'!$E:$E,'Per Kategori '!$A30,'2019'!$I:$I)</f>
        <v>0</v>
      </c>
      <c r="D30" s="36">
        <f>SUMIF('2020'!$E:$E,'Per Kategori '!$A30,'2020'!$I:$I)</f>
        <v>96880000</v>
      </c>
      <c r="E30" s="36">
        <f>SUMIF('2021'!$E:$E,'Per Kategori '!$A30,'2021'!$I:$I)</f>
        <v>281445000</v>
      </c>
      <c r="F30" s="460">
        <f>SUMIF('2022'!$E:$E,'Per Kategori '!$A30,'2022'!$I:$I)</f>
        <v>467315000</v>
      </c>
      <c r="G30" s="460">
        <f>SUMIF('2023'!$E:$E,'Per Kategori '!$A30,'2023'!$I:$I)</f>
        <v>55000000</v>
      </c>
      <c r="H30" s="36"/>
      <c r="I30" s="36"/>
    </row>
    <row r="31" spans="1:9" x14ac:dyDescent="0.15">
      <c r="A31" s="456" t="s">
        <v>71</v>
      </c>
      <c r="B31" s="35" t="s">
        <v>71</v>
      </c>
      <c r="C31" s="36">
        <f>SUMIF('2019'!$E:$E,'Per Kategori '!$A31,'2019'!$I:$I)</f>
        <v>1800000</v>
      </c>
      <c r="D31" s="36">
        <f>SUMIF('2020'!$E:$E,'Per Kategori '!$A31,'2020'!$I:$I)</f>
        <v>1440737</v>
      </c>
      <c r="E31" s="36">
        <f>SUMIF('2021'!$E:$E,'Per Kategori '!$A31,'2021'!$I:$I)</f>
        <v>2750000</v>
      </c>
      <c r="F31" s="460">
        <f>SUMIF('2022'!$E:$E,'Per Kategori '!$A31,'2022'!$I:$I)</f>
        <v>2325000</v>
      </c>
      <c r="G31" s="460">
        <f>SUMIF('2023'!$E:$E,'Per Kategori '!$A31,'2023'!$I:$I)</f>
        <v>5000000</v>
      </c>
      <c r="H31" s="36"/>
      <c r="I31" s="36"/>
    </row>
    <row r="32" spans="1:9" x14ac:dyDescent="0.15">
      <c r="A32" s="456" t="s">
        <v>57</v>
      </c>
      <c r="B32" s="35" t="s">
        <v>57</v>
      </c>
      <c r="C32" s="36">
        <f>SUMIF('2019'!$E:$E,'Per Kategori '!$A32,'2019'!$I:$I)</f>
        <v>0</v>
      </c>
      <c r="D32" s="36">
        <f>SUMIF('2020'!$E:$E,'Per Kategori '!$A32,'2020'!$I:$I)</f>
        <v>30000000</v>
      </c>
      <c r="E32" s="36">
        <f>SUMIF('2021'!$E:$E,'Per Kategori '!$A32,'2021'!$I:$I)</f>
        <v>542500000</v>
      </c>
      <c r="F32" s="460">
        <f>SUMIF('2022'!$E:$E,'Per Kategori '!$A32,'2022'!$I:$I)</f>
        <v>883114000</v>
      </c>
      <c r="G32" s="460">
        <f>SUMIF('2023'!$E:$E,'Per Kategori '!$A32,'2023'!$I:$I)</f>
        <v>130962000</v>
      </c>
      <c r="H32" s="36"/>
      <c r="I32" s="36"/>
    </row>
    <row r="33" spans="1:11" x14ac:dyDescent="0.15">
      <c r="A33" s="456" t="s">
        <v>26</v>
      </c>
      <c r="B33" s="35" t="s">
        <v>26</v>
      </c>
      <c r="C33" s="36">
        <f>SUMIF('2019'!$E:$E,'Per Kategori '!$A33,'2019'!$I:$I)</f>
        <v>0</v>
      </c>
      <c r="D33" s="36">
        <f>SUMIF('2020'!$E:$E,'Per Kategori '!$A33,'2020'!$I:$I)</f>
        <v>72075028</v>
      </c>
      <c r="E33" s="36">
        <f>SUMIF('2021'!$E:$E,'Per Kategori '!$A33,'2021'!$I:$I)</f>
        <v>508488847</v>
      </c>
      <c r="F33" s="460">
        <f>SUMIF('2022'!$E:$E,'Per Kategori '!$A33,'2022'!$I:$I)</f>
        <v>517925324</v>
      </c>
      <c r="G33" s="460">
        <f>SUMIF('2023'!$E:$E,'Per Kategori '!$A33,'2023'!$I:$I)</f>
        <v>157650432</v>
      </c>
      <c r="H33" s="36"/>
      <c r="I33" s="36"/>
    </row>
    <row r="34" spans="1:11" x14ac:dyDescent="0.15">
      <c r="A34" s="456" t="s">
        <v>1054</v>
      </c>
      <c r="B34" s="35" t="s">
        <v>1054</v>
      </c>
      <c r="C34" s="36">
        <f>SUMIF('2019'!$E:$E,'Per Kategori '!$A34,'2019'!$I:$I)</f>
        <v>95258041</v>
      </c>
      <c r="D34" s="36">
        <f>SUMIF('2020'!$E:$E,'Per Kategori '!$A34,'2020'!$I:$I)</f>
        <v>20000000</v>
      </c>
      <c r="E34" s="36">
        <f>SUMIF('2021'!$E:$E,'Per Kategori '!$A34,'2021'!$I:$I)</f>
        <v>6268542</v>
      </c>
      <c r="F34" s="460">
        <f>SUMIF('2022'!$E:$E,'Per Kategori '!$A34,'2022'!$I:$I)</f>
        <v>234437850</v>
      </c>
      <c r="G34" s="460">
        <f>SUMIF('2023'!$E:$E,'Per Kategori '!$A34,'2023'!$I:$I)</f>
        <v>3000000</v>
      </c>
      <c r="H34" s="36"/>
      <c r="I34" s="36"/>
    </row>
    <row r="35" spans="1:11" x14ac:dyDescent="0.15">
      <c r="A35" s="456" t="s">
        <v>1055</v>
      </c>
      <c r="B35" s="35" t="s">
        <v>1055</v>
      </c>
      <c r="C35" s="36">
        <f>SUMIF('2019'!$E:$E,'Per Kategori '!$A35,'2019'!$I:$I)</f>
        <v>175157110</v>
      </c>
      <c r="D35" s="36">
        <f>SUMIF('2020'!$E:$E,'Per Kategori '!$A35,'2020'!$I:$I)</f>
        <v>69376249</v>
      </c>
      <c r="E35" s="36">
        <f>SUMIF('2021'!$E:$E,'Per Kategori '!$A35,'2021'!$I:$I)</f>
        <v>149833200</v>
      </c>
      <c r="F35" s="460">
        <f>SUMIF('2022'!$E:$E,'Per Kategori '!$A35,'2022'!$I:$I)</f>
        <v>421463500</v>
      </c>
      <c r="G35" s="460">
        <f>SUMIF('2023'!$E:$E,'Per Kategori '!$A35,'2023'!$I:$I)</f>
        <v>0</v>
      </c>
      <c r="H35" s="36"/>
      <c r="I35" s="36"/>
    </row>
    <row r="36" spans="1:11" x14ac:dyDescent="0.15">
      <c r="A36" s="47">
        <v>9</v>
      </c>
      <c r="B36" s="35"/>
      <c r="C36" s="36"/>
      <c r="D36" s="36"/>
      <c r="E36" s="36"/>
      <c r="F36" s="460"/>
      <c r="G36" s="460">
        <f>SUMIF('2023'!$N:$N,'Per Kategori '!$A36,'2023'!$I:$I)</f>
        <v>0</v>
      </c>
      <c r="H36" s="36"/>
      <c r="I36" s="36"/>
    </row>
    <row r="37" spans="1:11" s="26" customFormat="1" x14ac:dyDescent="0.15">
      <c r="A37" s="47">
        <v>10</v>
      </c>
      <c r="B37" s="35"/>
      <c r="C37" s="36"/>
      <c r="D37" s="36"/>
      <c r="E37" s="36"/>
      <c r="F37" s="460"/>
      <c r="G37" s="460">
        <f>SUMIF('2023'!$N:$N,'Per Kategori '!$A37,'2023'!$I:$I)</f>
        <v>0</v>
      </c>
      <c r="H37" s="36"/>
      <c r="I37" s="36"/>
      <c r="J37" s="32"/>
      <c r="K37" s="32"/>
    </row>
    <row r="38" spans="1:11" x14ac:dyDescent="0.15">
      <c r="A38" s="47">
        <v>11</v>
      </c>
      <c r="B38" s="35"/>
      <c r="C38" s="36"/>
      <c r="D38" s="36"/>
      <c r="E38" s="36"/>
      <c r="F38" s="460"/>
      <c r="G38" s="460">
        <f>SUMIF('2023'!$N:$N,'Per Kategori '!$A38,'2023'!$I:$I)</f>
        <v>0</v>
      </c>
      <c r="H38" s="36"/>
      <c r="I38" s="36"/>
    </row>
    <row r="39" spans="1:11" x14ac:dyDescent="0.15">
      <c r="A39" s="47">
        <v>12</v>
      </c>
      <c r="B39" s="35"/>
      <c r="C39" s="37"/>
      <c r="D39" s="37"/>
      <c r="E39" s="37"/>
      <c r="F39" s="463"/>
      <c r="G39" s="463">
        <f>SUMIF('2023'!$N:$N,'Per Kategori '!$A39,'2023'!$I:$I)</f>
        <v>0</v>
      </c>
      <c r="H39" s="37"/>
      <c r="I39" s="37"/>
    </row>
    <row r="40" spans="1:11" ht="14.25" thickBot="1" x14ac:dyDescent="0.2">
      <c r="B40" s="464" t="s">
        <v>156</v>
      </c>
      <c r="C40" s="465">
        <f>SUM(C28:C39)</f>
        <v>571959151</v>
      </c>
      <c r="D40" s="465">
        <f>SUM(D28:D39)</f>
        <v>971506012</v>
      </c>
      <c r="E40" s="465">
        <f>SUM(E28:E39)</f>
        <v>3374072108</v>
      </c>
      <c r="F40" s="465">
        <f>SUM(F28:F39)</f>
        <v>5567296847.4699993</v>
      </c>
      <c r="G40" s="465">
        <f>SUM(G28:G39)</f>
        <v>850906502</v>
      </c>
      <c r="H40" s="38"/>
      <c r="I40" s="38"/>
    </row>
    <row r="41" spans="1:11" ht="14.25" thickTop="1" x14ac:dyDescent="0.15"/>
    <row r="42" spans="1:11" x14ac:dyDescent="0.15">
      <c r="A42" s="48"/>
      <c r="B42" s="27" t="s">
        <v>208</v>
      </c>
      <c r="C42" s="28">
        <f>C40-'2019'!H53</f>
        <v>0</v>
      </c>
      <c r="D42" s="28">
        <f>D40-'2020'!I87</f>
        <v>0</v>
      </c>
      <c r="E42" s="28">
        <f>E40-List3[[#Totals],[Jumlah Transfer]]</f>
        <v>0</v>
      </c>
      <c r="F42" s="28">
        <f>F40-List34[[#Totals],[Jumlah Transfer]]</f>
        <v>0</v>
      </c>
      <c r="G42" s="28">
        <f>G40-List346[[#Totals],[Jumlah Transfer]]</f>
        <v>0</v>
      </c>
      <c r="H42" s="26"/>
      <c r="I42" s="26"/>
      <c r="J42" s="26"/>
      <c r="K42" s="26"/>
    </row>
  </sheetData>
  <printOptions horizontalCentered="1"/>
  <pageMargins left="0.19685039370078741" right="0.19685039370078741" top="0.86614173228346458" bottom="0.39370078740157483" header="0.31496062992125984" footer="0.11811023622047245"/>
  <pageSetup paperSize="9" scale="8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J180"/>
  <sheetViews>
    <sheetView showGridLines="0" topLeftCell="A157" zoomScale="93" zoomScaleNormal="93" workbookViewId="0">
      <selection activeCell="H163" sqref="H163"/>
    </sheetView>
  </sheetViews>
  <sheetFormatPr defaultColWidth="8.7421875" defaultRowHeight="13.5" x14ac:dyDescent="0.15"/>
  <cols>
    <col min="1" max="1" width="4.5703125" style="47" customWidth="1"/>
    <col min="2" max="2" width="4.5703125" style="533" customWidth="1"/>
    <col min="3" max="3" width="51.65625" style="39" customWidth="1"/>
    <col min="4" max="4" width="9.4140625" style="851" customWidth="1"/>
    <col min="5" max="5" width="9.68359375" style="533" customWidth="1"/>
    <col min="6" max="6" width="9.28125" style="533" customWidth="1"/>
    <col min="7" max="7" width="7.6640625" style="533" bestFit="1" customWidth="1"/>
    <col min="8" max="8" width="7.6640625" style="32" bestFit="1" customWidth="1"/>
    <col min="9" max="10" width="6.45703125" style="32" hidden="1" customWidth="1"/>
    <col min="11" max="11" width="2.5546875" style="32" customWidth="1"/>
    <col min="12" max="16384" width="8.7421875" style="32"/>
  </cols>
  <sheetData>
    <row r="2" spans="1:10" x14ac:dyDescent="0.15">
      <c r="C2" s="1064" t="s">
        <v>2156</v>
      </c>
      <c r="D2" s="1064"/>
      <c r="E2" s="1064"/>
      <c r="F2" s="1064"/>
      <c r="G2" s="1064"/>
    </row>
    <row r="3" spans="1:10" ht="11.1" customHeight="1" thickBot="1" x14ac:dyDescent="0.2">
      <c r="A3" s="47">
        <v>1</v>
      </c>
    </row>
    <row r="4" spans="1:10" ht="14.25" thickBot="1" x14ac:dyDescent="0.2">
      <c r="A4" s="46"/>
      <c r="B4" s="534"/>
      <c r="C4" s="466" t="s">
        <v>158</v>
      </c>
      <c r="D4" s="537" t="s">
        <v>1375</v>
      </c>
      <c r="E4" s="560">
        <v>2020</v>
      </c>
      <c r="F4" s="560">
        <f>E4+1</f>
        <v>2021</v>
      </c>
      <c r="G4" s="560">
        <f>F4+1</f>
        <v>2022</v>
      </c>
      <c r="H4" s="1043">
        <f>G4+1</f>
        <v>2023</v>
      </c>
      <c r="I4" s="29">
        <f>H4+1</f>
        <v>2024</v>
      </c>
      <c r="J4" s="29">
        <f>I4+1</f>
        <v>2025</v>
      </c>
    </row>
    <row r="5" spans="1:10" x14ac:dyDescent="0.15">
      <c r="A5" s="456" t="s">
        <v>2157</v>
      </c>
      <c r="B5" s="535"/>
      <c r="C5" s="457" t="s">
        <v>2157</v>
      </c>
      <c r="D5" s="920">
        <f>+Category!D4</f>
        <v>284</v>
      </c>
      <c r="E5" s="920">
        <f>+'S2 2020'!P3</f>
        <v>368</v>
      </c>
      <c r="F5" s="920">
        <f>+'S1-S2  2021'!P3</f>
        <v>288</v>
      </c>
      <c r="G5" s="920">
        <f>+'S1 - S2  2022'!P3</f>
        <v>320</v>
      </c>
      <c r="H5" s="920">
        <f>+'S1 - S2  2023'!P3</f>
        <v>320</v>
      </c>
      <c r="I5" s="34"/>
      <c r="J5" s="34"/>
    </row>
    <row r="6" spans="1:10" x14ac:dyDescent="0.15">
      <c r="A6" s="456" t="s">
        <v>2158</v>
      </c>
      <c r="B6" s="535"/>
      <c r="C6" s="458" t="s">
        <v>2158</v>
      </c>
      <c r="D6" s="921">
        <f>+Category!D26</f>
        <v>149</v>
      </c>
      <c r="E6" s="921">
        <f>+'S2 2020'!P4</f>
        <v>552</v>
      </c>
      <c r="F6" s="921">
        <f>+'S1-S2  2021'!P4</f>
        <v>2408</v>
      </c>
      <c r="G6" s="921">
        <f>+'S1 - S2  2022'!P4</f>
        <v>2395</v>
      </c>
      <c r="H6" s="921">
        <f>+'S1 - S2  2023'!P4</f>
        <v>2395</v>
      </c>
      <c r="I6" s="36"/>
      <c r="J6" s="36"/>
    </row>
    <row r="7" spans="1:10" x14ac:dyDescent="0.15">
      <c r="A7" s="456" t="s">
        <v>2159</v>
      </c>
      <c r="B7" s="535"/>
      <c r="C7" s="458" t="s">
        <v>2159</v>
      </c>
      <c r="D7" s="921">
        <f>+Category!D74</f>
        <v>0</v>
      </c>
      <c r="E7" s="921">
        <f>+'S2 2020'!P5</f>
        <v>6</v>
      </c>
      <c r="F7" s="921">
        <f>+'S1-S2  2021'!P5</f>
        <v>66</v>
      </c>
      <c r="G7" s="921">
        <f>+'S1 - S2  2022'!P5</f>
        <v>7</v>
      </c>
      <c r="H7" s="921">
        <f>+'S1 - S2  2023'!P5</f>
        <v>7</v>
      </c>
      <c r="I7" s="36"/>
      <c r="J7" s="36"/>
    </row>
    <row r="8" spans="1:10" x14ac:dyDescent="0.15">
      <c r="A8" s="456" t="s">
        <v>2160</v>
      </c>
      <c r="B8" s="535"/>
      <c r="C8" s="458" t="s">
        <v>2160</v>
      </c>
      <c r="D8" s="921">
        <f>+Category!D103</f>
        <v>2</v>
      </c>
      <c r="E8" s="921">
        <f>+'S2 2020'!P6</f>
        <v>1</v>
      </c>
      <c r="F8" s="921">
        <f>+'S1-S2  2021'!P6</f>
        <v>5</v>
      </c>
      <c r="G8" s="921">
        <f>+'S1 - S2  2022'!P6</f>
        <v>2</v>
      </c>
      <c r="H8" s="921">
        <f>+'S1 - S2  2023'!P6</f>
        <v>2</v>
      </c>
      <c r="I8" s="36"/>
      <c r="J8" s="36"/>
    </row>
    <row r="9" spans="1:10" x14ac:dyDescent="0.15">
      <c r="A9" s="456" t="s">
        <v>2161</v>
      </c>
      <c r="B9" s="535"/>
      <c r="C9" s="458" t="s">
        <v>2161</v>
      </c>
      <c r="D9" s="921">
        <f>+Category!D121</f>
        <v>0</v>
      </c>
      <c r="E9" s="921">
        <f>+'S2 2020'!P7</f>
        <v>6</v>
      </c>
      <c r="F9" s="921">
        <f>+'S1-S2  2021'!P7</f>
        <v>398</v>
      </c>
      <c r="G9" s="921">
        <f>+'S1 - S2  2022'!P7</f>
        <v>391</v>
      </c>
      <c r="H9" s="921">
        <f>+'S1 - S2  2023'!P7</f>
        <v>391</v>
      </c>
      <c r="I9" s="36"/>
      <c r="J9" s="36"/>
    </row>
    <row r="10" spans="1:10" x14ac:dyDescent="0.15">
      <c r="A10" s="456" t="s">
        <v>26</v>
      </c>
      <c r="B10" s="535"/>
      <c r="C10" s="458" t="s">
        <v>26</v>
      </c>
      <c r="D10" s="921">
        <f>+Category!D134</f>
        <v>32</v>
      </c>
      <c r="E10" s="921">
        <f>+'S2 2020'!P8</f>
        <v>68</v>
      </c>
      <c r="F10" s="921">
        <f>+'S1-S2  2021'!P8</f>
        <v>109</v>
      </c>
      <c r="G10" s="921">
        <f>+'S1 - S2  2022'!P8</f>
        <v>74</v>
      </c>
      <c r="H10" s="921">
        <f>+'S1 - S2  2023'!P8</f>
        <v>74</v>
      </c>
      <c r="I10" s="36"/>
      <c r="J10" s="36"/>
    </row>
    <row r="11" spans="1:10" x14ac:dyDescent="0.15">
      <c r="A11" s="456" t="s">
        <v>1054</v>
      </c>
      <c r="B11" s="535"/>
      <c r="C11" s="458" t="s">
        <v>1054</v>
      </c>
      <c r="D11" s="921">
        <f>+Category!D246</f>
        <v>0</v>
      </c>
      <c r="E11" s="921">
        <f>+'S2 2020'!P9</f>
        <v>1</v>
      </c>
      <c r="F11" s="921">
        <f>+'S1-S2  2021'!P9</f>
        <v>0</v>
      </c>
      <c r="G11" s="921">
        <f>+'S1 - S2  2022'!P9</f>
        <v>1</v>
      </c>
      <c r="H11" s="921">
        <f>+'S1 - S2  2023'!P9</f>
        <v>1</v>
      </c>
      <c r="I11" s="36"/>
      <c r="J11" s="36"/>
    </row>
    <row r="12" spans="1:10" x14ac:dyDescent="0.15">
      <c r="A12" s="456" t="s">
        <v>1055</v>
      </c>
      <c r="B12" s="535"/>
      <c r="C12" s="458" t="s">
        <v>1055</v>
      </c>
      <c r="D12" s="921">
        <f>+Category!D278</f>
        <v>0</v>
      </c>
      <c r="E12" s="921">
        <f>+'S2 2020'!P10</f>
        <v>0</v>
      </c>
      <c r="F12" s="921">
        <f>+'S1-S2  2021'!P10</f>
        <v>0</v>
      </c>
      <c r="G12" s="921">
        <f>+'S1 - S2  2022'!P10</f>
        <v>0</v>
      </c>
      <c r="H12" s="921">
        <f>+'S1 - S2  2023'!P10</f>
        <v>0</v>
      </c>
      <c r="I12" s="36"/>
      <c r="J12" s="36"/>
    </row>
    <row r="13" spans="1:10" x14ac:dyDescent="0.15">
      <c r="A13" s="47">
        <v>12</v>
      </c>
      <c r="C13" s="35"/>
      <c r="D13" s="922"/>
      <c r="E13" s="922"/>
      <c r="F13" s="923"/>
      <c r="G13" s="921"/>
      <c r="H13" s="921"/>
      <c r="I13" s="37"/>
      <c r="J13" s="37"/>
    </row>
    <row r="14" spans="1:10" ht="14.25" thickBot="1" x14ac:dyDescent="0.2">
      <c r="C14" s="464" t="s">
        <v>156</v>
      </c>
      <c r="D14" s="574">
        <f>SUM(D5:D13)</f>
        <v>467</v>
      </c>
      <c r="E14" s="574">
        <f>SUM(E5:E13)</f>
        <v>1002</v>
      </c>
      <c r="F14" s="574">
        <f>SUM(F5:F13)</f>
        <v>3274</v>
      </c>
      <c r="G14" s="574">
        <f>SUM(G5:G13)</f>
        <v>3190</v>
      </c>
      <c r="H14" s="574">
        <f>SUM(H5:H13)</f>
        <v>3190</v>
      </c>
      <c r="I14" s="38"/>
      <c r="J14" s="38"/>
    </row>
    <row r="15" spans="1:10" ht="14.25" thickTop="1" x14ac:dyDescent="0.15"/>
    <row r="16" spans="1:10" s="26" customFormat="1" x14ac:dyDescent="0.15">
      <c r="A16" s="48"/>
      <c r="B16" s="536"/>
      <c r="C16" s="27" t="s">
        <v>208</v>
      </c>
      <c r="D16" s="924"/>
      <c r="E16" s="925">
        <f>+Category!K338-E14</f>
        <v>0</v>
      </c>
      <c r="F16" s="925">
        <f>+Category!Y338-F14</f>
        <v>0</v>
      </c>
      <c r="G16" s="925">
        <f>+Category!AM338-G14</f>
        <v>0</v>
      </c>
    </row>
    <row r="17" spans="2:8" ht="5.45" customHeight="1" x14ac:dyDescent="0.15"/>
    <row r="26" spans="2:8" x14ac:dyDescent="0.15">
      <c r="B26" s="1065" t="s">
        <v>2162</v>
      </c>
      <c r="C26" s="1065"/>
      <c r="D26" s="1065"/>
      <c r="E26" s="1065"/>
      <c r="F26" s="1065"/>
      <c r="G26" s="1065"/>
    </row>
    <row r="27" spans="2:8" ht="14.25" thickBot="1" x14ac:dyDescent="0.2"/>
    <row r="28" spans="2:8" ht="14.25" thickBot="1" x14ac:dyDescent="0.2">
      <c r="B28" s="552" t="s">
        <v>1127</v>
      </c>
      <c r="C28" s="551" t="s">
        <v>158</v>
      </c>
      <c r="D28" s="552" t="s">
        <v>1375</v>
      </c>
      <c r="E28" s="919">
        <v>2020</v>
      </c>
      <c r="F28" s="919">
        <f>E28+1</f>
        <v>2021</v>
      </c>
      <c r="G28" s="919">
        <f>F28+1</f>
        <v>2022</v>
      </c>
      <c r="H28" s="1045">
        <f>G28+1</f>
        <v>2023</v>
      </c>
    </row>
    <row r="29" spans="2:8" x14ac:dyDescent="0.15">
      <c r="B29" s="538">
        <v>1</v>
      </c>
      <c r="C29" s="457" t="s">
        <v>32</v>
      </c>
      <c r="D29" s="926">
        <f>SUMIF(Category!$C:$C,'[9]Per baak'!C29,Category!$D:$D)</f>
        <v>0</v>
      </c>
      <c r="E29" s="915">
        <f>SUMIF(Category!$C:$C,'Per anak'!C29,Category!$K:$K)</f>
        <v>8</v>
      </c>
      <c r="F29" s="915">
        <f>SUMIF(Category!$C:$C,'Per anak'!C29,Category!$Y:$Y)</f>
        <v>0</v>
      </c>
      <c r="G29" s="915">
        <f>SUMIF(Category!$C:$C,'Per anak'!C29,Category!$AM:$AM)</f>
        <v>0</v>
      </c>
      <c r="H29" s="1044">
        <f>SUMIF(Category!$C:$C,'Per anak'!C29,Category!$BA:$BA)</f>
        <v>0</v>
      </c>
    </row>
    <row r="30" spans="2:8" x14ac:dyDescent="0.15">
      <c r="B30" s="539">
        <v>2</v>
      </c>
      <c r="C30" s="458" t="s">
        <v>35</v>
      </c>
      <c r="D30" s="927">
        <f>SUMIF(Category!$C:$C,'Per anak'!C30,Category!$D:$D)</f>
        <v>29</v>
      </c>
      <c r="E30" s="915">
        <f>SUMIF(Category!$C:$C,'Per anak'!C30,Category!$K:$K)</f>
        <v>57</v>
      </c>
      <c r="F30" s="915">
        <f>SUMIF(Category!$C:$C,'Per anak'!C30,Category!$Y:$Y)</f>
        <v>57</v>
      </c>
      <c r="G30" s="915">
        <f>SUMIF(Category!$C:$C,'Per anak'!C30,Category!$AM:$AM)</f>
        <v>0</v>
      </c>
      <c r="H30" s="1032">
        <f>SUMIF(Category!$C:$C,'Per anak'!C30,Category!$BA:$BA)</f>
        <v>0</v>
      </c>
    </row>
    <row r="31" spans="2:8" x14ac:dyDescent="0.15">
      <c r="B31" s="539">
        <v>3</v>
      </c>
      <c r="C31" s="458" t="s">
        <v>25</v>
      </c>
      <c r="D31" s="915">
        <f>+Category!D7</f>
        <v>12</v>
      </c>
      <c r="E31" s="915">
        <f>+Category!K7</f>
        <v>0</v>
      </c>
      <c r="F31" s="915">
        <f>+Category!Y7</f>
        <v>12</v>
      </c>
      <c r="G31" s="915">
        <f>+Category!AM7</f>
        <v>12</v>
      </c>
      <c r="H31" s="1032">
        <f>SUMIF(Category!$C:$C,'Per anak'!C31,Category!$BA:$BA)</f>
        <v>0</v>
      </c>
    </row>
    <row r="32" spans="2:8" x14ac:dyDescent="0.15">
      <c r="B32" s="539">
        <v>4</v>
      </c>
      <c r="C32" s="458" t="s">
        <v>48</v>
      </c>
      <c r="D32" s="915">
        <f>+Category!D8</f>
        <v>32</v>
      </c>
      <c r="E32" s="915">
        <f>+Category!K8</f>
        <v>0</v>
      </c>
      <c r="F32" s="915">
        <f>+Category!Y8</f>
        <v>32</v>
      </c>
      <c r="G32" s="915">
        <f>+Category!AM8</f>
        <v>39</v>
      </c>
      <c r="H32" s="1032">
        <f>SUMIF(Category!$C:$C,'Per anak'!C32,Category!$BA:$BA)</f>
        <v>94</v>
      </c>
    </row>
    <row r="33" spans="2:8" x14ac:dyDescent="0.15">
      <c r="B33" s="539">
        <v>5</v>
      </c>
      <c r="C33" s="458" t="s">
        <v>53</v>
      </c>
      <c r="D33" s="915">
        <f>+Category!D9</f>
        <v>67</v>
      </c>
      <c r="E33" s="915">
        <f>+Category!K9</f>
        <v>0</v>
      </c>
      <c r="F33" s="915">
        <f>+Category!Y9</f>
        <v>52</v>
      </c>
      <c r="G33" s="915">
        <f>+Category!AM9</f>
        <v>47</v>
      </c>
      <c r="H33" s="1032">
        <f>SUMIF(Category!$C:$C,'Per anak'!C33,Category!$BA:$BA)</f>
        <v>0</v>
      </c>
    </row>
    <row r="34" spans="2:8" x14ac:dyDescent="0.15">
      <c r="B34" s="539">
        <v>6</v>
      </c>
      <c r="C34" s="458" t="s">
        <v>60</v>
      </c>
      <c r="D34" s="915">
        <f>+Category!D10</f>
        <v>37</v>
      </c>
      <c r="E34" s="915">
        <f>+Category!K10</f>
        <v>37</v>
      </c>
      <c r="F34" s="915">
        <f>+Category!Y10</f>
        <v>0</v>
      </c>
      <c r="G34" s="915">
        <f>+Category!AM10</f>
        <v>37</v>
      </c>
      <c r="H34" s="1032">
        <f>SUMIF(Category!$C:$C,'Per anak'!C34,Category!$BA:$BA)</f>
        <v>0</v>
      </c>
    </row>
    <row r="35" spans="2:8" x14ac:dyDescent="0.15">
      <c r="B35" s="539">
        <v>7</v>
      </c>
      <c r="C35" s="458" t="s">
        <v>64</v>
      </c>
      <c r="D35" s="915">
        <f>+Category!D11</f>
        <v>10</v>
      </c>
      <c r="E35" s="915">
        <f>+Category!K11</f>
        <v>15</v>
      </c>
      <c r="F35" s="915">
        <f>+Category!Y11</f>
        <v>15</v>
      </c>
      <c r="G35" s="915">
        <f>+Category!AM11</f>
        <v>0</v>
      </c>
      <c r="H35" s="1032">
        <f>SUMIF(Category!$C:$C,'Per anak'!C35,Category!$BA:$BA)</f>
        <v>0</v>
      </c>
    </row>
    <row r="36" spans="2:8" x14ac:dyDescent="0.15">
      <c r="B36" s="539">
        <v>8</v>
      </c>
      <c r="C36" s="458" t="s">
        <v>75</v>
      </c>
      <c r="D36" s="915">
        <f>SUMIF(Category!$C:$C,'Per anak'!C36,Category!$D:$D)</f>
        <v>0</v>
      </c>
      <c r="E36" s="915">
        <f>SUMIF(Category!$C:$C,'Per anak'!C36,Category!$K:$K)</f>
        <v>9</v>
      </c>
      <c r="F36" s="915">
        <f>SUMIF(Category!$C:$C,'Per anak'!C36,Category!$Y:$Y)</f>
        <v>9</v>
      </c>
      <c r="G36" s="915">
        <f>SUMIF(Category!$C:$C,'Per anak'!C36,Category!$AM:$AM)</f>
        <v>0</v>
      </c>
      <c r="H36" s="1032">
        <f>SUMIF(Category!$C:$C,'Per anak'!C36,Category!$BA:$BA)</f>
        <v>0</v>
      </c>
    </row>
    <row r="37" spans="2:8" x14ac:dyDescent="0.15">
      <c r="B37" s="539">
        <v>9</v>
      </c>
      <c r="C37" s="458" t="s">
        <v>79</v>
      </c>
      <c r="D37" s="915">
        <f>SUMIF(Category!$C:$C,'Per anak'!C37,Category!$D:$D)</f>
        <v>0</v>
      </c>
      <c r="E37" s="915">
        <f>SUMIF(Category!$C:$C,'Per anak'!C37,Category!$K:$K)</f>
        <v>44</v>
      </c>
      <c r="F37" s="915">
        <f>SUMIF(Category!$C:$C,'Per anak'!C37,Category!$Y:$Y)</f>
        <v>0</v>
      </c>
      <c r="G37" s="915">
        <f>SUMIF(Category!$C:$C,'Per anak'!C37,Category!$AM:$AM)</f>
        <v>0</v>
      </c>
      <c r="H37" s="1032">
        <f>SUMIF(Category!$C:$C,'Per anak'!C37,Category!$BA:$BA)</f>
        <v>0</v>
      </c>
    </row>
    <row r="38" spans="2:8" x14ac:dyDescent="0.15">
      <c r="B38" s="539">
        <v>10</v>
      </c>
      <c r="C38" s="458" t="s">
        <v>83</v>
      </c>
      <c r="D38" s="915">
        <f>SUMIF(Category!$C:$C,'Per anak'!C38,Category!$D:$D)</f>
        <v>0</v>
      </c>
      <c r="E38" s="915">
        <f>SUMIF(Category!$C:$C,'Per anak'!C38,Category!$K:$K)</f>
        <v>20</v>
      </c>
      <c r="F38" s="915">
        <f>SUMIF(Category!$C:$C,'Per anak'!C38,Category!$Y:$Y)</f>
        <v>0</v>
      </c>
      <c r="G38" s="915">
        <f>SUMIF(Category!$C:$C,'Per anak'!C38,Category!$AM:$AM)</f>
        <v>0</v>
      </c>
      <c r="H38" s="1032">
        <f>SUMIF(Category!$C:$C,'Per anak'!C38,Category!$BA:$BA)</f>
        <v>0</v>
      </c>
    </row>
    <row r="39" spans="2:8" x14ac:dyDescent="0.15">
      <c r="B39" s="539">
        <v>11</v>
      </c>
      <c r="C39" s="458" t="s">
        <v>87</v>
      </c>
      <c r="D39" s="915">
        <f>SUMIF(Category!$C:$C,'Per anak'!C39,Category!$D:$D)</f>
        <v>0</v>
      </c>
      <c r="E39" s="915">
        <f>+Category!K15</f>
        <v>0</v>
      </c>
      <c r="F39" s="915">
        <f>+Category!Y15</f>
        <v>20</v>
      </c>
      <c r="G39" s="915">
        <f>+Category!AM15</f>
        <v>24</v>
      </c>
      <c r="H39" s="1032">
        <f>SUMIF(Category!$C:$C,'Per anak'!C39,Category!$BA:$BA)</f>
        <v>0</v>
      </c>
    </row>
    <row r="40" spans="2:8" x14ac:dyDescent="0.15">
      <c r="B40" s="539">
        <v>12</v>
      </c>
      <c r="C40" s="458" t="s">
        <v>90</v>
      </c>
      <c r="D40" s="915">
        <f>SUMIF(Category!$C:$C,'Per anak'!C40,Category!$D:$D)</f>
        <v>0</v>
      </c>
      <c r="E40" s="915">
        <f>SUMIF(Category!$C:$C,'Per anak'!C40,Category!$K:$K)</f>
        <v>25</v>
      </c>
      <c r="F40" s="915">
        <f>SUMIF(Category!$C:$C,'Per anak'!C40,Category!$Y:$Y)</f>
        <v>0</v>
      </c>
      <c r="G40" s="915">
        <f>SUMIF(Category!$C:$C,'Per anak'!C40,Category!$AM:$AM)</f>
        <v>0</v>
      </c>
      <c r="H40" s="1032">
        <f>SUMIF(Category!$C:$C,'Per anak'!C40,Category!$BA:$BA)</f>
        <v>0</v>
      </c>
    </row>
    <row r="41" spans="2:8" x14ac:dyDescent="0.15">
      <c r="B41" s="539">
        <v>13</v>
      </c>
      <c r="C41" s="458" t="s">
        <v>114</v>
      </c>
      <c r="D41" s="915">
        <f>SUMIF(Category!$C:$C,'Per anak'!C41,Category!$D:$D)</f>
        <v>84</v>
      </c>
      <c r="E41" s="915">
        <f>SUMIF(Category!$C:$C,'Per anak'!C41,Category!$K:$K)</f>
        <v>115</v>
      </c>
      <c r="F41" s="915">
        <f>SUMIF(Category!$C:$C,'Per anak'!C41,Category!$Y:$Y)</f>
        <v>0</v>
      </c>
      <c r="G41" s="915">
        <f>SUMIF(Category!$C:$C,'Per anak'!C41,Category!$AM:$AM)</f>
        <v>0</v>
      </c>
      <c r="H41" s="1032">
        <f>SUMIF(Category!$C:$C,'Per anak'!C41,Category!$BA:$BA)</f>
        <v>0</v>
      </c>
    </row>
    <row r="42" spans="2:8" x14ac:dyDescent="0.15">
      <c r="B42" s="539">
        <v>14</v>
      </c>
      <c r="C42" s="458" t="s">
        <v>129</v>
      </c>
      <c r="D42" s="915">
        <f>SUMIF(Category!$C:$C,'Per anak'!C42,Category!$D:$D)</f>
        <v>0</v>
      </c>
      <c r="E42" s="915">
        <f>SUMIF(Category!$C:$C,'Per anak'!C42,Category!$K:$K)</f>
        <v>32</v>
      </c>
      <c r="F42" s="915">
        <f>SUMIF(Category!$C:$C,'Per anak'!C42,Category!$Y:$Y)</f>
        <v>32</v>
      </c>
      <c r="G42" s="915">
        <f>SUMIF(Category!$C:$C,'Per anak'!C42,Category!$AM:$AM)</f>
        <v>32</v>
      </c>
      <c r="H42" s="1032">
        <f>SUMIF(Category!$C:$C,'Per anak'!C42,Category!$BA:$BA)</f>
        <v>40</v>
      </c>
    </row>
    <row r="43" spans="2:8" x14ac:dyDescent="0.15">
      <c r="B43" s="539">
        <v>15</v>
      </c>
      <c r="C43" s="458" t="s">
        <v>106</v>
      </c>
      <c r="D43" s="915">
        <f>SUMIF(Category!$C:$C,'Per anak'!C43,Category!$D:$D)</f>
        <v>0</v>
      </c>
      <c r="E43" s="915">
        <f>SUMIF(Category!$C:$C,'Per anak'!C43,Category!$K:$K)</f>
        <v>12</v>
      </c>
      <c r="F43" s="915">
        <f>SUMIF(Category!$C:$C,'Per anak'!C43,Category!$Y:$Y)</f>
        <v>0</v>
      </c>
      <c r="G43" s="915">
        <f>+Category!AM19</f>
        <v>85</v>
      </c>
      <c r="H43" s="1032">
        <f>SUMIF(Category!$C:$C,'Per anak'!C43,Category!$BA:$BA)</f>
        <v>0</v>
      </c>
    </row>
    <row r="44" spans="2:8" x14ac:dyDescent="0.15">
      <c r="B44" s="539">
        <v>16</v>
      </c>
      <c r="C44" s="458" t="s">
        <v>486</v>
      </c>
      <c r="D44" s="915">
        <f>SUMIF(Category!$C:$C,'Per anak'!C44,Category!$D:$D)</f>
        <v>0</v>
      </c>
      <c r="E44" s="915">
        <f>SUMIF(Category!$C:$C,'Per anak'!C44,Category!$K:$K)</f>
        <v>0</v>
      </c>
      <c r="F44" s="915">
        <f>SUMIF(Category!$C:$C,'Per anak'!C44,Category!$Y:$Y)</f>
        <v>44</v>
      </c>
      <c r="G44" s="915">
        <f>SUMIF(Category!$C:$C,'Per anak'!C44,Category!$AM:$AM)</f>
        <v>44</v>
      </c>
      <c r="H44" s="1032">
        <f>SUMIF(Category!$C:$C,'Per anak'!C44,Category!$BA:$BA)</f>
        <v>0</v>
      </c>
    </row>
    <row r="45" spans="2:8" x14ac:dyDescent="0.15">
      <c r="B45" s="539">
        <v>17</v>
      </c>
      <c r="C45" s="458" t="s">
        <v>588</v>
      </c>
      <c r="D45" s="915">
        <f>SUMIF(Category!$C:$C,'Per anak'!C45,Category!$D:$D)</f>
        <v>0</v>
      </c>
      <c r="E45" s="915">
        <f>SUMIF(Category!$C:$C,'Per anak'!C45,Category!$K:$K)</f>
        <v>0</v>
      </c>
      <c r="F45" s="915">
        <f>SUMIF(Category!$C:$C,'Per anak'!C45,Category!$Y:$Y)</f>
        <v>0</v>
      </c>
      <c r="G45" s="915">
        <f>SUMIF(Category!$C:$C,'Per anak'!C45,Category!$AM:$AM)</f>
        <v>0</v>
      </c>
      <c r="H45" s="1032">
        <f>SUMIF(Category!$C:$C,'Per anak'!C45,Category!$BA:$BA)</f>
        <v>0</v>
      </c>
    </row>
    <row r="46" spans="2:8" x14ac:dyDescent="0.15">
      <c r="B46" s="539">
        <v>18</v>
      </c>
      <c r="C46" s="458" t="s">
        <v>618</v>
      </c>
      <c r="D46" s="915">
        <f>SUMIF(Category!$C:$C,'Per anak'!C46,Category!$D:$D)</f>
        <v>0</v>
      </c>
      <c r="E46" s="915">
        <f>SUMIF(Category!$C:$C,'Per anak'!C46,Category!$K:$K)</f>
        <v>0</v>
      </c>
      <c r="F46" s="915">
        <f>SUMIF(Category!$C:$C,'Per anak'!C46,Category!$Y:$Y)</f>
        <v>5</v>
      </c>
      <c r="G46" s="915">
        <f>SUMIF(Category!$C:$C,'Per anak'!C46,Category!$AM:$AM)</f>
        <v>0</v>
      </c>
      <c r="H46" s="1032">
        <f>SUMIF(Category!$C:$C,'Per anak'!C46,Category!$BA:$BA)</f>
        <v>0</v>
      </c>
    </row>
    <row r="47" spans="2:8" x14ac:dyDescent="0.15">
      <c r="B47" s="539">
        <v>19</v>
      </c>
      <c r="C47" s="458" t="s">
        <v>619</v>
      </c>
      <c r="D47" s="915">
        <f>SUMIF(Category!$C:$C,'Per anak'!C47,Category!$D:$D)</f>
        <v>0</v>
      </c>
      <c r="E47" s="915">
        <f>SUMIF(Category!$C:$C,'Per anak'!C47,Category!$K:$K)</f>
        <v>0</v>
      </c>
      <c r="F47" s="915">
        <f>SUMIF(Category!$C:$C,'Per anak'!C47,Category!$Y:$Y)</f>
        <v>5</v>
      </c>
      <c r="G47" s="915">
        <f>SUMIF(Category!$C:$C,'Per anak'!C47,Category!$AM:$AM)</f>
        <v>0</v>
      </c>
      <c r="H47" s="1032">
        <f>SUMIF(Category!$C:$C,'Per anak'!C47,Category!$BA:$BA)</f>
        <v>0</v>
      </c>
    </row>
    <row r="48" spans="2:8" x14ac:dyDescent="0.15">
      <c r="B48" s="539">
        <v>20</v>
      </c>
      <c r="C48" s="458" t="s">
        <v>620</v>
      </c>
      <c r="D48" s="915">
        <f>SUMIF(Category!$C:$C,'Per anak'!C48,Category!$D:$D)</f>
        <v>0</v>
      </c>
      <c r="E48" s="915">
        <f>SUMIF(Category!$C:$C,'Per anak'!C48,Category!$K:$K)</f>
        <v>0</v>
      </c>
      <c r="F48" s="915">
        <f>SUMIF(Category!$C:$C,'Per anak'!C48,Category!$Y:$Y)</f>
        <v>5</v>
      </c>
      <c r="G48" s="915">
        <f>SUMIF(Category!$C:$C,'Per anak'!C48,Category!$AM:$AM)</f>
        <v>0</v>
      </c>
      <c r="H48" s="1032">
        <f>SUMIF(Category!$C:$C,'Per anak'!C48,Category!$BA:$BA)</f>
        <v>0</v>
      </c>
    </row>
    <row r="49" spans="2:8" x14ac:dyDescent="0.15">
      <c r="B49" s="539">
        <v>21</v>
      </c>
      <c r="C49" s="540" t="s">
        <v>1231</v>
      </c>
      <c r="D49" s="915">
        <f>SUMIF(Category!$C:$C,'Per anak'!C49,Category!$D:$D)</f>
        <v>13</v>
      </c>
      <c r="E49" s="915">
        <f>SUMIF(Category!$C:$C,'Per anak'!C49,Category!$K:$K)</f>
        <v>0</v>
      </c>
      <c r="F49" s="915">
        <f>SUMIF(Category!$C:$C,'Per anak'!C49,Category!$Y:$Y)</f>
        <v>0</v>
      </c>
      <c r="G49" s="915">
        <f>SUMIF(Category!$C:$C,'Per anak'!C49,Category!$AM:$AM)</f>
        <v>0</v>
      </c>
      <c r="H49" s="1032">
        <f>SUMIF(Category!$C:$C,'Per anak'!C49,Category!$BA:$BA)</f>
        <v>0</v>
      </c>
    </row>
    <row r="50" spans="2:8" x14ac:dyDescent="0.15">
      <c r="B50" s="541"/>
      <c r="C50" s="540"/>
      <c r="D50" s="917"/>
      <c r="E50" s="918"/>
      <c r="F50" s="918"/>
      <c r="G50" s="918"/>
      <c r="H50" s="1032"/>
    </row>
    <row r="51" spans="2:8" ht="14.25" thickBot="1" x14ac:dyDescent="0.2">
      <c r="B51" s="553"/>
      <c r="C51" s="554" t="s">
        <v>156</v>
      </c>
      <c r="D51" s="557">
        <f>SUM(D29:D50)</f>
        <v>284</v>
      </c>
      <c r="E51" s="557">
        <f>SUM(E29:E50)</f>
        <v>374</v>
      </c>
      <c r="F51" s="557">
        <f>SUM(F29:F50)</f>
        <v>288</v>
      </c>
      <c r="G51" s="557">
        <f>SUM(G29:G50)</f>
        <v>320</v>
      </c>
      <c r="H51" s="557">
        <f>SUM(H29:H50)</f>
        <v>134</v>
      </c>
    </row>
    <row r="52" spans="2:8" ht="14.25" thickTop="1" x14ac:dyDescent="0.15">
      <c r="B52" s="542"/>
    </row>
    <row r="53" spans="2:8" x14ac:dyDescent="0.15">
      <c r="B53" s="543"/>
      <c r="C53" s="27" t="s">
        <v>208</v>
      </c>
    </row>
    <row r="57" spans="2:8" x14ac:dyDescent="0.15">
      <c r="B57" s="1065" t="s">
        <v>1377</v>
      </c>
      <c r="C57" s="1065"/>
      <c r="D57" s="1065"/>
      <c r="E57" s="1065"/>
      <c r="F57" s="1065"/>
      <c r="G57" s="1065"/>
    </row>
    <row r="58" spans="2:8" ht="14.25" thickBot="1" x14ac:dyDescent="0.2"/>
    <row r="59" spans="2:8" ht="14.25" thickBot="1" x14ac:dyDescent="0.2">
      <c r="B59" s="552" t="s">
        <v>1127</v>
      </c>
      <c r="C59" s="551" t="s">
        <v>158</v>
      </c>
      <c r="D59" s="552" t="s">
        <v>1375</v>
      </c>
      <c r="E59" s="919">
        <v>2020</v>
      </c>
      <c r="F59" s="919">
        <f>E59+1</f>
        <v>2021</v>
      </c>
      <c r="G59" s="919">
        <f>F59+1</f>
        <v>2022</v>
      </c>
      <c r="H59" s="1045">
        <f>G59+1</f>
        <v>2023</v>
      </c>
    </row>
    <row r="60" spans="2:8" x14ac:dyDescent="0.15">
      <c r="B60" s="538">
        <v>1</v>
      </c>
      <c r="C60" s="457" t="s">
        <v>872</v>
      </c>
      <c r="D60" s="915">
        <f>SUMIF(Category!$C:$C,'Per anak'!C60,Category!$D:$D)</f>
        <v>0</v>
      </c>
      <c r="E60" s="915">
        <f>SUMIF(Category!$C:$C,'Per anak'!C60,Category!$K:$K)</f>
        <v>70</v>
      </c>
      <c r="F60" s="915">
        <f>SUMIF(Category!$C:$C,'Per anak'!C60,Category!$Y:$Y)</f>
        <v>70</v>
      </c>
      <c r="G60" s="915">
        <f>SUMIF(Category!$C:$C,'Per anak'!C60,Category!$AM:$AM)</f>
        <v>59</v>
      </c>
      <c r="H60" s="927">
        <f>SUMIF(Category!$C:$C,'Per anak'!C60,Category!$BA:$BA)</f>
        <v>59</v>
      </c>
    </row>
    <row r="61" spans="2:8" x14ac:dyDescent="0.15">
      <c r="B61" s="539">
        <v>2</v>
      </c>
      <c r="C61" s="458" t="s">
        <v>256</v>
      </c>
      <c r="D61" s="915">
        <f>SUMIF(Category!$C:$C,'Per anak'!C61,Category!$D:$D)</f>
        <v>16</v>
      </c>
      <c r="E61" s="915">
        <f>SUMIF(Category!$C:$C,'Per anak'!C61,Category!$K:$K)</f>
        <v>16</v>
      </c>
      <c r="F61" s="915">
        <f>SUMIF(Category!$C:$C,'Per anak'!C61,Category!$Y:$Y)</f>
        <v>86</v>
      </c>
      <c r="G61" s="915">
        <f>SUMIF(Category!$C:$C,'Per anak'!C61,Category!$AM:$AM)</f>
        <v>86</v>
      </c>
      <c r="H61" s="915">
        <f>SUMIF(Category!$C:$C,'Per anak'!C61,Category!$BA:$BA)</f>
        <v>0</v>
      </c>
    </row>
    <row r="62" spans="2:8" x14ac:dyDescent="0.15">
      <c r="B62" s="539">
        <v>3</v>
      </c>
      <c r="C62" s="458" t="s">
        <v>124</v>
      </c>
      <c r="D62" s="915">
        <f>SUMIF(Category!$C:$C,'Per anak'!C62,Category!$D:$D)</f>
        <v>0</v>
      </c>
      <c r="E62" s="915">
        <f>SUMIF(Category!$C:$C,'Per anak'!C62,Category!$K:$K)</f>
        <v>119</v>
      </c>
      <c r="F62" s="915">
        <f>SUMIF(Category!$C:$C,'Per anak'!C62,Category!$Y:$Y)</f>
        <v>119</v>
      </c>
      <c r="G62" s="915">
        <f>SUMIF(Category!$C:$C,'Per anak'!C62,Category!$AM:$AM)</f>
        <v>119</v>
      </c>
      <c r="H62" s="915">
        <f>SUMIF(Category!$C:$C,'Per anak'!C62,Category!$BA:$BA)</f>
        <v>75</v>
      </c>
    </row>
    <row r="63" spans="2:8" x14ac:dyDescent="0.15">
      <c r="B63" s="539">
        <v>4</v>
      </c>
      <c r="C63" s="458" t="s">
        <v>869</v>
      </c>
      <c r="D63" s="915">
        <f>SUMIF(Category!$C:$C,'Per anak'!C63,Category!$D:$D)</f>
        <v>0</v>
      </c>
      <c r="E63" s="915">
        <f>SUMIF(Category!$C:$C,'Per anak'!C63,Category!$K:$K)</f>
        <v>98</v>
      </c>
      <c r="F63" s="915">
        <f>SUMIF(Category!$C:$C,'Per anak'!C63,Category!$Y:$Y)</f>
        <v>98</v>
      </c>
      <c r="G63" s="915">
        <f>SUMIF(Category!$C:$C,'Per anak'!C63,Category!$AM:$AM)</f>
        <v>93</v>
      </c>
      <c r="H63" s="915">
        <f>SUMIF(Category!$C:$C,'Per anak'!C63,Category!$BA:$BA)</f>
        <v>78</v>
      </c>
    </row>
    <row r="64" spans="2:8" x14ac:dyDescent="0.15">
      <c r="B64" s="539">
        <v>5</v>
      </c>
      <c r="C64" s="458" t="s">
        <v>868</v>
      </c>
      <c r="D64" s="915">
        <f>SUMIF(Category!$C:$C,'Per anak'!C64,Category!$D:$D)</f>
        <v>0</v>
      </c>
      <c r="E64" s="915">
        <f>SUMIF(Category!$C:$C,'Per anak'!C64,Category!$K:$K)</f>
        <v>28</v>
      </c>
      <c r="F64" s="915">
        <f>SUMIF(Category!$C:$C,'Per anak'!C64,Category!$Y:$Y)</f>
        <v>28</v>
      </c>
      <c r="G64" s="915">
        <f>SUMIF(Category!$C:$C,'Per anak'!C64,Category!$AM:$AM)</f>
        <v>27</v>
      </c>
      <c r="H64" s="915">
        <f>SUMIF(Category!$C:$C,'Per anak'!C64,Category!$BA:$BA)</f>
        <v>27</v>
      </c>
    </row>
    <row r="65" spans="2:8" x14ac:dyDescent="0.15">
      <c r="B65" s="539">
        <v>6</v>
      </c>
      <c r="C65" s="458" t="s">
        <v>229</v>
      </c>
      <c r="D65" s="915">
        <f>SUMIF(Category!$C:$C,'Per anak'!C65,Category!$D:$D)</f>
        <v>0</v>
      </c>
      <c r="E65" s="915">
        <f>SUMIF(Category!$C:$C,'Per anak'!C65,Category!$K:$K)</f>
        <v>40</v>
      </c>
      <c r="F65" s="915">
        <f>SUMIF(Category!$C:$C,'Per anak'!C65,Category!$Y:$Y)</f>
        <v>40</v>
      </c>
      <c r="G65" s="915">
        <f>SUMIF(Category!$C:$C,'Per anak'!C65,Category!$AM:$AM)</f>
        <v>40</v>
      </c>
      <c r="H65" s="915">
        <f>SUMIF(Category!$C:$C,'Per anak'!C65,Category!$BA:$BA)</f>
        <v>48</v>
      </c>
    </row>
    <row r="66" spans="2:8" x14ac:dyDescent="0.15">
      <c r="B66" s="539">
        <v>7</v>
      </c>
      <c r="C66" s="458" t="s">
        <v>848</v>
      </c>
      <c r="D66" s="915">
        <f>SUMIF(Category!$C:$C,'Per anak'!C66,Category!$D:$D)</f>
        <v>0</v>
      </c>
      <c r="E66" s="915">
        <f>SUMIF(Category!$C:$C,'Per anak'!C66,Category!$K:$K)</f>
        <v>0</v>
      </c>
      <c r="F66" s="915">
        <f>SUMIF(Category!$C:$C,'Per anak'!C66,Category!$Y:$Y)</f>
        <v>36</v>
      </c>
      <c r="G66" s="915">
        <f>SUMIF(Category!$C:$C,'Per anak'!C66,Category!$AM:$AM)</f>
        <v>36</v>
      </c>
      <c r="H66" s="915">
        <f>SUMIF(Category!$C:$C,'Per anak'!C66,Category!$BA:$BA)</f>
        <v>36</v>
      </c>
    </row>
    <row r="67" spans="2:8" x14ac:dyDescent="0.15">
      <c r="B67" s="539">
        <v>8</v>
      </c>
      <c r="C67" s="458" t="s">
        <v>867</v>
      </c>
      <c r="D67" s="915">
        <f>SUMIF(Category!$C:$C,'Per anak'!C67,Category!$D:$D)</f>
        <v>0</v>
      </c>
      <c r="E67" s="915">
        <f>SUMIF(Category!$C:$C,'Per anak'!C67,Category!$K:$K)</f>
        <v>0</v>
      </c>
      <c r="F67" s="915">
        <f>SUMIF(Category!$C:$C,'Per anak'!C67,Category!$Y:$Y)</f>
        <v>83</v>
      </c>
      <c r="G67" s="915">
        <f>SUMIF(Category!$C:$C,'Per anak'!C67,Category!$AM:$AM)</f>
        <v>129</v>
      </c>
      <c r="H67" s="915">
        <f>SUMIF(Category!$C:$C,'Per anak'!C67,Category!$BA:$BA)</f>
        <v>129</v>
      </c>
    </row>
    <row r="68" spans="2:8" x14ac:dyDescent="0.15">
      <c r="B68" s="539">
        <v>9</v>
      </c>
      <c r="C68" s="458" t="s">
        <v>238</v>
      </c>
      <c r="D68" s="915">
        <f>SUMIF(Category!$C:$C,'Per anak'!C68,Category!$D:$D)</f>
        <v>0</v>
      </c>
      <c r="E68" s="915">
        <f>SUMIF(Category!$C:$C,'Per anak'!C68,Category!$K:$K)</f>
        <v>0</v>
      </c>
      <c r="F68" s="915">
        <f>SUMIF(Category!$C:$C,'Per anak'!C68,Category!$Y:$Y)</f>
        <v>40</v>
      </c>
      <c r="G68" s="915">
        <f>SUMIF(Category!$C:$C,'Per anak'!C68,Category!$AM:$AM)</f>
        <v>42</v>
      </c>
      <c r="H68" s="915">
        <f>SUMIF(Category!$C:$C,'Per anak'!C68,Category!$BA:$BA)</f>
        <v>46</v>
      </c>
    </row>
    <row r="69" spans="2:8" x14ac:dyDescent="0.15">
      <c r="B69" s="539">
        <v>10</v>
      </c>
      <c r="C69" s="458" t="s">
        <v>849</v>
      </c>
      <c r="D69" s="915">
        <f>SUMIF(Category!$C:$C,'Per anak'!C69,Category!$D:$D)</f>
        <v>0</v>
      </c>
      <c r="E69" s="915">
        <f>SUMIF(Category!$C:$C,'Per anak'!C69,Category!$K:$K)</f>
        <v>0</v>
      </c>
      <c r="F69" s="915">
        <f>SUMIF(Category!$C:$C,'Per anak'!C69,Category!$Y:$Y)</f>
        <v>63</v>
      </c>
      <c r="G69" s="915">
        <f>SUMIF(Category!$C:$C,'Per anak'!C69,Category!$AM:$AM)</f>
        <v>63</v>
      </c>
      <c r="H69" s="915">
        <f>SUMIF(Category!$C:$C,'Per anak'!C69,Category!$BA:$BA)</f>
        <v>53</v>
      </c>
    </row>
    <row r="70" spans="2:8" x14ac:dyDescent="0.15">
      <c r="B70" s="539">
        <v>11</v>
      </c>
      <c r="C70" s="458" t="s">
        <v>850</v>
      </c>
      <c r="D70" s="915">
        <f>SUMIF(Category!$C:$C,'Per anak'!C70,Category!$D:$D)</f>
        <v>0</v>
      </c>
      <c r="E70" s="915">
        <f>SUMIF(Category!$C:$C,'Per anak'!C70,Category!$K:$K)</f>
        <v>0</v>
      </c>
      <c r="F70" s="915">
        <f>SUMIF(Category!$C:$C,'Per anak'!C70,Category!$Y:$Y)</f>
        <v>57</v>
      </c>
      <c r="G70" s="915">
        <f>SUMIF(Category!$C:$C,'Per anak'!C70,Category!$AM:$AM)</f>
        <v>61</v>
      </c>
      <c r="H70" s="915">
        <f>SUMIF(Category!$C:$C,'Per anak'!C70,Category!$BA:$BA)</f>
        <v>61</v>
      </c>
    </row>
    <row r="71" spans="2:8" x14ac:dyDescent="0.15">
      <c r="B71" s="539">
        <v>12</v>
      </c>
      <c r="C71" s="458" t="s">
        <v>851</v>
      </c>
      <c r="D71" s="915">
        <f>SUMIF(Category!$C:$C,'Per anak'!C71,Category!$D:$D)</f>
        <v>0</v>
      </c>
      <c r="E71" s="915">
        <f>SUMIF(Category!$C:$C,'Per anak'!C71,Category!$K:$K)</f>
        <v>0</v>
      </c>
      <c r="F71" s="915">
        <f>SUMIF(Category!$C:$C,'Per anak'!C71,Category!$Y:$Y)</f>
        <v>22</v>
      </c>
      <c r="G71" s="915">
        <f>SUMIF(Category!$C:$C,'Per anak'!C71,Category!$AM:$AM)</f>
        <v>22</v>
      </c>
      <c r="H71" s="915">
        <f>SUMIF(Category!$C:$C,'Per anak'!C71,Category!$BA:$BA)</f>
        <v>27</v>
      </c>
    </row>
    <row r="72" spans="2:8" x14ac:dyDescent="0.15">
      <c r="B72" s="539">
        <v>13</v>
      </c>
      <c r="C72" s="458" t="s">
        <v>853</v>
      </c>
      <c r="D72" s="915">
        <f>SUMIF(Category!$C:$C,'Per anak'!C72,Category!$D:$D)</f>
        <v>0</v>
      </c>
      <c r="E72" s="915">
        <f>SUMIF(Category!$C:$C,'Per anak'!C72,Category!$K:$K)</f>
        <v>0</v>
      </c>
      <c r="F72" s="915">
        <f>SUMIF(Category!$C:$C,'Per anak'!C72,Category!$Y:$Y)</f>
        <v>26</v>
      </c>
      <c r="G72" s="915">
        <f>SUMIF(Category!$C:$C,'Per anak'!C72,Category!$AM:$AM)</f>
        <v>25</v>
      </c>
      <c r="H72" s="915">
        <f>SUMIF(Category!$C:$C,'Per anak'!C72,Category!$BA:$BA)</f>
        <v>25</v>
      </c>
    </row>
    <row r="73" spans="2:8" x14ac:dyDescent="0.15">
      <c r="B73" s="539">
        <v>14</v>
      </c>
      <c r="C73" s="458" t="s">
        <v>854</v>
      </c>
      <c r="D73" s="915">
        <f>SUMIF(Category!$C:$C,'Per anak'!C73,Category!$D:$D)</f>
        <v>0</v>
      </c>
      <c r="E73" s="915">
        <f>SUMIF(Category!$C:$C,'Per anak'!C73,Category!$K:$K)</f>
        <v>0</v>
      </c>
      <c r="F73" s="915">
        <f>SUMIF(Category!$C:$C,'Per anak'!C73,Category!$Y:$Y)</f>
        <v>150</v>
      </c>
      <c r="G73" s="915">
        <f>SUMIF(Category!$C:$C,'Per anak'!C73,Category!$AM:$AM)</f>
        <v>118</v>
      </c>
      <c r="H73" s="915">
        <f>SUMIF(Category!$C:$C,'Per anak'!C73,Category!$BA:$BA)</f>
        <v>118</v>
      </c>
    </row>
    <row r="74" spans="2:8" x14ac:dyDescent="0.15">
      <c r="B74" s="539">
        <v>15</v>
      </c>
      <c r="C74" s="458" t="s">
        <v>855</v>
      </c>
      <c r="D74" s="915">
        <f>SUMIF(Category!$C:$C,'Per anak'!C74,Category!$D:$D)</f>
        <v>0</v>
      </c>
      <c r="E74" s="915">
        <f>SUMIF(Category!$C:$C,'Per anak'!C74,Category!$K:$K)</f>
        <v>0</v>
      </c>
      <c r="F74" s="915">
        <f>SUMIF(Category!$C:$C,'Per anak'!C74,Category!$Y:$Y)</f>
        <v>91</v>
      </c>
      <c r="G74" s="915">
        <f>SUMIF(Category!$C:$C,'Per anak'!C74,Category!$AM:$AM)</f>
        <v>91</v>
      </c>
      <c r="H74" s="915">
        <f>SUMIF(Category!$C:$C,'Per anak'!C74,Category!$BA:$BA)</f>
        <v>91</v>
      </c>
    </row>
    <row r="75" spans="2:8" x14ac:dyDescent="0.15">
      <c r="B75" s="539">
        <v>16</v>
      </c>
      <c r="C75" s="458" t="s">
        <v>856</v>
      </c>
      <c r="D75" s="915">
        <f>SUMIF(Category!$C:$C,'Per anak'!C75,Category!$D:$D)</f>
        <v>0</v>
      </c>
      <c r="E75" s="915">
        <f>SUMIF(Category!$C:$C,'Per anak'!C75,Category!$K:$K)</f>
        <v>0</v>
      </c>
      <c r="F75" s="915">
        <f>SUMIF(Category!$C:$C,'Per anak'!C75,Category!$Y:$Y)</f>
        <v>52</v>
      </c>
      <c r="G75" s="915">
        <f>SUMIF(Category!$C:$C,'Per anak'!C75,Category!$AM:$AM)</f>
        <v>32</v>
      </c>
      <c r="H75" s="915">
        <f>SUMIF(Category!$C:$C,'Per anak'!C75,Category!$BA:$BA)</f>
        <v>32</v>
      </c>
    </row>
    <row r="76" spans="2:8" x14ac:dyDescent="0.15">
      <c r="B76" s="539">
        <v>17</v>
      </c>
      <c r="C76" s="458" t="s">
        <v>857</v>
      </c>
      <c r="D76" s="915">
        <f>SUMIF(Category!$C:$C,'Per anak'!C76,Category!$D:$D)</f>
        <v>0</v>
      </c>
      <c r="E76" s="915">
        <f>SUMIF(Category!$C:$C,'Per anak'!C76,Category!$K:$K)</f>
        <v>0</v>
      </c>
      <c r="F76" s="915">
        <f>SUMIF(Category!$C:$C,'Per anak'!C76,Category!$Y:$Y)</f>
        <v>52</v>
      </c>
      <c r="G76" s="915">
        <f>SUMIF(Category!$C:$C,'Per anak'!C76,Category!$AM:$AM)</f>
        <v>78</v>
      </c>
      <c r="H76" s="915">
        <f>SUMIF(Category!$C:$C,'Per anak'!C76,Category!$BA:$BA)</f>
        <v>38</v>
      </c>
    </row>
    <row r="77" spans="2:8" x14ac:dyDescent="0.15">
      <c r="B77" s="539">
        <v>18</v>
      </c>
      <c r="C77" s="458" t="s">
        <v>361</v>
      </c>
      <c r="D77" s="915">
        <f>SUMIF(Category!$C:$C,'Per anak'!C77,Category!$D:$D)</f>
        <v>0</v>
      </c>
      <c r="E77" s="915">
        <f>SUMIF(Category!$C:$C,'Per anak'!C77,Category!$K:$K)</f>
        <v>0</v>
      </c>
      <c r="F77" s="915">
        <f>SUMIF(Category!$C:$C,'Per anak'!C77,Category!$Y:$Y)</f>
        <v>150</v>
      </c>
      <c r="G77" s="915">
        <f>SUMIF(Category!$C:$C,'Per anak'!C77,Category!$AM:$AM)</f>
        <v>0</v>
      </c>
      <c r="H77" s="915">
        <f>SUMIF(Category!$C:$C,'Per anak'!C77,Category!$BA:$BA)</f>
        <v>0</v>
      </c>
    </row>
    <row r="78" spans="2:8" x14ac:dyDescent="0.15">
      <c r="B78" s="539">
        <v>19</v>
      </c>
      <c r="C78" s="458" t="s">
        <v>362</v>
      </c>
      <c r="D78" s="915">
        <f>SUMIF(Category!$C:$C,'Per anak'!C78,Category!$D:$D)</f>
        <v>0</v>
      </c>
      <c r="E78" s="915">
        <f>SUMIF(Category!$C:$C,'Per anak'!C78,Category!$K:$K)</f>
        <v>0</v>
      </c>
      <c r="F78" s="915">
        <f>SUMIF(Category!$C:$C,'Per anak'!C78,Category!$Y:$Y)</f>
        <v>128</v>
      </c>
      <c r="G78" s="915">
        <f>SUMIF(Category!$C:$C,'Per anak'!C78,Category!$AM:$AM)</f>
        <v>137</v>
      </c>
      <c r="H78" s="915">
        <f>SUMIF(Category!$C:$C,'Per anak'!C78,Category!$BA:$BA)</f>
        <v>137</v>
      </c>
    </row>
    <row r="79" spans="2:8" x14ac:dyDescent="0.15">
      <c r="B79" s="539">
        <v>20</v>
      </c>
      <c r="C79" s="458" t="s">
        <v>858</v>
      </c>
      <c r="D79" s="915">
        <f>SUMIF(Category!$C:$C,'Per anak'!C79,Category!$D:$D)</f>
        <v>0</v>
      </c>
      <c r="E79" s="915">
        <f>SUMIF(Category!$C:$C,'Per anak'!C79,Category!$K:$K)</f>
        <v>0</v>
      </c>
      <c r="F79" s="915">
        <f>SUMIF(Category!$C:$C,'Per anak'!C79,Category!$Y:$Y)</f>
        <v>12</v>
      </c>
      <c r="G79" s="915">
        <f>SUMIF(Category!$C:$C,'Per anak'!C79,Category!$AM:$AM)</f>
        <v>12</v>
      </c>
      <c r="H79" s="915">
        <f>SUMIF(Category!$C:$C,'Per anak'!C79,Category!$BA:$BA)</f>
        <v>320</v>
      </c>
    </row>
    <row r="80" spans="2:8" x14ac:dyDescent="0.15">
      <c r="B80" s="539">
        <v>21</v>
      </c>
      <c r="C80" s="458" t="s">
        <v>859</v>
      </c>
      <c r="D80" s="915">
        <f>SUMIF(Category!$C:$C,'Per anak'!C80,Category!$D:$D)</f>
        <v>0</v>
      </c>
      <c r="E80" s="915">
        <f>SUMIF(Category!$C:$C,'Per anak'!C80,Category!$K:$K)</f>
        <v>0</v>
      </c>
      <c r="F80" s="915">
        <f>SUMIF(Category!$C:$C,'Per anak'!C80,Category!$Y:$Y)</f>
        <v>23</v>
      </c>
      <c r="G80" s="915">
        <f>SUMIF(Category!$C:$C,'Per anak'!C80,Category!$AM:$AM)</f>
        <v>23</v>
      </c>
      <c r="H80" s="915">
        <f>SUMIF(Category!$C:$C,'Per anak'!C80,Category!$BA:$BA)</f>
        <v>25</v>
      </c>
    </row>
    <row r="81" spans="2:8" x14ac:dyDescent="0.15">
      <c r="B81" s="539">
        <v>22</v>
      </c>
      <c r="C81" s="458" t="s">
        <v>391</v>
      </c>
      <c r="D81" s="915">
        <f>SUMIF(Category!$C:$C,'Per anak'!C81,Category!$D:$D)</f>
        <v>0</v>
      </c>
      <c r="E81" s="915">
        <f>SUMIF(Category!$C:$C,'Per anak'!C81,Category!$K:$K)</f>
        <v>0</v>
      </c>
      <c r="F81" s="915">
        <f>SUMIF(Category!$C:$C,'Per anak'!C81,Category!$Y:$Y)</f>
        <v>40</v>
      </c>
      <c r="G81" s="915">
        <f>SUMIF(Category!$C:$C,'Per anak'!C81,Category!$AM:$AM)</f>
        <v>40</v>
      </c>
      <c r="H81" s="915">
        <f>SUMIF(Category!$C:$C,'Per anak'!C81,Category!$BA:$BA)</f>
        <v>40</v>
      </c>
    </row>
    <row r="82" spans="2:8" x14ac:dyDescent="0.15">
      <c r="B82" s="539">
        <v>23</v>
      </c>
      <c r="C82" s="458" t="s">
        <v>860</v>
      </c>
      <c r="D82" s="915">
        <f>SUMIF(Category!$C:$C,'Per anak'!C82,Category!$D:$D)</f>
        <v>0</v>
      </c>
      <c r="E82" s="915">
        <f>SUMIF(Category!$C:$C,'Per anak'!C82,Category!$K:$K)</f>
        <v>0</v>
      </c>
      <c r="F82" s="915">
        <f>SUMIF(Category!$C:$C,'Per anak'!C82,Category!$Y:$Y)</f>
        <v>69</v>
      </c>
      <c r="G82" s="915">
        <f>SUMIF(Category!$C:$C,'Per anak'!C82,Category!$AM:$AM)</f>
        <v>45</v>
      </c>
      <c r="H82" s="915">
        <f>SUMIF(Category!$C:$C,'Per anak'!C82,Category!$BA:$BA)</f>
        <v>45</v>
      </c>
    </row>
    <row r="83" spans="2:8" x14ac:dyDescent="0.15">
      <c r="B83" s="539">
        <v>24</v>
      </c>
      <c r="C83" s="458" t="s">
        <v>861</v>
      </c>
      <c r="D83" s="915">
        <f>SUMIF(Category!$C:$C,'Per anak'!C83,Category!$D:$D)</f>
        <v>0</v>
      </c>
      <c r="E83" s="915">
        <f>SUMIF(Category!$C:$C,'Per anak'!C83,Category!$K:$K)</f>
        <v>0</v>
      </c>
      <c r="F83" s="915">
        <f>SUMIF(Category!$C:$C,'Per anak'!C83,Category!$Y:$Y)</f>
        <v>54</v>
      </c>
      <c r="G83" s="915">
        <f>SUMIF(Category!$C:$C,'Per anak'!C83,Category!$AM:$AM)</f>
        <v>65</v>
      </c>
      <c r="H83" s="915">
        <f>SUMIF(Category!$C:$C,'Per anak'!C83,Category!$BA:$BA)</f>
        <v>65</v>
      </c>
    </row>
    <row r="84" spans="2:8" x14ac:dyDescent="0.15">
      <c r="B84" s="539">
        <v>25</v>
      </c>
      <c r="C84" s="458" t="s">
        <v>862</v>
      </c>
      <c r="D84" s="915">
        <f>SUMIF(Category!$C:$C,'Per anak'!C84,Category!$D:$D)</f>
        <v>0</v>
      </c>
      <c r="E84" s="915">
        <f>SUMIF(Category!$C:$C,'Per anak'!C84,Category!$K:$K)</f>
        <v>0</v>
      </c>
      <c r="F84" s="915">
        <f>SUMIF(Category!$C:$C,'Per anak'!C84,Category!$Y:$Y)</f>
        <v>40</v>
      </c>
      <c r="G84" s="915">
        <f>SUMIF(Category!$C:$C,'Per anak'!C84,Category!$AM:$AM)</f>
        <v>40</v>
      </c>
      <c r="H84" s="915">
        <f>SUMIF(Category!$C:$C,'Per anak'!C84,Category!$BA:$BA)</f>
        <v>46</v>
      </c>
    </row>
    <row r="85" spans="2:8" x14ac:dyDescent="0.15">
      <c r="B85" s="539">
        <v>26</v>
      </c>
      <c r="C85" s="458" t="s">
        <v>863</v>
      </c>
      <c r="D85" s="915">
        <f>SUMIF(Category!$C:$C,'Per anak'!C85,Category!$D:$D)</f>
        <v>0</v>
      </c>
      <c r="E85" s="915">
        <f>SUMIF(Category!$C:$C,'Per anak'!C85,Category!$K:$K)</f>
        <v>0</v>
      </c>
      <c r="F85" s="915">
        <f>SUMIF(Category!$C:$C,'Per anak'!C85,Category!$Y:$Y)</f>
        <v>128</v>
      </c>
      <c r="G85" s="915">
        <f>SUMIF(Category!$C:$C,'Per anak'!C85,Category!$AM:$AM)</f>
        <v>142</v>
      </c>
      <c r="H85" s="915">
        <f>SUMIF(Category!$C:$C,'Per anak'!C85,Category!$BA:$BA)</f>
        <v>142</v>
      </c>
    </row>
    <row r="86" spans="2:8" x14ac:dyDescent="0.15">
      <c r="B86" s="539">
        <v>27</v>
      </c>
      <c r="C86" s="458" t="s">
        <v>864</v>
      </c>
      <c r="D86" s="915">
        <f>SUMIF(Category!$C:$C,'Per anak'!C86,Category!$D:$D)</f>
        <v>0</v>
      </c>
      <c r="E86" s="915">
        <f>SUMIF(Category!$C:$C,'Per anak'!C86,Category!$K:$K)</f>
        <v>0</v>
      </c>
      <c r="F86" s="915">
        <f>SUMIF(Category!$C:$C,'Per anak'!C86,Category!$Y:$Y)</f>
        <v>140</v>
      </c>
      <c r="G86" s="915">
        <f>SUMIF(Category!$C:$C,'Per anak'!C86,Category!$AM:$AM)</f>
        <v>141</v>
      </c>
      <c r="H86" s="915">
        <f>SUMIF(Category!$C:$C,'Per anak'!C86,Category!$BA:$BA)</f>
        <v>141</v>
      </c>
    </row>
    <row r="87" spans="2:8" x14ac:dyDescent="0.15">
      <c r="B87" s="539">
        <v>28</v>
      </c>
      <c r="C87" s="458" t="s">
        <v>865</v>
      </c>
      <c r="D87" s="915">
        <f>SUMIF(Category!$C:$C,'Per anak'!C87,Category!$D:$D)</f>
        <v>0</v>
      </c>
      <c r="E87" s="915">
        <f>SUMIF(Category!$C:$C,'Per anak'!C87,Category!$K:$K)</f>
        <v>0</v>
      </c>
      <c r="F87" s="915">
        <f>SUMIF(Category!$C:$C,'Per anak'!C87,Category!$Y:$Y)</f>
        <v>71</v>
      </c>
      <c r="G87" s="915">
        <f>SUMIF(Category!$C:$C,'Per anak'!C87,Category!$AM:$AM)</f>
        <v>96</v>
      </c>
      <c r="H87" s="915">
        <f>SUMIF(Category!$C:$C,'Per anak'!C87,Category!$BA:$BA)</f>
        <v>96</v>
      </c>
    </row>
    <row r="88" spans="2:8" x14ac:dyDescent="0.15">
      <c r="B88" s="539">
        <v>29</v>
      </c>
      <c r="C88" s="458" t="s">
        <v>866</v>
      </c>
      <c r="D88" s="915">
        <f>SUMIF(Category!$C:$C,'Per anak'!C88,Category!$D:$D)</f>
        <v>0</v>
      </c>
      <c r="E88" s="915">
        <f>SUMIF(Category!$C:$C,'Per anak'!C88,Category!$K:$K)</f>
        <v>0</v>
      </c>
      <c r="F88" s="915">
        <f>SUMIF(Category!$C:$C,'Per anak'!C88,Category!$Y:$Y)</f>
        <v>56</v>
      </c>
      <c r="G88" s="915">
        <f>SUMIF(Category!$C:$C,'Per anak'!C88,Category!$AM:$AM)</f>
        <v>56</v>
      </c>
      <c r="H88" s="915">
        <f>SUMIF(Category!$C:$C,'Per anak'!C88,Category!$BA:$BA)</f>
        <v>63</v>
      </c>
    </row>
    <row r="89" spans="2:8" x14ac:dyDescent="0.15">
      <c r="B89" s="539">
        <v>30</v>
      </c>
      <c r="C89" s="458" t="s">
        <v>990</v>
      </c>
      <c r="D89" s="915">
        <f>SUMIF(Category!$C:$C,'Per anak'!C89,Category!$D:$D)</f>
        <v>0</v>
      </c>
      <c r="E89" s="915">
        <f>SUMIF(Category!$C:$C,'Per anak'!C89,Category!$K:$K)</f>
        <v>0</v>
      </c>
      <c r="F89" s="915">
        <f>SUMIF(Category!$C:$C,'Per anak'!C89,Category!$Y:$Y)</f>
        <v>0</v>
      </c>
      <c r="G89" s="915">
        <f>SUMIF(Category!$C:$C,'Per anak'!C89,Category!$AM:$AM)</f>
        <v>0</v>
      </c>
      <c r="H89" s="915">
        <f>SUMIF(Category!$C:$C,'Per anak'!C89,Category!$BA:$BA)</f>
        <v>0</v>
      </c>
    </row>
    <row r="90" spans="2:8" x14ac:dyDescent="0.15">
      <c r="B90" s="539">
        <v>31</v>
      </c>
      <c r="C90" s="458" t="s">
        <v>44</v>
      </c>
      <c r="D90" s="915">
        <f>SUMIF(Category!$C:$C,'Per anak'!C90,Category!$D:$D)</f>
        <v>0</v>
      </c>
      <c r="E90" s="915">
        <f>SUMIF(Category!$C:$C,'Per anak'!C90,Category!$K:$K)</f>
        <v>27</v>
      </c>
      <c r="F90" s="915">
        <f>SUMIF(Category!$C:$C,'Per anak'!C90,Category!$Y:$Y)</f>
        <v>0</v>
      </c>
      <c r="G90" s="915">
        <f>SUMIF(Category!$C:$C,'Per anak'!C90,Category!$AM:$AM)</f>
        <v>0</v>
      </c>
      <c r="H90" s="915">
        <f>SUMIF(Category!$C:$C,'Per anak'!C90,Category!$BA:$BA)</f>
        <v>0</v>
      </c>
    </row>
    <row r="91" spans="2:8" x14ac:dyDescent="0.15">
      <c r="B91" s="539">
        <v>32</v>
      </c>
      <c r="C91" s="458" t="s">
        <v>1099</v>
      </c>
      <c r="D91" s="915">
        <f>SUMIF(Category!$C:$C,'Per anak'!C91,Category!$D:$D)</f>
        <v>0</v>
      </c>
      <c r="E91" s="915">
        <f>SUMIF(Category!$C:$C,'Per anak'!C91,Category!$K:$K)</f>
        <v>0</v>
      </c>
      <c r="F91" s="915">
        <f>SUMIF(Category!$C:$C,'Per anak'!C91,Category!$Y:$Y)</f>
        <v>0</v>
      </c>
      <c r="G91" s="915">
        <f>SUMIF(Category!$C:$C,'Per anak'!C91,Category!$AM:$AM)</f>
        <v>65</v>
      </c>
      <c r="H91" s="915">
        <f>SUMIF(Category!$C:$C,'Per anak'!C91,Category!$BA:$BA)</f>
        <v>60</v>
      </c>
    </row>
    <row r="92" spans="2:8" x14ac:dyDescent="0.15">
      <c r="B92" s="539">
        <v>33</v>
      </c>
      <c r="C92" s="458" t="s">
        <v>1115</v>
      </c>
      <c r="D92" s="915">
        <f>SUMIF(Category!$C:$C,'Per anak'!C92,Category!$D:$D)</f>
        <v>0</v>
      </c>
      <c r="E92" s="915">
        <f>SUMIF(Category!$C:$C,'Per anak'!C92,Category!$K:$K)</f>
        <v>0</v>
      </c>
      <c r="F92" s="915">
        <f>SUMIF(Category!$C:$C,'Per anak'!C92,Category!$Y:$Y)</f>
        <v>0</v>
      </c>
      <c r="G92" s="915">
        <f>SUMIF(Category!$C:$C,'Per anak'!C92,Category!$AM:$AM)</f>
        <v>35</v>
      </c>
      <c r="H92" s="915">
        <f>SUMIF(Category!$C:$C,'Per anak'!C92,Category!$BA:$BA)</f>
        <v>35</v>
      </c>
    </row>
    <row r="93" spans="2:8" hidden="1" x14ac:dyDescent="0.15">
      <c r="B93" s="539"/>
      <c r="C93" s="458"/>
      <c r="D93" s="915">
        <f>SUMIF(Category!$C:$C,'Per anak'!C93,Category!$D:$D)</f>
        <v>0</v>
      </c>
      <c r="E93" s="915">
        <f>SUMIF(Category!$C:$C,'Per anak'!C93,Category!$K:$K)</f>
        <v>0</v>
      </c>
      <c r="F93" s="915">
        <f>SUMIF(Category!$C:$C,'Per anak'!C93,Category!$Y:$Y)</f>
        <v>0</v>
      </c>
      <c r="G93" s="915">
        <f>SUMIF(Category!$C:$C,'Per anak'!C93,Category!$AM:$AM)</f>
        <v>0</v>
      </c>
      <c r="H93" s="915">
        <f>SUMIF(Category!$C:$C,'Per anak'!C93,Category!$BA:$BA)</f>
        <v>0</v>
      </c>
    </row>
    <row r="94" spans="2:8" ht="26.25" x14ac:dyDescent="0.15">
      <c r="B94" s="539">
        <v>34</v>
      </c>
      <c r="C94" s="458" t="s">
        <v>1338</v>
      </c>
      <c r="D94" s="915">
        <f>SUMIF(Category!$C:$C,'Per anak'!C94,Category!$D:$D)</f>
        <v>109</v>
      </c>
      <c r="E94" s="915">
        <f>SUMIF(Category!$C:$C,'Per anak'!C94,Category!$K:$K)</f>
        <v>0</v>
      </c>
      <c r="F94" s="915">
        <f>SUMIF(Category!$C:$C,'Per anak'!C94,Category!$Y:$Y)</f>
        <v>0</v>
      </c>
      <c r="G94" s="915">
        <f>SUMIF(Category!$C:$C,'Per anak'!C94,Category!$AM:$AM)</f>
        <v>0</v>
      </c>
      <c r="H94" s="915">
        <f>SUMIF(Category!$C:$C,'Per anak'!C94,Category!$BA:$BA)</f>
        <v>0</v>
      </c>
    </row>
    <row r="95" spans="2:8" ht="26.25" x14ac:dyDescent="0.15">
      <c r="B95" s="539">
        <v>35</v>
      </c>
      <c r="C95" s="458" t="s">
        <v>1339</v>
      </c>
      <c r="D95" s="915">
        <f>SUMIF(Category!$C:$C,'Per anak'!C95,Category!$D:$D)</f>
        <v>24</v>
      </c>
      <c r="E95" s="915">
        <f>SUMIF(Category!$C:$C,'Per anak'!C95,Category!$K:$K)</f>
        <v>0</v>
      </c>
      <c r="F95" s="915">
        <f>SUMIF(Category!$C:$C,'Per anak'!C95,Category!$Y:$Y)</f>
        <v>0</v>
      </c>
      <c r="G95" s="915">
        <f>SUMIF(Category!$C:$C,'Per anak'!C95,Category!$AM:$AM)</f>
        <v>0</v>
      </c>
      <c r="H95" s="915">
        <f>SUMIF(Category!$C:$C,'Per anak'!C95,Category!$BA:$BA)</f>
        <v>0</v>
      </c>
    </row>
    <row r="96" spans="2:8" hidden="1" x14ac:dyDescent="0.15">
      <c r="B96" s="539"/>
      <c r="C96" s="458"/>
      <c r="D96" s="917"/>
      <c r="E96" s="918"/>
      <c r="F96" s="918"/>
      <c r="G96" s="918"/>
      <c r="H96" s="918"/>
    </row>
    <row r="97" spans="2:8" x14ac:dyDescent="0.15">
      <c r="B97" s="541"/>
      <c r="C97" s="458"/>
      <c r="D97" s="917"/>
      <c r="E97" s="918"/>
      <c r="F97" s="918"/>
      <c r="G97" s="918"/>
      <c r="H97" s="918"/>
    </row>
    <row r="98" spans="2:8" ht="14.25" thickBot="1" x14ac:dyDescent="0.2">
      <c r="B98" s="555"/>
      <c r="C98" s="556" t="s">
        <v>156</v>
      </c>
      <c r="D98" s="558">
        <f>SUM(D60:D97)</f>
        <v>149</v>
      </c>
      <c r="E98" s="558">
        <f>SUM(E60:E97)</f>
        <v>398</v>
      </c>
      <c r="F98" s="558">
        <f>SUM(F60:F97)</f>
        <v>2024</v>
      </c>
      <c r="G98" s="558">
        <f>SUM(G60:G97)</f>
        <v>2018</v>
      </c>
      <c r="H98" s="558">
        <f>SUM(H60:H97)</f>
        <v>2158</v>
      </c>
    </row>
    <row r="99" spans="2:8" ht="14.25" thickTop="1" x14ac:dyDescent="0.15">
      <c r="D99" s="877"/>
      <c r="E99" s="877"/>
      <c r="F99" s="877"/>
      <c r="G99" s="877"/>
    </row>
    <row r="100" spans="2:8" x14ac:dyDescent="0.15">
      <c r="B100" s="536"/>
      <c r="C100" s="27" t="s">
        <v>208</v>
      </c>
      <c r="E100" s="928"/>
      <c r="F100" s="928"/>
      <c r="G100" s="928"/>
    </row>
    <row r="101" spans="2:8" x14ac:dyDescent="0.15">
      <c r="B101" s="536"/>
      <c r="C101" s="27"/>
      <c r="E101" s="928"/>
      <c r="F101" s="928"/>
      <c r="G101" s="928"/>
    </row>
    <row r="102" spans="2:8" x14ac:dyDescent="0.15">
      <c r="B102" s="536"/>
      <c r="C102" s="27"/>
      <c r="E102" s="928"/>
      <c r="F102" s="928"/>
      <c r="G102" s="928"/>
    </row>
    <row r="104" spans="2:8" x14ac:dyDescent="0.15">
      <c r="B104" s="1065" t="s">
        <v>1388</v>
      </c>
      <c r="C104" s="1065"/>
      <c r="D104" s="1065"/>
      <c r="E104" s="1065"/>
      <c r="F104" s="1065"/>
      <c r="G104" s="1065"/>
    </row>
    <row r="105" spans="2:8" ht="14.25" thickBot="1" x14ac:dyDescent="0.2"/>
    <row r="106" spans="2:8" ht="14.25" thickBot="1" x14ac:dyDescent="0.2">
      <c r="B106" s="552" t="s">
        <v>1127</v>
      </c>
      <c r="C106" s="551" t="s">
        <v>158</v>
      </c>
      <c r="D106" s="552" t="s">
        <v>1375</v>
      </c>
      <c r="E106" s="919">
        <v>2020</v>
      </c>
      <c r="F106" s="919">
        <f>E106+1</f>
        <v>2021</v>
      </c>
      <c r="G106" s="919">
        <f>F106+1</f>
        <v>2022</v>
      </c>
      <c r="H106" s="1045">
        <f>G106+1</f>
        <v>2023</v>
      </c>
    </row>
    <row r="107" spans="2:8" x14ac:dyDescent="0.15">
      <c r="B107" s="544">
        <v>1</v>
      </c>
      <c r="C107" s="457" t="s">
        <v>871</v>
      </c>
      <c r="D107" s="915">
        <f>SUMIF(Category!$C:$C,'Per anak'!C107,Category!$D:$D)</f>
        <v>0</v>
      </c>
      <c r="E107" s="915">
        <f>SUMIF(Category!$C:$C,'Per anak'!C107,Category!$K:$K)</f>
        <v>71</v>
      </c>
      <c r="F107" s="915">
        <f>SUMIF(Category!$C:$C,'Per anak'!C107,Category!$Y:$Y)</f>
        <v>77</v>
      </c>
      <c r="G107" s="915">
        <f>SUMIF(Category!$C:$C,'Per anak'!C107,Category!$AM:$AM)</f>
        <v>68</v>
      </c>
      <c r="H107" s="927">
        <f>SUMIF(Category!$C:$C,'Per anak'!C107,Category!$BA:$BA)</f>
        <v>0</v>
      </c>
    </row>
    <row r="108" spans="2:8" x14ac:dyDescent="0.15">
      <c r="B108" s="545">
        <v>2</v>
      </c>
      <c r="C108" s="458" t="s">
        <v>870</v>
      </c>
      <c r="D108" s="915">
        <f>SUMIF(Category!$C:$C,'Per anak'!C108,Category!$D:$D)</f>
        <v>0</v>
      </c>
      <c r="E108" s="915">
        <f>SUMIF(Category!$C:$C,'Per anak'!C108,Category!$K:$K)</f>
        <v>19</v>
      </c>
      <c r="F108" s="915">
        <f>SUMIF(Category!$C:$C,'Per anak'!C108,Category!$Y:$Y)</f>
        <v>19</v>
      </c>
      <c r="G108" s="915">
        <f>SUMIF(Category!$C:$C,'Per anak'!C108,Category!$AM:$AM)</f>
        <v>19</v>
      </c>
      <c r="H108" s="915">
        <f>SUMIF(Category!$C:$C,'Per anak'!C108,Category!$BA:$BA)</f>
        <v>0</v>
      </c>
    </row>
    <row r="109" spans="2:8" x14ac:dyDescent="0.15">
      <c r="B109" s="545">
        <v>3</v>
      </c>
      <c r="C109" s="458" t="s">
        <v>228</v>
      </c>
      <c r="D109" s="915">
        <f>SUMIF(Category!$C:$C,'Per anak'!C109,Category!$D:$D)</f>
        <v>0</v>
      </c>
      <c r="E109" s="915">
        <f>+Category!K32</f>
        <v>64</v>
      </c>
      <c r="F109" s="915">
        <f>+Category!Y32</f>
        <v>64</v>
      </c>
      <c r="G109" s="915">
        <f>+Category!AM32</f>
        <v>66</v>
      </c>
      <c r="H109" s="915">
        <f>SUMIF(Category!$C:$C,'Per anak'!C109,Category!$BA:$BA)</f>
        <v>3</v>
      </c>
    </row>
    <row r="110" spans="2:8" x14ac:dyDescent="0.15">
      <c r="B110" s="545">
        <v>4</v>
      </c>
      <c r="C110" s="458" t="s">
        <v>222</v>
      </c>
      <c r="D110" s="915">
        <f>SUMIF(Category!$C:$C,'Per anak'!C110,Category!$D:$D)</f>
        <v>0</v>
      </c>
      <c r="E110" s="915">
        <f>SUMIF(Category!$C:$C,'Per anak'!C110,Category!$K:$K)</f>
        <v>0</v>
      </c>
      <c r="F110" s="915">
        <f>SUMIF(Category!$C:$C,'Per anak'!C110,Category!$Y:$Y)</f>
        <v>34</v>
      </c>
      <c r="G110" s="915">
        <f>SUMIF(Category!$C:$C,'Per anak'!C110,Category!$AM:$AM)</f>
        <v>34</v>
      </c>
      <c r="H110" s="915">
        <f>SUMIF(Category!$C:$C,'Per anak'!C110,Category!$BA:$BA)</f>
        <v>40</v>
      </c>
    </row>
    <row r="111" spans="2:8" x14ac:dyDescent="0.15">
      <c r="B111" s="545">
        <v>5</v>
      </c>
      <c r="C111" s="458" t="s">
        <v>257</v>
      </c>
      <c r="D111" s="915">
        <f>SUMIF(Category!$C:$C,'Per anak'!C111,Category!$D:$D)</f>
        <v>0</v>
      </c>
      <c r="E111" s="915">
        <f>SUMIF(Category!$C:$C,'Per anak'!C111,Category!$K:$K)</f>
        <v>0</v>
      </c>
      <c r="F111" s="915">
        <f>SUMIF(Category!$C:$C,'Per anak'!C111,Category!$Y:$Y)</f>
        <v>134</v>
      </c>
      <c r="G111" s="915">
        <f>SUMIF(Category!$C:$C,'Per anak'!C111,Category!$AM:$AM)</f>
        <v>134</v>
      </c>
      <c r="H111" s="915">
        <f>SUMIF(Category!$C:$C,'Per anak'!C111,Category!$BA:$BA)</f>
        <v>0</v>
      </c>
    </row>
    <row r="112" spans="2:8" x14ac:dyDescent="0.15">
      <c r="B112" s="545">
        <v>6</v>
      </c>
      <c r="C112" s="458" t="s">
        <v>852</v>
      </c>
      <c r="D112" s="915">
        <f>SUMIF(Category!$C:$C,'Per anak'!C112,Category!$D:$D)</f>
        <v>0</v>
      </c>
      <c r="E112" s="915">
        <f>SUMIF(Category!$C:$C,'Per anak'!C112,Category!$K:$K)</f>
        <v>0</v>
      </c>
      <c r="F112" s="915">
        <f>SUMIF(Category!$C:$C,'Per anak'!C112,Category!$Y:$Y)</f>
        <v>42</v>
      </c>
      <c r="G112" s="915">
        <f>SUMIF(Category!$C:$C,'Per anak'!C112,Category!$AM:$AM)</f>
        <v>42</v>
      </c>
      <c r="H112" s="915">
        <f>SUMIF(Category!$C:$C,'Per anak'!C112,Category!$BA:$BA)</f>
        <v>0</v>
      </c>
    </row>
    <row r="113" spans="2:8" x14ac:dyDescent="0.15">
      <c r="B113" s="545">
        <v>7</v>
      </c>
      <c r="C113" s="458" t="s">
        <v>328</v>
      </c>
      <c r="D113" s="915">
        <f>SUMIF(Category!$C:$C,'Per anak'!C113,Category!$D:$D)</f>
        <v>0</v>
      </c>
      <c r="E113" s="915">
        <f>SUMIF(Category!$C:$C,'Per anak'!C113,Category!$K:$K)</f>
        <v>0</v>
      </c>
      <c r="F113" s="915">
        <f>SUMIF(Category!$C:$C,'Per anak'!C113,Category!$Y:$Y)</f>
        <v>14</v>
      </c>
      <c r="G113" s="915">
        <f>SUMIF(Category!$C:$C,'Per anak'!C113,Category!$AM:$AM)</f>
        <v>14</v>
      </c>
      <c r="H113" s="915">
        <f>SUMIF(Category!$C:$C,'Per anak'!C113,Category!$BA:$BA)</f>
        <v>0</v>
      </c>
    </row>
    <row r="114" spans="2:8" x14ac:dyDescent="0.15">
      <c r="B114" s="545"/>
      <c r="C114" s="458"/>
      <c r="D114" s="917"/>
      <c r="E114" s="918"/>
      <c r="F114" s="918"/>
      <c r="G114" s="918"/>
      <c r="H114" s="918"/>
    </row>
    <row r="115" spans="2:8" x14ac:dyDescent="0.15">
      <c r="B115" s="546"/>
      <c r="C115" s="458"/>
      <c r="D115" s="917"/>
      <c r="E115" s="918"/>
      <c r="F115" s="918"/>
      <c r="G115" s="918"/>
      <c r="H115" s="918"/>
    </row>
    <row r="116" spans="2:8" ht="14.25" thickBot="1" x14ac:dyDescent="0.2">
      <c r="B116" s="559"/>
      <c r="C116" s="556" t="s">
        <v>156</v>
      </c>
      <c r="D116" s="558">
        <f>SUM(D107:D115)</f>
        <v>0</v>
      </c>
      <c r="E116" s="558">
        <f>SUM(E107:E115)</f>
        <v>154</v>
      </c>
      <c r="F116" s="558">
        <f>SUM(F107:F115)</f>
        <v>384</v>
      </c>
      <c r="G116" s="558">
        <f>SUM(G107:G115)</f>
        <v>377</v>
      </c>
      <c r="H116" s="558">
        <f>SUM(H107:H115)</f>
        <v>43</v>
      </c>
    </row>
    <row r="117" spans="2:8" ht="14.25" thickTop="1" x14ac:dyDescent="0.15"/>
    <row r="118" spans="2:8" x14ac:dyDescent="0.15">
      <c r="C118" s="27" t="s">
        <v>208</v>
      </c>
    </row>
    <row r="119" spans="2:8" x14ac:dyDescent="0.15">
      <c r="D119" s="877">
        <f>SUM(D116,D98,D51)</f>
        <v>433</v>
      </c>
      <c r="E119" s="877">
        <f>SUM(E116,E98,E51)</f>
        <v>926</v>
      </c>
      <c r="F119" s="877">
        <f>SUM(F116,F98,F51)</f>
        <v>2696</v>
      </c>
      <c r="G119" s="877">
        <f>SUM(G116,G98,G51)</f>
        <v>2715</v>
      </c>
    </row>
    <row r="121" spans="2:8" x14ac:dyDescent="0.15">
      <c r="E121" s="929">
        <f>+E116+E98</f>
        <v>552</v>
      </c>
      <c r="F121" s="929">
        <f>+F116+F98</f>
        <v>2408</v>
      </c>
      <c r="G121" s="929">
        <f>+G116+G98</f>
        <v>2395</v>
      </c>
    </row>
    <row r="122" spans="2:8" x14ac:dyDescent="0.15">
      <c r="E122" s="928">
        <f>+E121-E6</f>
        <v>0</v>
      </c>
      <c r="F122" s="928">
        <f>+F121-F6</f>
        <v>0</v>
      </c>
      <c r="G122" s="928">
        <f>+G121-G6</f>
        <v>0</v>
      </c>
    </row>
    <row r="125" spans="2:8" x14ac:dyDescent="0.15">
      <c r="B125" s="1063" t="s">
        <v>1378</v>
      </c>
      <c r="C125" s="1063"/>
      <c r="D125" s="1063"/>
      <c r="E125" s="1063"/>
      <c r="F125" s="1063"/>
      <c r="G125" s="1063"/>
    </row>
    <row r="127" spans="2:8" ht="14.25" thickBot="1" x14ac:dyDescent="0.2"/>
    <row r="128" spans="2:8" ht="14.25" thickBot="1" x14ac:dyDescent="0.2">
      <c r="B128" s="561" t="s">
        <v>1127</v>
      </c>
      <c r="C128" s="561" t="s">
        <v>158</v>
      </c>
      <c r="D128" s="561" t="s">
        <v>1375</v>
      </c>
      <c r="E128" s="562">
        <v>2020</v>
      </c>
      <c r="F128" s="562">
        <f>E128+1</f>
        <v>2021</v>
      </c>
      <c r="G128" s="562">
        <f>F128+1</f>
        <v>2022</v>
      </c>
      <c r="H128" s="1046">
        <f>G128+1</f>
        <v>2023</v>
      </c>
    </row>
    <row r="129" spans="2:8" x14ac:dyDescent="0.15">
      <c r="B129" s="545">
        <v>1</v>
      </c>
      <c r="C129" s="458" t="s">
        <v>392</v>
      </c>
      <c r="D129" s="915">
        <f>+Category!D122</f>
        <v>0</v>
      </c>
      <c r="E129" s="916">
        <f>+Category!K122</f>
        <v>0</v>
      </c>
      <c r="F129" s="916">
        <f>+Category!Y122</f>
        <v>75</v>
      </c>
      <c r="G129" s="916">
        <f>+Category!AM122</f>
        <v>75</v>
      </c>
      <c r="H129" s="1047">
        <f>+Category!BA122</f>
        <v>85</v>
      </c>
    </row>
    <row r="130" spans="2:8" x14ac:dyDescent="0.15">
      <c r="B130" s="545">
        <v>2</v>
      </c>
      <c r="C130" s="458" t="s">
        <v>407</v>
      </c>
      <c r="D130" s="915">
        <f>+Category!D123</f>
        <v>0</v>
      </c>
      <c r="E130" s="916">
        <f>+Category!K123</f>
        <v>0</v>
      </c>
      <c r="F130" s="916">
        <f>+Category!Y123</f>
        <v>64</v>
      </c>
      <c r="G130" s="916">
        <f>+Category!AM123</f>
        <v>64</v>
      </c>
      <c r="H130" s="916">
        <f>+Category!BA123</f>
        <v>64</v>
      </c>
    </row>
    <row r="131" spans="2:8" x14ac:dyDescent="0.15">
      <c r="B131" s="545">
        <v>3</v>
      </c>
      <c r="C131" s="458" t="s">
        <v>410</v>
      </c>
      <c r="D131" s="915">
        <f>+Category!D124</f>
        <v>0</v>
      </c>
      <c r="E131" s="916">
        <f>+Category!K124</f>
        <v>0</v>
      </c>
      <c r="F131" s="916">
        <f>+Category!Y124</f>
        <v>78</v>
      </c>
      <c r="G131" s="916">
        <f>+Category!AM124</f>
        <v>78</v>
      </c>
      <c r="H131" s="916">
        <f>+Category!BA124</f>
        <v>0</v>
      </c>
    </row>
    <row r="132" spans="2:8" x14ac:dyDescent="0.15">
      <c r="B132" s="545">
        <v>4</v>
      </c>
      <c r="C132" s="458" t="s">
        <v>413</v>
      </c>
      <c r="D132" s="915">
        <f>+Category!D125</f>
        <v>0</v>
      </c>
      <c r="E132" s="916">
        <f>+Category!K125</f>
        <v>6</v>
      </c>
      <c r="F132" s="916">
        <f>+Category!Y125</f>
        <v>8</v>
      </c>
      <c r="G132" s="916">
        <f>+Category!AM125</f>
        <v>16</v>
      </c>
      <c r="H132" s="916">
        <f>+Category!BA125</f>
        <v>22</v>
      </c>
    </row>
    <row r="133" spans="2:8" x14ac:dyDescent="0.15">
      <c r="B133" s="545">
        <v>5</v>
      </c>
      <c r="C133" s="458" t="s">
        <v>420</v>
      </c>
      <c r="D133" s="915">
        <f>+Category!D126</f>
        <v>0</v>
      </c>
      <c r="E133" s="916">
        <f>+Category!K126</f>
        <v>0</v>
      </c>
      <c r="F133" s="916">
        <f>+Category!Y126</f>
        <v>29</v>
      </c>
      <c r="G133" s="916">
        <f>+Category!AM126</f>
        <v>29</v>
      </c>
      <c r="H133" s="916">
        <f>+Category!BA126</f>
        <v>29</v>
      </c>
    </row>
    <row r="134" spans="2:8" x14ac:dyDescent="0.15">
      <c r="B134" s="545">
        <v>6</v>
      </c>
      <c r="C134" s="458" t="s">
        <v>423</v>
      </c>
      <c r="D134" s="915">
        <f>+Category!D127</f>
        <v>0</v>
      </c>
      <c r="E134" s="916">
        <f>+Category!K127</f>
        <v>0</v>
      </c>
      <c r="F134" s="916">
        <f>+Category!Y127</f>
        <v>35</v>
      </c>
      <c r="G134" s="916">
        <f>+Category!AM127</f>
        <v>35</v>
      </c>
      <c r="H134" s="916">
        <f>+Category!BA127</f>
        <v>0</v>
      </c>
    </row>
    <row r="135" spans="2:8" x14ac:dyDescent="0.15">
      <c r="B135" s="545">
        <v>7</v>
      </c>
      <c r="C135" s="458" t="s">
        <v>426</v>
      </c>
      <c r="D135" s="915">
        <f>+Category!D128</f>
        <v>0</v>
      </c>
      <c r="E135" s="916">
        <f>+Category!K128</f>
        <v>0</v>
      </c>
      <c r="F135" s="916">
        <f>+Category!Y128</f>
        <v>31</v>
      </c>
      <c r="G135" s="916">
        <f>+Category!AM128</f>
        <v>31</v>
      </c>
      <c r="H135" s="916">
        <f>+Category!BA128</f>
        <v>0</v>
      </c>
    </row>
    <row r="136" spans="2:8" x14ac:dyDescent="0.15">
      <c r="B136" s="545">
        <v>8</v>
      </c>
      <c r="C136" s="458" t="s">
        <v>429</v>
      </c>
      <c r="D136" s="915">
        <f>+Category!D129</f>
        <v>0</v>
      </c>
      <c r="E136" s="916">
        <f>+Category!K129</f>
        <v>0</v>
      </c>
      <c r="F136" s="916">
        <f>+Category!Y129</f>
        <v>38</v>
      </c>
      <c r="G136" s="916">
        <f>+Category!AM129</f>
        <v>38</v>
      </c>
      <c r="H136" s="916">
        <f>+Category!BA129</f>
        <v>38</v>
      </c>
    </row>
    <row r="137" spans="2:8" x14ac:dyDescent="0.15">
      <c r="B137" s="545">
        <v>9</v>
      </c>
      <c r="C137" s="458" t="s">
        <v>558</v>
      </c>
      <c r="D137" s="915">
        <f>+Category!D130</f>
        <v>0</v>
      </c>
      <c r="E137" s="916">
        <f>+Category!K130</f>
        <v>0</v>
      </c>
      <c r="F137" s="916">
        <f>+Category!Y130</f>
        <v>40</v>
      </c>
      <c r="G137" s="916">
        <f>+Category!AM130</f>
        <v>25</v>
      </c>
      <c r="H137" s="916">
        <f>+Category!BA130</f>
        <v>25</v>
      </c>
    </row>
    <row r="138" spans="2:8" x14ac:dyDescent="0.15">
      <c r="B138" s="545"/>
      <c r="C138" s="458"/>
      <c r="D138" s="917"/>
      <c r="E138" s="918"/>
      <c r="F138" s="918"/>
      <c r="G138" s="918"/>
      <c r="H138" s="918"/>
    </row>
    <row r="139" spans="2:8" x14ac:dyDescent="0.15">
      <c r="B139" s="546"/>
      <c r="C139" s="458"/>
      <c r="D139" s="917"/>
      <c r="E139" s="918"/>
      <c r="F139" s="918"/>
      <c r="G139" s="918"/>
      <c r="H139" s="918"/>
    </row>
    <row r="140" spans="2:8" ht="14.25" thickBot="1" x14ac:dyDescent="0.2">
      <c r="B140" s="563"/>
      <c r="C140" s="564" t="s">
        <v>156</v>
      </c>
      <c r="D140" s="566">
        <f>SUM(D129:D139)</f>
        <v>0</v>
      </c>
      <c r="E140" s="566">
        <f>SUM(E129:E139)</f>
        <v>6</v>
      </c>
      <c r="F140" s="566">
        <f>SUM(F129:F139)</f>
        <v>398</v>
      </c>
      <c r="G140" s="566">
        <f>SUM(G129:G139)</f>
        <v>391</v>
      </c>
      <c r="H140" s="566">
        <f>SUM(H129:H139)</f>
        <v>263</v>
      </c>
    </row>
    <row r="141" spans="2:8" ht="14.25" thickTop="1" x14ac:dyDescent="0.15">
      <c r="H141" s="533"/>
    </row>
    <row r="142" spans="2:8" x14ac:dyDescent="0.15">
      <c r="D142" s="877">
        <f>+D9-D140</f>
        <v>0</v>
      </c>
      <c r="E142" s="877">
        <f>+E9-E140</f>
        <v>0</v>
      </c>
      <c r="F142" s="877">
        <f>+F9-F140</f>
        <v>0</v>
      </c>
      <c r="G142" s="877">
        <f>+G9-G140</f>
        <v>0</v>
      </c>
      <c r="H142" s="877"/>
    </row>
    <row r="148" spans="2:8" x14ac:dyDescent="0.15">
      <c r="B148" s="1063" t="s">
        <v>1380</v>
      </c>
      <c r="C148" s="1063"/>
      <c r="D148" s="1063"/>
      <c r="E148" s="1063"/>
      <c r="F148" s="1063"/>
      <c r="G148" s="1063"/>
    </row>
    <row r="150" spans="2:8" ht="14.25" thickBot="1" x14ac:dyDescent="0.2"/>
    <row r="151" spans="2:8" ht="14.25" thickBot="1" x14ac:dyDescent="0.2">
      <c r="B151" s="561" t="s">
        <v>1127</v>
      </c>
      <c r="C151" s="561" t="s">
        <v>158</v>
      </c>
      <c r="D151" s="561" t="s">
        <v>1375</v>
      </c>
      <c r="E151" s="562">
        <v>2020</v>
      </c>
      <c r="F151" s="562">
        <f>E151+1</f>
        <v>2021</v>
      </c>
      <c r="G151" s="562">
        <f>F151+1</f>
        <v>2022</v>
      </c>
      <c r="H151" s="1046">
        <f>G151+1</f>
        <v>2023</v>
      </c>
    </row>
    <row r="152" spans="2:8" x14ac:dyDescent="0.15">
      <c r="B152" s="544">
        <v>1</v>
      </c>
      <c r="C152" s="567" t="s">
        <v>106</v>
      </c>
      <c r="D152" s="915">
        <f>+Category!D74</f>
        <v>0</v>
      </c>
      <c r="E152" s="916">
        <v>1</v>
      </c>
      <c r="F152" s="916">
        <v>1</v>
      </c>
      <c r="G152" s="916">
        <v>1</v>
      </c>
      <c r="H152" s="1047">
        <v>1</v>
      </c>
    </row>
    <row r="153" spans="2:8" x14ac:dyDescent="0.15">
      <c r="B153" s="545">
        <v>2</v>
      </c>
      <c r="C153" s="568" t="s">
        <v>64</v>
      </c>
      <c r="D153" s="915">
        <f>+Category!D75</f>
        <v>0</v>
      </c>
      <c r="E153" s="916">
        <v>1</v>
      </c>
      <c r="F153" s="916">
        <f>+Category!Y75</f>
        <v>0</v>
      </c>
      <c r="G153" s="916">
        <f>+Category!AM75</f>
        <v>0</v>
      </c>
      <c r="H153" s="916">
        <f>+Category!BA75</f>
        <v>0</v>
      </c>
    </row>
    <row r="154" spans="2:8" x14ac:dyDescent="0.15">
      <c r="B154" s="545">
        <v>3</v>
      </c>
      <c r="C154" s="568" t="s">
        <v>633</v>
      </c>
      <c r="D154" s="915">
        <f>+Category!D76</f>
        <v>0</v>
      </c>
      <c r="E154" s="916">
        <f>+Category!K76</f>
        <v>0</v>
      </c>
      <c r="F154" s="916">
        <f>+Category!Y76</f>
        <v>0</v>
      </c>
      <c r="G154" s="916">
        <f>+Category!AM76</f>
        <v>0</v>
      </c>
      <c r="H154" s="916">
        <f>+Category!BA76</f>
        <v>0</v>
      </c>
    </row>
    <row r="155" spans="2:8" ht="26.25" x14ac:dyDescent="0.15">
      <c r="B155" s="545">
        <v>4</v>
      </c>
      <c r="C155" s="568" t="s">
        <v>1076</v>
      </c>
      <c r="D155" s="915">
        <f>+Category!D77</f>
        <v>0</v>
      </c>
      <c r="E155" s="916">
        <f>+Category!K77</f>
        <v>0</v>
      </c>
      <c r="F155" s="916">
        <f>+Category!Y77</f>
        <v>0</v>
      </c>
      <c r="G155" s="916">
        <f>+Category!AM77</f>
        <v>0</v>
      </c>
      <c r="H155" s="916">
        <f>+Category!BA77</f>
        <v>0</v>
      </c>
    </row>
    <row r="156" spans="2:8" x14ac:dyDescent="0.15">
      <c r="B156" s="545">
        <v>5</v>
      </c>
      <c r="C156" s="568" t="s">
        <v>592</v>
      </c>
      <c r="D156" s="915">
        <f>+Category!D78</f>
        <v>0</v>
      </c>
      <c r="E156" s="916">
        <f>+Category!K78</f>
        <v>0</v>
      </c>
      <c r="F156" s="916">
        <f>+Category!Y78</f>
        <v>0</v>
      </c>
      <c r="G156" s="916">
        <f>+Category!AM78</f>
        <v>0</v>
      </c>
      <c r="H156" s="916">
        <f>+Category!BA78</f>
        <v>0</v>
      </c>
    </row>
    <row r="157" spans="2:8" x14ac:dyDescent="0.15">
      <c r="B157" s="545">
        <v>6</v>
      </c>
      <c r="C157" s="568" t="s">
        <v>605</v>
      </c>
      <c r="D157" s="915">
        <f>+Category!D79</f>
        <v>0</v>
      </c>
      <c r="E157" s="916">
        <f>+Category!K79</f>
        <v>0</v>
      </c>
      <c r="F157" s="916">
        <f>+Category!Y79</f>
        <v>0</v>
      </c>
      <c r="G157" s="916">
        <f>+Category!AM79</f>
        <v>0</v>
      </c>
      <c r="H157" s="916">
        <f>+Category!BA79</f>
        <v>0</v>
      </c>
    </row>
    <row r="158" spans="2:8" x14ac:dyDescent="0.15">
      <c r="B158" s="545">
        <v>7</v>
      </c>
      <c r="C158" s="568" t="s">
        <v>607</v>
      </c>
      <c r="D158" s="915">
        <f>+Category!D80</f>
        <v>0</v>
      </c>
      <c r="E158" s="916">
        <f>+Category!K80</f>
        <v>0</v>
      </c>
      <c r="F158" s="916">
        <f>+Category!Y80</f>
        <v>0</v>
      </c>
      <c r="G158" s="916">
        <f>+Category!AM80</f>
        <v>0</v>
      </c>
      <c r="H158" s="916">
        <f>+Category!BA80</f>
        <v>0</v>
      </c>
    </row>
    <row r="159" spans="2:8" x14ac:dyDescent="0.15">
      <c r="B159" s="545">
        <v>8</v>
      </c>
      <c r="C159" s="568" t="s">
        <v>634</v>
      </c>
      <c r="D159" s="915">
        <f>+Category!D81</f>
        <v>0</v>
      </c>
      <c r="E159" s="916">
        <f>+Category!K81</f>
        <v>0</v>
      </c>
      <c r="F159" s="916">
        <v>1</v>
      </c>
      <c r="G159" s="916">
        <f>+Category!AM81</f>
        <v>0</v>
      </c>
      <c r="H159" s="916">
        <f>+Category!BA81</f>
        <v>0</v>
      </c>
    </row>
    <row r="160" spans="2:8" ht="39.75" x14ac:dyDescent="0.15">
      <c r="B160" s="545">
        <v>9</v>
      </c>
      <c r="C160" s="568" t="s">
        <v>1065</v>
      </c>
      <c r="D160" s="915">
        <f>+Category!D82</f>
        <v>0</v>
      </c>
      <c r="E160" s="916">
        <f>+Category!K82</f>
        <v>0</v>
      </c>
      <c r="F160" s="916">
        <v>1</v>
      </c>
      <c r="G160" s="916">
        <f>+Category!AM82</f>
        <v>0</v>
      </c>
      <c r="H160" s="916">
        <f>+Category!BA82</f>
        <v>0</v>
      </c>
    </row>
    <row r="161" spans="2:8" ht="26.25" x14ac:dyDescent="0.15">
      <c r="B161" s="545">
        <v>10</v>
      </c>
      <c r="C161" s="568" t="s">
        <v>1004</v>
      </c>
      <c r="D161" s="915">
        <f>+Category!D83</f>
        <v>0</v>
      </c>
      <c r="E161" s="916">
        <f>+Category!K83</f>
        <v>0</v>
      </c>
      <c r="F161" s="916">
        <f>+Category!Y83</f>
        <v>0</v>
      </c>
      <c r="G161" s="916">
        <f>+Category!AM83</f>
        <v>0</v>
      </c>
      <c r="H161" s="916">
        <f>+Category!BA83</f>
        <v>0</v>
      </c>
    </row>
    <row r="162" spans="2:8" ht="26.25" x14ac:dyDescent="0.15">
      <c r="B162" s="545">
        <v>11</v>
      </c>
      <c r="C162" s="568" t="s">
        <v>1276</v>
      </c>
      <c r="D162" s="915">
        <f>+Category!D84</f>
        <v>0</v>
      </c>
      <c r="E162" s="916">
        <f>+Category!K84</f>
        <v>0</v>
      </c>
      <c r="F162" s="916">
        <f>+Category!Y84</f>
        <v>0</v>
      </c>
      <c r="G162" s="916">
        <f>+Category!AM84</f>
        <v>0</v>
      </c>
      <c r="H162" s="916">
        <f>+Category!BA84</f>
        <v>0</v>
      </c>
    </row>
    <row r="163" spans="2:8" ht="26.25" x14ac:dyDescent="0.15">
      <c r="B163" s="545">
        <v>12</v>
      </c>
      <c r="C163" s="568" t="s">
        <v>1280</v>
      </c>
      <c r="D163" s="915">
        <f>+Category!D85</f>
        <v>0</v>
      </c>
      <c r="E163" s="916">
        <f>+Category!K85</f>
        <v>0</v>
      </c>
      <c r="F163" s="916">
        <f>+Category!Y85</f>
        <v>0</v>
      </c>
      <c r="G163" s="916">
        <f>+Category!AM85</f>
        <v>1</v>
      </c>
      <c r="H163" s="916">
        <f>+Category!BA85</f>
        <v>0</v>
      </c>
    </row>
    <row r="164" spans="2:8" ht="26.25" x14ac:dyDescent="0.15">
      <c r="B164" s="545">
        <v>13</v>
      </c>
      <c r="C164" s="568" t="s">
        <v>1277</v>
      </c>
      <c r="D164" s="915">
        <f>+Category!D86</f>
        <v>0</v>
      </c>
      <c r="E164" s="916">
        <f>+Category!K86</f>
        <v>0</v>
      </c>
      <c r="F164" s="916">
        <f>+Category!Y86</f>
        <v>0</v>
      </c>
      <c r="G164" s="916">
        <f>+Category!AM86</f>
        <v>1</v>
      </c>
      <c r="H164" s="916">
        <f>+Category!BA86</f>
        <v>0</v>
      </c>
    </row>
    <row r="165" spans="2:8" ht="26.25" x14ac:dyDescent="0.15">
      <c r="B165" s="545">
        <v>14</v>
      </c>
      <c r="C165" s="568" t="s">
        <v>1278</v>
      </c>
      <c r="D165" s="915">
        <f>+Category!D87</f>
        <v>0</v>
      </c>
      <c r="E165" s="916">
        <f>+Category!K87</f>
        <v>0</v>
      </c>
      <c r="F165" s="916">
        <f>+Category!Y87</f>
        <v>0</v>
      </c>
      <c r="G165" s="916">
        <f>+Category!AM87</f>
        <v>1</v>
      </c>
      <c r="H165" s="916">
        <f>+Category!BA87</f>
        <v>0</v>
      </c>
    </row>
    <row r="166" spans="2:8" ht="26.25" x14ac:dyDescent="0.15">
      <c r="B166" s="545">
        <v>15</v>
      </c>
      <c r="C166" s="568" t="s">
        <v>1293</v>
      </c>
      <c r="D166" s="915">
        <f>+Category!D88</f>
        <v>0</v>
      </c>
      <c r="E166" s="916">
        <f>+Category!K88</f>
        <v>0</v>
      </c>
      <c r="F166" s="916">
        <f>+Category!Y88</f>
        <v>0</v>
      </c>
      <c r="G166" s="916">
        <f>+Category!AM88</f>
        <v>1</v>
      </c>
      <c r="H166" s="916">
        <f>+Category!BA88</f>
        <v>0</v>
      </c>
    </row>
    <row r="167" spans="2:8" ht="39.75" x14ac:dyDescent="0.15">
      <c r="B167" s="545">
        <v>16</v>
      </c>
      <c r="C167" s="568" t="s">
        <v>1302</v>
      </c>
      <c r="D167" s="915">
        <f>+Category!D89</f>
        <v>0</v>
      </c>
      <c r="E167" s="916">
        <f>+Category!K89</f>
        <v>0</v>
      </c>
      <c r="F167" s="916">
        <f>+Category!Y89</f>
        <v>0</v>
      </c>
      <c r="G167" s="916">
        <f>+Category!AM89</f>
        <v>1</v>
      </c>
      <c r="H167" s="916">
        <f>+Category!BA89</f>
        <v>0</v>
      </c>
    </row>
    <row r="168" spans="2:8" x14ac:dyDescent="0.15">
      <c r="B168" s="545">
        <v>17</v>
      </c>
      <c r="C168" s="568" t="s">
        <v>1303</v>
      </c>
      <c r="D168" s="915">
        <f>+Category!D90</f>
        <v>0</v>
      </c>
      <c r="E168" s="916">
        <f>+Category!K90</f>
        <v>0</v>
      </c>
      <c r="F168" s="916">
        <f>+Category!Y90</f>
        <v>0</v>
      </c>
      <c r="G168" s="916">
        <f>+Category!AM90</f>
        <v>1</v>
      </c>
      <c r="H168" s="916">
        <f>+Category!BA90</f>
        <v>0</v>
      </c>
    </row>
    <row r="169" spans="2:8" x14ac:dyDescent="0.15">
      <c r="B169" s="545">
        <v>18</v>
      </c>
      <c r="C169" s="568" t="s">
        <v>1398</v>
      </c>
      <c r="D169" s="915">
        <f>+Category!D91</f>
        <v>0</v>
      </c>
      <c r="E169" s="916">
        <f>+Category!K91</f>
        <v>0</v>
      </c>
      <c r="F169" s="916">
        <f>+Category!Y91</f>
        <v>0</v>
      </c>
      <c r="G169" s="916">
        <f>+Category!AM91</f>
        <v>1</v>
      </c>
      <c r="H169" s="916">
        <f>+Category!BA91</f>
        <v>0</v>
      </c>
    </row>
    <row r="170" spans="2:8" ht="26.25" x14ac:dyDescent="0.15">
      <c r="B170" s="545">
        <v>19</v>
      </c>
      <c r="C170" s="568" t="s">
        <v>964</v>
      </c>
      <c r="D170" s="915">
        <f>+Category!D92</f>
        <v>0</v>
      </c>
      <c r="E170" s="916">
        <f>+Category!K92</f>
        <v>0</v>
      </c>
      <c r="F170" s="916">
        <f>+Category!Y92</f>
        <v>0</v>
      </c>
      <c r="G170" s="916">
        <v>1</v>
      </c>
      <c r="H170" s="916">
        <v>1</v>
      </c>
    </row>
    <row r="171" spans="2:8" ht="39.75" x14ac:dyDescent="0.15">
      <c r="B171" s="545">
        <v>20</v>
      </c>
      <c r="C171" s="568" t="s">
        <v>1556</v>
      </c>
      <c r="D171" s="915">
        <f>+Category!D93</f>
        <v>0</v>
      </c>
      <c r="E171" s="916">
        <f>+Category!K93</f>
        <v>0</v>
      </c>
      <c r="F171" s="916">
        <f>+Category!Y93</f>
        <v>0</v>
      </c>
      <c r="G171" s="916">
        <v>1</v>
      </c>
      <c r="H171" s="916">
        <v>1</v>
      </c>
    </row>
    <row r="172" spans="2:8" ht="39.75" x14ac:dyDescent="0.15">
      <c r="B172" s="545">
        <v>21</v>
      </c>
      <c r="C172" s="568" t="s">
        <v>1562</v>
      </c>
      <c r="D172" s="915">
        <f>+Category!D94</f>
        <v>0</v>
      </c>
      <c r="E172" s="916">
        <f>+Category!K94</f>
        <v>0</v>
      </c>
      <c r="F172" s="916">
        <f>+Category!Y94</f>
        <v>0</v>
      </c>
      <c r="G172" s="916">
        <v>1</v>
      </c>
      <c r="H172" s="916">
        <v>1</v>
      </c>
    </row>
    <row r="173" spans="2:8" ht="26.25" x14ac:dyDescent="0.15">
      <c r="B173" s="545">
        <v>22</v>
      </c>
      <c r="C173" s="568" t="s">
        <v>1622</v>
      </c>
      <c r="D173" s="915">
        <f>+Category!D95</f>
        <v>0</v>
      </c>
      <c r="E173" s="916">
        <f>+Category!K95</f>
        <v>0</v>
      </c>
      <c r="F173" s="916">
        <f>+Category!Y95</f>
        <v>0</v>
      </c>
      <c r="G173" s="916">
        <v>1</v>
      </c>
      <c r="H173" s="916">
        <v>1</v>
      </c>
    </row>
    <row r="174" spans="2:8" ht="26.25" x14ac:dyDescent="0.15">
      <c r="B174" s="545">
        <v>23</v>
      </c>
      <c r="C174" s="568" t="s">
        <v>1705</v>
      </c>
      <c r="D174" s="915">
        <f>+Category!D96</f>
        <v>0</v>
      </c>
      <c r="E174" s="916">
        <f>+Category!K96</f>
        <v>0</v>
      </c>
      <c r="F174" s="916">
        <f>+Category!Y96</f>
        <v>0</v>
      </c>
      <c r="G174" s="916">
        <v>1</v>
      </c>
      <c r="H174" s="916">
        <v>1</v>
      </c>
    </row>
    <row r="175" spans="2:8" hidden="1" x14ac:dyDescent="0.15">
      <c r="B175" s="545"/>
      <c r="C175" s="568"/>
      <c r="D175" s="915"/>
      <c r="E175" s="916"/>
      <c r="F175" s="916"/>
      <c r="G175" s="916"/>
      <c r="H175" s="916"/>
    </row>
    <row r="176" spans="2:8" hidden="1" x14ac:dyDescent="0.15">
      <c r="B176" s="545"/>
      <c r="C176" s="568"/>
      <c r="D176" s="917"/>
      <c r="E176" s="918"/>
      <c r="F176" s="918"/>
      <c r="G176" s="918"/>
      <c r="H176" s="918"/>
    </row>
    <row r="177" spans="2:8" x14ac:dyDescent="0.15">
      <c r="B177" s="546"/>
      <c r="C177" s="568"/>
      <c r="D177" s="917"/>
      <c r="E177" s="918"/>
      <c r="F177" s="918"/>
      <c r="G177" s="918"/>
      <c r="H177" s="918"/>
    </row>
    <row r="178" spans="2:8" ht="14.25" thickBot="1" x14ac:dyDescent="0.2">
      <c r="B178" s="565"/>
      <c r="C178" s="564" t="s">
        <v>156</v>
      </c>
      <c r="D178" s="566">
        <f>SUM(D152:D177)</f>
        <v>0</v>
      </c>
      <c r="E178" s="566">
        <f>SUM(E152:E177)</f>
        <v>2</v>
      </c>
      <c r="F178" s="566">
        <f>SUM(F152:F177)</f>
        <v>3</v>
      </c>
      <c r="G178" s="566">
        <f>SUM(G152:G177)</f>
        <v>13</v>
      </c>
      <c r="H178" s="566">
        <f>SUM(H152:H177)</f>
        <v>6</v>
      </c>
    </row>
    <row r="179" spans="2:8" ht="14.25" thickTop="1" x14ac:dyDescent="0.15"/>
    <row r="180" spans="2:8" x14ac:dyDescent="0.15">
      <c r="D180" s="877"/>
      <c r="E180" s="877"/>
      <c r="F180" s="877"/>
      <c r="G180" s="877"/>
    </row>
  </sheetData>
  <mergeCells count="6">
    <mergeCell ref="B148:G148"/>
    <mergeCell ref="C2:G2"/>
    <mergeCell ref="B26:G26"/>
    <mergeCell ref="B57:G57"/>
    <mergeCell ref="B104:G104"/>
    <mergeCell ref="B125:G125"/>
  </mergeCells>
  <printOptions horizontalCentered="1"/>
  <pageMargins left="0.19685039370078741" right="0.19685039370078741" top="0.64" bottom="0.46" header="0.42" footer="0.31496062992125984"/>
  <pageSetup paperSize="9"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A1:C10"/>
  <sheetViews>
    <sheetView workbookViewId="0">
      <selection activeCell="V18" sqref="V18"/>
    </sheetView>
  </sheetViews>
  <sheetFormatPr defaultRowHeight="15" x14ac:dyDescent="0.2"/>
  <cols>
    <col min="1" max="1" width="43.58203125" customWidth="1"/>
    <col min="2" max="2" width="17.890625" style="195" customWidth="1"/>
    <col min="3" max="3" width="16.27734375" style="195" customWidth="1"/>
  </cols>
  <sheetData>
    <row r="1" spans="1:3" ht="15" customHeight="1" x14ac:dyDescent="0.2">
      <c r="A1" t="s">
        <v>737</v>
      </c>
    </row>
    <row r="3" spans="1:3" ht="14.45" customHeight="1" x14ac:dyDescent="0.2">
      <c r="B3" s="196" t="s">
        <v>741</v>
      </c>
      <c r="C3" s="196" t="s">
        <v>742</v>
      </c>
    </row>
    <row r="4" spans="1:3" ht="14.45" customHeight="1" x14ac:dyDescent="0.2">
      <c r="A4" s="87" t="s">
        <v>738</v>
      </c>
      <c r="B4" s="196">
        <v>40000000</v>
      </c>
      <c r="C4" s="196">
        <f t="shared" ref="C4:C9" si="0">B4*6</f>
        <v>240000000</v>
      </c>
    </row>
    <row r="5" spans="1:3" x14ac:dyDescent="0.2">
      <c r="A5" s="87" t="s">
        <v>743</v>
      </c>
      <c r="B5" s="196">
        <v>215000000</v>
      </c>
      <c r="C5" s="196">
        <f t="shared" si="0"/>
        <v>1290000000</v>
      </c>
    </row>
    <row r="6" spans="1:3" ht="14.45" customHeight="1" x14ac:dyDescent="0.2">
      <c r="A6" s="87" t="s">
        <v>739</v>
      </c>
      <c r="B6" s="196">
        <v>20000000</v>
      </c>
      <c r="C6" s="196">
        <f t="shared" si="0"/>
        <v>120000000</v>
      </c>
    </row>
    <row r="7" spans="1:3" x14ac:dyDescent="0.2">
      <c r="A7" s="87" t="s">
        <v>744</v>
      </c>
      <c r="B7" s="196">
        <v>50000000</v>
      </c>
      <c r="C7" s="196">
        <f t="shared" si="0"/>
        <v>300000000</v>
      </c>
    </row>
    <row r="8" spans="1:3" x14ac:dyDescent="0.2">
      <c r="A8" s="87" t="s">
        <v>740</v>
      </c>
      <c r="B8" s="196">
        <v>500000</v>
      </c>
      <c r="C8" s="196">
        <f t="shared" si="0"/>
        <v>3000000</v>
      </c>
    </row>
    <row r="9" spans="1:3" x14ac:dyDescent="0.2">
      <c r="A9" s="87" t="s">
        <v>745</v>
      </c>
      <c r="B9" s="196">
        <v>100000000</v>
      </c>
      <c r="C9" s="196">
        <f t="shared" si="0"/>
        <v>600000000</v>
      </c>
    </row>
    <row r="10" spans="1:3" x14ac:dyDescent="0.2">
      <c r="C10" s="196">
        <f>SUM(C4:C9)</f>
        <v>2553000000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954"/>
  <sheetViews>
    <sheetView showGridLines="0" topLeftCell="A145" zoomScale="87" zoomScaleNormal="87" workbookViewId="0">
      <selection activeCell="I175" sqref="I175"/>
    </sheetView>
  </sheetViews>
  <sheetFormatPr defaultColWidth="8.7421875" defaultRowHeight="13.5" x14ac:dyDescent="0.15"/>
  <cols>
    <col min="1" max="1" width="4.5703125" style="47" customWidth="1"/>
    <col min="2" max="2" width="4.5703125" style="533" customWidth="1"/>
    <col min="3" max="3" width="62.28125" style="895" customWidth="1"/>
    <col min="4" max="4" width="4.9765625" style="851" bestFit="1" customWidth="1"/>
    <col min="5" max="5" width="7.93359375" style="877" customWidth="1"/>
    <col min="6" max="6" width="16.6796875" style="873" customWidth="1"/>
    <col min="7" max="7" width="14.2578125" style="877" bestFit="1" customWidth="1"/>
    <col min="8" max="8" width="16.6796875" style="873" customWidth="1"/>
    <col min="9" max="9" width="7.93359375" style="877" customWidth="1"/>
    <col min="10" max="10" width="17.890625" style="873" customWidth="1"/>
    <col min="11" max="11" width="9.68359375" style="877" customWidth="1"/>
    <col min="12" max="12" width="17.08203125" style="900" customWidth="1"/>
    <col min="13" max="13" width="9.68359375" style="900" customWidth="1"/>
    <col min="14" max="14" width="18.4296875" style="900" customWidth="1"/>
    <col min="15" max="15" width="8.47265625" style="877" customWidth="1"/>
    <col min="16" max="16" width="17.08203125" style="900" customWidth="1"/>
    <col min="17" max="17" width="12.9140625" style="32" hidden="1" customWidth="1"/>
    <col min="18" max="18" width="17.484375" style="547" hidden="1" customWidth="1"/>
    <col min="19" max="19" width="4.9765625" style="32" customWidth="1"/>
    <col min="20" max="20" width="16.0078125" style="32" bestFit="1" customWidth="1"/>
    <col min="21" max="16384" width="8.7421875" style="32"/>
  </cols>
  <sheetData>
    <row r="1" spans="2:20" ht="22.5" x14ac:dyDescent="0.15">
      <c r="B1" s="1070" t="s">
        <v>1394</v>
      </c>
      <c r="C1" s="1070"/>
      <c r="D1" s="1070"/>
      <c r="E1" s="1070"/>
      <c r="F1" s="1070"/>
      <c r="G1" s="1070"/>
      <c r="H1" s="1070"/>
      <c r="I1" s="1070"/>
      <c r="J1" s="1070"/>
      <c r="K1" s="1070"/>
      <c r="L1" s="1070"/>
      <c r="M1" s="1070"/>
      <c r="N1" s="1070"/>
      <c r="O1" s="1021"/>
      <c r="P1" s="1021"/>
    </row>
    <row r="2" spans="2:20" ht="14.25" thickBot="1" x14ac:dyDescent="0.2"/>
    <row r="3" spans="2:20" ht="23.25" customHeight="1" thickBot="1" x14ac:dyDescent="0.2">
      <c r="B3" s="1072" t="s">
        <v>1127</v>
      </c>
      <c r="C3" s="1072" t="s">
        <v>158</v>
      </c>
      <c r="D3" s="1072" t="s">
        <v>1390</v>
      </c>
      <c r="E3" s="1074">
        <v>2019</v>
      </c>
      <c r="F3" s="1074"/>
      <c r="G3" s="1075">
        <v>2020</v>
      </c>
      <c r="H3" s="1075"/>
      <c r="I3" s="1076">
        <v>2021</v>
      </c>
      <c r="J3" s="1076"/>
      <c r="K3" s="1066">
        <v>2022</v>
      </c>
      <c r="L3" s="1066"/>
      <c r="M3" s="1071" t="s">
        <v>1387</v>
      </c>
      <c r="N3" s="1071"/>
      <c r="O3" s="1066">
        <v>2023</v>
      </c>
      <c r="P3" s="1066"/>
      <c r="Q3" s="819"/>
      <c r="R3" s="819"/>
    </row>
    <row r="4" spans="2:20" ht="30" customHeight="1" thickBot="1" x14ac:dyDescent="0.2">
      <c r="B4" s="1073"/>
      <c r="C4" s="1073"/>
      <c r="D4" s="1073"/>
      <c r="E4" s="868" t="s">
        <v>1386</v>
      </c>
      <c r="F4" s="868" t="s">
        <v>1385</v>
      </c>
      <c r="G4" s="869" t="s">
        <v>1386</v>
      </c>
      <c r="H4" s="869" t="s">
        <v>1385</v>
      </c>
      <c r="I4" s="870" t="s">
        <v>1386</v>
      </c>
      <c r="J4" s="870" t="s">
        <v>1385</v>
      </c>
      <c r="K4" s="871" t="s">
        <v>1386</v>
      </c>
      <c r="L4" s="871" t="s">
        <v>1385</v>
      </c>
      <c r="M4" s="872" t="s">
        <v>1386</v>
      </c>
      <c r="N4" s="872" t="s">
        <v>1385</v>
      </c>
      <c r="O4" s="871" t="s">
        <v>1386</v>
      </c>
      <c r="P4" s="871" t="s">
        <v>1385</v>
      </c>
      <c r="Q4" s="818"/>
      <c r="R4" s="818"/>
    </row>
    <row r="5" spans="2:20" ht="15.75" customHeight="1" thickBot="1" x14ac:dyDescent="0.2">
      <c r="B5" s="1067" t="s">
        <v>1376</v>
      </c>
      <c r="C5" s="1068"/>
      <c r="D5" s="1069"/>
      <c r="E5" s="878">
        <f t="shared" ref="E5:N5" si="0">SUM(E6:E26)</f>
        <v>284</v>
      </c>
      <c r="F5" s="822">
        <f t="shared" si="0"/>
        <v>254244000</v>
      </c>
      <c r="G5" s="878">
        <f t="shared" si="0"/>
        <v>374</v>
      </c>
      <c r="H5" s="822">
        <f t="shared" si="0"/>
        <v>476857998</v>
      </c>
      <c r="I5" s="878">
        <f t="shared" si="0"/>
        <v>288</v>
      </c>
      <c r="J5" s="822">
        <f t="shared" si="0"/>
        <v>371324000</v>
      </c>
      <c r="K5" s="878">
        <f t="shared" si="0"/>
        <v>320</v>
      </c>
      <c r="L5" s="822">
        <f t="shared" si="0"/>
        <v>416489950</v>
      </c>
      <c r="M5" s="822">
        <f t="shared" si="0"/>
        <v>1266</v>
      </c>
      <c r="N5" s="822">
        <f t="shared" si="0"/>
        <v>1518915948</v>
      </c>
      <c r="O5" s="878">
        <f t="shared" ref="O5:P5" si="1">SUM(O6:O26)</f>
        <v>134</v>
      </c>
      <c r="P5" s="822">
        <f t="shared" si="1"/>
        <v>28040000</v>
      </c>
      <c r="T5" s="549">
        <f>+L5-350209950</f>
        <v>66280000</v>
      </c>
    </row>
    <row r="6" spans="2:20" x14ac:dyDescent="0.15">
      <c r="B6" s="539">
        <v>1</v>
      </c>
      <c r="C6" s="568" t="s">
        <v>32</v>
      </c>
      <c r="D6" s="852" t="s">
        <v>1392</v>
      </c>
      <c r="E6" s="892">
        <f>+'Per anak'!D29</f>
        <v>0</v>
      </c>
      <c r="F6" s="854">
        <f>SUMIF(Category!$C:$C,'TOTAL BANTUAN 2019-2023'!C6,Category!$J:$J)</f>
        <v>0</v>
      </c>
      <c r="G6" s="889">
        <f>+'Per anak'!E29</f>
        <v>8</v>
      </c>
      <c r="H6" s="859">
        <f>+Category!X5</f>
        <v>7130000</v>
      </c>
      <c r="I6" s="886">
        <f>+'Per anak'!F29</f>
        <v>0</v>
      </c>
      <c r="J6" s="865">
        <f>+SUMIF(Category!$C:$C,'TOTAL BANTUAN 2019-2023'!C6,Category!$AL:$AL)</f>
        <v>0</v>
      </c>
      <c r="K6" s="879">
        <f>+'Per anak'!G29</f>
        <v>0</v>
      </c>
      <c r="L6" s="861">
        <f>+SUMIF(Category!$C:$C,'TOTAL BANTUAN 2019-2023'!C6,Category!$AZ:$AZ)</f>
        <v>0</v>
      </c>
      <c r="M6" s="857">
        <f>+E6+G6+I6+K6</f>
        <v>8</v>
      </c>
      <c r="N6" s="857">
        <f>+F6+H6+J6+L6</f>
        <v>7130000</v>
      </c>
      <c r="O6" s="879">
        <f>+'Per anak'!H29</f>
        <v>0</v>
      </c>
      <c r="P6" s="861">
        <f>+SUMIF(Category!$C:$C,'TOTAL BANTUAN 2019-2023'!C6,Category!$BN:$BN)</f>
        <v>0</v>
      </c>
      <c r="R6" s="32"/>
    </row>
    <row r="7" spans="2:20" x14ac:dyDescent="0.15">
      <c r="B7" s="539">
        <v>2</v>
      </c>
      <c r="C7" s="568" t="s">
        <v>35</v>
      </c>
      <c r="D7" s="852" t="s">
        <v>1392</v>
      </c>
      <c r="E7" s="892">
        <f>+'Per anak'!D30</f>
        <v>29</v>
      </c>
      <c r="F7" s="854">
        <f>SUMIF(Category!$C:$C,'TOTAL BANTUAN 2019-2023'!C7,Category!$J:$J)</f>
        <v>18750000</v>
      </c>
      <c r="G7" s="889">
        <f>+'Per anak'!E30</f>
        <v>57</v>
      </c>
      <c r="H7" s="859">
        <f>+Category!X6</f>
        <v>25995000</v>
      </c>
      <c r="I7" s="886">
        <f>+'Per anak'!F30</f>
        <v>57</v>
      </c>
      <c r="J7" s="865">
        <f>+SUMIF(Category!$C:$C,'TOTAL BANTUAN 2019-2023'!C7,Category!$AL:$AL)</f>
        <v>38175000</v>
      </c>
      <c r="K7" s="879">
        <f>+'Per anak'!G30</f>
        <v>0</v>
      </c>
      <c r="L7" s="861">
        <f>+SUMIF(Category!$C:$C,'TOTAL BANTUAN 2019-2023'!C7,Category!$AZ:$AZ)</f>
        <v>0</v>
      </c>
      <c r="M7" s="857">
        <f>+E7+G7+I7+K7</f>
        <v>143</v>
      </c>
      <c r="N7" s="857">
        <f>+F7+H7+J7+L7</f>
        <v>82920000</v>
      </c>
      <c r="O7" s="879">
        <f>+'Per anak'!H30</f>
        <v>0</v>
      </c>
      <c r="P7" s="861">
        <f>+SUMIF(Category!$C:$C,'TOTAL BANTUAN 2019-2023'!C7,Category!$BN:$BN)</f>
        <v>0</v>
      </c>
      <c r="R7" s="32"/>
    </row>
    <row r="8" spans="2:20" x14ac:dyDescent="0.15">
      <c r="B8" s="539">
        <v>3</v>
      </c>
      <c r="C8" s="568" t="s">
        <v>25</v>
      </c>
      <c r="D8" s="852" t="s">
        <v>1392</v>
      </c>
      <c r="E8" s="892">
        <f>+'Per anak'!D31</f>
        <v>12</v>
      </c>
      <c r="F8" s="855">
        <f>+Category!J7</f>
        <v>15000000</v>
      </c>
      <c r="G8" s="889">
        <f>+'Per anak'!E31</f>
        <v>0</v>
      </c>
      <c r="H8" s="859">
        <f>+Category!X7</f>
        <v>54000000</v>
      </c>
      <c r="I8" s="886">
        <f>+'Per anak'!F31</f>
        <v>12</v>
      </c>
      <c r="J8" s="865">
        <f>+SUMIF(Category!$C:$C,'TOTAL BANTUAN 2019-2023'!C8,Category!$AL:$AL)</f>
        <v>9050000</v>
      </c>
      <c r="K8" s="879">
        <f>+'Per anak'!G31</f>
        <v>12</v>
      </c>
      <c r="L8" s="861">
        <f>+SUMIF(Category!$C:$C,'TOTAL BANTUAN 2019-2023'!C8,Category!$AZ:$AZ)</f>
        <v>15120000</v>
      </c>
      <c r="M8" s="857">
        <f t="shared" ref="M8:M25" si="2">+E8+G8+I8+K8</f>
        <v>36</v>
      </c>
      <c r="N8" s="857">
        <f t="shared" ref="N8:N25" si="3">+F8+H8+J8+L8</f>
        <v>93170000</v>
      </c>
      <c r="O8" s="879">
        <f>+'Per anak'!H31</f>
        <v>0</v>
      </c>
      <c r="P8" s="861">
        <f>+SUMIF(Category!$C:$C,'TOTAL BANTUAN 2019-2023'!C8,Category!$BN:$BN)</f>
        <v>0</v>
      </c>
      <c r="R8" s="32"/>
    </row>
    <row r="9" spans="2:20" x14ac:dyDescent="0.15">
      <c r="B9" s="539">
        <v>4</v>
      </c>
      <c r="C9" s="568" t="s">
        <v>48</v>
      </c>
      <c r="D9" s="852" t="s">
        <v>1392</v>
      </c>
      <c r="E9" s="892">
        <f>+'Per anak'!D32</f>
        <v>32</v>
      </c>
      <c r="F9" s="855">
        <f>+Category!J8</f>
        <v>6307000</v>
      </c>
      <c r="G9" s="889">
        <f>+'Per anak'!E32</f>
        <v>0</v>
      </c>
      <c r="H9" s="859">
        <f>+Category!X8</f>
        <v>36316000</v>
      </c>
      <c r="I9" s="886">
        <f>+'Per anak'!F32</f>
        <v>32</v>
      </c>
      <c r="J9" s="865">
        <f>+Category!AL8</f>
        <v>20265000</v>
      </c>
      <c r="K9" s="879">
        <f>+'Per anak'!G32</f>
        <v>39</v>
      </c>
      <c r="L9" s="861">
        <f>+SUMIF(Category!$C:$C,'TOTAL BANTUAN 2019-2023'!C9,Category!$AZ:$AZ)</f>
        <v>53324000</v>
      </c>
      <c r="M9" s="857">
        <f t="shared" si="2"/>
        <v>103</v>
      </c>
      <c r="N9" s="857">
        <f t="shared" si="3"/>
        <v>116212000</v>
      </c>
      <c r="O9" s="879">
        <f>+'Per anak'!H32</f>
        <v>94</v>
      </c>
      <c r="P9" s="861">
        <f>+SUMIF(Category!$C:$C,'TOTAL BANTUAN 2019-2023'!C9,Category!$BN:$BN)</f>
        <v>7640000</v>
      </c>
      <c r="R9" s="32"/>
    </row>
    <row r="10" spans="2:20" x14ac:dyDescent="0.15">
      <c r="B10" s="539">
        <v>5</v>
      </c>
      <c r="C10" s="568" t="s">
        <v>53</v>
      </c>
      <c r="D10" s="852" t="s">
        <v>1392</v>
      </c>
      <c r="E10" s="892">
        <f>+'Per anak'!D33</f>
        <v>67</v>
      </c>
      <c r="F10" s="855">
        <f>+Category!J9</f>
        <v>67310000</v>
      </c>
      <c r="G10" s="889">
        <f>+'Per anak'!E33</f>
        <v>0</v>
      </c>
      <c r="H10" s="859">
        <f>+Category!X9</f>
        <v>49260000</v>
      </c>
      <c r="I10" s="886">
        <f>+'Per anak'!F33</f>
        <v>52</v>
      </c>
      <c r="J10" s="865">
        <f>+Category!AL9</f>
        <v>68335000</v>
      </c>
      <c r="K10" s="879">
        <f>+'Per anak'!G33</f>
        <v>47</v>
      </c>
      <c r="L10" s="861">
        <f>+SUMIF(Category!$C:$C,'TOTAL BANTUAN 2019-2023'!C10,Category!$AZ:$AZ)</f>
        <v>15851950</v>
      </c>
      <c r="M10" s="857">
        <f t="shared" si="2"/>
        <v>166</v>
      </c>
      <c r="N10" s="857">
        <f t="shared" si="3"/>
        <v>200756950</v>
      </c>
      <c r="O10" s="879">
        <f>+'Per anak'!H33</f>
        <v>0</v>
      </c>
      <c r="P10" s="861">
        <f>+SUMIF(Category!$C:$C,'TOTAL BANTUAN 2019-2023'!C10,Category!$BN:$BN)</f>
        <v>0</v>
      </c>
      <c r="R10" s="32"/>
    </row>
    <row r="11" spans="2:20" x14ac:dyDescent="0.15">
      <c r="B11" s="539">
        <v>6</v>
      </c>
      <c r="C11" s="568" t="s">
        <v>60</v>
      </c>
      <c r="D11" s="852" t="s">
        <v>1392</v>
      </c>
      <c r="E11" s="892">
        <f>+'Per anak'!D34</f>
        <v>37</v>
      </c>
      <c r="F11" s="855">
        <f>+Category!J10</f>
        <v>31305000</v>
      </c>
      <c r="G11" s="889">
        <f>+'Per anak'!E34</f>
        <v>37</v>
      </c>
      <c r="H11" s="859">
        <f>+Category!X10</f>
        <v>19880000</v>
      </c>
      <c r="I11" s="886">
        <f>+'Per anak'!F34</f>
        <v>0</v>
      </c>
      <c r="J11" s="865">
        <f>+Category!AL10</f>
        <v>0</v>
      </c>
      <c r="K11" s="879">
        <f>+'Per anak'!G34</f>
        <v>37</v>
      </c>
      <c r="L11" s="861">
        <f>+SUMIF(Category!$C:$C,'TOTAL BANTUAN 2019-2023'!C11,Category!$AZ:$AZ)</f>
        <v>22029000</v>
      </c>
      <c r="M11" s="857">
        <f t="shared" si="2"/>
        <v>111</v>
      </c>
      <c r="N11" s="857">
        <f t="shared" si="3"/>
        <v>73214000</v>
      </c>
      <c r="O11" s="879">
        <f>+'Per anak'!H34</f>
        <v>0</v>
      </c>
      <c r="P11" s="861">
        <f>+SUMIF(Category!$C:$C,'TOTAL BANTUAN 2019-2023'!C11,Category!$BN:$BN)</f>
        <v>0</v>
      </c>
      <c r="R11" s="32"/>
    </row>
    <row r="12" spans="2:20" x14ac:dyDescent="0.15">
      <c r="B12" s="539">
        <v>7</v>
      </c>
      <c r="C12" s="568" t="s">
        <v>64</v>
      </c>
      <c r="D12" s="852" t="s">
        <v>1392</v>
      </c>
      <c r="E12" s="892">
        <f>+'Per anak'!D35</f>
        <v>10</v>
      </c>
      <c r="F12" s="855">
        <f>+Category!J11</f>
        <v>10760000</v>
      </c>
      <c r="G12" s="889">
        <f>+'Per anak'!E35</f>
        <v>15</v>
      </c>
      <c r="H12" s="859">
        <f>+Category!X11</f>
        <v>17385000</v>
      </c>
      <c r="I12" s="886">
        <f>+'Per anak'!F35</f>
        <v>15</v>
      </c>
      <c r="J12" s="865">
        <f>+Category!AL11</f>
        <v>46500000</v>
      </c>
      <c r="K12" s="879">
        <f>+'Per anak'!G35</f>
        <v>0</v>
      </c>
      <c r="L12" s="861">
        <f>+SUMIF(Category!$C:$C,'TOTAL BANTUAN 2019-2023'!C12,Category!$AZ:$AZ)</f>
        <v>0</v>
      </c>
      <c r="M12" s="857">
        <f t="shared" si="2"/>
        <v>40</v>
      </c>
      <c r="N12" s="857">
        <f t="shared" si="3"/>
        <v>74645000</v>
      </c>
      <c r="O12" s="879">
        <f>+'Per anak'!H35</f>
        <v>0</v>
      </c>
      <c r="P12" s="861">
        <f>+SUMIF(Category!$C:$C,'TOTAL BANTUAN 2019-2023'!C12,Category!$BN:$BN)</f>
        <v>0</v>
      </c>
      <c r="R12" s="32"/>
    </row>
    <row r="13" spans="2:20" x14ac:dyDescent="0.15">
      <c r="B13" s="539">
        <v>8</v>
      </c>
      <c r="C13" s="568" t="s">
        <v>75</v>
      </c>
      <c r="D13" s="852" t="s">
        <v>1392</v>
      </c>
      <c r="E13" s="892">
        <f>+'Per anak'!D36</f>
        <v>0</v>
      </c>
      <c r="F13" s="855">
        <f>SUMIF(Category!$C:$C,'TOTAL BANTUAN 2019-2023'!C13,Category!$J:$J)</f>
        <v>0</v>
      </c>
      <c r="G13" s="889">
        <f>+'Per anak'!E36</f>
        <v>9</v>
      </c>
      <c r="H13" s="859">
        <f>+Category!X12</f>
        <v>6791000</v>
      </c>
      <c r="I13" s="886">
        <f>+'Per anak'!F36</f>
        <v>9</v>
      </c>
      <c r="J13" s="865">
        <f>+Category!AL12</f>
        <v>57364000</v>
      </c>
      <c r="K13" s="879">
        <f>+'Per anak'!G36</f>
        <v>0</v>
      </c>
      <c r="L13" s="861">
        <f>+SUMIF(Category!$C:$C,'TOTAL BANTUAN 2019-2023'!C13,Category!$AZ:$AZ)</f>
        <v>0</v>
      </c>
      <c r="M13" s="857">
        <f t="shared" si="2"/>
        <v>18</v>
      </c>
      <c r="N13" s="857">
        <f t="shared" si="3"/>
        <v>64155000</v>
      </c>
      <c r="O13" s="879">
        <f>+'Per anak'!H36</f>
        <v>0</v>
      </c>
      <c r="P13" s="861">
        <f>+SUMIF(Category!$C:$C,'TOTAL BANTUAN 2019-2023'!C13,Category!$BN:$BN)</f>
        <v>0</v>
      </c>
      <c r="R13" s="32"/>
    </row>
    <row r="14" spans="2:20" x14ac:dyDescent="0.15">
      <c r="B14" s="539">
        <v>9</v>
      </c>
      <c r="C14" s="568" t="s">
        <v>79</v>
      </c>
      <c r="D14" s="852" t="s">
        <v>1392</v>
      </c>
      <c r="E14" s="892">
        <f>+'Per anak'!D37</f>
        <v>0</v>
      </c>
      <c r="F14" s="855">
        <f>SUMIF(Category!$C:$C,'TOTAL BANTUAN 2019-2023'!C14,Category!$J:$J)</f>
        <v>0</v>
      </c>
      <c r="G14" s="889">
        <f>+'Per anak'!E37</f>
        <v>44</v>
      </c>
      <c r="H14" s="859">
        <f>+Category!X13</f>
        <v>61566000</v>
      </c>
      <c r="I14" s="886">
        <f>+'Per anak'!F37</f>
        <v>0</v>
      </c>
      <c r="J14" s="865">
        <f>+Category!AL13</f>
        <v>0</v>
      </c>
      <c r="K14" s="879">
        <f>+'Per anak'!G37</f>
        <v>0</v>
      </c>
      <c r="L14" s="861">
        <f>+SUMIF(Category!$C:$C,'TOTAL BANTUAN 2019-2023'!C14,Category!$AZ:$AZ)</f>
        <v>0</v>
      </c>
      <c r="M14" s="857">
        <f t="shared" si="2"/>
        <v>44</v>
      </c>
      <c r="N14" s="857">
        <f t="shared" si="3"/>
        <v>61566000</v>
      </c>
      <c r="O14" s="879">
        <f>+'Per anak'!H37</f>
        <v>0</v>
      </c>
      <c r="P14" s="861">
        <f>+SUMIF(Category!$C:$C,'TOTAL BANTUAN 2019-2023'!C14,Category!$BN:$BN)</f>
        <v>0</v>
      </c>
      <c r="R14" s="32"/>
    </row>
    <row r="15" spans="2:20" x14ac:dyDescent="0.15">
      <c r="B15" s="539">
        <v>10</v>
      </c>
      <c r="C15" s="568" t="s">
        <v>83</v>
      </c>
      <c r="D15" s="852" t="s">
        <v>1392</v>
      </c>
      <c r="E15" s="892">
        <f>+'Per anak'!D38</f>
        <v>0</v>
      </c>
      <c r="F15" s="855">
        <f>SUMIF(Category!$C:$C,'TOTAL BANTUAN 2019-2023'!C15,Category!$J:$J)</f>
        <v>0</v>
      </c>
      <c r="G15" s="889">
        <f>+'Per anak'!E38</f>
        <v>20</v>
      </c>
      <c r="H15" s="859">
        <f>+Category!X14</f>
        <v>15400000</v>
      </c>
      <c r="I15" s="886">
        <f>+'Per anak'!F38</f>
        <v>0</v>
      </c>
      <c r="J15" s="865">
        <f>+Category!AL14</f>
        <v>0</v>
      </c>
      <c r="K15" s="879">
        <f>+'Per anak'!G38</f>
        <v>0</v>
      </c>
      <c r="L15" s="861">
        <f>+SUMIF(Category!$C:$C,'TOTAL BANTUAN 2019-2023'!C15,Category!$AZ:$AZ)</f>
        <v>0</v>
      </c>
      <c r="M15" s="857">
        <f t="shared" si="2"/>
        <v>20</v>
      </c>
      <c r="N15" s="857">
        <f t="shared" si="3"/>
        <v>15400000</v>
      </c>
      <c r="O15" s="879">
        <f>+'Per anak'!H38</f>
        <v>0</v>
      </c>
      <c r="P15" s="861">
        <f>+SUMIF(Category!$C:$C,'TOTAL BANTUAN 2019-2023'!C15,Category!$BN:$BN)</f>
        <v>0</v>
      </c>
      <c r="R15" s="32"/>
    </row>
    <row r="16" spans="2:20" x14ac:dyDescent="0.15">
      <c r="B16" s="539">
        <v>11</v>
      </c>
      <c r="C16" s="568" t="s">
        <v>87</v>
      </c>
      <c r="D16" s="852" t="s">
        <v>1392</v>
      </c>
      <c r="E16" s="892">
        <f>+'Per anak'!D39</f>
        <v>0</v>
      </c>
      <c r="F16" s="855">
        <f>SUMIF(Category!$C:$C,'TOTAL BANTUAN 2019-2023'!C16,Category!$J:$J)</f>
        <v>0</v>
      </c>
      <c r="G16" s="889">
        <f>+'Per anak'!E39</f>
        <v>0</v>
      </c>
      <c r="H16" s="859">
        <f>+Category!X15</f>
        <v>34424998</v>
      </c>
      <c r="I16" s="886">
        <f>+'Per anak'!F39</f>
        <v>20</v>
      </c>
      <c r="J16" s="865">
        <f>+Category!AL15</f>
        <v>37725000</v>
      </c>
      <c r="K16" s="879">
        <f>+'Per anak'!G39</f>
        <v>24</v>
      </c>
      <c r="L16" s="861">
        <f>+SUMIF(Category!$C:$C,'TOTAL BANTUAN 2019-2023'!C16,Category!$AZ:$AZ)</f>
        <v>12000000</v>
      </c>
      <c r="M16" s="857">
        <f t="shared" si="2"/>
        <v>44</v>
      </c>
      <c r="N16" s="857">
        <f t="shared" si="3"/>
        <v>84149998</v>
      </c>
      <c r="O16" s="879">
        <f>+'Per anak'!H39</f>
        <v>0</v>
      </c>
      <c r="P16" s="861">
        <f>+SUMIF(Category!$C:$C,'TOTAL BANTUAN 2019-2023'!C16,Category!$BN:$BN)</f>
        <v>0</v>
      </c>
      <c r="R16" s="32"/>
    </row>
    <row r="17" spans="2:20" x14ac:dyDescent="0.15">
      <c r="B17" s="539">
        <v>12</v>
      </c>
      <c r="C17" s="568" t="s">
        <v>90</v>
      </c>
      <c r="D17" s="852" t="s">
        <v>1392</v>
      </c>
      <c r="E17" s="892">
        <f>+'Per anak'!D40</f>
        <v>0</v>
      </c>
      <c r="F17" s="855">
        <f>SUMIF(Category!$C:$C,'TOTAL BANTUAN 2019-2023'!C17,Category!$J:$J)</f>
        <v>0</v>
      </c>
      <c r="G17" s="889">
        <f>+'Per anak'!E40</f>
        <v>25</v>
      </c>
      <c r="H17" s="859">
        <f>+Category!X16</f>
        <v>38300000</v>
      </c>
      <c r="I17" s="886">
        <f>+'Per anak'!F40</f>
        <v>0</v>
      </c>
      <c r="J17" s="865">
        <f>+Category!AL16</f>
        <v>0</v>
      </c>
      <c r="K17" s="879">
        <f>+'Per anak'!G40</f>
        <v>0</v>
      </c>
      <c r="L17" s="861">
        <f>+SUMIF(Category!$C:$C,'TOTAL BANTUAN 2019-2023'!C17,Category!$AZ:$AZ)</f>
        <v>0</v>
      </c>
      <c r="M17" s="857">
        <f t="shared" si="2"/>
        <v>25</v>
      </c>
      <c r="N17" s="857">
        <f t="shared" si="3"/>
        <v>38300000</v>
      </c>
      <c r="O17" s="879">
        <f>+'Per anak'!H40</f>
        <v>0</v>
      </c>
      <c r="P17" s="861">
        <f>+SUMIF(Category!$C:$C,'TOTAL BANTUAN 2019-2023'!C17,Category!$BN:$BN)</f>
        <v>0</v>
      </c>
      <c r="R17" s="32"/>
    </row>
    <row r="18" spans="2:20" x14ac:dyDescent="0.15">
      <c r="B18" s="539">
        <v>13</v>
      </c>
      <c r="C18" s="568" t="s">
        <v>114</v>
      </c>
      <c r="D18" s="852" t="s">
        <v>1392</v>
      </c>
      <c r="E18" s="892">
        <f>+'Per anak'!D41</f>
        <v>84</v>
      </c>
      <c r="F18" s="855">
        <f>SUMIF(Category!$C:$C,'TOTAL BANTUAN 2019-2023'!C18,Category!$J:$J)</f>
        <v>89232000</v>
      </c>
      <c r="G18" s="889">
        <f>+'Per anak'!E41</f>
        <v>115</v>
      </c>
      <c r="H18" s="859">
        <f>+Category!X17</f>
        <v>94250000</v>
      </c>
      <c r="I18" s="886">
        <f>+'Per anak'!F41</f>
        <v>0</v>
      </c>
      <c r="J18" s="865">
        <f>+Category!AL17</f>
        <v>0</v>
      </c>
      <c r="K18" s="879">
        <f>+'Per anak'!G41</f>
        <v>0</v>
      </c>
      <c r="L18" s="861">
        <f>+SUMIF(Category!$C:$C,'TOTAL BANTUAN 2019-2023'!C18,Category!$AZ:$AZ)</f>
        <v>59375000</v>
      </c>
      <c r="M18" s="857">
        <f t="shared" si="2"/>
        <v>199</v>
      </c>
      <c r="N18" s="857">
        <f t="shared" si="3"/>
        <v>242857000</v>
      </c>
      <c r="O18" s="879">
        <f>+'Per anak'!H41</f>
        <v>0</v>
      </c>
      <c r="P18" s="861">
        <f>+SUMIF(Category!$C:$C,'TOTAL BANTUAN 2019-2023'!C18,Category!$BN:$BN)</f>
        <v>0</v>
      </c>
      <c r="R18" s="32"/>
    </row>
    <row r="19" spans="2:20" x14ac:dyDescent="0.15">
      <c r="B19" s="539">
        <v>14</v>
      </c>
      <c r="C19" s="568" t="s">
        <v>129</v>
      </c>
      <c r="D19" s="852" t="s">
        <v>1392</v>
      </c>
      <c r="E19" s="892">
        <f>+'Per anak'!D42</f>
        <v>0</v>
      </c>
      <c r="F19" s="855">
        <f>SUMIF(Category!$C:$C,'TOTAL BANTUAN 2019-2023'!C19,Category!$J:$J)</f>
        <v>0</v>
      </c>
      <c r="G19" s="889">
        <f>+'Per anak'!E42</f>
        <v>32</v>
      </c>
      <c r="H19" s="859">
        <f>+Category!X18</f>
        <v>16160000</v>
      </c>
      <c r="I19" s="886">
        <f>+'Per anak'!F42</f>
        <v>32</v>
      </c>
      <c r="J19" s="865">
        <f>+Category!AL18</f>
        <v>39960000</v>
      </c>
      <c r="K19" s="879">
        <f>+'Per anak'!G42</f>
        <v>32</v>
      </c>
      <c r="L19" s="861">
        <f>+SUMIF(Category!$C:$C,'TOTAL BANTUAN 2019-2023'!C19,Category!$AZ:$AZ)</f>
        <v>98700000</v>
      </c>
      <c r="M19" s="857">
        <f t="shared" si="2"/>
        <v>96</v>
      </c>
      <c r="N19" s="857">
        <f t="shared" si="3"/>
        <v>154820000</v>
      </c>
      <c r="O19" s="879">
        <f>+'Per anak'!H42</f>
        <v>40</v>
      </c>
      <c r="P19" s="861">
        <f>+SUMIF(Category!$C:$C,'TOTAL BANTUAN 2019-2023'!C19,Category!$BN:$BN)</f>
        <v>20400000</v>
      </c>
      <c r="R19" s="32"/>
    </row>
    <row r="20" spans="2:20" x14ac:dyDescent="0.15">
      <c r="B20" s="539">
        <v>15</v>
      </c>
      <c r="C20" s="568" t="s">
        <v>106</v>
      </c>
      <c r="D20" s="852" t="s">
        <v>1392</v>
      </c>
      <c r="E20" s="892">
        <f>+'Per anak'!D43</f>
        <v>0</v>
      </c>
      <c r="F20" s="855">
        <f>SUMIF(Category!$C:$C,'TOTAL BANTUAN 2019-2023'!C20,Category!$J:$J)</f>
        <v>5500000</v>
      </c>
      <c r="G20" s="889">
        <f>+'Per anak'!E43</f>
        <v>12</v>
      </c>
      <c r="H20" s="859">
        <f>+Category!X19</f>
        <v>0</v>
      </c>
      <c r="I20" s="886">
        <f>+'Per anak'!F43</f>
        <v>0</v>
      </c>
      <c r="J20" s="865">
        <f>+Category!AL19</f>
        <v>0</v>
      </c>
      <c r="K20" s="879">
        <f>+'Per anak'!G43</f>
        <v>85</v>
      </c>
      <c r="L20" s="861">
        <f>+SUMIF(Category!$C:$C,'TOTAL BANTUAN 2019-2023'!C20,Category!$AZ:$AZ)</f>
        <v>124250000</v>
      </c>
      <c r="M20" s="857">
        <f t="shared" si="2"/>
        <v>97</v>
      </c>
      <c r="N20" s="857">
        <f t="shared" si="3"/>
        <v>129750000</v>
      </c>
      <c r="O20" s="879">
        <f>+'Per anak'!H43</f>
        <v>0</v>
      </c>
      <c r="P20" s="861">
        <f>+SUMIF(Category!$C:$C,'TOTAL BANTUAN 2019-2023'!C20,Category!$BN:$BN)</f>
        <v>0</v>
      </c>
      <c r="R20" s="32"/>
    </row>
    <row r="21" spans="2:20" x14ac:dyDescent="0.15">
      <c r="B21" s="539">
        <v>16</v>
      </c>
      <c r="C21" s="568" t="s">
        <v>486</v>
      </c>
      <c r="D21" s="852" t="s">
        <v>1392</v>
      </c>
      <c r="E21" s="892">
        <f>+'Per anak'!D44</f>
        <v>0</v>
      </c>
      <c r="F21" s="855">
        <f>SUMIF(Category!$C:$C,'TOTAL BANTUAN 2019-2023'!C21,Category!$J:$J)</f>
        <v>0</v>
      </c>
      <c r="G21" s="889">
        <f>+'Per anak'!E44</f>
        <v>0</v>
      </c>
      <c r="H21" s="859">
        <f>+Category!X20</f>
        <v>0</v>
      </c>
      <c r="I21" s="886">
        <f>+'Per anak'!F44</f>
        <v>44</v>
      </c>
      <c r="J21" s="865">
        <f>+Category!AL21</f>
        <v>21210000</v>
      </c>
      <c r="K21" s="879">
        <f>+'Per anak'!G44</f>
        <v>44</v>
      </c>
      <c r="L21" s="861">
        <f>+SUMIF(Category!$C:$C,'TOTAL BANTUAN 2019-2023'!C21,Category!$AZ:$AZ)</f>
        <v>15840000</v>
      </c>
      <c r="M21" s="857">
        <f t="shared" si="2"/>
        <v>88</v>
      </c>
      <c r="N21" s="857">
        <f t="shared" si="3"/>
        <v>37050000</v>
      </c>
      <c r="O21" s="879">
        <f>+'Per anak'!H44</f>
        <v>0</v>
      </c>
      <c r="P21" s="861">
        <f>+SUMIF(Category!$C:$C,'TOTAL BANTUAN 2019-2023'!C21,Category!$BN:$BN)</f>
        <v>0</v>
      </c>
      <c r="R21" s="32"/>
    </row>
    <row r="22" spans="2:20" x14ac:dyDescent="0.15">
      <c r="B22" s="539">
        <v>18</v>
      </c>
      <c r="C22" s="568" t="s">
        <v>618</v>
      </c>
      <c r="D22" s="852" t="s">
        <v>1392</v>
      </c>
      <c r="E22" s="892">
        <f>+'Per anak'!D46</f>
        <v>0</v>
      </c>
      <c r="F22" s="855">
        <f>SUMIF(Category!$C:$C,'TOTAL BANTUAN 2019-2023'!C22,Category!$J:$J)</f>
        <v>0</v>
      </c>
      <c r="G22" s="889">
        <f>+'Per anak'!E46</f>
        <v>0</v>
      </c>
      <c r="H22" s="859">
        <f>+Category!X21</f>
        <v>0</v>
      </c>
      <c r="I22" s="886">
        <f>+'Per anak'!F46</f>
        <v>5</v>
      </c>
      <c r="J22" s="865">
        <f>+Category!AL22</f>
        <v>18740000</v>
      </c>
      <c r="K22" s="879">
        <f>+'Per anak'!G46</f>
        <v>0</v>
      </c>
      <c r="L22" s="861">
        <f>+SUMIF(Category!$C:$C,'TOTAL BANTUAN 2019-2023'!C22,Category!$AZ:$AZ)</f>
        <v>0</v>
      </c>
      <c r="M22" s="857">
        <f t="shared" si="2"/>
        <v>5</v>
      </c>
      <c r="N22" s="857">
        <f t="shared" si="3"/>
        <v>18740000</v>
      </c>
      <c r="O22" s="879">
        <f>+'Per anak'!H45</f>
        <v>0</v>
      </c>
      <c r="P22" s="861">
        <f>+SUMIF(Category!$C:$C,'TOTAL BANTUAN 2019-2023'!C22,Category!$BN:$BN)</f>
        <v>0</v>
      </c>
      <c r="R22" s="32"/>
    </row>
    <row r="23" spans="2:20" x14ac:dyDescent="0.15">
      <c r="B23" s="539">
        <v>19</v>
      </c>
      <c r="C23" s="568" t="s">
        <v>619</v>
      </c>
      <c r="D23" s="852" t="s">
        <v>1392</v>
      </c>
      <c r="E23" s="892">
        <f>+'Per anak'!D47</f>
        <v>0</v>
      </c>
      <c r="F23" s="855">
        <f>SUMIF(Category!$C:$C,'TOTAL BANTUAN 2019-2023'!C23,Category!$J:$J)</f>
        <v>0</v>
      </c>
      <c r="G23" s="889">
        <f>+'Per anak'!E47</f>
        <v>0</v>
      </c>
      <c r="H23" s="859">
        <f>+Category!X22</f>
        <v>0</v>
      </c>
      <c r="I23" s="886">
        <f>+'Per anak'!F47</f>
        <v>5</v>
      </c>
      <c r="J23" s="865">
        <f>+Category!AL23</f>
        <v>7110000</v>
      </c>
      <c r="K23" s="879">
        <f>+'Per anak'!G47</f>
        <v>0</v>
      </c>
      <c r="L23" s="861">
        <f>+SUMIF(Category!$C:$C,'TOTAL BANTUAN 2019-2023'!C23,Category!$AZ:$AZ)</f>
        <v>0</v>
      </c>
      <c r="M23" s="857">
        <f t="shared" si="2"/>
        <v>5</v>
      </c>
      <c r="N23" s="857">
        <f t="shared" si="3"/>
        <v>7110000</v>
      </c>
      <c r="O23" s="879">
        <f>+'Per anak'!H46</f>
        <v>0</v>
      </c>
      <c r="P23" s="861">
        <f>+SUMIF(Category!$C:$C,'TOTAL BANTUAN 2019-2023'!C23,Category!$BN:$BN)</f>
        <v>0</v>
      </c>
      <c r="R23" s="32"/>
    </row>
    <row r="24" spans="2:20" x14ac:dyDescent="0.15">
      <c r="B24" s="539">
        <v>20</v>
      </c>
      <c r="C24" s="568" t="s">
        <v>620</v>
      </c>
      <c r="D24" s="852" t="s">
        <v>1392</v>
      </c>
      <c r="E24" s="892">
        <f>+'Per anak'!D48</f>
        <v>0</v>
      </c>
      <c r="F24" s="855">
        <f>SUMIF(Category!$C:$C,'TOTAL BANTUAN 2019-2023'!C24,Category!$J:$J)</f>
        <v>0</v>
      </c>
      <c r="G24" s="889">
        <f>+'Per anak'!E48</f>
        <v>0</v>
      </c>
      <c r="H24" s="859">
        <f>+Category!X23</f>
        <v>0</v>
      </c>
      <c r="I24" s="886">
        <f>+'Per anak'!F48</f>
        <v>5</v>
      </c>
      <c r="J24" s="865">
        <f>+Category!AL24</f>
        <v>6890000</v>
      </c>
      <c r="K24" s="879">
        <f>+'Per anak'!G48</f>
        <v>0</v>
      </c>
      <c r="L24" s="861">
        <f>+SUMIF(Category!$C:$C,'TOTAL BANTUAN 2019-2023'!C24,Category!$AZ:$AZ)</f>
        <v>0</v>
      </c>
      <c r="M24" s="857">
        <f t="shared" si="2"/>
        <v>5</v>
      </c>
      <c r="N24" s="857">
        <f t="shared" si="3"/>
        <v>6890000</v>
      </c>
      <c r="O24" s="879">
        <f>+'Per anak'!H47</f>
        <v>0</v>
      </c>
      <c r="P24" s="861">
        <f>+SUMIF(Category!$C:$C,'TOTAL BANTUAN 2019-2023'!C24,Category!$BN:$BN)</f>
        <v>0</v>
      </c>
      <c r="R24" s="32"/>
    </row>
    <row r="25" spans="2:20" x14ac:dyDescent="0.15">
      <c r="B25" s="539">
        <v>21</v>
      </c>
      <c r="C25" s="896" t="s">
        <v>1231</v>
      </c>
      <c r="D25" s="852" t="s">
        <v>1392</v>
      </c>
      <c r="E25" s="892">
        <f>+'Per anak'!D49</f>
        <v>13</v>
      </c>
      <c r="F25" s="855">
        <f>SUMIF(Category!$C:$C,'TOTAL BANTUAN 2019-2023'!C25,Category!$J:$J)</f>
        <v>10080000</v>
      </c>
      <c r="G25" s="889">
        <f>+'Per anak'!E49</f>
        <v>0</v>
      </c>
      <c r="H25" s="859">
        <f>+Category!X24</f>
        <v>0</v>
      </c>
      <c r="I25" s="886">
        <f>+'Per anak'!F49</f>
        <v>0</v>
      </c>
      <c r="J25" s="865">
        <f>+Category!AL25</f>
        <v>0</v>
      </c>
      <c r="K25" s="879">
        <f>+'Per anak'!G49</f>
        <v>0</v>
      </c>
      <c r="L25" s="861">
        <f>+SUMIF(Category!$C:$C,'TOTAL BANTUAN 2019-2023'!C25,Category!$AZ:$AZ)</f>
        <v>0</v>
      </c>
      <c r="M25" s="857">
        <f t="shared" si="2"/>
        <v>13</v>
      </c>
      <c r="N25" s="857">
        <f t="shared" si="3"/>
        <v>10080000</v>
      </c>
      <c r="O25" s="879">
        <f>+'Per anak'!H48</f>
        <v>0</v>
      </c>
      <c r="P25" s="861">
        <f>+SUMIF(Category!$C:$C,'TOTAL BANTUAN 2019-2023'!C25,Category!$BN:$BN)</f>
        <v>0</v>
      </c>
      <c r="R25" s="32"/>
    </row>
    <row r="26" spans="2:20" ht="14.25" thickBot="1" x14ac:dyDescent="0.2">
      <c r="B26" s="820"/>
      <c r="C26" s="897"/>
      <c r="D26" s="853"/>
      <c r="E26" s="893"/>
      <c r="F26" s="856"/>
      <c r="G26" s="890"/>
      <c r="H26" s="860"/>
      <c r="I26" s="887"/>
      <c r="J26" s="866"/>
      <c r="K26" s="880"/>
      <c r="L26" s="862"/>
      <c r="M26" s="858"/>
      <c r="N26" s="858"/>
      <c r="O26" s="880"/>
      <c r="P26" s="862"/>
      <c r="R26" s="32"/>
    </row>
    <row r="27" spans="2:20" ht="15.75" customHeight="1" thickBot="1" x14ac:dyDescent="0.2">
      <c r="B27" s="1067" t="s">
        <v>1377</v>
      </c>
      <c r="C27" s="1068"/>
      <c r="D27" s="1069"/>
      <c r="E27" s="878">
        <f t="shared" ref="E27:N27" si="4">SUM(E28:E65)</f>
        <v>149</v>
      </c>
      <c r="F27" s="822">
        <f t="shared" si="4"/>
        <v>45500000</v>
      </c>
      <c r="G27" s="878">
        <f t="shared" si="4"/>
        <v>398</v>
      </c>
      <c r="H27" s="822">
        <f t="shared" si="4"/>
        <v>140304500</v>
      </c>
      <c r="I27" s="878">
        <f t="shared" si="4"/>
        <v>2024</v>
      </c>
      <c r="J27" s="822">
        <f t="shared" si="4"/>
        <v>1170777889</v>
      </c>
      <c r="K27" s="878">
        <f t="shared" si="4"/>
        <v>2018</v>
      </c>
      <c r="L27" s="822">
        <f t="shared" si="4"/>
        <v>2133042243.47</v>
      </c>
      <c r="M27" s="822">
        <f t="shared" si="4"/>
        <v>4589</v>
      </c>
      <c r="N27" s="822">
        <f t="shared" si="4"/>
        <v>3489624632.4699998</v>
      </c>
      <c r="O27" s="878">
        <f t="shared" ref="O27:P27" si="5">SUM(O28:O65)</f>
        <v>2158</v>
      </c>
      <c r="P27" s="822">
        <f t="shared" si="5"/>
        <v>384599530</v>
      </c>
      <c r="R27" s="32"/>
    </row>
    <row r="28" spans="2:20" x14ac:dyDescent="0.15">
      <c r="B28" s="538">
        <v>1</v>
      </c>
      <c r="C28" s="567" t="s">
        <v>872</v>
      </c>
      <c r="D28" s="852" t="s">
        <v>1392</v>
      </c>
      <c r="E28" s="894">
        <f>+'Per anak'!D60</f>
        <v>0</v>
      </c>
      <c r="F28" s="855">
        <f>SUMIF(Category!$C:$C,'TOTAL BANTUAN 2019-2023'!C28,Category!$J:$J)</f>
        <v>0</v>
      </c>
      <c r="G28" s="891">
        <f>+Category!K27</f>
        <v>70</v>
      </c>
      <c r="H28" s="885">
        <f>SUMIF(Category!$C:$C,'TOTAL BANTUAN 2019-2023'!C28,Category!$X:$X)</f>
        <v>82100500</v>
      </c>
      <c r="I28" s="888">
        <f>+Category!Y27</f>
        <v>70</v>
      </c>
      <c r="J28" s="865">
        <f>+SUMIF(Category!$C:$C,'TOTAL BANTUAN 2019-2023'!C28,Category!$AL:$AL)</f>
        <v>51478504</v>
      </c>
      <c r="K28" s="881">
        <f>+Category!AM27</f>
        <v>59</v>
      </c>
      <c r="L28" s="861">
        <f>+SUMIF(Category!$C:$C,'TOTAL BANTUAN 2019-2023'!C28,Category!$AZ:$AZ)</f>
        <v>73632460</v>
      </c>
      <c r="M28" s="867">
        <f>+E28+G28+I28+K28</f>
        <v>199</v>
      </c>
      <c r="N28" s="867">
        <f>+F28+H28+J28+L28</f>
        <v>207211464</v>
      </c>
      <c r="O28" s="881">
        <f>+Category!BA27</f>
        <v>59</v>
      </c>
      <c r="P28" s="861">
        <f>+SUMIF(Category!$C:$C,'TOTAL BANTUAN 2019-2023'!C28,Category!$BN:$BN)</f>
        <v>12000000</v>
      </c>
      <c r="R28" s="32"/>
      <c r="T28" s="549"/>
    </row>
    <row r="29" spans="2:20" x14ac:dyDescent="0.15">
      <c r="B29" s="539">
        <v>2</v>
      </c>
      <c r="C29" s="568" t="s">
        <v>256</v>
      </c>
      <c r="D29" s="852" t="s">
        <v>1392</v>
      </c>
      <c r="E29" s="894">
        <f>+'Per anak'!D61</f>
        <v>16</v>
      </c>
      <c r="F29" s="855">
        <f>SUMIF(Category!$C:$C,'TOTAL BANTUAN 2019-2023'!C29,Category!$J:$J)</f>
        <v>5500000</v>
      </c>
      <c r="G29" s="891">
        <f>+Category!K30</f>
        <v>16</v>
      </c>
      <c r="H29" s="885">
        <f>SUMIF(Category!$C:$C,'TOTAL BANTUAN 2019-2023'!C29,Category!$X:$X)</f>
        <v>33204000</v>
      </c>
      <c r="I29" s="888">
        <f>+Category!Y30</f>
        <v>86</v>
      </c>
      <c r="J29" s="865">
        <f>+SUMIF(Category!$C:$C,'TOTAL BANTUAN 2019-2023'!C29,Category!$AL:$AL)</f>
        <v>76500000</v>
      </c>
      <c r="K29" s="881">
        <f>+Category!AM30</f>
        <v>86</v>
      </c>
      <c r="L29" s="861">
        <f>+SUMIF(Category!$C:$C,'TOTAL BANTUAN 2019-2023'!C29,Category!$AZ:$AZ)</f>
        <v>87000000</v>
      </c>
      <c r="M29" s="867">
        <f>+E29+G29+I29+K29</f>
        <v>204</v>
      </c>
      <c r="N29" s="867">
        <f>+F29+H29+J29+L29</f>
        <v>202204000</v>
      </c>
      <c r="O29" s="881">
        <f>+Category!BA30</f>
        <v>0</v>
      </c>
      <c r="P29" s="861">
        <f>+SUMIF(Category!$C:$C,'TOTAL BANTUAN 2019-2023'!C29,Category!$BN:$BN)</f>
        <v>11000000</v>
      </c>
      <c r="R29" s="32"/>
    </row>
    <row r="30" spans="2:20" x14ac:dyDescent="0.15">
      <c r="B30" s="539">
        <v>3</v>
      </c>
      <c r="C30" s="568" t="s">
        <v>124</v>
      </c>
      <c r="D30" s="852" t="s">
        <v>1392</v>
      </c>
      <c r="E30" s="894">
        <f>+'Per anak'!D62</f>
        <v>0</v>
      </c>
      <c r="F30" s="855">
        <f>SUMIF(Category!$C:$C,'TOTAL BANTUAN 2019-2023'!C30,Category!$J:$J)</f>
        <v>0</v>
      </c>
      <c r="G30" s="891">
        <f>+Category!K31</f>
        <v>119</v>
      </c>
      <c r="H30" s="885">
        <f>SUMIF(Category!$C:$C,'TOTAL BANTUAN 2019-2023'!C30,Category!$X:$X)</f>
        <v>5500000</v>
      </c>
      <c r="I30" s="888">
        <f>+Category!Y31</f>
        <v>119</v>
      </c>
      <c r="J30" s="865">
        <f>+SUMIF(Category!$C:$C,'TOTAL BANTUAN 2019-2023'!C30,Category!$AL:$AL)</f>
        <v>51406060</v>
      </c>
      <c r="K30" s="881">
        <f>+Category!AM31</f>
        <v>119</v>
      </c>
      <c r="L30" s="861">
        <f>+SUMIF(Category!$C:$C,'TOTAL BANTUAN 2019-2023'!C30,Category!$AZ:$AZ)</f>
        <v>72429348</v>
      </c>
      <c r="M30" s="867">
        <f t="shared" ref="M30:M60" si="6">+E30+G30+I30+K30</f>
        <v>357</v>
      </c>
      <c r="N30" s="867">
        <f t="shared" ref="N30:N60" si="7">+F30+H30+J30+L30</f>
        <v>129335408</v>
      </c>
      <c r="O30" s="881">
        <f>+Category!BA31</f>
        <v>75</v>
      </c>
      <c r="P30" s="861">
        <f>+SUMIF(Category!$C:$C,'TOTAL BANTUAN 2019-2023'!C30,Category!$BN:$BN)</f>
        <v>12000000</v>
      </c>
      <c r="R30" s="32"/>
    </row>
    <row r="31" spans="2:20" x14ac:dyDescent="0.15">
      <c r="B31" s="539">
        <v>4</v>
      </c>
      <c r="C31" s="568" t="s">
        <v>869</v>
      </c>
      <c r="D31" s="852" t="s">
        <v>1392</v>
      </c>
      <c r="E31" s="894">
        <f>+'Per anak'!D63</f>
        <v>0</v>
      </c>
      <c r="F31" s="855">
        <f>SUMIF(Category!$C:$C,'TOTAL BANTUAN 2019-2023'!C31,Category!$J:$J)</f>
        <v>0</v>
      </c>
      <c r="G31" s="891">
        <f>+Category!K33</f>
        <v>98</v>
      </c>
      <c r="H31" s="885">
        <f>SUMIF(Category!$C:$C,'TOTAL BANTUAN 2019-2023'!C31,Category!$X:$X)</f>
        <v>5500000</v>
      </c>
      <c r="I31" s="888">
        <f>+Category!Y33</f>
        <v>98</v>
      </c>
      <c r="J31" s="865">
        <f>+SUMIF(Category!$C:$C,'TOTAL BANTUAN 2019-2023'!C31,Category!$AL:$AL)</f>
        <v>51625180</v>
      </c>
      <c r="K31" s="881">
        <f>+Category!AM33</f>
        <v>93</v>
      </c>
      <c r="L31" s="861">
        <f>+SUMIF(Category!$C:$C,'TOTAL BANTUAN 2019-2023'!C31,Category!$AZ:$AZ)</f>
        <v>74858880.040000007</v>
      </c>
      <c r="M31" s="867">
        <f t="shared" si="6"/>
        <v>289</v>
      </c>
      <c r="N31" s="867">
        <f t="shared" si="7"/>
        <v>131984060.04000001</v>
      </c>
      <c r="O31" s="881">
        <f>+Category!BA33</f>
        <v>78</v>
      </c>
      <c r="P31" s="861">
        <f>+SUMIF(Category!$C:$C,'TOTAL BANTUAN 2019-2023'!C31,Category!$BN:$BN)</f>
        <v>12000000</v>
      </c>
      <c r="R31" s="32"/>
    </row>
    <row r="32" spans="2:20" x14ac:dyDescent="0.15">
      <c r="B32" s="539">
        <v>5</v>
      </c>
      <c r="C32" s="568" t="s">
        <v>868</v>
      </c>
      <c r="D32" s="852" t="s">
        <v>1392</v>
      </c>
      <c r="E32" s="894">
        <f>+'Per anak'!D64</f>
        <v>0</v>
      </c>
      <c r="F32" s="855">
        <f>SUMIF(Category!$C:$C,'TOTAL BANTUAN 2019-2023'!C32,Category!$J:$J)</f>
        <v>0</v>
      </c>
      <c r="G32" s="891">
        <f>+Category!K34</f>
        <v>28</v>
      </c>
      <c r="H32" s="885">
        <f>SUMIF(Category!$C:$C,'TOTAL BANTUAN 2019-2023'!C32,Category!$X:$X)</f>
        <v>5500000</v>
      </c>
      <c r="I32" s="888">
        <f>+Category!Y34</f>
        <v>28</v>
      </c>
      <c r="J32" s="865">
        <f>+SUMIF(Category!$C:$C,'TOTAL BANTUAN 2019-2023'!C32,Category!$AL:$AL)</f>
        <v>45920180</v>
      </c>
      <c r="K32" s="881">
        <f>+Category!AM34</f>
        <v>27</v>
      </c>
      <c r="L32" s="861">
        <f>+SUMIF(Category!$C:$C,'TOTAL BANTUAN 2019-2023'!C32,Category!$AZ:$AZ)</f>
        <v>72896215</v>
      </c>
      <c r="M32" s="867">
        <f t="shared" si="6"/>
        <v>83</v>
      </c>
      <c r="N32" s="867">
        <f t="shared" si="7"/>
        <v>124316395</v>
      </c>
      <c r="O32" s="881">
        <f>+Category!BA34</f>
        <v>27</v>
      </c>
      <c r="P32" s="861">
        <f>+SUMIF(Category!$C:$C,'TOTAL BANTUAN 2019-2023'!C32,Category!$BN:$BN)</f>
        <v>12000000</v>
      </c>
      <c r="R32" s="32"/>
    </row>
    <row r="33" spans="2:18" x14ac:dyDescent="0.15">
      <c r="B33" s="539">
        <v>6</v>
      </c>
      <c r="C33" s="568" t="s">
        <v>229</v>
      </c>
      <c r="D33" s="852" t="s">
        <v>1392</v>
      </c>
      <c r="E33" s="894">
        <f>+'Per anak'!D65</f>
        <v>0</v>
      </c>
      <c r="F33" s="855">
        <f>SUMIF(Category!$C:$C,'TOTAL BANTUAN 2019-2023'!C33,Category!$J:$J)</f>
        <v>0</v>
      </c>
      <c r="G33" s="891">
        <f>+Category!K35</f>
        <v>40</v>
      </c>
      <c r="H33" s="885">
        <f>SUMIF(Category!$C:$C,'TOTAL BANTUAN 2019-2023'!C33,Category!$X:$X)</f>
        <v>5500000</v>
      </c>
      <c r="I33" s="888">
        <f>+Category!Y35</f>
        <v>40</v>
      </c>
      <c r="J33" s="865">
        <f>+SUMIF(Category!$C:$C,'TOTAL BANTUAN 2019-2023'!C33,Category!$AL:$AL)</f>
        <v>51479101</v>
      </c>
      <c r="K33" s="881">
        <f>+Category!AM35</f>
        <v>40</v>
      </c>
      <c r="L33" s="861">
        <f>+SUMIF(Category!$C:$C,'TOTAL BANTUAN 2019-2023'!C33,Category!$AZ:$AZ)</f>
        <v>67865960</v>
      </c>
      <c r="M33" s="867">
        <f t="shared" si="6"/>
        <v>120</v>
      </c>
      <c r="N33" s="867">
        <f t="shared" si="7"/>
        <v>124845061</v>
      </c>
      <c r="O33" s="881">
        <f>+Category!BA35</f>
        <v>48</v>
      </c>
      <c r="P33" s="861">
        <f>+SUMIF(Category!$C:$C,'TOTAL BANTUAN 2019-2023'!C33,Category!$BN:$BN)</f>
        <v>18690000</v>
      </c>
      <c r="R33" s="32"/>
    </row>
    <row r="34" spans="2:18" x14ac:dyDescent="0.15">
      <c r="B34" s="539">
        <v>7</v>
      </c>
      <c r="C34" s="568" t="s">
        <v>848</v>
      </c>
      <c r="D34" s="852" t="s">
        <v>1392</v>
      </c>
      <c r="E34" s="894">
        <f>+'Per anak'!D66</f>
        <v>0</v>
      </c>
      <c r="F34" s="855">
        <f>SUMIF(Category!$C:$C,'TOTAL BANTUAN 2019-2023'!C34,Category!$J:$J)</f>
        <v>0</v>
      </c>
      <c r="G34" s="891">
        <f>+Category!K37</f>
        <v>0</v>
      </c>
      <c r="H34" s="885">
        <f>SUMIF(Category!$C:$C,'TOTAL BANTUAN 2019-2023'!C34,Category!$X:$X)</f>
        <v>0</v>
      </c>
      <c r="I34" s="888">
        <f>+Category!Y37</f>
        <v>36</v>
      </c>
      <c r="J34" s="865">
        <f>+SUMIF(Category!$C:$C,'TOTAL BANTUAN 2019-2023'!C34,Category!$AL:$AL)</f>
        <v>52036870</v>
      </c>
      <c r="K34" s="881">
        <f>+Category!AM37</f>
        <v>36</v>
      </c>
      <c r="L34" s="861">
        <f>+SUMIF(Category!$C:$C,'TOTAL BANTUAN 2019-2023'!C34,Category!$AZ:$AZ)</f>
        <v>72241800</v>
      </c>
      <c r="M34" s="867">
        <f t="shared" si="6"/>
        <v>72</v>
      </c>
      <c r="N34" s="867">
        <f t="shared" si="7"/>
        <v>124278670</v>
      </c>
      <c r="O34" s="881">
        <f>+Category!BA37</f>
        <v>36</v>
      </c>
      <c r="P34" s="861">
        <f>+SUMIF(Category!$C:$C,'TOTAL BANTUAN 2019-2023'!C34,Category!$BN:$BN)</f>
        <v>13539500</v>
      </c>
      <c r="R34" s="32"/>
    </row>
    <row r="35" spans="2:18" x14ac:dyDescent="0.15">
      <c r="B35" s="539">
        <v>8</v>
      </c>
      <c r="C35" s="568" t="s">
        <v>867</v>
      </c>
      <c r="D35" s="852" t="s">
        <v>1392</v>
      </c>
      <c r="E35" s="894">
        <f>+'Per anak'!D67</f>
        <v>0</v>
      </c>
      <c r="F35" s="855">
        <f>SUMIF(Category!$C:$C,'TOTAL BANTUAN 2019-2023'!C35,Category!$J:$J)</f>
        <v>0</v>
      </c>
      <c r="G35" s="891">
        <f>+Category!K38</f>
        <v>0</v>
      </c>
      <c r="H35" s="885">
        <f>SUMIF(Category!$C:$C,'TOTAL BANTUAN 2019-2023'!C35,Category!$X:$X)</f>
        <v>0</v>
      </c>
      <c r="I35" s="888">
        <f>+Category!Y38</f>
        <v>83</v>
      </c>
      <c r="J35" s="865">
        <f>+SUMIF(Category!$C:$C,'TOTAL BANTUAN 2019-2023'!C35,Category!$AL:$AL)</f>
        <v>51426990</v>
      </c>
      <c r="K35" s="881">
        <f>+Category!AM38</f>
        <v>129</v>
      </c>
      <c r="L35" s="861">
        <f>+SUMIF(Category!$C:$C,'TOTAL BANTUAN 2019-2023'!C35,Category!$AZ:$AZ)</f>
        <v>72863360</v>
      </c>
      <c r="M35" s="867">
        <f t="shared" si="6"/>
        <v>212</v>
      </c>
      <c r="N35" s="867">
        <f t="shared" si="7"/>
        <v>124290350</v>
      </c>
      <c r="O35" s="881">
        <f>+Category!BA38</f>
        <v>129</v>
      </c>
      <c r="P35" s="861">
        <f>+SUMIF(Category!$C:$C,'TOTAL BANTUAN 2019-2023'!C35,Category!$BN:$BN)</f>
        <v>12000000</v>
      </c>
      <c r="R35" s="32"/>
    </row>
    <row r="36" spans="2:18" x14ac:dyDescent="0.15">
      <c r="B36" s="539">
        <v>9</v>
      </c>
      <c r="C36" s="568" t="s">
        <v>238</v>
      </c>
      <c r="D36" s="852" t="s">
        <v>1392</v>
      </c>
      <c r="E36" s="894">
        <f>+'Per anak'!D68</f>
        <v>0</v>
      </c>
      <c r="F36" s="855">
        <f>SUMIF(Category!$C:$C,'TOTAL BANTUAN 2019-2023'!C36,Category!$J:$J)</f>
        <v>0</v>
      </c>
      <c r="G36" s="891">
        <f>+Category!K39</f>
        <v>0</v>
      </c>
      <c r="H36" s="885">
        <f>SUMIF(Category!$C:$C,'TOTAL BANTUAN 2019-2023'!C36,Category!$X:$X)</f>
        <v>0</v>
      </c>
      <c r="I36" s="888">
        <f>+Category!Y39</f>
        <v>40</v>
      </c>
      <c r="J36" s="865">
        <f>+SUMIF(Category!$C:$C,'TOTAL BANTUAN 2019-2023'!C36,Category!$AL:$AL)</f>
        <v>51442480</v>
      </c>
      <c r="K36" s="881">
        <f>+Category!AM39</f>
        <v>42</v>
      </c>
      <c r="L36" s="861">
        <f>+SUMIF(Category!$C:$C,'TOTAL BANTUAN 2019-2023'!C36,Category!$AZ:$AZ)</f>
        <v>72358700</v>
      </c>
      <c r="M36" s="867">
        <f t="shared" si="6"/>
        <v>82</v>
      </c>
      <c r="N36" s="867">
        <f t="shared" si="7"/>
        <v>123801180</v>
      </c>
      <c r="O36" s="881">
        <f>+Category!BA39</f>
        <v>46</v>
      </c>
      <c r="P36" s="861">
        <f>+SUMIF(Category!$C:$C,'TOTAL BANTUAN 2019-2023'!C36,Category!$BN:$BN)</f>
        <v>12537000</v>
      </c>
      <c r="R36" s="32"/>
    </row>
    <row r="37" spans="2:18" x14ac:dyDescent="0.15">
      <c r="B37" s="539">
        <v>10</v>
      </c>
      <c r="C37" s="568" t="s">
        <v>849</v>
      </c>
      <c r="D37" s="852" t="s">
        <v>1392</v>
      </c>
      <c r="E37" s="894">
        <f>+'Per anak'!D69</f>
        <v>0</v>
      </c>
      <c r="F37" s="855">
        <f>SUMIF(Category!$C:$C,'TOTAL BANTUAN 2019-2023'!C37,Category!$J:$J)</f>
        <v>0</v>
      </c>
      <c r="G37" s="891">
        <f>+Category!K40</f>
        <v>0</v>
      </c>
      <c r="H37" s="885">
        <f>SUMIF(Category!$C:$C,'TOTAL BANTUAN 2019-2023'!C37,Category!$X:$X)</f>
        <v>0</v>
      </c>
      <c r="I37" s="888">
        <f>+Category!Y40</f>
        <v>63</v>
      </c>
      <c r="J37" s="865">
        <f>+SUMIF(Category!$C:$C,'TOTAL BANTUAN 2019-2023'!C37,Category!$AL:$AL)</f>
        <v>51534180</v>
      </c>
      <c r="K37" s="881">
        <f>+Category!AM40</f>
        <v>63</v>
      </c>
      <c r="L37" s="861">
        <f>+SUMIF(Category!$C:$C,'TOTAL BANTUAN 2019-2023'!C37,Category!$AZ:$AZ)</f>
        <v>73328890</v>
      </c>
      <c r="M37" s="867">
        <f t="shared" si="6"/>
        <v>126</v>
      </c>
      <c r="N37" s="867">
        <f t="shared" si="7"/>
        <v>124863070</v>
      </c>
      <c r="O37" s="881">
        <f>+Category!BA40</f>
        <v>53</v>
      </c>
      <c r="P37" s="861">
        <f>+SUMIF(Category!$C:$C,'TOTAL BANTUAN 2019-2023'!C37,Category!$BN:$BN)</f>
        <v>12000000</v>
      </c>
      <c r="R37" s="32"/>
    </row>
    <row r="38" spans="2:18" x14ac:dyDescent="0.15">
      <c r="B38" s="539">
        <v>11</v>
      </c>
      <c r="C38" s="568" t="s">
        <v>850</v>
      </c>
      <c r="D38" s="852" t="s">
        <v>1392</v>
      </c>
      <c r="E38" s="894">
        <f>+'Per anak'!D70</f>
        <v>0</v>
      </c>
      <c r="F38" s="855">
        <f>SUMIF(Category!$C:$C,'TOTAL BANTUAN 2019-2023'!C38,Category!$J:$J)</f>
        <v>0</v>
      </c>
      <c r="G38" s="891">
        <f>+Category!K41</f>
        <v>0</v>
      </c>
      <c r="H38" s="885">
        <f>SUMIF(Category!$C:$C,'TOTAL BANTUAN 2019-2023'!C38,Category!$X:$X)</f>
        <v>0</v>
      </c>
      <c r="I38" s="888">
        <f>+Category!Y41</f>
        <v>57</v>
      </c>
      <c r="J38" s="865">
        <f>+SUMIF(Category!$C:$C,'TOTAL BANTUAN 2019-2023'!C38,Category!$AL:$AL)</f>
        <v>51466420</v>
      </c>
      <c r="K38" s="881">
        <f>+Category!AM41</f>
        <v>61</v>
      </c>
      <c r="L38" s="861">
        <f>+SUMIF(Category!$C:$C,'TOTAL BANTUAN 2019-2023'!C38,Category!$AZ:$AZ)</f>
        <v>72977300</v>
      </c>
      <c r="M38" s="867">
        <f t="shared" si="6"/>
        <v>118</v>
      </c>
      <c r="N38" s="867">
        <f t="shared" si="7"/>
        <v>124443720</v>
      </c>
      <c r="O38" s="881">
        <f>+Category!BA41</f>
        <v>61</v>
      </c>
      <c r="P38" s="861">
        <f>+SUMIF(Category!$C:$C,'TOTAL BANTUAN 2019-2023'!C38,Category!$BN:$BN)</f>
        <v>12249760</v>
      </c>
      <c r="R38" s="32"/>
    </row>
    <row r="39" spans="2:18" x14ac:dyDescent="0.15">
      <c r="B39" s="539">
        <v>12</v>
      </c>
      <c r="C39" s="568" t="s">
        <v>851</v>
      </c>
      <c r="D39" s="852" t="s">
        <v>1392</v>
      </c>
      <c r="E39" s="894">
        <f>+'Per anak'!D71</f>
        <v>0</v>
      </c>
      <c r="F39" s="855">
        <f>SUMIF(Category!$C:$C,'TOTAL BANTUAN 2019-2023'!C39,Category!$J:$J)</f>
        <v>0</v>
      </c>
      <c r="G39" s="891">
        <f>+Category!K42</f>
        <v>0</v>
      </c>
      <c r="H39" s="885">
        <f>SUMIF(Category!$C:$C,'TOTAL BANTUAN 2019-2023'!C39,Category!$X:$X)</f>
        <v>0</v>
      </c>
      <c r="I39" s="888">
        <f>+Category!Y42</f>
        <v>22</v>
      </c>
      <c r="J39" s="865">
        <f>+SUMIF(Category!$C:$C,'TOTAL BANTUAN 2019-2023'!C39,Category!$AL:$AL)</f>
        <v>51423110</v>
      </c>
      <c r="K39" s="881">
        <f>+Category!AM42</f>
        <v>22</v>
      </c>
      <c r="L39" s="861">
        <f>+SUMIF(Category!$C:$C,'TOTAL BANTUAN 2019-2023'!C39,Category!$AZ:$AZ)</f>
        <v>72726740</v>
      </c>
      <c r="M39" s="867">
        <f t="shared" si="6"/>
        <v>44</v>
      </c>
      <c r="N39" s="867">
        <f t="shared" si="7"/>
        <v>124149850</v>
      </c>
      <c r="O39" s="881">
        <f>+Category!BA42</f>
        <v>27</v>
      </c>
      <c r="P39" s="861">
        <f>+SUMIF(Category!$C:$C,'TOTAL BANTUAN 2019-2023'!C39,Category!$BN:$BN)</f>
        <v>12000000</v>
      </c>
      <c r="R39" s="32"/>
    </row>
    <row r="40" spans="2:18" x14ac:dyDescent="0.15">
      <c r="B40" s="539">
        <v>13</v>
      </c>
      <c r="C40" s="568" t="s">
        <v>853</v>
      </c>
      <c r="D40" s="852" t="s">
        <v>1392</v>
      </c>
      <c r="E40" s="894">
        <f>+'Per anak'!D72</f>
        <v>0</v>
      </c>
      <c r="F40" s="855">
        <f>SUMIF(Category!$C:$C,'TOTAL BANTUAN 2019-2023'!C40,Category!$J:$J)</f>
        <v>0</v>
      </c>
      <c r="G40" s="891">
        <f>+Category!K46</f>
        <v>0</v>
      </c>
      <c r="H40" s="885">
        <f>SUMIF(Category!$C:$C,'TOTAL BANTUAN 2019-2023'!C40,Category!$X:$X)</f>
        <v>0</v>
      </c>
      <c r="I40" s="888">
        <f>+Category!Y46</f>
        <v>26</v>
      </c>
      <c r="J40" s="865">
        <f>+SUMIF(Category!$C:$C,'TOTAL BANTUAN 2019-2023'!C40,Category!$AL:$AL)</f>
        <v>40443130</v>
      </c>
      <c r="K40" s="881">
        <f>+Category!AM46</f>
        <v>25</v>
      </c>
      <c r="L40" s="861">
        <f>+SUMIF(Category!$C:$C,'TOTAL BANTUAN 2019-2023'!C40,Category!$AZ:$AZ)</f>
        <v>74684300</v>
      </c>
      <c r="M40" s="867">
        <f t="shared" si="6"/>
        <v>51</v>
      </c>
      <c r="N40" s="867">
        <f t="shared" si="7"/>
        <v>115127430</v>
      </c>
      <c r="O40" s="881">
        <f>+Category!BA46</f>
        <v>25</v>
      </c>
      <c r="P40" s="861">
        <f>+SUMIF(Category!$C:$C,'TOTAL BANTUAN 2019-2023'!C40,Category!$BN:$BN)</f>
        <v>14574780</v>
      </c>
      <c r="R40" s="32"/>
    </row>
    <row r="41" spans="2:18" x14ac:dyDescent="0.15">
      <c r="B41" s="539">
        <v>14</v>
      </c>
      <c r="C41" s="568" t="s">
        <v>854</v>
      </c>
      <c r="D41" s="852" t="s">
        <v>1392</v>
      </c>
      <c r="E41" s="894">
        <f>+'Per anak'!D73</f>
        <v>0</v>
      </c>
      <c r="F41" s="855">
        <f>SUMIF(Category!$C:$C,'TOTAL BANTUAN 2019-2023'!C41,Category!$J:$J)</f>
        <v>0</v>
      </c>
      <c r="G41" s="891">
        <f>+Category!K47</f>
        <v>0</v>
      </c>
      <c r="H41" s="885">
        <f>SUMIF(Category!$C:$C,'TOTAL BANTUAN 2019-2023'!C41,Category!$X:$X)</f>
        <v>0</v>
      </c>
      <c r="I41" s="888">
        <f>+Category!Y47</f>
        <v>150</v>
      </c>
      <c r="J41" s="865">
        <f>+SUMIF(Category!$C:$C,'TOTAL BANTUAN 2019-2023'!C41,Category!$AL:$AL)</f>
        <v>40654400</v>
      </c>
      <c r="K41" s="881">
        <f>+Category!AM47</f>
        <v>118</v>
      </c>
      <c r="L41" s="861">
        <f>+SUMIF(Category!$C:$C,'TOTAL BANTUAN 2019-2023'!C41,Category!$AZ:$AZ)</f>
        <v>72638600</v>
      </c>
      <c r="M41" s="867">
        <f t="shared" si="6"/>
        <v>268</v>
      </c>
      <c r="N41" s="867">
        <f t="shared" si="7"/>
        <v>113293000</v>
      </c>
      <c r="O41" s="881">
        <f>+Category!BA47</f>
        <v>118</v>
      </c>
      <c r="P41" s="861">
        <f>+SUMIF(Category!$C:$C,'TOTAL BANTUAN 2019-2023'!C41,Category!$BN:$BN)</f>
        <v>12250650</v>
      </c>
      <c r="R41" s="32"/>
    </row>
    <row r="42" spans="2:18" x14ac:dyDescent="0.15">
      <c r="B42" s="539">
        <v>15</v>
      </c>
      <c r="C42" s="568" t="s">
        <v>855</v>
      </c>
      <c r="D42" s="852" t="s">
        <v>1392</v>
      </c>
      <c r="E42" s="894">
        <f>+'Per anak'!D74</f>
        <v>0</v>
      </c>
      <c r="F42" s="855">
        <f>SUMIF(Category!$C:$C,'TOTAL BANTUAN 2019-2023'!C42,Category!$J:$J)</f>
        <v>0</v>
      </c>
      <c r="G42" s="891">
        <f>+Category!K48</f>
        <v>0</v>
      </c>
      <c r="H42" s="885">
        <f>SUMIF(Category!$C:$C,'TOTAL BANTUAN 2019-2023'!C42,Category!$X:$X)</f>
        <v>0</v>
      </c>
      <c r="I42" s="888">
        <f>+Category!Y48</f>
        <v>91</v>
      </c>
      <c r="J42" s="865">
        <f>+SUMIF(Category!$C:$C,'TOTAL BANTUAN 2019-2023'!C42,Category!$AL:$AL)</f>
        <v>52041180</v>
      </c>
      <c r="K42" s="881">
        <f>+Category!AM48</f>
        <v>91</v>
      </c>
      <c r="L42" s="861">
        <f>+SUMIF(Category!$C:$C,'TOTAL BANTUAN 2019-2023'!C42,Category!$AZ:$AZ)</f>
        <v>72767300</v>
      </c>
      <c r="M42" s="867">
        <f t="shared" si="6"/>
        <v>182</v>
      </c>
      <c r="N42" s="867">
        <f t="shared" si="7"/>
        <v>124808480</v>
      </c>
      <c r="O42" s="881">
        <f>+Category!BA48</f>
        <v>91</v>
      </c>
      <c r="P42" s="861">
        <f>+SUMIF(Category!$C:$C,'TOTAL BANTUAN 2019-2023'!C42,Category!$BN:$BN)</f>
        <v>12000000</v>
      </c>
      <c r="R42" s="32"/>
    </row>
    <row r="43" spans="2:18" x14ac:dyDescent="0.15">
      <c r="B43" s="539">
        <v>16</v>
      </c>
      <c r="C43" s="568" t="s">
        <v>856</v>
      </c>
      <c r="D43" s="852" t="s">
        <v>1392</v>
      </c>
      <c r="E43" s="894">
        <f>+'Per anak'!D75</f>
        <v>0</v>
      </c>
      <c r="F43" s="855">
        <f>SUMIF(Category!$C:$C,'TOTAL BANTUAN 2019-2023'!C43,Category!$J:$J)</f>
        <v>0</v>
      </c>
      <c r="G43" s="891">
        <f>+Category!K49</f>
        <v>0</v>
      </c>
      <c r="H43" s="885">
        <f>SUMIF(Category!$C:$C,'TOTAL BANTUAN 2019-2023'!C43,Category!$X:$X)</f>
        <v>0</v>
      </c>
      <c r="I43" s="888">
        <f>+Category!Y49</f>
        <v>52</v>
      </c>
      <c r="J43" s="865">
        <f>+SUMIF(Category!$C:$C,'TOTAL BANTUAN 2019-2023'!C43,Category!$AL:$AL)</f>
        <v>41336220</v>
      </c>
      <c r="K43" s="881">
        <f>+Category!AM49</f>
        <v>32</v>
      </c>
      <c r="L43" s="861">
        <f>+SUMIF(Category!$C:$C,'TOTAL BANTUAN 2019-2023'!C43,Category!$AZ:$AZ)</f>
        <v>73912850</v>
      </c>
      <c r="M43" s="867">
        <f t="shared" si="6"/>
        <v>84</v>
      </c>
      <c r="N43" s="867">
        <f t="shared" si="7"/>
        <v>115249070</v>
      </c>
      <c r="O43" s="881">
        <f>+Category!BA49</f>
        <v>32</v>
      </c>
      <c r="P43" s="861">
        <f>+SUMIF(Category!$C:$C,'TOTAL BANTUAN 2019-2023'!C43,Category!$BN:$BN)</f>
        <v>13517860</v>
      </c>
      <c r="R43" s="32"/>
    </row>
    <row r="44" spans="2:18" x14ac:dyDescent="0.15">
      <c r="B44" s="539">
        <v>17</v>
      </c>
      <c r="C44" s="568" t="s">
        <v>857</v>
      </c>
      <c r="D44" s="852" t="s">
        <v>1392</v>
      </c>
      <c r="E44" s="894">
        <f>+'Per anak'!D76</f>
        <v>0</v>
      </c>
      <c r="F44" s="855">
        <f>SUMIF(Category!$C:$C,'TOTAL BANTUAN 2019-2023'!C44,Category!$J:$J)</f>
        <v>0</v>
      </c>
      <c r="G44" s="891">
        <f>+Category!K50</f>
        <v>0</v>
      </c>
      <c r="H44" s="885">
        <f>SUMIF(Category!$C:$C,'TOTAL BANTUAN 2019-2023'!C44,Category!$X:$X)</f>
        <v>0</v>
      </c>
      <c r="I44" s="888">
        <f>+Category!Y50</f>
        <v>52</v>
      </c>
      <c r="J44" s="865">
        <f>+SUMIF(Category!$C:$C,'TOTAL BANTUAN 2019-2023'!C44,Category!$AL:$AL)</f>
        <v>40702550</v>
      </c>
      <c r="K44" s="881">
        <f>+Category!AM50</f>
        <v>78</v>
      </c>
      <c r="L44" s="861">
        <f>+SUMIF(Category!$C:$C,'TOTAL BANTUAN 2019-2023'!C44,Category!$AZ:$AZ)</f>
        <v>73169060</v>
      </c>
      <c r="M44" s="867">
        <f t="shared" si="6"/>
        <v>130</v>
      </c>
      <c r="N44" s="867">
        <f t="shared" si="7"/>
        <v>113871610</v>
      </c>
      <c r="O44" s="881">
        <f>+Category!BA50</f>
        <v>38</v>
      </c>
      <c r="P44" s="861">
        <f>+SUMIF(Category!$C:$C,'TOTAL BANTUAN 2019-2023'!C44,Category!$BN:$BN)</f>
        <v>12000000</v>
      </c>
      <c r="R44" s="32"/>
    </row>
    <row r="45" spans="2:18" x14ac:dyDescent="0.15">
      <c r="B45" s="539">
        <v>18</v>
      </c>
      <c r="C45" s="568" t="s">
        <v>361</v>
      </c>
      <c r="D45" s="852" t="s">
        <v>1392</v>
      </c>
      <c r="E45" s="894">
        <f>+'Per anak'!D77</f>
        <v>0</v>
      </c>
      <c r="F45" s="855">
        <f>SUMIF(Category!$C:$C,'TOTAL BANTUAN 2019-2023'!C45,Category!$J:$J)</f>
        <v>0</v>
      </c>
      <c r="G45" s="891">
        <f>+Category!K52</f>
        <v>0</v>
      </c>
      <c r="H45" s="885">
        <f>SUMIF(Category!$C:$C,'TOTAL BANTUAN 2019-2023'!C45,Category!$X:$X)</f>
        <v>0</v>
      </c>
      <c r="I45" s="888">
        <f>+Category!Y52</f>
        <v>150</v>
      </c>
      <c r="J45" s="865">
        <f>+SUMIF(Category!$C:$C,'TOTAL BANTUAN 2019-2023'!C45,Category!$AL:$AL)</f>
        <v>5500000</v>
      </c>
      <c r="K45" s="881">
        <f>+Category!AM52</f>
        <v>0</v>
      </c>
      <c r="L45" s="861">
        <f>+SUMIF(Category!$C:$C,'TOTAL BANTUAN 2019-2023'!C45,Category!$AZ:$AZ)</f>
        <v>0</v>
      </c>
      <c r="M45" s="867">
        <f t="shared" si="6"/>
        <v>150</v>
      </c>
      <c r="N45" s="867">
        <f t="shared" si="7"/>
        <v>5500000</v>
      </c>
      <c r="O45" s="881">
        <f>+Category!BA52</f>
        <v>0</v>
      </c>
      <c r="P45" s="861">
        <f>+SUMIF(Category!$C:$C,'TOTAL BANTUAN 2019-2023'!C45,Category!$BN:$BN)</f>
        <v>0</v>
      </c>
      <c r="R45" s="32"/>
    </row>
    <row r="46" spans="2:18" x14ac:dyDescent="0.15">
      <c r="B46" s="539">
        <v>19</v>
      </c>
      <c r="C46" s="568" t="s">
        <v>362</v>
      </c>
      <c r="D46" s="852" t="s">
        <v>1392</v>
      </c>
      <c r="E46" s="894">
        <f>+'Per anak'!D78</f>
        <v>0</v>
      </c>
      <c r="F46" s="855">
        <f>SUMIF(Category!$C:$C,'TOTAL BANTUAN 2019-2023'!C46,Category!$J:$J)</f>
        <v>0</v>
      </c>
      <c r="G46" s="891">
        <f>+Category!K53</f>
        <v>0</v>
      </c>
      <c r="H46" s="885">
        <f>SUMIF(Category!$C:$C,'TOTAL BANTUAN 2019-2023'!C46,Category!$X:$X)</f>
        <v>0</v>
      </c>
      <c r="I46" s="888">
        <f>+Category!Y53</f>
        <v>128</v>
      </c>
      <c r="J46" s="865">
        <f>+SUMIF(Category!$C:$C,'TOTAL BANTUAN 2019-2023'!C46,Category!$AL:$AL)</f>
        <v>36974900</v>
      </c>
      <c r="K46" s="881">
        <f>+Category!AM53</f>
        <v>137</v>
      </c>
      <c r="L46" s="861">
        <f>+SUMIF(Category!$C:$C,'TOTAL BANTUAN 2019-2023'!C46,Category!$AZ:$AZ)</f>
        <v>72477400</v>
      </c>
      <c r="M46" s="867">
        <f t="shared" si="6"/>
        <v>265</v>
      </c>
      <c r="N46" s="867">
        <f t="shared" si="7"/>
        <v>109452300</v>
      </c>
      <c r="O46" s="881">
        <f>+Category!BA53</f>
        <v>137</v>
      </c>
      <c r="P46" s="861">
        <f>+SUMIF(Category!$C:$C,'TOTAL BANTUAN 2019-2023'!C46,Category!$BN:$BN)</f>
        <v>12251190</v>
      </c>
      <c r="R46" s="32"/>
    </row>
    <row r="47" spans="2:18" x14ac:dyDescent="0.15">
      <c r="B47" s="539">
        <v>20</v>
      </c>
      <c r="C47" s="568" t="s">
        <v>858</v>
      </c>
      <c r="D47" s="852" t="s">
        <v>1392</v>
      </c>
      <c r="E47" s="894">
        <f>+'Per anak'!D79</f>
        <v>0</v>
      </c>
      <c r="F47" s="855">
        <f>SUMIF(Category!$C:$C,'TOTAL BANTUAN 2019-2023'!C47,Category!$J:$J)</f>
        <v>0</v>
      </c>
      <c r="G47" s="891">
        <f>+Category!K54</f>
        <v>0</v>
      </c>
      <c r="H47" s="885">
        <f>SUMIF(Category!$C:$C,'TOTAL BANTUAN 2019-2023'!C47,Category!$X:$X)</f>
        <v>0</v>
      </c>
      <c r="I47" s="888">
        <f>+Category!Y54</f>
        <v>12</v>
      </c>
      <c r="J47" s="865">
        <f>+SUMIF(Category!$C:$C,'TOTAL BANTUAN 2019-2023'!C47,Category!$AL:$AL)</f>
        <v>35251360</v>
      </c>
      <c r="K47" s="881">
        <f>+Category!AM54</f>
        <v>12</v>
      </c>
      <c r="L47" s="861">
        <f>+SUMIF(Category!$C:$C,'TOTAL BANTUAN 2019-2023'!C47,Category!$AZ:$AZ)</f>
        <v>72846660</v>
      </c>
      <c r="M47" s="867">
        <f t="shared" si="6"/>
        <v>24</v>
      </c>
      <c r="N47" s="867">
        <f t="shared" si="7"/>
        <v>108098020</v>
      </c>
      <c r="O47" s="881">
        <f>+Category!BA54</f>
        <v>320</v>
      </c>
      <c r="P47" s="861">
        <f>+SUMIF(Category!$C:$C,'TOTAL BANTUAN 2019-2023'!C47,Category!$BN:$BN)</f>
        <v>12000000</v>
      </c>
      <c r="R47" s="32"/>
    </row>
    <row r="48" spans="2:18" x14ac:dyDescent="0.15">
      <c r="B48" s="539">
        <v>21</v>
      </c>
      <c r="C48" s="568" t="s">
        <v>859</v>
      </c>
      <c r="D48" s="852" t="s">
        <v>1392</v>
      </c>
      <c r="E48" s="894">
        <f>+'Per anak'!D80</f>
        <v>0</v>
      </c>
      <c r="F48" s="855">
        <f>SUMIF(Category!$C:$C,'TOTAL BANTUAN 2019-2023'!C48,Category!$J:$J)</f>
        <v>0</v>
      </c>
      <c r="G48" s="891">
        <f>+Category!K55</f>
        <v>0</v>
      </c>
      <c r="H48" s="885">
        <f>SUMIF(Category!$C:$C,'TOTAL BANTUAN 2019-2023'!C48,Category!$X:$X)</f>
        <v>0</v>
      </c>
      <c r="I48" s="888">
        <f>+Category!Y55</f>
        <v>23</v>
      </c>
      <c r="J48" s="865">
        <f>+SUMIF(Category!$C:$C,'TOTAL BANTUAN 2019-2023'!C48,Category!$AL:$AL)</f>
        <v>36000000</v>
      </c>
      <c r="K48" s="881">
        <f>+Category!AM55</f>
        <v>23</v>
      </c>
      <c r="L48" s="861">
        <f>+SUMIF(Category!$C:$C,'TOTAL BANTUAN 2019-2023'!C48,Category!$AZ:$AZ)</f>
        <v>72000000</v>
      </c>
      <c r="M48" s="867">
        <f t="shared" si="6"/>
        <v>46</v>
      </c>
      <c r="N48" s="867">
        <f t="shared" si="7"/>
        <v>108000000</v>
      </c>
      <c r="O48" s="881">
        <f>+Category!BA55</f>
        <v>25</v>
      </c>
      <c r="P48" s="861">
        <f>+SUMIF(Category!$C:$C,'TOTAL BANTUAN 2019-2023'!C48,Category!$BN:$BN)</f>
        <v>12000000</v>
      </c>
      <c r="R48" s="32"/>
    </row>
    <row r="49" spans="2:18" x14ac:dyDescent="0.15">
      <c r="B49" s="539">
        <v>22</v>
      </c>
      <c r="C49" s="568" t="s">
        <v>391</v>
      </c>
      <c r="D49" s="852" t="s">
        <v>1392</v>
      </c>
      <c r="E49" s="894">
        <f>+'Per anak'!D81</f>
        <v>0</v>
      </c>
      <c r="F49" s="855">
        <f>SUMIF(Category!$C:$C,'TOTAL BANTUAN 2019-2023'!C49,Category!$J:$J)</f>
        <v>0</v>
      </c>
      <c r="G49" s="891">
        <f>+Category!K56</f>
        <v>0</v>
      </c>
      <c r="H49" s="885">
        <f>SUMIF(Category!$C:$C,'TOTAL BANTUAN 2019-2023'!C49,Category!$X:$X)</f>
        <v>0</v>
      </c>
      <c r="I49" s="888">
        <f>+Category!Y56</f>
        <v>40</v>
      </c>
      <c r="J49" s="865">
        <f>+SUMIF(Category!$C:$C,'TOTAL BANTUAN 2019-2023'!C49,Category!$AL:$AL)</f>
        <v>29366874</v>
      </c>
      <c r="K49" s="881">
        <f>+Category!AM56</f>
        <v>40</v>
      </c>
      <c r="L49" s="861">
        <f>+SUMIF(Category!$C:$C,'TOTAL BANTUAN 2019-2023'!C49,Category!$AZ:$AZ)</f>
        <v>72665200</v>
      </c>
      <c r="M49" s="867">
        <f t="shared" si="6"/>
        <v>80</v>
      </c>
      <c r="N49" s="867">
        <f t="shared" si="7"/>
        <v>102032074</v>
      </c>
      <c r="O49" s="881">
        <f>+Category!BA56</f>
        <v>40</v>
      </c>
      <c r="P49" s="861">
        <f>+SUMIF(Category!$C:$C,'TOTAL BANTUAN 2019-2023'!C49,Category!$BN:$BN)</f>
        <v>12251030</v>
      </c>
      <c r="R49" s="32"/>
    </row>
    <row r="50" spans="2:18" x14ac:dyDescent="0.15">
      <c r="B50" s="539">
        <v>23</v>
      </c>
      <c r="C50" s="568" t="s">
        <v>860</v>
      </c>
      <c r="D50" s="852" t="s">
        <v>1392</v>
      </c>
      <c r="E50" s="894">
        <f>+'Per anak'!D82</f>
        <v>0</v>
      </c>
      <c r="F50" s="855">
        <f>SUMIF(Category!$C:$C,'TOTAL BANTUAN 2019-2023'!C50,Category!$J:$J)</f>
        <v>0</v>
      </c>
      <c r="G50" s="891">
        <f>+Category!K57</f>
        <v>0</v>
      </c>
      <c r="H50" s="885">
        <f>SUMIF(Category!$C:$C,'TOTAL BANTUAN 2019-2023'!C50,Category!$X:$X)</f>
        <v>0</v>
      </c>
      <c r="I50" s="888">
        <f>+Category!Y57</f>
        <v>69</v>
      </c>
      <c r="J50" s="865">
        <f>+SUMIF(Category!$C:$C,'TOTAL BANTUAN 2019-2023'!C50,Category!$AL:$AL)</f>
        <v>24002800</v>
      </c>
      <c r="K50" s="881">
        <f>+Category!AM57</f>
        <v>45</v>
      </c>
      <c r="L50" s="861">
        <f>+SUMIF(Category!$C:$C,'TOTAL BANTUAN 2019-2023'!C50,Category!$AZ:$AZ)</f>
        <v>72052360</v>
      </c>
      <c r="M50" s="867">
        <f t="shared" si="6"/>
        <v>114</v>
      </c>
      <c r="N50" s="867">
        <f t="shared" si="7"/>
        <v>96055160</v>
      </c>
      <c r="O50" s="881">
        <f>+Category!BA57</f>
        <v>45</v>
      </c>
      <c r="P50" s="861">
        <f>+SUMIF(Category!$C:$C,'TOTAL BANTUAN 2019-2023'!C50,Category!$BN:$BN)</f>
        <v>12000000</v>
      </c>
      <c r="R50" s="32"/>
    </row>
    <row r="51" spans="2:18" x14ac:dyDescent="0.15">
      <c r="B51" s="539">
        <v>24</v>
      </c>
      <c r="C51" s="568" t="s">
        <v>861</v>
      </c>
      <c r="D51" s="852" t="s">
        <v>1392</v>
      </c>
      <c r="E51" s="894">
        <f>+'Per anak'!D83</f>
        <v>0</v>
      </c>
      <c r="F51" s="855">
        <f>SUMIF(Category!$C:$C,'TOTAL BANTUAN 2019-2023'!C51,Category!$J:$J)</f>
        <v>0</v>
      </c>
      <c r="G51" s="891">
        <f>+Category!K58</f>
        <v>0</v>
      </c>
      <c r="H51" s="885">
        <f>SUMIF(Category!$C:$C,'TOTAL BANTUAN 2019-2023'!C51,Category!$X:$X)</f>
        <v>0</v>
      </c>
      <c r="I51" s="888">
        <f>+Category!Y58</f>
        <v>54</v>
      </c>
      <c r="J51" s="865">
        <f>+SUMIF(Category!$C:$C,'TOTAL BANTUAN 2019-2023'!C51,Category!$AL:$AL)</f>
        <v>25200800</v>
      </c>
      <c r="K51" s="881">
        <f>+Category!AM58</f>
        <v>65</v>
      </c>
      <c r="L51" s="861">
        <f>+SUMIF(Category!$C:$C,'TOTAL BANTUAN 2019-2023'!C51,Category!$AZ:$AZ)</f>
        <v>74849600</v>
      </c>
      <c r="M51" s="867">
        <f t="shared" si="6"/>
        <v>119</v>
      </c>
      <c r="N51" s="867">
        <f t="shared" si="7"/>
        <v>100050400</v>
      </c>
      <c r="O51" s="881">
        <f>+Category!BA58</f>
        <v>65</v>
      </c>
      <c r="P51" s="861">
        <f>+SUMIF(Category!$C:$C,'TOTAL BANTUAN 2019-2023'!C51,Category!$BN:$BN)</f>
        <v>12250900</v>
      </c>
      <c r="R51" s="32"/>
    </row>
    <row r="52" spans="2:18" x14ac:dyDescent="0.15">
      <c r="B52" s="539">
        <v>25</v>
      </c>
      <c r="C52" s="568" t="s">
        <v>862</v>
      </c>
      <c r="D52" s="852" t="s">
        <v>1392</v>
      </c>
      <c r="E52" s="894">
        <f>+'Per anak'!D84</f>
        <v>0</v>
      </c>
      <c r="F52" s="855">
        <f>SUMIF(Category!$C:$C,'TOTAL BANTUAN 2019-2023'!C52,Category!$J:$J)</f>
        <v>0</v>
      </c>
      <c r="G52" s="891">
        <f>+Category!K59</f>
        <v>0</v>
      </c>
      <c r="H52" s="885">
        <f>SUMIF(Category!$C:$C,'TOTAL BANTUAN 2019-2023'!C52,Category!$X:$X)</f>
        <v>0</v>
      </c>
      <c r="I52" s="888">
        <f>+Category!Y59</f>
        <v>40</v>
      </c>
      <c r="J52" s="865">
        <f>+SUMIF(Category!$C:$C,'TOTAL BANTUAN 2019-2023'!C52,Category!$AL:$AL)</f>
        <v>23999200</v>
      </c>
      <c r="K52" s="881">
        <f>+Category!AM59</f>
        <v>40</v>
      </c>
      <c r="L52" s="861">
        <f>+SUMIF(Category!$C:$C,'TOTAL BANTUAN 2019-2023'!C52,Category!$AZ:$AZ)</f>
        <v>70505320.430000007</v>
      </c>
      <c r="M52" s="867">
        <f t="shared" si="6"/>
        <v>80</v>
      </c>
      <c r="N52" s="867">
        <f t="shared" si="7"/>
        <v>94504520.430000007</v>
      </c>
      <c r="O52" s="881">
        <f>+Category!BA59</f>
        <v>46</v>
      </c>
      <c r="P52" s="861">
        <f>+SUMIF(Category!$C:$C,'TOTAL BANTUAN 2019-2023'!C52,Category!$BN:$BN)</f>
        <v>15256000</v>
      </c>
      <c r="R52" s="32"/>
    </row>
    <row r="53" spans="2:18" x14ac:dyDescent="0.15">
      <c r="B53" s="539">
        <v>26</v>
      </c>
      <c r="C53" s="568" t="s">
        <v>863</v>
      </c>
      <c r="D53" s="852" t="s">
        <v>1392</v>
      </c>
      <c r="E53" s="894">
        <f>+'Per anak'!D85</f>
        <v>0</v>
      </c>
      <c r="F53" s="855">
        <f>SUMIF(Category!$C:$C,'TOTAL BANTUAN 2019-2023'!C53,Category!$J:$J)</f>
        <v>0</v>
      </c>
      <c r="G53" s="891">
        <f>+Category!K60</f>
        <v>0</v>
      </c>
      <c r="H53" s="885">
        <f>SUMIF(Category!$C:$C,'TOTAL BANTUAN 2019-2023'!C53,Category!$X:$X)</f>
        <v>0</v>
      </c>
      <c r="I53" s="888">
        <f>+Category!Y60</f>
        <v>128</v>
      </c>
      <c r="J53" s="865">
        <f>+SUMIF(Category!$C:$C,'TOTAL BANTUAN 2019-2023'!C53,Category!$AL:$AL)</f>
        <v>24024400</v>
      </c>
      <c r="K53" s="881">
        <f>+Category!AM60</f>
        <v>142</v>
      </c>
      <c r="L53" s="861">
        <f>+SUMIF(Category!$C:$C,'TOTAL BANTUAN 2019-2023'!C53,Category!$AZ:$AZ)</f>
        <v>74298400</v>
      </c>
      <c r="M53" s="867">
        <f t="shared" si="6"/>
        <v>270</v>
      </c>
      <c r="N53" s="867">
        <f t="shared" si="7"/>
        <v>98322800</v>
      </c>
      <c r="O53" s="881">
        <f>+Category!BA60</f>
        <v>142</v>
      </c>
      <c r="P53" s="861">
        <f>+SUMIF(Category!$C:$C,'TOTAL BANTUAN 2019-2023'!C53,Category!$BN:$BN)</f>
        <v>12249940</v>
      </c>
      <c r="R53" s="32"/>
    </row>
    <row r="54" spans="2:18" x14ac:dyDescent="0.15">
      <c r="B54" s="539">
        <v>27</v>
      </c>
      <c r="C54" s="568" t="s">
        <v>864</v>
      </c>
      <c r="D54" s="852" t="s">
        <v>1392</v>
      </c>
      <c r="E54" s="894">
        <f>+'Per anak'!D86</f>
        <v>0</v>
      </c>
      <c r="F54" s="855">
        <f>SUMIF(Category!$C:$C,'TOTAL BANTUAN 2019-2023'!C54,Category!$J:$J)</f>
        <v>0</v>
      </c>
      <c r="G54" s="891">
        <f>+Category!K61</f>
        <v>0</v>
      </c>
      <c r="H54" s="885">
        <f>SUMIF(Category!$C:$C,'TOTAL BANTUAN 2019-2023'!C54,Category!$X:$X)</f>
        <v>0</v>
      </c>
      <c r="I54" s="888">
        <f>+Category!Y61</f>
        <v>140</v>
      </c>
      <c r="J54" s="865">
        <f>+SUMIF(Category!$C:$C,'TOTAL BANTUAN 2019-2023'!C54,Category!$AL:$AL)</f>
        <v>23998800</v>
      </c>
      <c r="K54" s="881">
        <f>+Category!AM61</f>
        <v>141</v>
      </c>
      <c r="L54" s="861">
        <f>+SUMIF(Category!$C:$C,'TOTAL BANTUAN 2019-2023'!C54,Category!$AZ:$AZ)</f>
        <v>71204260</v>
      </c>
      <c r="M54" s="867">
        <f t="shared" si="6"/>
        <v>281</v>
      </c>
      <c r="N54" s="867">
        <f t="shared" si="7"/>
        <v>95203060</v>
      </c>
      <c r="O54" s="881">
        <f>+Category!BA61</f>
        <v>141</v>
      </c>
      <c r="P54" s="861">
        <f>+SUMIF(Category!$C:$C,'TOTAL BANTUAN 2019-2023'!C54,Category!$BN:$BN)</f>
        <v>12000000</v>
      </c>
      <c r="R54" s="32"/>
    </row>
    <row r="55" spans="2:18" x14ac:dyDescent="0.15">
      <c r="B55" s="539">
        <v>28</v>
      </c>
      <c r="C55" s="568" t="s">
        <v>865</v>
      </c>
      <c r="D55" s="852" t="s">
        <v>1392</v>
      </c>
      <c r="E55" s="894">
        <f>+'Per anak'!D87</f>
        <v>0</v>
      </c>
      <c r="F55" s="855">
        <f>SUMIF(Category!$C:$C,'TOTAL BANTUAN 2019-2023'!C55,Category!$J:$J)</f>
        <v>0</v>
      </c>
      <c r="G55" s="891">
        <f>+Category!K62</f>
        <v>0</v>
      </c>
      <c r="H55" s="885">
        <f>SUMIF(Category!$C:$C,'TOTAL BANTUAN 2019-2023'!C55,Category!$X:$X)</f>
        <v>0</v>
      </c>
      <c r="I55" s="888">
        <f>+Category!Y62</f>
        <v>71</v>
      </c>
      <c r="J55" s="865">
        <f>+SUMIF(Category!$C:$C,'TOTAL BANTUAN 2019-2023'!C55,Category!$AL:$AL)</f>
        <v>24043000</v>
      </c>
      <c r="K55" s="881">
        <f>+Category!AM62</f>
        <v>96</v>
      </c>
      <c r="L55" s="861">
        <f>+SUMIF(Category!$C:$C,'TOTAL BANTUAN 2019-2023'!C55,Category!$AZ:$AZ)</f>
        <v>69588010</v>
      </c>
      <c r="M55" s="867">
        <f t="shared" si="6"/>
        <v>167</v>
      </c>
      <c r="N55" s="867">
        <f t="shared" si="7"/>
        <v>93631010</v>
      </c>
      <c r="O55" s="881">
        <f>+Category!BA62</f>
        <v>96</v>
      </c>
      <c r="P55" s="861">
        <f>+SUMIF(Category!$C:$C,'TOTAL BANTUAN 2019-2023'!C55,Category!$BN:$BN)</f>
        <v>15354000</v>
      </c>
      <c r="R55" s="32"/>
    </row>
    <row r="56" spans="2:18" x14ac:dyDescent="0.15">
      <c r="B56" s="539">
        <v>29</v>
      </c>
      <c r="C56" s="568" t="s">
        <v>866</v>
      </c>
      <c r="D56" s="852" t="s">
        <v>1392</v>
      </c>
      <c r="E56" s="894">
        <f>+'Per anak'!D88</f>
        <v>0</v>
      </c>
      <c r="F56" s="855">
        <f>SUMIF(Category!$C:$C,'TOTAL BANTUAN 2019-2023'!C56,Category!$J:$J)</f>
        <v>0</v>
      </c>
      <c r="G56" s="891">
        <f>+Category!K63</f>
        <v>0</v>
      </c>
      <c r="H56" s="885">
        <f>SUMIF(Category!$C:$C,'TOTAL BANTUAN 2019-2023'!C56,Category!$X:$X)</f>
        <v>0</v>
      </c>
      <c r="I56" s="888">
        <f>+Category!Y63</f>
        <v>56</v>
      </c>
      <c r="J56" s="865">
        <f>+SUMIF(Category!$C:$C,'TOTAL BANTUAN 2019-2023'!C56,Category!$AL:$AL)</f>
        <v>23999200</v>
      </c>
      <c r="K56" s="881">
        <f>+Category!AM63</f>
        <v>56</v>
      </c>
      <c r="L56" s="861">
        <f>+SUMIF(Category!$C:$C,'TOTAL BANTUAN 2019-2023'!C56,Category!$AZ:$AZ)</f>
        <v>72951970</v>
      </c>
      <c r="M56" s="867">
        <f t="shared" si="6"/>
        <v>112</v>
      </c>
      <c r="N56" s="867">
        <f t="shared" si="7"/>
        <v>96951170</v>
      </c>
      <c r="O56" s="881">
        <f>+Category!BA63</f>
        <v>63</v>
      </c>
      <c r="P56" s="861">
        <f>+SUMIF(Category!$C:$C,'TOTAL BANTUAN 2019-2023'!C56,Category!$BN:$BN)</f>
        <v>12000000</v>
      </c>
      <c r="R56" s="32"/>
    </row>
    <row r="57" spans="2:18" x14ac:dyDescent="0.15">
      <c r="B57" s="539">
        <v>30</v>
      </c>
      <c r="C57" s="568" t="s">
        <v>990</v>
      </c>
      <c r="D57" s="852" t="s">
        <v>1392</v>
      </c>
      <c r="E57" s="894">
        <f>+'Per anak'!D89</f>
        <v>0</v>
      </c>
      <c r="F57" s="855">
        <f>SUMIF(Category!$C:$C,'TOTAL BANTUAN 2019-2023'!C57,Category!$J:$J)</f>
        <v>0</v>
      </c>
      <c r="G57" s="891">
        <f>+Category!K64</f>
        <v>0</v>
      </c>
      <c r="H57" s="885">
        <f>SUMIF(Category!$C:$C,'TOTAL BANTUAN 2019-2023'!C57,Category!$X:$X)</f>
        <v>0</v>
      </c>
      <c r="I57" s="888">
        <f>+Category!Y64</f>
        <v>0</v>
      </c>
      <c r="J57" s="865">
        <f>+SUMIF(Category!$C:$C,'TOTAL BANTUAN 2019-2023'!C57,Category!$AL:$AL)</f>
        <v>5500000</v>
      </c>
      <c r="K57" s="881">
        <f>+Category!AM64</f>
        <v>0</v>
      </c>
      <c r="L57" s="861">
        <f>+SUMIF(Category!$C:$C,'TOTAL BANTUAN 2019-2023'!C57,Category!$AZ:$AZ)</f>
        <v>0</v>
      </c>
      <c r="M57" s="867">
        <f t="shared" si="6"/>
        <v>0</v>
      </c>
      <c r="N57" s="867">
        <f t="shared" si="7"/>
        <v>5500000</v>
      </c>
      <c r="O57" s="881">
        <f>+Category!BA64</f>
        <v>0</v>
      </c>
      <c r="P57" s="861">
        <f>+SUMIF(Category!$C:$C,'TOTAL BANTUAN 2019-2023'!C57,Category!$BN:$BN)</f>
        <v>0</v>
      </c>
      <c r="R57" s="32"/>
    </row>
    <row r="58" spans="2:18" x14ac:dyDescent="0.15">
      <c r="B58" s="539">
        <v>31</v>
      </c>
      <c r="C58" s="568" t="s">
        <v>44</v>
      </c>
      <c r="D58" s="852" t="s">
        <v>1392</v>
      </c>
      <c r="E58" s="894">
        <f>+'Per anak'!D90</f>
        <v>0</v>
      </c>
      <c r="F58" s="855">
        <f>SUMIF(Category!$C:$C,'TOTAL BANTUAN 2019-2023'!C58,Category!$J:$J)</f>
        <v>0</v>
      </c>
      <c r="G58" s="891">
        <f>+Category!K65</f>
        <v>27</v>
      </c>
      <c r="H58" s="885">
        <f>SUMIF(Category!$C:$C,'TOTAL BANTUAN 2019-2023'!C58,Category!$X:$X)</f>
        <v>3000000</v>
      </c>
      <c r="I58" s="888">
        <f>+Category!Y65</f>
        <v>0</v>
      </c>
      <c r="J58" s="865">
        <f>+SUMIF(Category!$C:$C,'TOTAL BANTUAN 2019-2023'!C58,Category!$AL:$AL)</f>
        <v>0</v>
      </c>
      <c r="K58" s="881">
        <f>+Category!AM65</f>
        <v>0</v>
      </c>
      <c r="L58" s="861">
        <f>+SUMIF(Category!$C:$C,'TOTAL BANTUAN 2019-2023'!C58,Category!$AZ:$AZ)</f>
        <v>0</v>
      </c>
      <c r="M58" s="867">
        <f t="shared" si="6"/>
        <v>27</v>
      </c>
      <c r="N58" s="867">
        <f t="shared" si="7"/>
        <v>3000000</v>
      </c>
      <c r="O58" s="881">
        <f>+Category!BA65</f>
        <v>0</v>
      </c>
      <c r="P58" s="861">
        <f>+SUMIF(Category!$C:$C,'TOTAL BANTUAN 2019-2023'!C58,Category!$BN:$BN)</f>
        <v>0</v>
      </c>
      <c r="R58" s="32"/>
    </row>
    <row r="59" spans="2:18" x14ac:dyDescent="0.15">
      <c r="B59" s="539">
        <v>32</v>
      </c>
      <c r="C59" s="568" t="s">
        <v>1099</v>
      </c>
      <c r="D59" s="852" t="s">
        <v>1392</v>
      </c>
      <c r="E59" s="894">
        <f>+'Per anak'!D91</f>
        <v>0</v>
      </c>
      <c r="F59" s="855">
        <f>SUMIF(Category!$C:$C,'TOTAL BANTUAN 2019-2023'!C59,Category!$J:$J)</f>
        <v>0</v>
      </c>
      <c r="G59" s="891">
        <f>+Category!X66</f>
        <v>0</v>
      </c>
      <c r="H59" s="885">
        <f>SUMIF(Category!$C:$C,'TOTAL BANTUAN 2019-2023'!C59,Category!$X:$X)</f>
        <v>0</v>
      </c>
      <c r="I59" s="888">
        <f>+Category!Z66</f>
        <v>0</v>
      </c>
      <c r="J59" s="865">
        <f>+SUMIF(Category!$C:$C,'TOTAL BANTUAN 2019-2023'!C59,Category!$AL:$AL)</f>
        <v>0</v>
      </c>
      <c r="K59" s="881">
        <f>+Category!AM66</f>
        <v>65</v>
      </c>
      <c r="L59" s="861">
        <f>+SUMIF(Category!$C:$C,'TOTAL BANTUAN 2019-2023'!C59,Category!$AZ:$AZ)</f>
        <v>48578600</v>
      </c>
      <c r="M59" s="867">
        <f t="shared" si="6"/>
        <v>65</v>
      </c>
      <c r="N59" s="867">
        <f t="shared" si="7"/>
        <v>48578600</v>
      </c>
      <c r="O59" s="881">
        <f>+Category!BA66</f>
        <v>60</v>
      </c>
      <c r="P59" s="861">
        <f>+SUMIF(Category!$C:$C,'TOTAL BANTUAN 2019-2023'!C59,Category!$BN:$BN)</f>
        <v>12000000</v>
      </c>
      <c r="R59" s="32"/>
    </row>
    <row r="60" spans="2:18" x14ac:dyDescent="0.15">
      <c r="B60" s="539">
        <v>33</v>
      </c>
      <c r="C60" s="568" t="s">
        <v>1115</v>
      </c>
      <c r="D60" s="852" t="s">
        <v>1392</v>
      </c>
      <c r="E60" s="894">
        <f>+'Per anak'!D92</f>
        <v>0</v>
      </c>
      <c r="F60" s="855">
        <f>SUMIF(Category!$C:$C,'TOTAL BANTUAN 2019-2023'!C60,Category!$J:$J)</f>
        <v>0</v>
      </c>
      <c r="G60" s="891">
        <f>+Category!X67</f>
        <v>0</v>
      </c>
      <c r="H60" s="885">
        <f>SUMIF(Category!$C:$C,'TOTAL BANTUAN 2019-2023'!C60,Category!$X:$X)</f>
        <v>0</v>
      </c>
      <c r="I60" s="888">
        <f>+Category!Z67</f>
        <v>0</v>
      </c>
      <c r="J60" s="865">
        <f>+SUMIF(Category!$C:$C,'TOTAL BANTUAN 2019-2023'!C60,Category!$AL:$AL)</f>
        <v>0</v>
      </c>
      <c r="K60" s="881">
        <f>+Category!AM67</f>
        <v>35</v>
      </c>
      <c r="L60" s="861">
        <f>+SUMIF(Category!$C:$C,'TOTAL BANTUAN 2019-2023'!C60,Category!$AZ:$AZ)</f>
        <v>36672700</v>
      </c>
      <c r="M60" s="867">
        <f t="shared" si="6"/>
        <v>35</v>
      </c>
      <c r="N60" s="867">
        <f t="shared" si="7"/>
        <v>36672700</v>
      </c>
      <c r="O60" s="881">
        <f>+Category!BA67</f>
        <v>35</v>
      </c>
      <c r="P60" s="861">
        <f>+SUMIF(Category!$C:$C,'TOTAL BANTUAN 2019-2023'!C60,Category!$BN:$BN)</f>
        <v>16626920</v>
      </c>
      <c r="R60" s="32"/>
    </row>
    <row r="61" spans="2:18" ht="14.25" customHeight="1" x14ac:dyDescent="0.15">
      <c r="B61" s="539">
        <v>34</v>
      </c>
      <c r="C61" s="568" t="s">
        <v>1338</v>
      </c>
      <c r="D61" s="852" t="s">
        <v>1392</v>
      </c>
      <c r="E61" s="894">
        <f>+'Per anak'!D94</f>
        <v>109</v>
      </c>
      <c r="F61" s="855">
        <f>SUMIF(Category!$C:$C,'TOTAL BANTUAN 2019-2023'!C61,Category!$J:$J)</f>
        <v>30000000</v>
      </c>
      <c r="G61" s="891">
        <f>+Category!X73</f>
        <v>0</v>
      </c>
      <c r="H61" s="885">
        <f>SUMIF(Category!$C:$C,'TOTAL BANTUAN 2019-2023'!C61,Category!$X:$X)</f>
        <v>0</v>
      </c>
      <c r="I61" s="888">
        <f>+Category!Z73</f>
        <v>0</v>
      </c>
      <c r="J61" s="865">
        <f>+SUMIF(Category!$C:$C,'TOTAL BANTUAN 2019-2023'!C61,Category!$AL:$AL)</f>
        <v>0</v>
      </c>
      <c r="K61" s="881">
        <f>+Category!AM73</f>
        <v>0</v>
      </c>
      <c r="L61" s="861">
        <f>+SUMIF(Category!$C:$C,'TOTAL BANTUAN 2019-2023'!C61,Category!$AZ:$AZ)</f>
        <v>0</v>
      </c>
      <c r="M61" s="867">
        <f>+E61+G61+I61+K61</f>
        <v>109</v>
      </c>
      <c r="N61" s="867">
        <f>+F61+H61+J61+L61</f>
        <v>30000000</v>
      </c>
      <c r="O61" s="881">
        <f>+Category!BA73</f>
        <v>0</v>
      </c>
      <c r="P61" s="861">
        <f>+SUMIF(Category!$C:$C,'TOTAL BANTUAN 2019-2023'!C61,Category!$BN:$BN)</f>
        <v>0</v>
      </c>
      <c r="R61" s="32"/>
    </row>
    <row r="62" spans="2:18" ht="14.25" customHeight="1" x14ac:dyDescent="0.15">
      <c r="B62" s="539">
        <v>35</v>
      </c>
      <c r="C62" s="568" t="s">
        <v>1339</v>
      </c>
      <c r="D62" s="852" t="s">
        <v>1392</v>
      </c>
      <c r="E62" s="894">
        <f>+'Per anak'!D95</f>
        <v>24</v>
      </c>
      <c r="F62" s="855">
        <f>SUMIF(Category!$C:$C,'TOTAL BANTUAN 2019-2023'!C62,Category!$J:$J)</f>
        <v>10000000</v>
      </c>
      <c r="G62" s="891"/>
      <c r="H62" s="885"/>
      <c r="I62" s="888"/>
      <c r="J62" s="865"/>
      <c r="K62" s="881"/>
      <c r="L62" s="861"/>
      <c r="M62" s="867">
        <f>+E62+G62+I62+K62</f>
        <v>24</v>
      </c>
      <c r="N62" s="867">
        <f>+F62+H62+J62+L62</f>
        <v>10000000</v>
      </c>
      <c r="O62" s="881"/>
      <c r="P62" s="861">
        <f>+SUMIF(Category!$C:$C,'TOTAL BANTUAN 2019-2023'!C62,Category!$BN:$BN)</f>
        <v>0</v>
      </c>
      <c r="R62" s="32"/>
    </row>
    <row r="63" spans="2:18" ht="14.25" customHeight="1" x14ac:dyDescent="0.15">
      <c r="B63" s="539"/>
      <c r="C63" s="568"/>
      <c r="D63" s="852"/>
      <c r="E63" s="893"/>
      <c r="F63" s="856"/>
      <c r="G63" s="890"/>
      <c r="H63" s="860"/>
      <c r="I63" s="887"/>
      <c r="J63" s="866"/>
      <c r="K63" s="880"/>
      <c r="L63" s="862"/>
      <c r="M63" s="858"/>
      <c r="N63" s="858"/>
      <c r="O63" s="880"/>
      <c r="P63" s="861">
        <f>+SUMIF(Category!$C:$C,'TOTAL BANTUAN 2019-2023'!C63,Category!$BN:$BN)</f>
        <v>0</v>
      </c>
      <c r="R63" s="32"/>
    </row>
    <row r="64" spans="2:18" ht="14.25" customHeight="1" x14ac:dyDescent="0.15">
      <c r="B64" s="539"/>
      <c r="C64" s="568"/>
      <c r="D64" s="852"/>
      <c r="E64" s="893"/>
      <c r="F64" s="856"/>
      <c r="G64" s="890"/>
      <c r="H64" s="860"/>
      <c r="I64" s="887"/>
      <c r="J64" s="866"/>
      <c r="K64" s="880"/>
      <c r="L64" s="862"/>
      <c r="M64" s="858"/>
      <c r="N64" s="858"/>
      <c r="O64" s="880"/>
      <c r="P64" s="861">
        <f>+SUMIF(Category!$C:$C,'TOTAL BANTUAN 2019-2023'!C64,Category!$BN:$BN)</f>
        <v>0</v>
      </c>
      <c r="R64" s="32"/>
    </row>
    <row r="65" spans="2:18" ht="14.25" thickBot="1" x14ac:dyDescent="0.2">
      <c r="B65" s="820"/>
      <c r="C65" s="568"/>
      <c r="D65" s="852"/>
      <c r="E65" s="893"/>
      <c r="F65" s="856"/>
      <c r="G65" s="890"/>
      <c r="H65" s="860"/>
      <c r="I65" s="887"/>
      <c r="J65" s="866"/>
      <c r="K65" s="880"/>
      <c r="L65" s="862"/>
      <c r="M65" s="858"/>
      <c r="N65" s="858"/>
      <c r="O65" s="880"/>
      <c r="P65" s="862"/>
      <c r="R65" s="32"/>
    </row>
    <row r="66" spans="2:18" ht="15.75" customHeight="1" thickBot="1" x14ac:dyDescent="0.2">
      <c r="B66" s="1067" t="s">
        <v>1389</v>
      </c>
      <c r="C66" s="1068"/>
      <c r="D66" s="1069"/>
      <c r="E66" s="878">
        <f>SUM(E67:E75)</f>
        <v>0</v>
      </c>
      <c r="F66" s="822">
        <f>SUM(F67:F75)</f>
        <v>0</v>
      </c>
      <c r="G66" s="878">
        <f t="shared" ref="G66:N66" si="8">SUM(G67:G75)</f>
        <v>154</v>
      </c>
      <c r="H66" s="822">
        <f t="shared" si="8"/>
        <v>64571500</v>
      </c>
      <c r="I66" s="878">
        <f t="shared" si="8"/>
        <v>384</v>
      </c>
      <c r="J66" s="822">
        <f t="shared" si="8"/>
        <v>340684630</v>
      </c>
      <c r="K66" s="878">
        <f t="shared" si="8"/>
        <v>377</v>
      </c>
      <c r="L66" s="822">
        <f t="shared" si="8"/>
        <v>491183980</v>
      </c>
      <c r="M66" s="822">
        <f t="shared" si="8"/>
        <v>915</v>
      </c>
      <c r="N66" s="822">
        <f t="shared" si="8"/>
        <v>896440110</v>
      </c>
      <c r="O66" s="878">
        <f t="shared" ref="O66:P66" si="9">SUM(O67:O75)</f>
        <v>43</v>
      </c>
      <c r="P66" s="822">
        <f t="shared" si="9"/>
        <v>86654540</v>
      </c>
      <c r="R66" s="32"/>
    </row>
    <row r="67" spans="2:18" x14ac:dyDescent="0.15">
      <c r="B67" s="545">
        <v>1</v>
      </c>
      <c r="C67" s="568" t="s">
        <v>871</v>
      </c>
      <c r="D67" s="852" t="s">
        <v>1392</v>
      </c>
      <c r="E67" s="892">
        <f>+'Per anak'!D107</f>
        <v>0</v>
      </c>
      <c r="F67" s="854">
        <f>SUMIF(Category!$C:$C,'TOTAL BANTUAN 2019-2023'!C67,Category!$J:$J)</f>
        <v>0</v>
      </c>
      <c r="G67" s="889">
        <f>+'Per anak'!E107</f>
        <v>71</v>
      </c>
      <c r="H67" s="885">
        <f>SUMIF(Category!$C:$C,'TOTAL BANTUAN 2019-2023'!C67,Category!$X:$X)</f>
        <v>19500000</v>
      </c>
      <c r="I67" s="886">
        <f>+'Per anak'!F107</f>
        <v>77</v>
      </c>
      <c r="J67" s="865">
        <f>+SUMIF(Category!$C:$C,'TOTAL BANTUAN 2019-2023'!C67,Category!$AL:$AL)</f>
        <v>52070060</v>
      </c>
      <c r="K67" s="879">
        <f>+'Per anak'!G107</f>
        <v>68</v>
      </c>
      <c r="L67" s="861">
        <f>+SUMIF(Category!$C:$C,'TOTAL BANTUAN 2019-2023'!C67,Category!$AZ:$AZ)</f>
        <v>73029850</v>
      </c>
      <c r="M67" s="867">
        <f t="shared" ref="M67:N73" si="10">+E67+G67+I67+K67</f>
        <v>216</v>
      </c>
      <c r="N67" s="867">
        <f t="shared" si="10"/>
        <v>144599910</v>
      </c>
      <c r="O67" s="879">
        <f>+'Per anak'!H107</f>
        <v>0</v>
      </c>
      <c r="P67" s="861">
        <f>+SUMIF(Category!$C:$C,'TOTAL BANTUAN 2019-2023'!C67,Category!$BN:$BN)</f>
        <v>12251540</v>
      </c>
      <c r="R67" s="32"/>
    </row>
    <row r="68" spans="2:18" x14ac:dyDescent="0.15">
      <c r="B68" s="545">
        <v>2</v>
      </c>
      <c r="C68" s="568" t="s">
        <v>870</v>
      </c>
      <c r="D68" s="852" t="s">
        <v>1392</v>
      </c>
      <c r="E68" s="892">
        <f>+'Per anak'!D108</f>
        <v>0</v>
      </c>
      <c r="F68" s="855">
        <f>SUMIF(Category!$C:$C,'TOTAL BANTUAN 2019-2023'!C68,Category!$J:$J)</f>
        <v>0</v>
      </c>
      <c r="G68" s="889">
        <f>+'Per anak'!E108</f>
        <v>19</v>
      </c>
      <c r="H68" s="885">
        <f>SUMIF(Category!$C:$C,'TOTAL BANTUAN 2019-2023'!C68,Category!$X:$X)</f>
        <v>16500000</v>
      </c>
      <c r="I68" s="886">
        <f>+'Per anak'!F108</f>
        <v>19</v>
      </c>
      <c r="J68" s="865">
        <f>+SUMIF(Category!$C:$C,'TOTAL BANTUAN 2019-2023'!C68,Category!$AL:$AL)</f>
        <v>51678620</v>
      </c>
      <c r="K68" s="879">
        <f>+'Per anak'!G108</f>
        <v>19</v>
      </c>
      <c r="L68" s="861">
        <f>+SUMIF(Category!$C:$C,'TOTAL BANTUAN 2019-2023'!C68,Category!$AZ:$AZ)</f>
        <v>71582840</v>
      </c>
      <c r="M68" s="867">
        <f t="shared" si="10"/>
        <v>57</v>
      </c>
      <c r="N68" s="867">
        <f t="shared" si="10"/>
        <v>139761460</v>
      </c>
      <c r="O68" s="879">
        <f>+'Per anak'!H108</f>
        <v>0</v>
      </c>
      <c r="P68" s="861">
        <f>+SUMIF(Category!$C:$C,'TOTAL BANTUAN 2019-2023'!C68,Category!$BN:$BN)</f>
        <v>12000000</v>
      </c>
      <c r="R68" s="32"/>
    </row>
    <row r="69" spans="2:18" x14ac:dyDescent="0.15">
      <c r="B69" s="545">
        <v>3</v>
      </c>
      <c r="C69" s="568" t="s">
        <v>228</v>
      </c>
      <c r="D69" s="852" t="s">
        <v>1392</v>
      </c>
      <c r="E69" s="892">
        <f>+'Per anak'!D109</f>
        <v>0</v>
      </c>
      <c r="F69" s="855">
        <f>SUMIF(Category!$C:$C,'TOTAL BANTUAN 2019-2023'!C69,Category!$J:$J)</f>
        <v>0</v>
      </c>
      <c r="G69" s="889">
        <f>+'Per anak'!E109</f>
        <v>64</v>
      </c>
      <c r="H69" s="885">
        <f>+Category!X32</f>
        <v>28571500</v>
      </c>
      <c r="I69" s="886">
        <f>+'Per anak'!F109</f>
        <v>64</v>
      </c>
      <c r="J69" s="865">
        <f>+SUMIF(Category!$C:$C,'TOTAL BANTUAN 2019-2023'!C69,Category!$AL:$AL)</f>
        <v>46058450</v>
      </c>
      <c r="K69" s="879">
        <f>+'Per anak'!G109</f>
        <v>66</v>
      </c>
      <c r="L69" s="861">
        <f>+SUMIF(Category!$C:$C,'TOTAL BANTUAN 2019-2023'!C69,Category!$AZ:$AZ)</f>
        <v>70087440</v>
      </c>
      <c r="M69" s="867">
        <f t="shared" si="10"/>
        <v>194</v>
      </c>
      <c r="N69" s="867">
        <f t="shared" si="10"/>
        <v>144717390</v>
      </c>
      <c r="O69" s="879">
        <f>+'Per anak'!H109</f>
        <v>3</v>
      </c>
      <c r="P69" s="861">
        <f>+SUMIF(Category!$C:$C,'TOTAL BANTUAN 2019-2023'!C69,Category!$BN:$BN)</f>
        <v>12000000</v>
      </c>
      <c r="R69" s="32"/>
    </row>
    <row r="70" spans="2:18" x14ac:dyDescent="0.15">
      <c r="B70" s="545">
        <v>4</v>
      </c>
      <c r="C70" s="568" t="s">
        <v>222</v>
      </c>
      <c r="D70" s="852" t="s">
        <v>1392</v>
      </c>
      <c r="E70" s="892">
        <f>+'Per anak'!D110</f>
        <v>0</v>
      </c>
      <c r="F70" s="855">
        <f>SUMIF(Category!$C:$C,'TOTAL BANTUAN 2019-2023'!C70,Category!$J:$J)</f>
        <v>0</v>
      </c>
      <c r="G70" s="889">
        <f>+'Per anak'!E110</f>
        <v>0</v>
      </c>
      <c r="H70" s="885">
        <f>SUMIF(Category!$C:$C,'TOTAL BANTUAN 2019-2023'!C70,Category!$X:$X)</f>
        <v>0</v>
      </c>
      <c r="I70" s="886">
        <f>+'Per anak'!F110</f>
        <v>34</v>
      </c>
      <c r="J70" s="865">
        <f>+SUMIF(Category!$C:$C,'TOTAL BANTUAN 2019-2023'!C70,Category!$AL:$AL)</f>
        <v>49500000</v>
      </c>
      <c r="K70" s="879">
        <f>+'Per anak'!G110</f>
        <v>34</v>
      </c>
      <c r="L70" s="861">
        <f>+SUMIF(Category!$C:$C,'TOTAL BANTUAN 2019-2023'!C70,Category!$AZ:$AZ)</f>
        <v>66000000</v>
      </c>
      <c r="M70" s="867">
        <f t="shared" si="10"/>
        <v>68</v>
      </c>
      <c r="N70" s="867">
        <f t="shared" si="10"/>
        <v>115500000</v>
      </c>
      <c r="O70" s="879">
        <f>+'Per anak'!H110</f>
        <v>40</v>
      </c>
      <c r="P70" s="861">
        <f>+SUMIF(Category!$C:$C,'TOTAL BANTUAN 2019-2023'!C70,Category!$BN:$BN)</f>
        <v>11000000</v>
      </c>
      <c r="R70" s="32"/>
    </row>
    <row r="71" spans="2:18" x14ac:dyDescent="0.15">
      <c r="B71" s="545">
        <v>5</v>
      </c>
      <c r="C71" s="568" t="s">
        <v>257</v>
      </c>
      <c r="D71" s="852" t="s">
        <v>1392</v>
      </c>
      <c r="E71" s="892">
        <f>+'Per anak'!D111</f>
        <v>0</v>
      </c>
      <c r="F71" s="855">
        <f>SUMIF(Category!$C:$C,'TOTAL BANTUAN 2019-2023'!C71,Category!$J:$J)</f>
        <v>0</v>
      </c>
      <c r="G71" s="889">
        <f>+'Per anak'!E111</f>
        <v>0</v>
      </c>
      <c r="H71" s="885">
        <f>SUMIF(Category!$C:$C,'TOTAL BANTUAN 2019-2023'!C71,Category!$X:$X)</f>
        <v>0</v>
      </c>
      <c r="I71" s="886">
        <f>+'Per anak'!F111</f>
        <v>134</v>
      </c>
      <c r="J71" s="865">
        <f>+SUMIF(Category!$C:$C,'TOTAL BANTUAN 2019-2023'!C71,Category!$AL:$AL)</f>
        <v>49500000</v>
      </c>
      <c r="K71" s="879">
        <f>+'Per anak'!G111</f>
        <v>134</v>
      </c>
      <c r="L71" s="861">
        <f>+SUMIF(Category!$C:$C,'TOTAL BANTUAN 2019-2023'!C71,Category!$AZ:$AZ)</f>
        <v>66000000</v>
      </c>
      <c r="M71" s="867">
        <f t="shared" si="10"/>
        <v>268</v>
      </c>
      <c r="N71" s="867">
        <f t="shared" si="10"/>
        <v>115500000</v>
      </c>
      <c r="O71" s="879">
        <f>+'Per anak'!H111</f>
        <v>0</v>
      </c>
      <c r="P71" s="861">
        <f>+SUMIF(Category!$C:$C,'TOTAL BANTUAN 2019-2023'!C71,Category!$BN:$BN)</f>
        <v>11000000</v>
      </c>
      <c r="R71" s="32"/>
    </row>
    <row r="72" spans="2:18" x14ac:dyDescent="0.15">
      <c r="B72" s="545">
        <v>6</v>
      </c>
      <c r="C72" s="568" t="s">
        <v>852</v>
      </c>
      <c r="D72" s="852" t="s">
        <v>1392</v>
      </c>
      <c r="E72" s="892">
        <f>+'Per anak'!D112</f>
        <v>0</v>
      </c>
      <c r="F72" s="855">
        <f>SUMIF(Category!$C:$C,'TOTAL BANTUAN 2019-2023'!C72,Category!$J:$J)</f>
        <v>0</v>
      </c>
      <c r="G72" s="889">
        <f>+'Per anak'!E112</f>
        <v>0</v>
      </c>
      <c r="H72" s="885">
        <f>SUMIF(Category!$C:$C,'TOTAL BANTUAN 2019-2023'!C72,Category!$X:$X)</f>
        <v>0</v>
      </c>
      <c r="I72" s="886">
        <f>+'Per anak'!F112</f>
        <v>42</v>
      </c>
      <c r="J72" s="865">
        <f>+SUMIF(Category!$C:$C,'TOTAL BANTUAN 2019-2023'!C72,Category!$AL:$AL)</f>
        <v>51484510</v>
      </c>
      <c r="K72" s="879">
        <f>+'Per anak'!G112</f>
        <v>42</v>
      </c>
      <c r="L72" s="861">
        <f>+SUMIF(Category!$C:$C,'TOTAL BANTUAN 2019-2023'!C72,Category!$AZ:$AZ)</f>
        <v>74152840</v>
      </c>
      <c r="M72" s="867">
        <f t="shared" si="10"/>
        <v>84</v>
      </c>
      <c r="N72" s="867">
        <f t="shared" si="10"/>
        <v>125637350</v>
      </c>
      <c r="O72" s="879">
        <f>+'Per anak'!H112</f>
        <v>0</v>
      </c>
      <c r="P72" s="861">
        <f>+SUMIF(Category!$C:$C,'TOTAL BANTUAN 2019-2023'!C72,Category!$BN:$BN)</f>
        <v>12000000</v>
      </c>
      <c r="R72" s="32"/>
    </row>
    <row r="73" spans="2:18" x14ac:dyDescent="0.15">
      <c r="B73" s="545">
        <v>7</v>
      </c>
      <c r="C73" s="568" t="s">
        <v>328</v>
      </c>
      <c r="D73" s="852" t="s">
        <v>1392</v>
      </c>
      <c r="E73" s="892">
        <f>+'Per anak'!D113</f>
        <v>0</v>
      </c>
      <c r="F73" s="855">
        <f>SUMIF(Category!$C:$C,'TOTAL BANTUAN 2019-2023'!C73,Category!$J:$J)</f>
        <v>0</v>
      </c>
      <c r="G73" s="889">
        <f>+'Per anak'!E113</f>
        <v>0</v>
      </c>
      <c r="H73" s="885">
        <f>SUMIF(Category!$C:$C,'TOTAL BANTUAN 2019-2023'!C73,Category!$X:$X)</f>
        <v>0</v>
      </c>
      <c r="I73" s="886">
        <f>+'Per anak'!F113</f>
        <v>14</v>
      </c>
      <c r="J73" s="865">
        <f>+SUMIF(Category!$C:$C,'TOTAL BANTUAN 2019-2023'!C73,Category!$AL:$AL)</f>
        <v>40392990</v>
      </c>
      <c r="K73" s="879">
        <f>+'Per anak'!G113</f>
        <v>14</v>
      </c>
      <c r="L73" s="861">
        <f>+SUMIF(Category!$C:$C,'TOTAL BANTUAN 2019-2023'!C73,Category!$AZ:$AZ)</f>
        <v>70331010</v>
      </c>
      <c r="M73" s="867">
        <f t="shared" si="10"/>
        <v>28</v>
      </c>
      <c r="N73" s="867">
        <f t="shared" si="10"/>
        <v>110724000</v>
      </c>
      <c r="O73" s="879">
        <f>+'Per anak'!H113</f>
        <v>0</v>
      </c>
      <c r="P73" s="861">
        <f>+SUMIF(Category!$C:$C,'TOTAL BANTUAN 2019-2023'!C73,Category!$BN:$BN)</f>
        <v>16403000</v>
      </c>
      <c r="R73" s="32"/>
    </row>
    <row r="74" spans="2:18" x14ac:dyDescent="0.15">
      <c r="B74" s="545"/>
      <c r="C74" s="568"/>
      <c r="D74" s="852" t="s">
        <v>1392</v>
      </c>
      <c r="E74" s="892"/>
      <c r="F74" s="855"/>
      <c r="G74" s="891"/>
      <c r="H74" s="885"/>
      <c r="I74" s="888"/>
      <c r="J74" s="884"/>
      <c r="K74" s="881"/>
      <c r="L74" s="874"/>
      <c r="M74" s="867"/>
      <c r="N74" s="867"/>
      <c r="O74" s="881"/>
      <c r="P74" s="861">
        <f>+SUMIF(Category!$C:$C,'TOTAL BANTUAN 2019-2023'!C74,Category!$BN:$BN)</f>
        <v>0</v>
      </c>
      <c r="R74" s="32"/>
    </row>
    <row r="75" spans="2:18" ht="14.25" thickBot="1" x14ac:dyDescent="0.2">
      <c r="B75" s="545"/>
      <c r="C75" s="568"/>
      <c r="D75" s="852"/>
      <c r="E75" s="893"/>
      <c r="F75" s="856"/>
      <c r="G75" s="890"/>
      <c r="H75" s="860"/>
      <c r="I75" s="887"/>
      <c r="J75" s="866"/>
      <c r="K75" s="880"/>
      <c r="L75" s="862"/>
      <c r="M75" s="858"/>
      <c r="N75" s="858"/>
      <c r="O75" s="880"/>
      <c r="P75" s="862"/>
      <c r="R75" s="32"/>
    </row>
    <row r="76" spans="2:18" ht="15.75" customHeight="1" thickBot="1" x14ac:dyDescent="0.2">
      <c r="B76" s="1067" t="s">
        <v>1378</v>
      </c>
      <c r="C76" s="1068"/>
      <c r="D76" s="1069"/>
      <c r="E76" s="878">
        <f t="shared" ref="E76:N76" si="11">SUM(E77:E87)</f>
        <v>0</v>
      </c>
      <c r="F76" s="822">
        <f>SUM(F77:F87)</f>
        <v>0</v>
      </c>
      <c r="G76" s="878">
        <f t="shared" si="11"/>
        <v>6</v>
      </c>
      <c r="H76" s="822">
        <f t="shared" si="11"/>
        <v>30000000</v>
      </c>
      <c r="I76" s="878">
        <f t="shared" si="11"/>
        <v>398</v>
      </c>
      <c r="J76" s="822">
        <f t="shared" si="11"/>
        <v>542500000</v>
      </c>
      <c r="K76" s="878">
        <f t="shared" si="11"/>
        <v>391</v>
      </c>
      <c r="L76" s="822">
        <f t="shared" si="11"/>
        <v>883114000</v>
      </c>
      <c r="M76" s="822">
        <f t="shared" si="11"/>
        <v>795</v>
      </c>
      <c r="N76" s="822">
        <f t="shared" si="11"/>
        <v>1455614000</v>
      </c>
      <c r="O76" s="878">
        <f t="shared" ref="O76:P76" si="12">SUM(O77:O87)</f>
        <v>263</v>
      </c>
      <c r="P76" s="822">
        <f t="shared" si="12"/>
        <v>130962000</v>
      </c>
      <c r="R76" s="32"/>
    </row>
    <row r="77" spans="2:18" x14ac:dyDescent="0.15">
      <c r="B77" s="545">
        <v>1</v>
      </c>
      <c r="C77" s="568" t="s">
        <v>392</v>
      </c>
      <c r="D77" s="852" t="s">
        <v>1392</v>
      </c>
      <c r="E77" s="892">
        <f>+'Per anak'!D129</f>
        <v>0</v>
      </c>
      <c r="F77" s="855">
        <f>SUMIF(Category!$C:$C,'TOTAL BANTUAN 2019-2023'!C77,Category!$J:$J)</f>
        <v>0</v>
      </c>
      <c r="G77" s="889">
        <f>+'Per anak'!E129</f>
        <v>0</v>
      </c>
      <c r="H77" s="885">
        <f>+Category!X122</f>
        <v>0</v>
      </c>
      <c r="I77" s="886">
        <f>+'Per anak'!F129</f>
        <v>75</v>
      </c>
      <c r="J77" s="884">
        <f>+Category!AL122</f>
        <v>60000000</v>
      </c>
      <c r="K77" s="879">
        <f>+'Per anak'!G129</f>
        <v>75</v>
      </c>
      <c r="L77" s="874">
        <f>+Category!AZ122</f>
        <v>120000000</v>
      </c>
      <c r="M77" s="867">
        <f>+E77+G77+I77+K77</f>
        <v>150</v>
      </c>
      <c r="N77" s="867">
        <f>+F77+H77+J77+L77</f>
        <v>180000000</v>
      </c>
      <c r="O77" s="879">
        <f>+'Per anak'!H129</f>
        <v>85</v>
      </c>
      <c r="P77" s="874">
        <f>+Category!BN122</f>
        <v>30000000</v>
      </c>
      <c r="R77" s="32"/>
    </row>
    <row r="78" spans="2:18" x14ac:dyDescent="0.15">
      <c r="B78" s="545">
        <v>2</v>
      </c>
      <c r="C78" s="568" t="s">
        <v>407</v>
      </c>
      <c r="D78" s="852" t="s">
        <v>1392</v>
      </c>
      <c r="E78" s="892">
        <f>+'Per anak'!D130</f>
        <v>0</v>
      </c>
      <c r="F78" s="855">
        <f>SUMIF(Category!$C:$C,'TOTAL BANTUAN 2019-2023'!C78,Category!$J:$J)</f>
        <v>0</v>
      </c>
      <c r="G78" s="889">
        <f>+'Per anak'!E130</f>
        <v>0</v>
      </c>
      <c r="H78" s="885">
        <f>+Category!X123</f>
        <v>0</v>
      </c>
      <c r="I78" s="886">
        <f>+'Per anak'!F130</f>
        <v>64</v>
      </c>
      <c r="J78" s="884">
        <f>+Category!AL123</f>
        <v>50000000</v>
      </c>
      <c r="K78" s="879">
        <f>+'Per anak'!G130</f>
        <v>64</v>
      </c>
      <c r="L78" s="874">
        <f>+Category!AZ123</f>
        <v>120000000</v>
      </c>
      <c r="M78" s="867">
        <f t="shared" ref="M78:M85" si="13">+E78+G78+I78+K78</f>
        <v>128</v>
      </c>
      <c r="N78" s="867">
        <f t="shared" ref="N78:N85" si="14">+F78+H78+J78+L78</f>
        <v>170000000</v>
      </c>
      <c r="O78" s="879">
        <f>+'Per anak'!H130</f>
        <v>64</v>
      </c>
      <c r="P78" s="874">
        <f>+Category!BN123</f>
        <v>30000000</v>
      </c>
      <c r="R78" s="32"/>
    </row>
    <row r="79" spans="2:18" x14ac:dyDescent="0.15">
      <c r="B79" s="545">
        <v>3</v>
      </c>
      <c r="C79" s="568" t="s">
        <v>410</v>
      </c>
      <c r="D79" s="852" t="s">
        <v>1392</v>
      </c>
      <c r="E79" s="892">
        <f>+'Per anak'!D131</f>
        <v>0</v>
      </c>
      <c r="F79" s="855">
        <f>SUMIF(Category!$C:$C,'TOTAL BANTUAN 2019-2023'!C79,Category!$J:$J)</f>
        <v>0</v>
      </c>
      <c r="G79" s="889">
        <f>+'Per anak'!E131</f>
        <v>0</v>
      </c>
      <c r="H79" s="885">
        <f>+Category!X124</f>
        <v>0</v>
      </c>
      <c r="I79" s="886">
        <f>+'Per anak'!F131</f>
        <v>78</v>
      </c>
      <c r="J79" s="884">
        <f>+Category!AL124</f>
        <v>60000000</v>
      </c>
      <c r="K79" s="879">
        <f>+'Per anak'!G131</f>
        <v>78</v>
      </c>
      <c r="L79" s="874">
        <f>+Category!AZ124</f>
        <v>15000000</v>
      </c>
      <c r="M79" s="867">
        <f t="shared" si="13"/>
        <v>156</v>
      </c>
      <c r="N79" s="867">
        <f t="shared" si="14"/>
        <v>75000000</v>
      </c>
      <c r="O79" s="879">
        <f>+'Per anak'!H131</f>
        <v>0</v>
      </c>
      <c r="P79" s="874">
        <f>+Category!BN124</f>
        <v>0</v>
      </c>
      <c r="R79" s="32"/>
    </row>
    <row r="80" spans="2:18" x14ac:dyDescent="0.15">
      <c r="B80" s="545">
        <v>4</v>
      </c>
      <c r="C80" s="912" t="s">
        <v>413</v>
      </c>
      <c r="D80" s="852" t="s">
        <v>1392</v>
      </c>
      <c r="E80" s="892">
        <f>+'Per anak'!D132</f>
        <v>0</v>
      </c>
      <c r="F80" s="855">
        <f>SUMIF(Category!$C:$C,'TOTAL BANTUAN 2019-2023'!C80,Category!$J:$J)</f>
        <v>0</v>
      </c>
      <c r="G80" s="889">
        <f>+'Per anak'!E132</f>
        <v>6</v>
      </c>
      <c r="H80" s="885">
        <f>+Category!X125</f>
        <v>30000000</v>
      </c>
      <c r="I80" s="886">
        <f>+'Per anak'!F132</f>
        <v>8</v>
      </c>
      <c r="J80" s="884">
        <f>+Category!AL125</f>
        <v>76400000</v>
      </c>
      <c r="K80" s="879">
        <f>+'Per anak'!G132</f>
        <v>16</v>
      </c>
      <c r="L80" s="874">
        <f>+Category!AZ125</f>
        <v>120000000</v>
      </c>
      <c r="M80" s="867">
        <f t="shared" si="13"/>
        <v>30</v>
      </c>
      <c r="N80" s="867">
        <f t="shared" si="14"/>
        <v>226400000</v>
      </c>
      <c r="O80" s="879">
        <f>+'Per anak'!H132</f>
        <v>22</v>
      </c>
      <c r="P80" s="874">
        <f>+Category!BN125</f>
        <v>20000000</v>
      </c>
      <c r="R80" s="32"/>
    </row>
    <row r="81" spans="2:21" x14ac:dyDescent="0.15">
      <c r="B81" s="545">
        <v>5</v>
      </c>
      <c r="C81" s="568" t="s">
        <v>420</v>
      </c>
      <c r="D81" s="852" t="s">
        <v>1392</v>
      </c>
      <c r="E81" s="892">
        <f>+'Per anak'!D133</f>
        <v>0</v>
      </c>
      <c r="F81" s="855">
        <f>SUMIF(Category!$C:$C,'TOTAL BANTUAN 2019-2023'!C81,Category!$J:$J)</f>
        <v>0</v>
      </c>
      <c r="G81" s="889">
        <f>+'Per anak'!E133</f>
        <v>0</v>
      </c>
      <c r="H81" s="885">
        <f>+Category!X126</f>
        <v>0</v>
      </c>
      <c r="I81" s="886">
        <f>+'Per anak'!F133</f>
        <v>29</v>
      </c>
      <c r="J81" s="884">
        <f>+Category!AL126</f>
        <v>60000000</v>
      </c>
      <c r="K81" s="879">
        <f>+'Per anak'!G133</f>
        <v>29</v>
      </c>
      <c r="L81" s="874">
        <f>+Category!AZ126</f>
        <v>120000000</v>
      </c>
      <c r="M81" s="867">
        <f t="shared" si="13"/>
        <v>58</v>
      </c>
      <c r="N81" s="867">
        <f t="shared" si="14"/>
        <v>180000000</v>
      </c>
      <c r="O81" s="879">
        <f>+'Per anak'!H133</f>
        <v>29</v>
      </c>
      <c r="P81" s="874">
        <f>+Category!BN126</f>
        <v>20000000</v>
      </c>
      <c r="R81" s="32"/>
    </row>
    <row r="82" spans="2:21" x14ac:dyDescent="0.15">
      <c r="B82" s="545">
        <v>6</v>
      </c>
      <c r="C82" s="568" t="s">
        <v>423</v>
      </c>
      <c r="D82" s="852" t="s">
        <v>1392</v>
      </c>
      <c r="E82" s="892">
        <f>+'Per anak'!D134</f>
        <v>0</v>
      </c>
      <c r="F82" s="855">
        <f>SUMIF(Category!$C:$C,'TOTAL BANTUAN 2019-2023'!C82,Category!$J:$J)</f>
        <v>0</v>
      </c>
      <c r="G82" s="889">
        <f>+'Per anak'!E134</f>
        <v>0</v>
      </c>
      <c r="H82" s="885">
        <f>+Category!X127</f>
        <v>0</v>
      </c>
      <c r="I82" s="886">
        <f>+'Per anak'!F134</f>
        <v>35</v>
      </c>
      <c r="J82" s="884">
        <f>+Category!AL127</f>
        <v>60000000</v>
      </c>
      <c r="K82" s="879">
        <f>+'Per anak'!G134</f>
        <v>35</v>
      </c>
      <c r="L82" s="874">
        <f>+Category!AZ127</f>
        <v>40000000</v>
      </c>
      <c r="M82" s="867">
        <f t="shared" si="13"/>
        <v>70</v>
      </c>
      <c r="N82" s="867">
        <f t="shared" si="14"/>
        <v>100000000</v>
      </c>
      <c r="O82" s="879">
        <f>+'Per anak'!H134</f>
        <v>0</v>
      </c>
      <c r="P82" s="874">
        <f>+Category!BN127</f>
        <v>0</v>
      </c>
      <c r="R82" s="32"/>
    </row>
    <row r="83" spans="2:21" x14ac:dyDescent="0.15">
      <c r="B83" s="545">
        <v>7</v>
      </c>
      <c r="C83" s="568" t="s">
        <v>426</v>
      </c>
      <c r="D83" s="852" t="s">
        <v>1392</v>
      </c>
      <c r="E83" s="892">
        <f>+'Per anak'!D135</f>
        <v>0</v>
      </c>
      <c r="F83" s="855">
        <f>SUMIF(Category!$C:$C,'TOTAL BANTUAN 2019-2023'!C83,Category!$J:$J)</f>
        <v>0</v>
      </c>
      <c r="G83" s="889">
        <f>+'Per anak'!E135</f>
        <v>0</v>
      </c>
      <c r="H83" s="885">
        <f>+Category!X128</f>
        <v>0</v>
      </c>
      <c r="I83" s="886">
        <f>+'Per anak'!F135</f>
        <v>31</v>
      </c>
      <c r="J83" s="884">
        <f>+Category!AL128</f>
        <v>52000000</v>
      </c>
      <c r="K83" s="879">
        <f>+'Per anak'!G135</f>
        <v>31</v>
      </c>
      <c r="L83" s="874">
        <f>+Category!AZ128</f>
        <v>138690000</v>
      </c>
      <c r="M83" s="867">
        <f t="shared" si="13"/>
        <v>62</v>
      </c>
      <c r="N83" s="867">
        <f t="shared" si="14"/>
        <v>190690000</v>
      </c>
      <c r="O83" s="879">
        <f>+'Per anak'!H135</f>
        <v>0</v>
      </c>
      <c r="P83" s="874">
        <f>+Category!BN128</f>
        <v>0</v>
      </c>
      <c r="R83" s="32"/>
    </row>
    <row r="84" spans="2:21" x14ac:dyDescent="0.15">
      <c r="B84" s="545">
        <v>8</v>
      </c>
      <c r="C84" s="568" t="s">
        <v>429</v>
      </c>
      <c r="D84" s="852" t="s">
        <v>1392</v>
      </c>
      <c r="E84" s="892">
        <f>+'Per anak'!D136</f>
        <v>0</v>
      </c>
      <c r="F84" s="855">
        <f>SUMIF(Category!$C:$C,'TOTAL BANTUAN 2019-2023'!C84,Category!$J:$J)</f>
        <v>0</v>
      </c>
      <c r="G84" s="889">
        <f>+'Per anak'!E136</f>
        <v>0</v>
      </c>
      <c r="H84" s="885">
        <f>+Category!X129</f>
        <v>0</v>
      </c>
      <c r="I84" s="886">
        <f>+'Per anak'!F136</f>
        <v>38</v>
      </c>
      <c r="J84" s="884">
        <f>+Category!AL129</f>
        <v>65000000</v>
      </c>
      <c r="K84" s="879">
        <f>+'Per anak'!G136</f>
        <v>38</v>
      </c>
      <c r="L84" s="874">
        <f>+Category!AZ129</f>
        <v>120000000</v>
      </c>
      <c r="M84" s="867">
        <f t="shared" si="13"/>
        <v>76</v>
      </c>
      <c r="N84" s="867">
        <f t="shared" si="14"/>
        <v>185000000</v>
      </c>
      <c r="O84" s="879">
        <f>+'Per anak'!H136</f>
        <v>38</v>
      </c>
      <c r="P84" s="874">
        <f>+Category!BN129</f>
        <v>20000000</v>
      </c>
      <c r="R84" s="32"/>
    </row>
    <row r="85" spans="2:21" x14ac:dyDescent="0.15">
      <c r="B85" s="545">
        <v>9</v>
      </c>
      <c r="C85" s="568" t="s">
        <v>558</v>
      </c>
      <c r="D85" s="852" t="s">
        <v>1392</v>
      </c>
      <c r="E85" s="892">
        <f>+'Per anak'!D137</f>
        <v>0</v>
      </c>
      <c r="F85" s="855">
        <f>SUMIF(Category!$C:$C,'TOTAL BANTUAN 2019-2023'!C85,Category!$J:$J)</f>
        <v>0</v>
      </c>
      <c r="G85" s="889">
        <f>+'Per anak'!E137</f>
        <v>0</v>
      </c>
      <c r="H85" s="885">
        <f>+Category!X130</f>
        <v>0</v>
      </c>
      <c r="I85" s="886">
        <f>+'Per anak'!F137</f>
        <v>40</v>
      </c>
      <c r="J85" s="884">
        <f>+Category!AL130</f>
        <v>59100000</v>
      </c>
      <c r="K85" s="879">
        <f>+'Per anak'!G137</f>
        <v>25</v>
      </c>
      <c r="L85" s="874">
        <f>+Category!AZ130</f>
        <v>89424000</v>
      </c>
      <c r="M85" s="867">
        <f t="shared" si="13"/>
        <v>65</v>
      </c>
      <c r="N85" s="867">
        <f t="shared" si="14"/>
        <v>148524000</v>
      </c>
      <c r="O85" s="879">
        <f>+'Per anak'!H137</f>
        <v>25</v>
      </c>
      <c r="P85" s="874">
        <f>+Category!BN130</f>
        <v>10962000</v>
      </c>
      <c r="R85" s="32"/>
    </row>
    <row r="86" spans="2:21" x14ac:dyDescent="0.15">
      <c r="B86" s="545"/>
      <c r="C86" s="568"/>
      <c r="D86" s="852"/>
      <c r="E86" s="894"/>
      <c r="F86" s="855"/>
      <c r="G86" s="891"/>
      <c r="H86" s="885"/>
      <c r="I86" s="888"/>
      <c r="J86" s="865"/>
      <c r="K86" s="881"/>
      <c r="L86" s="861"/>
      <c r="M86" s="867"/>
      <c r="N86" s="867"/>
      <c r="O86" s="881"/>
      <c r="P86" s="861"/>
      <c r="R86" s="32"/>
    </row>
    <row r="87" spans="2:21" ht="14.25" thickBot="1" x14ac:dyDescent="0.2">
      <c r="B87" s="546"/>
      <c r="C87" s="568"/>
      <c r="D87" s="852"/>
      <c r="E87" s="894"/>
      <c r="F87" s="855"/>
      <c r="G87" s="891"/>
      <c r="H87" s="885"/>
      <c r="I87" s="888"/>
      <c r="J87" s="884"/>
      <c r="K87" s="881"/>
      <c r="L87" s="874"/>
      <c r="M87" s="867"/>
      <c r="N87" s="867"/>
      <c r="O87" s="881"/>
      <c r="P87" s="874"/>
      <c r="R87" s="32"/>
    </row>
    <row r="88" spans="2:21" ht="14.25" thickBot="1" x14ac:dyDescent="0.2">
      <c r="B88" s="821" t="s">
        <v>1380</v>
      </c>
      <c r="C88" s="821"/>
      <c r="D88" s="850"/>
      <c r="E88" s="878">
        <f t="shared" ref="E88:N88" si="15">SUM(E89:E120)</f>
        <v>0</v>
      </c>
      <c r="F88" s="822">
        <f t="shared" si="15"/>
        <v>0</v>
      </c>
      <c r="G88" s="878">
        <f t="shared" si="15"/>
        <v>6</v>
      </c>
      <c r="H88" s="822">
        <f t="shared" si="15"/>
        <v>96880000</v>
      </c>
      <c r="I88" s="878">
        <f t="shared" si="15"/>
        <v>66</v>
      </c>
      <c r="J88" s="822">
        <f t="shared" si="15"/>
        <v>281445000</v>
      </c>
      <c r="K88" s="878">
        <f t="shared" si="15"/>
        <v>24</v>
      </c>
      <c r="L88" s="822">
        <f t="shared" si="15"/>
        <v>467315000</v>
      </c>
      <c r="M88" s="822">
        <f t="shared" si="15"/>
        <v>96</v>
      </c>
      <c r="N88" s="822">
        <f t="shared" si="15"/>
        <v>845640000</v>
      </c>
      <c r="O88" s="878">
        <f t="shared" ref="O88:P88" si="16">SUM(O89:O120)</f>
        <v>11</v>
      </c>
      <c r="P88" s="822">
        <f t="shared" si="16"/>
        <v>55000000</v>
      </c>
      <c r="R88" s="32"/>
    </row>
    <row r="89" spans="2:21" x14ac:dyDescent="0.15">
      <c r="B89" s="545">
        <v>3</v>
      </c>
      <c r="C89" s="912" t="s">
        <v>106</v>
      </c>
      <c r="D89" s="913" t="s">
        <v>1392</v>
      </c>
      <c r="E89" s="892">
        <f>+'Per anak'!D154</f>
        <v>0</v>
      </c>
      <c r="F89" s="855">
        <f>+Category!J75</f>
        <v>0</v>
      </c>
      <c r="G89" s="889">
        <f>+Category!K75</f>
        <v>6</v>
      </c>
      <c r="H89" s="859">
        <f>+Category!X75</f>
        <v>96880000</v>
      </c>
      <c r="I89" s="886">
        <f>+Category!Y75</f>
        <v>0</v>
      </c>
      <c r="J89" s="865">
        <f>+Category!AL75</f>
        <v>0</v>
      </c>
      <c r="K89" s="879">
        <f>+'Per anak'!G154</f>
        <v>0</v>
      </c>
      <c r="L89" s="861">
        <f>+Category!AZ75</f>
        <v>0</v>
      </c>
      <c r="M89" s="857">
        <f t="shared" ref="M89:M105" si="17">+E89+G89+I89+K89</f>
        <v>6</v>
      </c>
      <c r="N89" s="857">
        <f t="shared" ref="N89:N105" si="18">+F89+H89+J89+L89</f>
        <v>96880000</v>
      </c>
      <c r="O89" s="879">
        <f>+'Per anak'!H154</f>
        <v>0</v>
      </c>
      <c r="P89" s="861">
        <f>+Category!BN75</f>
        <v>0</v>
      </c>
      <c r="Q89" s="914"/>
      <c r="R89" s="914"/>
      <c r="S89" s="914"/>
      <c r="T89" s="914"/>
      <c r="U89" s="914"/>
    </row>
    <row r="90" spans="2:21" x14ac:dyDescent="0.15">
      <c r="B90" s="545">
        <v>7</v>
      </c>
      <c r="C90" s="568" t="s">
        <v>64</v>
      </c>
      <c r="D90" s="852" t="s">
        <v>1392</v>
      </c>
      <c r="E90" s="892">
        <f>+'Per anak'!D158</f>
        <v>0</v>
      </c>
      <c r="F90" s="855">
        <f>+Category!J76</f>
        <v>0</v>
      </c>
      <c r="G90" s="889">
        <f>+Category!K76</f>
        <v>0</v>
      </c>
      <c r="H90" s="859">
        <f>+Category!X76</f>
        <v>0</v>
      </c>
      <c r="I90" s="886">
        <f>+Category!Y76</f>
        <v>0</v>
      </c>
      <c r="J90" s="865">
        <f>+Category!AL76</f>
        <v>25725000</v>
      </c>
      <c r="K90" s="879">
        <f>+'Per anak'!G158</f>
        <v>0</v>
      </c>
      <c r="L90" s="861">
        <f>+Category!AZ76</f>
        <v>0</v>
      </c>
      <c r="M90" s="857">
        <f t="shared" si="17"/>
        <v>0</v>
      </c>
      <c r="N90" s="857">
        <f t="shared" si="18"/>
        <v>25725000</v>
      </c>
      <c r="O90" s="879">
        <f>+'Per anak'!H158</f>
        <v>0</v>
      </c>
      <c r="P90" s="861">
        <f>+Category!BN76</f>
        <v>0</v>
      </c>
      <c r="R90" s="32"/>
    </row>
    <row r="91" spans="2:21" x14ac:dyDescent="0.15">
      <c r="B91" s="545">
        <v>9</v>
      </c>
      <c r="C91" s="568" t="s">
        <v>633</v>
      </c>
      <c r="D91" s="852" t="s">
        <v>1392</v>
      </c>
      <c r="E91" s="892">
        <f>+'Per anak'!D160</f>
        <v>0</v>
      </c>
      <c r="F91" s="855">
        <f>+Category!J77</f>
        <v>0</v>
      </c>
      <c r="G91" s="889">
        <f>+Category!K77</f>
        <v>0</v>
      </c>
      <c r="H91" s="859">
        <f>+Category!X77</f>
        <v>0</v>
      </c>
      <c r="I91" s="886">
        <f>+Category!Y77</f>
        <v>0</v>
      </c>
      <c r="J91" s="865">
        <f>+Category!AL77</f>
        <v>35000000</v>
      </c>
      <c r="K91" s="879">
        <f>+'Per anak'!G160</f>
        <v>0</v>
      </c>
      <c r="L91" s="861">
        <f>+Category!AZ77</f>
        <v>0</v>
      </c>
      <c r="M91" s="857">
        <f t="shared" si="17"/>
        <v>0</v>
      </c>
      <c r="N91" s="857">
        <f t="shared" si="18"/>
        <v>35000000</v>
      </c>
      <c r="O91" s="879">
        <f>+'Per anak'!H159</f>
        <v>0</v>
      </c>
      <c r="P91" s="861">
        <f>+Category!BN77</f>
        <v>0</v>
      </c>
      <c r="R91" s="32"/>
    </row>
    <row r="92" spans="2:21" ht="26.25" x14ac:dyDescent="0.15">
      <c r="B92" s="545">
        <v>10</v>
      </c>
      <c r="C92" s="568" t="s">
        <v>1076</v>
      </c>
      <c r="D92" s="852" t="s">
        <v>1392</v>
      </c>
      <c r="E92" s="892">
        <f>+'Per anak'!D161</f>
        <v>0</v>
      </c>
      <c r="F92" s="855">
        <f>+Category!J78</f>
        <v>0</v>
      </c>
      <c r="G92" s="889">
        <f>+Category!K78</f>
        <v>0</v>
      </c>
      <c r="H92" s="859">
        <f>+Category!X78</f>
        <v>0</v>
      </c>
      <c r="I92" s="886">
        <f>+Category!Y78</f>
        <v>0</v>
      </c>
      <c r="J92" s="865">
        <f>+Category!AL78</f>
        <v>0</v>
      </c>
      <c r="K92" s="879">
        <f>+'Per anak'!G161</f>
        <v>0</v>
      </c>
      <c r="L92" s="861">
        <f>+Category!AZ78</f>
        <v>35000000</v>
      </c>
      <c r="M92" s="857">
        <f t="shared" si="17"/>
        <v>0</v>
      </c>
      <c r="N92" s="857">
        <f t="shared" si="18"/>
        <v>35000000</v>
      </c>
      <c r="O92" s="879">
        <f>+'Per anak'!H160</f>
        <v>0</v>
      </c>
      <c r="P92" s="861">
        <f>+Category!BN78</f>
        <v>0</v>
      </c>
      <c r="R92" s="32"/>
    </row>
    <row r="93" spans="2:21" x14ac:dyDescent="0.15">
      <c r="B93" s="545">
        <v>11</v>
      </c>
      <c r="C93" s="568" t="s">
        <v>1312</v>
      </c>
      <c r="D93" s="852" t="s">
        <v>1392</v>
      </c>
      <c r="E93" s="892">
        <f>+'Per anak'!D162</f>
        <v>0</v>
      </c>
      <c r="F93" s="855">
        <f>+Category!J79</f>
        <v>0</v>
      </c>
      <c r="G93" s="889">
        <f>+Category!K79</f>
        <v>0</v>
      </c>
      <c r="H93" s="859">
        <f>+Category!X79</f>
        <v>0</v>
      </c>
      <c r="I93" s="886">
        <f>+Category!Y79</f>
        <v>0</v>
      </c>
      <c r="J93" s="865">
        <f>+Category!AL79</f>
        <v>30720000</v>
      </c>
      <c r="K93" s="879">
        <f>+'Per anak'!G162</f>
        <v>0</v>
      </c>
      <c r="L93" s="861">
        <f>+Category!AZ79</f>
        <v>0</v>
      </c>
      <c r="M93" s="857">
        <f t="shared" si="17"/>
        <v>0</v>
      </c>
      <c r="N93" s="857">
        <f t="shared" si="18"/>
        <v>30720000</v>
      </c>
      <c r="O93" s="879">
        <f>+'Per anak'!H161</f>
        <v>0</v>
      </c>
      <c r="P93" s="861">
        <f>+Category!BN79</f>
        <v>0</v>
      </c>
      <c r="R93" s="32"/>
    </row>
    <row r="94" spans="2:21" x14ac:dyDescent="0.15">
      <c r="B94" s="545">
        <v>12</v>
      </c>
      <c r="C94" s="568" t="s">
        <v>605</v>
      </c>
      <c r="D94" s="852" t="s">
        <v>1392</v>
      </c>
      <c r="E94" s="892">
        <f>+'Per anak'!D163</f>
        <v>0</v>
      </c>
      <c r="F94" s="855">
        <f>+Category!J80</f>
        <v>0</v>
      </c>
      <c r="G94" s="889">
        <f>+Category!K80</f>
        <v>0</v>
      </c>
      <c r="H94" s="859">
        <f>+Category!X80</f>
        <v>0</v>
      </c>
      <c r="I94" s="886">
        <f>+Category!Y80</f>
        <v>0</v>
      </c>
      <c r="J94" s="865">
        <f>+Category!AL80</f>
        <v>70000000</v>
      </c>
      <c r="K94" s="879">
        <f>+'Per anak'!G163</f>
        <v>1</v>
      </c>
      <c r="L94" s="861">
        <f>+Category!AZ80</f>
        <v>0</v>
      </c>
      <c r="M94" s="857">
        <f t="shared" si="17"/>
        <v>1</v>
      </c>
      <c r="N94" s="857">
        <f t="shared" si="18"/>
        <v>70000000</v>
      </c>
      <c r="O94" s="879">
        <f>+'Per anak'!H162</f>
        <v>0</v>
      </c>
      <c r="P94" s="861">
        <f>+Category!BN80</f>
        <v>0</v>
      </c>
      <c r="R94" s="32"/>
    </row>
    <row r="95" spans="2:21" x14ac:dyDescent="0.15">
      <c r="B95" s="545">
        <v>13</v>
      </c>
      <c r="C95" s="568" t="s">
        <v>607</v>
      </c>
      <c r="D95" s="852" t="s">
        <v>1392</v>
      </c>
      <c r="E95" s="892">
        <f>+'Per anak'!D164</f>
        <v>0</v>
      </c>
      <c r="F95" s="855">
        <f>+Category!J81</f>
        <v>0</v>
      </c>
      <c r="G95" s="889">
        <f>+Category!K81</f>
        <v>0</v>
      </c>
      <c r="H95" s="859">
        <f>+Category!X81</f>
        <v>0</v>
      </c>
      <c r="I95" s="886">
        <f>+Category!Y81</f>
        <v>31</v>
      </c>
      <c r="J95" s="865">
        <f>+Category!AL81</f>
        <v>50000000</v>
      </c>
      <c r="K95" s="879">
        <f>+'Per anak'!G164</f>
        <v>1</v>
      </c>
      <c r="L95" s="861">
        <f>+Category!AZ81</f>
        <v>0</v>
      </c>
      <c r="M95" s="857">
        <f t="shared" si="17"/>
        <v>32</v>
      </c>
      <c r="N95" s="857">
        <f t="shared" si="18"/>
        <v>50000000</v>
      </c>
      <c r="O95" s="879">
        <f>+'Per anak'!H163</f>
        <v>0</v>
      </c>
      <c r="P95" s="861">
        <f>+Category!BN81</f>
        <v>0</v>
      </c>
      <c r="R95" s="32"/>
    </row>
    <row r="96" spans="2:21" x14ac:dyDescent="0.15">
      <c r="B96" s="545">
        <v>14</v>
      </c>
      <c r="C96" s="568" t="s">
        <v>634</v>
      </c>
      <c r="D96" s="852" t="s">
        <v>1392</v>
      </c>
      <c r="E96" s="892">
        <f>+'Per anak'!D165</f>
        <v>0</v>
      </c>
      <c r="F96" s="855">
        <f>+Category!J82</f>
        <v>0</v>
      </c>
      <c r="G96" s="889">
        <f>+Category!K82</f>
        <v>0</v>
      </c>
      <c r="H96" s="859">
        <f>+Category!X82</f>
        <v>0</v>
      </c>
      <c r="I96" s="886">
        <f>+Category!Y82</f>
        <v>35</v>
      </c>
      <c r="J96" s="865">
        <f>+Category!AL82</f>
        <v>35000000</v>
      </c>
      <c r="K96" s="879">
        <f>+'Per anak'!G165</f>
        <v>1</v>
      </c>
      <c r="L96" s="861">
        <f>+Category!AZ82</f>
        <v>0</v>
      </c>
      <c r="M96" s="857">
        <f t="shared" si="17"/>
        <v>36</v>
      </c>
      <c r="N96" s="857">
        <f t="shared" si="18"/>
        <v>35000000</v>
      </c>
      <c r="O96" s="879">
        <f>+'Per anak'!H164</f>
        <v>0</v>
      </c>
      <c r="P96" s="861">
        <f>+Category!BN82</f>
        <v>0</v>
      </c>
      <c r="R96" s="32"/>
    </row>
    <row r="97" spans="2:18" ht="26.25" x14ac:dyDescent="0.15">
      <c r="B97" s="545">
        <v>16</v>
      </c>
      <c r="C97" s="568" t="s">
        <v>1065</v>
      </c>
      <c r="D97" s="852" t="s">
        <v>1392</v>
      </c>
      <c r="E97" s="892">
        <f>+'Per anak'!D167</f>
        <v>0</v>
      </c>
      <c r="F97" s="855">
        <f>+Category!J83</f>
        <v>0</v>
      </c>
      <c r="G97" s="889">
        <f>+Category!K83</f>
        <v>0</v>
      </c>
      <c r="H97" s="859">
        <f>+Category!X83</f>
        <v>0</v>
      </c>
      <c r="I97" s="886">
        <f>+Category!Y83</f>
        <v>0</v>
      </c>
      <c r="J97" s="865">
        <f>+Category!AL83</f>
        <v>0</v>
      </c>
      <c r="K97" s="879">
        <f>+'Per anak'!G167</f>
        <v>1</v>
      </c>
      <c r="L97" s="861">
        <f>+Category!AZ83</f>
        <v>35000000</v>
      </c>
      <c r="M97" s="857">
        <f t="shared" si="17"/>
        <v>1</v>
      </c>
      <c r="N97" s="857">
        <f t="shared" si="18"/>
        <v>35000000</v>
      </c>
      <c r="O97" s="879">
        <f>+'Per anak'!H165</f>
        <v>0</v>
      </c>
      <c r="P97" s="861">
        <f>+Category!BN83</f>
        <v>0</v>
      </c>
      <c r="R97" s="32"/>
    </row>
    <row r="98" spans="2:18" ht="26.25" x14ac:dyDescent="0.15">
      <c r="B98" s="545">
        <v>17</v>
      </c>
      <c r="C98" s="568" t="s">
        <v>1004</v>
      </c>
      <c r="D98" s="852" t="s">
        <v>1392</v>
      </c>
      <c r="E98" s="892">
        <f>+'Per anak'!D168</f>
        <v>0</v>
      </c>
      <c r="F98" s="855">
        <f>+Category!J84</f>
        <v>0</v>
      </c>
      <c r="G98" s="889">
        <f>+Category!K84</f>
        <v>0</v>
      </c>
      <c r="H98" s="859">
        <f>+Category!X84</f>
        <v>0</v>
      </c>
      <c r="I98" s="886">
        <f>+Category!Y84</f>
        <v>0</v>
      </c>
      <c r="J98" s="865">
        <f>+Category!AL84</f>
        <v>0</v>
      </c>
      <c r="K98" s="879">
        <f>+'Per anak'!G168</f>
        <v>1</v>
      </c>
      <c r="L98" s="861">
        <f>+Category!AZ84</f>
        <v>35000000</v>
      </c>
      <c r="M98" s="857">
        <f t="shared" si="17"/>
        <v>1</v>
      </c>
      <c r="N98" s="857">
        <f t="shared" si="18"/>
        <v>35000000</v>
      </c>
      <c r="O98" s="879">
        <f>+'Per anak'!H166</f>
        <v>0</v>
      </c>
      <c r="P98" s="861">
        <f>+Category!BN84</f>
        <v>0</v>
      </c>
      <c r="R98" s="32"/>
    </row>
    <row r="99" spans="2:18" ht="26.25" x14ac:dyDescent="0.15">
      <c r="B99" s="545">
        <v>18</v>
      </c>
      <c r="C99" s="568" t="s">
        <v>1276</v>
      </c>
      <c r="D99" s="852" t="s">
        <v>1392</v>
      </c>
      <c r="E99" s="892">
        <f>+'Per anak'!D169</f>
        <v>0</v>
      </c>
      <c r="F99" s="855">
        <f>+Category!J85</f>
        <v>0</v>
      </c>
      <c r="G99" s="889">
        <f>+Category!K85</f>
        <v>0</v>
      </c>
      <c r="H99" s="859">
        <f>+Category!X85</f>
        <v>0</v>
      </c>
      <c r="I99" s="886">
        <f>+Category!Y85</f>
        <v>0</v>
      </c>
      <c r="J99" s="865">
        <f>+Category!AL85</f>
        <v>0</v>
      </c>
      <c r="K99" s="879">
        <f>+'Per anak'!G169</f>
        <v>1</v>
      </c>
      <c r="L99" s="861">
        <f>+Category!AZ85</f>
        <v>25000000</v>
      </c>
      <c r="M99" s="857">
        <f t="shared" si="17"/>
        <v>1</v>
      </c>
      <c r="N99" s="857">
        <f t="shared" si="18"/>
        <v>25000000</v>
      </c>
      <c r="O99" s="879">
        <f>+'Per anak'!H167</f>
        <v>0</v>
      </c>
      <c r="P99" s="861">
        <f>+Category!BN85</f>
        <v>0</v>
      </c>
      <c r="R99" s="32"/>
    </row>
    <row r="100" spans="2:18" ht="26.25" x14ac:dyDescent="0.15">
      <c r="B100" s="545">
        <v>19</v>
      </c>
      <c r="C100" s="568" t="s">
        <v>1280</v>
      </c>
      <c r="D100" s="852" t="s">
        <v>1392</v>
      </c>
      <c r="E100" s="892">
        <f>+'Per anak'!D170</f>
        <v>0</v>
      </c>
      <c r="F100" s="855">
        <f>+Category!J86</f>
        <v>0</v>
      </c>
      <c r="G100" s="889">
        <f>+Category!K86</f>
        <v>0</v>
      </c>
      <c r="H100" s="859">
        <f>+Category!X86</f>
        <v>0</v>
      </c>
      <c r="I100" s="886">
        <f>+Category!Y86</f>
        <v>0</v>
      </c>
      <c r="J100" s="865">
        <f>+Category!AL86</f>
        <v>0</v>
      </c>
      <c r="K100" s="879">
        <f>+'Per anak'!G170</f>
        <v>1</v>
      </c>
      <c r="L100" s="861">
        <f>+Category!AZ86</f>
        <v>40000000</v>
      </c>
      <c r="M100" s="857">
        <f t="shared" si="17"/>
        <v>1</v>
      </c>
      <c r="N100" s="857">
        <f t="shared" si="18"/>
        <v>40000000</v>
      </c>
      <c r="O100" s="879">
        <f>+'Per anak'!H168</f>
        <v>0</v>
      </c>
      <c r="P100" s="861">
        <f>+Category!BN86</f>
        <v>0</v>
      </c>
      <c r="R100" s="32"/>
    </row>
    <row r="101" spans="2:18" ht="26.25" x14ac:dyDescent="0.15">
      <c r="B101" s="545">
        <v>20</v>
      </c>
      <c r="C101" s="568" t="s">
        <v>1277</v>
      </c>
      <c r="D101" s="852" t="s">
        <v>1392</v>
      </c>
      <c r="E101" s="892">
        <f>+'Per anak'!D171</f>
        <v>0</v>
      </c>
      <c r="F101" s="855">
        <f>+Category!J87</f>
        <v>0</v>
      </c>
      <c r="G101" s="889">
        <f>+Category!K87</f>
        <v>0</v>
      </c>
      <c r="H101" s="859">
        <f>+Category!X87</f>
        <v>0</v>
      </c>
      <c r="I101" s="886">
        <f>+Category!Y87</f>
        <v>0</v>
      </c>
      <c r="J101" s="865">
        <f>+Category!AL87</f>
        <v>0</v>
      </c>
      <c r="K101" s="879">
        <f>+'Per anak'!G171</f>
        <v>1</v>
      </c>
      <c r="L101" s="861">
        <f>+Category!AZ87</f>
        <v>25000000</v>
      </c>
      <c r="M101" s="857">
        <f t="shared" si="17"/>
        <v>1</v>
      </c>
      <c r="N101" s="857">
        <f t="shared" si="18"/>
        <v>25000000</v>
      </c>
      <c r="O101" s="879">
        <f>+'Per anak'!H169</f>
        <v>0</v>
      </c>
      <c r="P101" s="861">
        <f>+Category!BN87</f>
        <v>0</v>
      </c>
      <c r="R101" s="32"/>
    </row>
    <row r="102" spans="2:18" ht="26.25" x14ac:dyDescent="0.15">
      <c r="B102" s="545">
        <v>21</v>
      </c>
      <c r="C102" s="568" t="s">
        <v>1278</v>
      </c>
      <c r="D102" s="852" t="s">
        <v>1392</v>
      </c>
      <c r="E102" s="892">
        <f>+'Per anak'!D172</f>
        <v>0</v>
      </c>
      <c r="F102" s="855">
        <f>+Category!J88</f>
        <v>0</v>
      </c>
      <c r="G102" s="889">
        <f>+Category!K88</f>
        <v>0</v>
      </c>
      <c r="H102" s="859">
        <f>+Category!X88</f>
        <v>0</v>
      </c>
      <c r="I102" s="886">
        <f>+Category!Y88</f>
        <v>0</v>
      </c>
      <c r="J102" s="865">
        <f>+Category!AL88</f>
        <v>0</v>
      </c>
      <c r="K102" s="879">
        <f>+'Per anak'!G172</f>
        <v>1</v>
      </c>
      <c r="L102" s="861">
        <f>+Category!AZ88</f>
        <v>25000000</v>
      </c>
      <c r="M102" s="857">
        <f t="shared" si="17"/>
        <v>1</v>
      </c>
      <c r="N102" s="857">
        <f t="shared" si="18"/>
        <v>25000000</v>
      </c>
      <c r="O102" s="879">
        <f>+'Per anak'!H170</f>
        <v>1</v>
      </c>
      <c r="P102" s="861">
        <f>+Category!BN88</f>
        <v>0</v>
      </c>
      <c r="R102" s="32"/>
    </row>
    <row r="103" spans="2:18" ht="26.25" x14ac:dyDescent="0.15">
      <c r="B103" s="545">
        <v>22</v>
      </c>
      <c r="C103" s="568" t="s">
        <v>1293</v>
      </c>
      <c r="D103" s="852" t="s">
        <v>1392</v>
      </c>
      <c r="E103" s="892">
        <f>+'Per anak'!D173</f>
        <v>0</v>
      </c>
      <c r="F103" s="855">
        <f>+Category!J89</f>
        <v>0</v>
      </c>
      <c r="G103" s="889">
        <f>+Category!K89</f>
        <v>0</v>
      </c>
      <c r="H103" s="859">
        <f>+Category!X89</f>
        <v>0</v>
      </c>
      <c r="I103" s="886">
        <f>+Category!Y89</f>
        <v>0</v>
      </c>
      <c r="J103" s="865">
        <f>+Category!AL89</f>
        <v>0</v>
      </c>
      <c r="K103" s="879">
        <f>+'Per anak'!G173</f>
        <v>1</v>
      </c>
      <c r="L103" s="861">
        <f>+Category!AZ89</f>
        <v>25000000</v>
      </c>
      <c r="M103" s="857">
        <f t="shared" si="17"/>
        <v>1</v>
      </c>
      <c r="N103" s="857">
        <f t="shared" si="18"/>
        <v>25000000</v>
      </c>
      <c r="O103" s="879">
        <f>+'Per anak'!H171</f>
        <v>1</v>
      </c>
      <c r="P103" s="861">
        <f>+Category!BN89</f>
        <v>0</v>
      </c>
      <c r="R103" s="32"/>
    </row>
    <row r="104" spans="2:18" ht="26.25" x14ac:dyDescent="0.15">
      <c r="B104" s="545">
        <v>23</v>
      </c>
      <c r="C104" s="568" t="s">
        <v>1302</v>
      </c>
      <c r="D104" s="852" t="s">
        <v>1392</v>
      </c>
      <c r="E104" s="892">
        <f>+'Per anak'!D174</f>
        <v>0</v>
      </c>
      <c r="F104" s="855">
        <f>+Category!J90</f>
        <v>0</v>
      </c>
      <c r="G104" s="889">
        <f>+Category!K90</f>
        <v>0</v>
      </c>
      <c r="H104" s="859">
        <f>+Category!X90</f>
        <v>0</v>
      </c>
      <c r="I104" s="886">
        <f>+Category!Y90</f>
        <v>0</v>
      </c>
      <c r="J104" s="865">
        <f>+Category!AL90</f>
        <v>0</v>
      </c>
      <c r="K104" s="879">
        <f>+'Per anak'!G174</f>
        <v>1</v>
      </c>
      <c r="L104" s="861">
        <f>+Category!AZ90</f>
        <v>50000000</v>
      </c>
      <c r="M104" s="857">
        <f t="shared" si="17"/>
        <v>1</v>
      </c>
      <c r="N104" s="857">
        <f t="shared" si="18"/>
        <v>50000000</v>
      </c>
      <c r="O104" s="879">
        <f>+'Per anak'!H172</f>
        <v>1</v>
      </c>
      <c r="P104" s="861">
        <f>+Category!BN90</f>
        <v>0</v>
      </c>
      <c r="R104" s="32"/>
    </row>
    <row r="105" spans="2:18" x14ac:dyDescent="0.15">
      <c r="B105" s="545">
        <v>24</v>
      </c>
      <c r="C105" s="568" t="s">
        <v>1303</v>
      </c>
      <c r="D105" s="852" t="s">
        <v>1392</v>
      </c>
      <c r="E105" s="892">
        <f>+'Per anak'!D175</f>
        <v>0</v>
      </c>
      <c r="F105" s="855">
        <f>+Category!J91</f>
        <v>0</v>
      </c>
      <c r="G105" s="889">
        <f>+Category!K91</f>
        <v>0</v>
      </c>
      <c r="H105" s="859">
        <f>+Category!X91</f>
        <v>0</v>
      </c>
      <c r="I105" s="886">
        <f>+Category!Y91</f>
        <v>0</v>
      </c>
      <c r="J105" s="865">
        <f>+Category!AL91</f>
        <v>0</v>
      </c>
      <c r="K105" s="879">
        <f>+'Per anak'!G175</f>
        <v>0</v>
      </c>
      <c r="L105" s="861">
        <f>+Category!AZ91</f>
        <v>25000000</v>
      </c>
      <c r="M105" s="857">
        <f t="shared" si="17"/>
        <v>0</v>
      </c>
      <c r="N105" s="857">
        <f t="shared" si="18"/>
        <v>25000000</v>
      </c>
      <c r="O105" s="879">
        <f>+'Per anak'!H173</f>
        <v>1</v>
      </c>
      <c r="P105" s="861">
        <f>+Category!BN91</f>
        <v>0</v>
      </c>
      <c r="R105" s="32"/>
    </row>
    <row r="106" spans="2:18" x14ac:dyDescent="0.15">
      <c r="B106" s="545">
        <v>25</v>
      </c>
      <c r="C106" s="568" t="s">
        <v>371</v>
      </c>
      <c r="D106" s="852"/>
      <c r="E106" s="892">
        <f>+'Per anak'!D176</f>
        <v>0</v>
      </c>
      <c r="F106" s="855">
        <f>+Category!J92</f>
        <v>0</v>
      </c>
      <c r="G106" s="889">
        <f>+Category!K92</f>
        <v>0</v>
      </c>
      <c r="H106" s="859">
        <f>+Category!X92</f>
        <v>0</v>
      </c>
      <c r="I106" s="886">
        <f>+Category!Y92</f>
        <v>0</v>
      </c>
      <c r="J106" s="865">
        <f>+Category!AL92</f>
        <v>35000000</v>
      </c>
      <c r="K106" s="879">
        <f>+'Per anak'!G176</f>
        <v>0</v>
      </c>
      <c r="L106" s="861">
        <f>+Category!AZ92</f>
        <v>0</v>
      </c>
      <c r="M106" s="857">
        <f>+E106+G106+I106+K106</f>
        <v>0</v>
      </c>
      <c r="N106" s="857">
        <f>+F106+H106+J106+L106</f>
        <v>35000000</v>
      </c>
      <c r="O106" s="879">
        <f>+'Per anak'!H174</f>
        <v>1</v>
      </c>
      <c r="P106" s="861">
        <f>+Category!BN92</f>
        <v>0</v>
      </c>
      <c r="R106" s="32"/>
    </row>
    <row r="107" spans="2:18" ht="26.25" x14ac:dyDescent="0.15">
      <c r="B107" s="545">
        <v>26</v>
      </c>
      <c r="C107" s="568" t="s">
        <v>964</v>
      </c>
      <c r="D107" s="852" t="s">
        <v>1392</v>
      </c>
      <c r="E107" s="892">
        <f>+'Per anak'!D177</f>
        <v>0</v>
      </c>
      <c r="F107" s="855">
        <f>+Category!J93</f>
        <v>0</v>
      </c>
      <c r="G107" s="889">
        <f>+Category!K93</f>
        <v>0</v>
      </c>
      <c r="H107" s="859">
        <f>+Category!X93</f>
        <v>0</v>
      </c>
      <c r="I107" s="886">
        <f>+Category!Y93</f>
        <v>0</v>
      </c>
      <c r="J107" s="865">
        <f>+Category!AL93</f>
        <v>0</v>
      </c>
      <c r="K107" s="879">
        <f>+'Per anak'!G177</f>
        <v>0</v>
      </c>
      <c r="L107" s="861">
        <f>+Category!AZ93</f>
        <v>35000000</v>
      </c>
      <c r="M107" s="857">
        <f>+E107+G107+I107+K107</f>
        <v>0</v>
      </c>
      <c r="N107" s="857">
        <f>+F107+H107+J107+L107</f>
        <v>35000000</v>
      </c>
      <c r="O107" s="879">
        <f>+'Per anak'!H175</f>
        <v>0</v>
      </c>
      <c r="P107" s="861">
        <f>+Category!BN93</f>
        <v>0</v>
      </c>
      <c r="R107" s="32"/>
    </row>
    <row r="108" spans="2:18" ht="26.25" x14ac:dyDescent="0.15">
      <c r="B108" s="545">
        <v>27</v>
      </c>
      <c r="C108" s="568" t="s">
        <v>1556</v>
      </c>
      <c r="D108" s="852"/>
      <c r="E108" s="892">
        <f>+'Per anak'!D178</f>
        <v>0</v>
      </c>
      <c r="F108" s="855">
        <f>+Category!J94</f>
        <v>0</v>
      </c>
      <c r="G108" s="889">
        <f>+Category!K94</f>
        <v>0</v>
      </c>
      <c r="H108" s="859">
        <f>+Category!X94</f>
        <v>0</v>
      </c>
      <c r="I108" s="886">
        <f>+Category!Y94</f>
        <v>0</v>
      </c>
      <c r="J108" s="865">
        <f>+Category!AL94</f>
        <v>0</v>
      </c>
      <c r="K108" s="879">
        <f>+'Per anak'!G178</f>
        <v>13</v>
      </c>
      <c r="L108" s="861">
        <f>+Category!AZ94</f>
        <v>45000000</v>
      </c>
      <c r="M108" s="857">
        <f t="shared" ref="M108:M112" si="19">+E108+G108+I108+K108</f>
        <v>13</v>
      </c>
      <c r="N108" s="857">
        <f t="shared" ref="N108:N112" si="20">+F108+H108+J108+L108</f>
        <v>45000000</v>
      </c>
      <c r="O108" s="879">
        <f>+'Per anak'!H176</f>
        <v>0</v>
      </c>
      <c r="P108" s="861">
        <f>+Category!BN94</f>
        <v>30000000</v>
      </c>
      <c r="R108" s="32"/>
    </row>
    <row r="109" spans="2:18" ht="26.25" x14ac:dyDescent="0.15">
      <c r="B109" s="545">
        <v>28</v>
      </c>
      <c r="C109" s="568" t="s">
        <v>1562</v>
      </c>
      <c r="D109" s="852"/>
      <c r="E109" s="892">
        <f>+'Per anak'!D179</f>
        <v>0</v>
      </c>
      <c r="F109" s="855">
        <f>+Category!J95</f>
        <v>0</v>
      </c>
      <c r="G109" s="889">
        <f>+Category!K95</f>
        <v>0</v>
      </c>
      <c r="H109" s="859">
        <f>+Category!X95</f>
        <v>0</v>
      </c>
      <c r="I109" s="886">
        <f>+Category!Y95</f>
        <v>0</v>
      </c>
      <c r="J109" s="865">
        <f>+Category!AL95</f>
        <v>0</v>
      </c>
      <c r="K109" s="879">
        <f>+'Per anak'!G179</f>
        <v>0</v>
      </c>
      <c r="L109" s="861">
        <f>+Category!AZ95</f>
        <v>30000000</v>
      </c>
      <c r="M109" s="857">
        <f t="shared" si="19"/>
        <v>0</v>
      </c>
      <c r="N109" s="857">
        <f t="shared" si="20"/>
        <v>30000000</v>
      </c>
      <c r="O109" s="879">
        <f>+'Per anak'!H177</f>
        <v>0</v>
      </c>
      <c r="P109" s="861">
        <f>+Category!BN95</f>
        <v>0</v>
      </c>
      <c r="R109" s="32"/>
    </row>
    <row r="110" spans="2:18" ht="26.25" x14ac:dyDescent="0.15">
      <c r="B110" s="545">
        <v>29</v>
      </c>
      <c r="C110" s="568" t="s">
        <v>1622</v>
      </c>
      <c r="D110" s="852"/>
      <c r="E110" s="892">
        <f>+'Per anak'!D180</f>
        <v>0</v>
      </c>
      <c r="F110" s="855">
        <f>+Category!J96</f>
        <v>0</v>
      </c>
      <c r="G110" s="889">
        <f>+Category!K96</f>
        <v>0</v>
      </c>
      <c r="H110" s="859">
        <f>+Category!X96</f>
        <v>0</v>
      </c>
      <c r="I110" s="886">
        <f>+Category!Y96</f>
        <v>0</v>
      </c>
      <c r="J110" s="865">
        <f>+Category!AL96</f>
        <v>0</v>
      </c>
      <c r="K110" s="879">
        <f>+'Per anak'!G180</f>
        <v>0</v>
      </c>
      <c r="L110" s="861">
        <f>+Category!AZ96</f>
        <v>30000000</v>
      </c>
      <c r="M110" s="857">
        <f t="shared" si="19"/>
        <v>0</v>
      </c>
      <c r="N110" s="857">
        <f t="shared" si="20"/>
        <v>30000000</v>
      </c>
      <c r="O110" s="879">
        <f>+'Per anak'!H178</f>
        <v>6</v>
      </c>
      <c r="P110" s="861">
        <f>+Category!BN96</f>
        <v>0</v>
      </c>
      <c r="R110" s="32"/>
    </row>
    <row r="111" spans="2:18" ht="26.25" x14ac:dyDescent="0.15">
      <c r="B111" s="545">
        <v>30</v>
      </c>
      <c r="C111" s="568" t="s">
        <v>1705</v>
      </c>
      <c r="D111" s="852"/>
      <c r="E111" s="892">
        <f>+'Per anak'!D181</f>
        <v>0</v>
      </c>
      <c r="F111" s="855">
        <f>+Category!J97</f>
        <v>0</v>
      </c>
      <c r="G111" s="889">
        <f>+Category!K97</f>
        <v>0</v>
      </c>
      <c r="H111" s="859">
        <f>+Category!X97</f>
        <v>0</v>
      </c>
      <c r="I111" s="886">
        <f>+Category!Y97</f>
        <v>0</v>
      </c>
      <c r="J111" s="865">
        <f>+Category!AL97</f>
        <v>0</v>
      </c>
      <c r="K111" s="879">
        <f>+'Per anak'!G181</f>
        <v>0</v>
      </c>
      <c r="L111" s="861">
        <f>+Category!AZ97</f>
        <v>7315000</v>
      </c>
      <c r="M111" s="857">
        <f t="shared" si="19"/>
        <v>0</v>
      </c>
      <c r="N111" s="857">
        <f t="shared" si="20"/>
        <v>7315000</v>
      </c>
      <c r="O111" s="879">
        <f>+'Per anak'!H179</f>
        <v>0</v>
      </c>
      <c r="P111" s="861">
        <f>+Category!BN97</f>
        <v>0</v>
      </c>
      <c r="R111" s="32"/>
    </row>
    <row r="112" spans="2:18" x14ac:dyDescent="0.15">
      <c r="B112" s="545">
        <v>31</v>
      </c>
      <c r="C112" s="568" t="s">
        <v>2099</v>
      </c>
      <c r="D112" s="852"/>
      <c r="E112" s="892">
        <f>+'Per anak'!D182</f>
        <v>0</v>
      </c>
      <c r="F112" s="855">
        <f>+Category!J98</f>
        <v>0</v>
      </c>
      <c r="G112" s="889">
        <f>+Category!K98</f>
        <v>0</v>
      </c>
      <c r="H112" s="859">
        <f>+Category!X98</f>
        <v>0</v>
      </c>
      <c r="I112" s="886">
        <f>+Category!Y98</f>
        <v>0</v>
      </c>
      <c r="J112" s="865">
        <f>+Category!AL98</f>
        <v>0</v>
      </c>
      <c r="K112" s="879">
        <f>+'Per anak'!G182</f>
        <v>0</v>
      </c>
      <c r="L112" s="861">
        <f>+Category!AZ98</f>
        <v>0</v>
      </c>
      <c r="M112" s="857">
        <f t="shared" si="19"/>
        <v>0</v>
      </c>
      <c r="N112" s="857">
        <f t="shared" si="20"/>
        <v>0</v>
      </c>
      <c r="O112" s="879">
        <f>+'Per anak'!H180</f>
        <v>0</v>
      </c>
      <c r="P112" s="861">
        <f>+Category!BN98</f>
        <v>25000000</v>
      </c>
      <c r="R112" s="32"/>
    </row>
    <row r="113" spans="2:20" x14ac:dyDescent="0.15">
      <c r="B113" s="545"/>
      <c r="C113" s="568"/>
      <c r="D113" s="852"/>
      <c r="E113" s="894"/>
      <c r="F113" s="855"/>
      <c r="G113" s="891"/>
      <c r="H113" s="885"/>
      <c r="I113" s="888"/>
      <c r="J113" s="884"/>
      <c r="K113" s="881"/>
      <c r="L113" s="874"/>
      <c r="M113" s="867"/>
      <c r="N113" s="867"/>
      <c r="O113" s="881"/>
      <c r="P113" s="874"/>
      <c r="R113" s="32"/>
    </row>
    <row r="114" spans="2:20" x14ac:dyDescent="0.15">
      <c r="B114" s="545"/>
      <c r="C114" s="568"/>
      <c r="D114" s="852"/>
      <c r="E114" s="894"/>
      <c r="F114" s="855"/>
      <c r="G114" s="891"/>
      <c r="H114" s="885"/>
      <c r="I114" s="888"/>
      <c r="J114" s="884"/>
      <c r="K114" s="881"/>
      <c r="L114" s="874"/>
      <c r="M114" s="867"/>
      <c r="N114" s="867"/>
      <c r="O114" s="881"/>
      <c r="P114" s="874"/>
      <c r="R114" s="32"/>
    </row>
    <row r="115" spans="2:20" x14ac:dyDescent="0.15">
      <c r="B115" s="545"/>
      <c r="C115" s="568"/>
      <c r="D115" s="852"/>
      <c r="E115" s="894"/>
      <c r="F115" s="855"/>
      <c r="G115" s="891"/>
      <c r="H115" s="885"/>
      <c r="I115" s="888"/>
      <c r="J115" s="884"/>
      <c r="K115" s="881"/>
      <c r="L115" s="874"/>
      <c r="M115" s="867"/>
      <c r="N115" s="867"/>
      <c r="O115" s="881"/>
      <c r="P115" s="874"/>
      <c r="R115" s="32"/>
    </row>
    <row r="116" spans="2:20" x14ac:dyDescent="0.15">
      <c r="B116" s="545"/>
      <c r="C116" s="568"/>
      <c r="D116" s="852"/>
      <c r="E116" s="894"/>
      <c r="F116" s="855"/>
      <c r="G116" s="891"/>
      <c r="H116" s="885"/>
      <c r="I116" s="888"/>
      <c r="J116" s="884"/>
      <c r="K116" s="881"/>
      <c r="L116" s="874"/>
      <c r="M116" s="867"/>
      <c r="N116" s="867"/>
      <c r="O116" s="881"/>
      <c r="P116" s="874"/>
      <c r="R116" s="32"/>
    </row>
    <row r="117" spans="2:20" x14ac:dyDescent="0.15">
      <c r="B117" s="545"/>
      <c r="C117" s="568"/>
      <c r="D117" s="852"/>
      <c r="E117" s="894"/>
      <c r="F117" s="855"/>
      <c r="G117" s="891"/>
      <c r="H117" s="885"/>
      <c r="I117" s="888"/>
      <c r="J117" s="884"/>
      <c r="K117" s="881"/>
      <c r="L117" s="874"/>
      <c r="M117" s="867"/>
      <c r="N117" s="867"/>
      <c r="O117" s="881"/>
      <c r="P117" s="874"/>
      <c r="R117" s="32"/>
    </row>
    <row r="118" spans="2:20" x14ac:dyDescent="0.15">
      <c r="B118" s="545"/>
      <c r="C118" s="568"/>
      <c r="D118" s="852"/>
      <c r="E118" s="894"/>
      <c r="F118" s="855"/>
      <c r="G118" s="891"/>
      <c r="H118" s="885"/>
      <c r="I118" s="888"/>
      <c r="J118" s="884"/>
      <c r="K118" s="881"/>
      <c r="L118" s="874"/>
      <c r="M118" s="867"/>
      <c r="N118" s="867"/>
      <c r="O118" s="881"/>
      <c r="P118" s="874"/>
      <c r="R118" s="32"/>
    </row>
    <row r="119" spans="2:20" x14ac:dyDescent="0.15">
      <c r="B119" s="545"/>
      <c r="C119" s="568"/>
      <c r="D119" s="852"/>
      <c r="E119" s="894"/>
      <c r="F119" s="855"/>
      <c r="G119" s="891"/>
      <c r="H119" s="885"/>
      <c r="I119" s="888"/>
      <c r="J119" s="884"/>
      <c r="K119" s="881"/>
      <c r="L119" s="874"/>
      <c r="M119" s="867"/>
      <c r="N119" s="867"/>
      <c r="O119" s="881"/>
      <c r="P119" s="874"/>
      <c r="R119" s="32"/>
    </row>
    <row r="120" spans="2:20" ht="14.25" thickBot="1" x14ac:dyDescent="0.2">
      <c r="B120" s="545"/>
      <c r="C120" s="568"/>
      <c r="D120" s="852"/>
      <c r="E120" s="893"/>
      <c r="F120" s="856"/>
      <c r="G120" s="890"/>
      <c r="H120" s="860"/>
      <c r="I120" s="887"/>
      <c r="J120" s="866"/>
      <c r="K120" s="880"/>
      <c r="L120" s="862"/>
      <c r="M120" s="858"/>
      <c r="N120" s="858"/>
      <c r="O120" s="880"/>
      <c r="P120" s="862"/>
      <c r="R120" s="32"/>
    </row>
    <row r="121" spans="2:20" ht="15.75" customHeight="1" thickBot="1" x14ac:dyDescent="0.2">
      <c r="B121" s="1067" t="s">
        <v>1379</v>
      </c>
      <c r="C121" s="1068"/>
      <c r="D121" s="1069"/>
      <c r="E121" s="882">
        <f t="shared" ref="E121:N121" si="21">SUM(E122:E165)</f>
        <v>34</v>
      </c>
      <c r="F121" s="875">
        <f t="shared" si="21"/>
        <v>272215151</v>
      </c>
      <c r="G121" s="882">
        <f t="shared" si="21"/>
        <v>36</v>
      </c>
      <c r="H121" s="875">
        <f t="shared" si="21"/>
        <v>130816986</v>
      </c>
      <c r="I121" s="882">
        <f t="shared" si="21"/>
        <v>114</v>
      </c>
      <c r="J121" s="875">
        <f t="shared" si="21"/>
        <v>753072024</v>
      </c>
      <c r="K121" s="882">
        <f t="shared" si="21"/>
        <v>80</v>
      </c>
      <c r="L121" s="875">
        <f t="shared" si="21"/>
        <v>1281151674</v>
      </c>
      <c r="M121" s="875">
        <f t="shared" si="21"/>
        <v>264</v>
      </c>
      <c r="N121" s="875">
        <f t="shared" si="21"/>
        <v>2437255835</v>
      </c>
      <c r="O121" s="882">
        <f>SUM(O122:O165)</f>
        <v>62</v>
      </c>
      <c r="P121" s="875">
        <f>SUM(P122:P168)</f>
        <v>165650432</v>
      </c>
      <c r="R121" s="32"/>
      <c r="T121" s="547"/>
    </row>
    <row r="122" spans="2:20" x14ac:dyDescent="0.15">
      <c r="B122" s="544">
        <v>1</v>
      </c>
      <c r="C122" s="567" t="s">
        <v>25</v>
      </c>
      <c r="D122" s="852" t="s">
        <v>1392</v>
      </c>
      <c r="E122" s="894">
        <v>0</v>
      </c>
      <c r="F122" s="855">
        <v>0</v>
      </c>
      <c r="G122" s="891">
        <v>1</v>
      </c>
      <c r="H122" s="885">
        <v>35000000</v>
      </c>
      <c r="I122" s="888">
        <v>0</v>
      </c>
      <c r="J122" s="884">
        <v>0</v>
      </c>
      <c r="K122" s="881">
        <v>0</v>
      </c>
      <c r="L122" s="874">
        <v>0</v>
      </c>
      <c r="M122" s="857">
        <f>+E122+G122+I122+K122</f>
        <v>1</v>
      </c>
      <c r="N122" s="857">
        <f>+F122+H122+J122+L122</f>
        <v>35000000</v>
      </c>
      <c r="O122" s="881">
        <f>+Category!BA135</f>
        <v>0</v>
      </c>
      <c r="P122" s="874">
        <f>+Category!BN135</f>
        <v>0</v>
      </c>
      <c r="R122" s="32"/>
      <c r="T122" s="549"/>
    </row>
    <row r="123" spans="2:20" x14ac:dyDescent="0.15">
      <c r="B123" s="545">
        <v>2</v>
      </c>
      <c r="C123" s="568" t="s">
        <v>132</v>
      </c>
      <c r="D123" s="852" t="s">
        <v>1392</v>
      </c>
      <c r="E123" s="894">
        <v>0</v>
      </c>
      <c r="F123" s="855">
        <v>0</v>
      </c>
      <c r="G123" s="891">
        <v>1</v>
      </c>
      <c r="H123" s="885">
        <v>5000000</v>
      </c>
      <c r="I123" s="888">
        <v>0</v>
      </c>
      <c r="J123" s="884">
        <v>0</v>
      </c>
      <c r="K123" s="881">
        <v>0</v>
      </c>
      <c r="L123" s="874">
        <v>0</v>
      </c>
      <c r="M123" s="857">
        <f>+E123+G123+I123+K123</f>
        <v>1</v>
      </c>
      <c r="N123" s="857">
        <f>+F123+H123+J123+L123</f>
        <v>5000000</v>
      </c>
      <c r="O123" s="881">
        <f>+Category!BA136</f>
        <v>0</v>
      </c>
      <c r="P123" s="874">
        <f>+Category!BN136</f>
        <v>0</v>
      </c>
      <c r="R123" s="32"/>
    </row>
    <row r="124" spans="2:20" x14ac:dyDescent="0.15">
      <c r="B124" s="545">
        <v>4</v>
      </c>
      <c r="C124" s="568" t="s">
        <v>48</v>
      </c>
      <c r="D124" s="852" t="s">
        <v>1392</v>
      </c>
      <c r="E124" s="894">
        <v>32</v>
      </c>
      <c r="F124" s="855">
        <v>0</v>
      </c>
      <c r="G124" s="891">
        <v>32</v>
      </c>
      <c r="H124" s="885">
        <v>0</v>
      </c>
      <c r="I124" s="888">
        <v>32</v>
      </c>
      <c r="J124" s="884">
        <v>3580500</v>
      </c>
      <c r="K124" s="881">
        <v>39</v>
      </c>
      <c r="L124" s="874">
        <v>0</v>
      </c>
      <c r="M124" s="857">
        <f t="shared" ref="M124:M147" si="22">+E124+G124+I124+K124</f>
        <v>135</v>
      </c>
      <c r="N124" s="857">
        <f t="shared" ref="N124:N147" si="23">+F124+H124+J124+L124</f>
        <v>3580500</v>
      </c>
      <c r="O124" s="881">
        <f>+Category!BA137</f>
        <v>47</v>
      </c>
      <c r="P124" s="874">
        <f>+Category!BN137</f>
        <v>0</v>
      </c>
      <c r="R124" s="32"/>
    </row>
    <row r="125" spans="2:20" x14ac:dyDescent="0.15">
      <c r="B125" s="545">
        <v>5</v>
      </c>
      <c r="C125" s="568" t="s">
        <v>335</v>
      </c>
      <c r="D125" s="852" t="s">
        <v>1392</v>
      </c>
      <c r="E125" s="894">
        <v>0</v>
      </c>
      <c r="F125" s="855">
        <v>0</v>
      </c>
      <c r="G125" s="891">
        <v>0</v>
      </c>
      <c r="H125" s="885">
        <v>0</v>
      </c>
      <c r="I125" s="888">
        <v>0</v>
      </c>
      <c r="J125" s="884">
        <v>35000000</v>
      </c>
      <c r="K125" s="881">
        <v>0</v>
      </c>
      <c r="L125" s="874">
        <v>0</v>
      </c>
      <c r="M125" s="857">
        <f t="shared" si="22"/>
        <v>0</v>
      </c>
      <c r="N125" s="857">
        <f t="shared" si="23"/>
        <v>35000000</v>
      </c>
      <c r="O125" s="881">
        <f>+Category!BA138</f>
        <v>0</v>
      </c>
      <c r="P125" s="874">
        <f>+Category!BN138</f>
        <v>0</v>
      </c>
      <c r="R125" s="32"/>
    </row>
    <row r="126" spans="2:20" x14ac:dyDescent="0.15">
      <c r="B126" s="545">
        <v>6</v>
      </c>
      <c r="C126" s="568" t="s">
        <v>338</v>
      </c>
      <c r="D126" s="852" t="s">
        <v>1392</v>
      </c>
      <c r="E126" s="894">
        <v>0</v>
      </c>
      <c r="F126" s="855">
        <v>0</v>
      </c>
      <c r="G126" s="891">
        <v>0</v>
      </c>
      <c r="H126" s="885">
        <v>0</v>
      </c>
      <c r="I126" s="888">
        <v>0</v>
      </c>
      <c r="J126" s="884">
        <v>35000024</v>
      </c>
      <c r="K126" s="881">
        <v>0</v>
      </c>
      <c r="L126" s="874">
        <v>0</v>
      </c>
      <c r="M126" s="857">
        <f t="shared" si="22"/>
        <v>0</v>
      </c>
      <c r="N126" s="857">
        <f t="shared" si="23"/>
        <v>35000024</v>
      </c>
      <c r="O126" s="881">
        <f>+Category!BA139</f>
        <v>0</v>
      </c>
      <c r="P126" s="874">
        <f>+Category!BN139</f>
        <v>0</v>
      </c>
      <c r="R126" s="32"/>
    </row>
    <row r="127" spans="2:20" x14ac:dyDescent="0.15">
      <c r="B127" s="545">
        <v>7</v>
      </c>
      <c r="C127" s="568" t="s">
        <v>348</v>
      </c>
      <c r="D127" s="852" t="s">
        <v>1392</v>
      </c>
      <c r="E127" s="894">
        <v>0</v>
      </c>
      <c r="F127" s="855">
        <v>0</v>
      </c>
      <c r="G127" s="891">
        <v>0</v>
      </c>
      <c r="H127" s="885">
        <v>0</v>
      </c>
      <c r="I127" s="888">
        <v>0</v>
      </c>
      <c r="J127" s="884">
        <v>95000000</v>
      </c>
      <c r="K127" s="881">
        <v>0</v>
      </c>
      <c r="L127" s="874">
        <v>0</v>
      </c>
      <c r="M127" s="857">
        <f t="shared" si="22"/>
        <v>0</v>
      </c>
      <c r="N127" s="857">
        <f t="shared" si="23"/>
        <v>95000000</v>
      </c>
      <c r="O127" s="881">
        <f>+Category!BA140</f>
        <v>0</v>
      </c>
      <c r="P127" s="874">
        <f>+Category!BN140</f>
        <v>0</v>
      </c>
      <c r="R127" s="32"/>
    </row>
    <row r="128" spans="2:20" x14ac:dyDescent="0.15">
      <c r="B128" s="545">
        <v>8</v>
      </c>
      <c r="C128" s="568" t="s">
        <v>386</v>
      </c>
      <c r="D128" s="852" t="s">
        <v>1392</v>
      </c>
      <c r="E128" s="894">
        <v>0</v>
      </c>
      <c r="F128" s="855">
        <v>0</v>
      </c>
      <c r="G128" s="891">
        <v>0</v>
      </c>
      <c r="H128" s="885">
        <v>0</v>
      </c>
      <c r="I128" s="888">
        <v>63</v>
      </c>
      <c r="J128" s="884">
        <v>10000000</v>
      </c>
      <c r="K128" s="881">
        <v>0</v>
      </c>
      <c r="L128" s="874">
        <v>0</v>
      </c>
      <c r="M128" s="857">
        <f t="shared" si="22"/>
        <v>63</v>
      </c>
      <c r="N128" s="857">
        <f t="shared" si="23"/>
        <v>10000000</v>
      </c>
      <c r="O128" s="881">
        <f>+Category!BA141</f>
        <v>0</v>
      </c>
      <c r="P128" s="874">
        <f>+Category!BN141</f>
        <v>0</v>
      </c>
      <c r="R128" s="32"/>
    </row>
    <row r="129" spans="2:18" x14ac:dyDescent="0.15">
      <c r="B129" s="545">
        <v>9</v>
      </c>
      <c r="C129" s="568" t="s">
        <v>910</v>
      </c>
      <c r="D129" s="852" t="s">
        <v>1392</v>
      </c>
      <c r="E129" s="894">
        <v>0</v>
      </c>
      <c r="F129" s="855">
        <v>0</v>
      </c>
      <c r="G129" s="891">
        <v>0</v>
      </c>
      <c r="H129" s="885">
        <v>0</v>
      </c>
      <c r="I129" s="888">
        <v>0</v>
      </c>
      <c r="J129" s="884">
        <v>6000000</v>
      </c>
      <c r="K129" s="881">
        <v>0</v>
      </c>
      <c r="L129" s="874">
        <v>0</v>
      </c>
      <c r="M129" s="857">
        <f t="shared" si="22"/>
        <v>0</v>
      </c>
      <c r="N129" s="857">
        <f t="shared" si="23"/>
        <v>6000000</v>
      </c>
      <c r="O129" s="881">
        <f>+Category!BA142</f>
        <v>0</v>
      </c>
      <c r="P129" s="874">
        <f>+Category!BN142</f>
        <v>0</v>
      </c>
      <c r="R129" s="32"/>
    </row>
    <row r="130" spans="2:18" x14ac:dyDescent="0.15">
      <c r="B130" s="545">
        <v>10</v>
      </c>
      <c r="C130" s="568" t="s">
        <v>911</v>
      </c>
      <c r="D130" s="852" t="s">
        <v>1392</v>
      </c>
      <c r="E130" s="894">
        <v>0</v>
      </c>
      <c r="F130" s="855">
        <v>0</v>
      </c>
      <c r="G130" s="891">
        <v>0</v>
      </c>
      <c r="H130" s="885">
        <v>0</v>
      </c>
      <c r="I130" s="888">
        <v>0</v>
      </c>
      <c r="J130" s="884">
        <v>6000000</v>
      </c>
      <c r="K130" s="881">
        <v>0</v>
      </c>
      <c r="L130" s="874">
        <v>0</v>
      </c>
      <c r="M130" s="857">
        <f t="shared" si="22"/>
        <v>0</v>
      </c>
      <c r="N130" s="857">
        <f t="shared" si="23"/>
        <v>6000000</v>
      </c>
      <c r="O130" s="881">
        <f>+Category!BA143</f>
        <v>0</v>
      </c>
      <c r="P130" s="874">
        <f>+Category!BN143</f>
        <v>0</v>
      </c>
      <c r="R130" s="32"/>
    </row>
    <row r="131" spans="2:18" x14ac:dyDescent="0.15">
      <c r="B131" s="545">
        <v>11</v>
      </c>
      <c r="C131" s="568" t="s">
        <v>912</v>
      </c>
      <c r="D131" s="852" t="s">
        <v>1392</v>
      </c>
      <c r="E131" s="894">
        <v>0</v>
      </c>
      <c r="F131" s="855">
        <v>0</v>
      </c>
      <c r="G131" s="891">
        <v>0</v>
      </c>
      <c r="H131" s="885">
        <v>0</v>
      </c>
      <c r="I131" s="888">
        <v>0</v>
      </c>
      <c r="J131" s="884">
        <v>6000000</v>
      </c>
      <c r="K131" s="881">
        <v>0</v>
      </c>
      <c r="L131" s="874">
        <v>0</v>
      </c>
      <c r="M131" s="857">
        <f t="shared" si="22"/>
        <v>0</v>
      </c>
      <c r="N131" s="857">
        <f t="shared" si="23"/>
        <v>6000000</v>
      </c>
      <c r="O131" s="881">
        <f>+Category!BA144</f>
        <v>0</v>
      </c>
      <c r="P131" s="874">
        <f>+Category!BN144</f>
        <v>0</v>
      </c>
      <c r="R131" s="32"/>
    </row>
    <row r="132" spans="2:18" ht="15.75" x14ac:dyDescent="0.15">
      <c r="B132" s="545">
        <v>12</v>
      </c>
      <c r="C132" s="898" t="s">
        <v>1400</v>
      </c>
      <c r="D132" s="852" t="s">
        <v>1392</v>
      </c>
      <c r="E132" s="894">
        <v>0</v>
      </c>
      <c r="F132" s="855">
        <v>0</v>
      </c>
      <c r="G132" s="891">
        <v>0</v>
      </c>
      <c r="H132" s="885">
        <v>0</v>
      </c>
      <c r="I132" s="888">
        <v>14</v>
      </c>
      <c r="J132" s="884">
        <v>64000000</v>
      </c>
      <c r="K132" s="881">
        <v>17</v>
      </c>
      <c r="L132" s="874">
        <v>138750000</v>
      </c>
      <c r="M132" s="857">
        <f t="shared" si="22"/>
        <v>31</v>
      </c>
      <c r="N132" s="857">
        <f t="shared" si="23"/>
        <v>202750000</v>
      </c>
      <c r="O132" s="881">
        <f>+Category!BA145</f>
        <v>1</v>
      </c>
      <c r="P132" s="874">
        <f>SUM(Category!BN145:BN162)</f>
        <v>36500000</v>
      </c>
      <c r="R132" s="32"/>
    </row>
    <row r="133" spans="2:18" x14ac:dyDescent="0.15">
      <c r="B133" s="545">
        <v>13</v>
      </c>
      <c r="C133" s="568" t="s">
        <v>496</v>
      </c>
      <c r="D133" s="852" t="s">
        <v>1392</v>
      </c>
      <c r="E133" s="894">
        <v>0</v>
      </c>
      <c r="F133" s="855">
        <v>0</v>
      </c>
      <c r="G133" s="891">
        <v>0</v>
      </c>
      <c r="H133" s="885">
        <v>0</v>
      </c>
      <c r="I133" s="888">
        <v>0</v>
      </c>
      <c r="J133" s="884">
        <v>125000000</v>
      </c>
      <c r="K133" s="881">
        <v>0</v>
      </c>
      <c r="L133" s="874">
        <v>0</v>
      </c>
      <c r="M133" s="857">
        <f t="shared" si="22"/>
        <v>0</v>
      </c>
      <c r="N133" s="857">
        <f t="shared" si="23"/>
        <v>125000000</v>
      </c>
      <c r="O133" s="881">
        <f>+Category!BA146</f>
        <v>1</v>
      </c>
      <c r="P133" s="874">
        <f>+Category!BN163</f>
        <v>0</v>
      </c>
      <c r="R133" s="32"/>
    </row>
    <row r="134" spans="2:18" x14ac:dyDescent="0.15">
      <c r="B134" s="545">
        <v>14</v>
      </c>
      <c r="C134" s="568" t="s">
        <v>560</v>
      </c>
      <c r="D134" s="852" t="s">
        <v>1392</v>
      </c>
      <c r="E134" s="894">
        <v>0</v>
      </c>
      <c r="F134" s="855">
        <v>0</v>
      </c>
      <c r="G134" s="891">
        <v>0</v>
      </c>
      <c r="H134" s="885">
        <v>0</v>
      </c>
      <c r="I134" s="888">
        <v>0</v>
      </c>
      <c r="J134" s="884">
        <v>25000000</v>
      </c>
      <c r="K134" s="881">
        <v>0</v>
      </c>
      <c r="L134" s="874">
        <v>0</v>
      </c>
      <c r="M134" s="857">
        <f t="shared" si="22"/>
        <v>0</v>
      </c>
      <c r="N134" s="857">
        <f t="shared" si="23"/>
        <v>25000000</v>
      </c>
      <c r="O134" s="881">
        <f>+Category!BA147</f>
        <v>1</v>
      </c>
      <c r="P134" s="874">
        <f>+Category!BN164</f>
        <v>0</v>
      </c>
      <c r="R134" s="32"/>
    </row>
    <row r="135" spans="2:18" x14ac:dyDescent="0.15">
      <c r="B135" s="545">
        <v>15</v>
      </c>
      <c r="C135" s="568" t="s">
        <v>568</v>
      </c>
      <c r="D135" s="852" t="s">
        <v>1392</v>
      </c>
      <c r="E135" s="894">
        <v>0</v>
      </c>
      <c r="F135" s="855">
        <v>0</v>
      </c>
      <c r="G135" s="891">
        <v>0</v>
      </c>
      <c r="H135" s="885">
        <v>0</v>
      </c>
      <c r="I135" s="888">
        <v>0</v>
      </c>
      <c r="J135" s="884">
        <v>3599000</v>
      </c>
      <c r="K135" s="881">
        <v>0</v>
      </c>
      <c r="L135" s="874">
        <v>0</v>
      </c>
      <c r="M135" s="857">
        <f t="shared" si="22"/>
        <v>0</v>
      </c>
      <c r="N135" s="857">
        <f t="shared" si="23"/>
        <v>3599000</v>
      </c>
      <c r="O135" s="881">
        <f>+Category!BA148</f>
        <v>1</v>
      </c>
      <c r="P135" s="874">
        <f>+Category!BN165</f>
        <v>0</v>
      </c>
      <c r="R135" s="32"/>
    </row>
    <row r="136" spans="2:18" x14ac:dyDescent="0.15">
      <c r="B136" s="545">
        <v>16</v>
      </c>
      <c r="C136" s="568" t="s">
        <v>573</v>
      </c>
      <c r="D136" s="852" t="s">
        <v>1392</v>
      </c>
      <c r="E136" s="894">
        <v>0</v>
      </c>
      <c r="F136" s="855">
        <v>0</v>
      </c>
      <c r="G136" s="891">
        <v>0</v>
      </c>
      <c r="H136" s="885">
        <v>0</v>
      </c>
      <c r="I136" s="888">
        <v>0</v>
      </c>
      <c r="J136" s="884">
        <v>20307500</v>
      </c>
      <c r="K136" s="881">
        <v>0</v>
      </c>
      <c r="L136" s="874">
        <v>0</v>
      </c>
      <c r="M136" s="857">
        <f t="shared" si="22"/>
        <v>0</v>
      </c>
      <c r="N136" s="857">
        <f t="shared" si="23"/>
        <v>20307500</v>
      </c>
      <c r="O136" s="881">
        <f>+Category!BA149</f>
        <v>1</v>
      </c>
      <c r="P136" s="874">
        <f>+Category!BN166</f>
        <v>0</v>
      </c>
      <c r="R136" s="32"/>
    </row>
    <row r="137" spans="2:18" x14ac:dyDescent="0.15">
      <c r="B137" s="545">
        <v>17</v>
      </c>
      <c r="C137" s="568" t="s">
        <v>602</v>
      </c>
      <c r="D137" s="852" t="s">
        <v>1392</v>
      </c>
      <c r="E137" s="894">
        <v>0</v>
      </c>
      <c r="F137" s="855">
        <v>0</v>
      </c>
      <c r="G137" s="891">
        <v>0</v>
      </c>
      <c r="H137" s="885">
        <v>0</v>
      </c>
      <c r="I137" s="888">
        <v>0</v>
      </c>
      <c r="J137" s="884">
        <v>30000000</v>
      </c>
      <c r="K137" s="881">
        <v>0</v>
      </c>
      <c r="L137" s="874">
        <v>0</v>
      </c>
      <c r="M137" s="857">
        <f t="shared" si="22"/>
        <v>0</v>
      </c>
      <c r="N137" s="857">
        <f t="shared" si="23"/>
        <v>30000000</v>
      </c>
      <c r="O137" s="881">
        <f>+Category!BA150</f>
        <v>1</v>
      </c>
      <c r="P137" s="874">
        <f>+Category!BN167</f>
        <v>0</v>
      </c>
      <c r="R137" s="32"/>
    </row>
    <row r="138" spans="2:18" x14ac:dyDescent="0.15">
      <c r="B138" s="545">
        <v>18</v>
      </c>
      <c r="C138" s="568" t="s">
        <v>625</v>
      </c>
      <c r="D138" s="852" t="s">
        <v>1392</v>
      </c>
      <c r="E138" s="894">
        <v>0</v>
      </c>
      <c r="F138" s="855">
        <v>0</v>
      </c>
      <c r="G138" s="891">
        <v>0</v>
      </c>
      <c r="H138" s="885">
        <v>0</v>
      </c>
      <c r="I138" s="888">
        <v>0</v>
      </c>
      <c r="J138" s="884">
        <v>2251800</v>
      </c>
      <c r="K138" s="881">
        <v>0</v>
      </c>
      <c r="L138" s="874">
        <v>0</v>
      </c>
      <c r="M138" s="857">
        <f t="shared" si="22"/>
        <v>0</v>
      </c>
      <c r="N138" s="857">
        <f t="shared" si="23"/>
        <v>2251800</v>
      </c>
      <c r="O138" s="881">
        <f>+Category!BA151</f>
        <v>1</v>
      </c>
      <c r="P138" s="874">
        <f>+Category!BN168</f>
        <v>0</v>
      </c>
      <c r="R138" s="32"/>
    </row>
    <row r="139" spans="2:18" x14ac:dyDescent="0.15">
      <c r="B139" s="545">
        <v>19</v>
      </c>
      <c r="C139" s="568" t="s">
        <v>627</v>
      </c>
      <c r="D139" s="852" t="s">
        <v>1392</v>
      </c>
      <c r="E139" s="894">
        <v>0</v>
      </c>
      <c r="F139" s="855">
        <v>0</v>
      </c>
      <c r="G139" s="891">
        <v>0</v>
      </c>
      <c r="H139" s="885">
        <v>0</v>
      </c>
      <c r="I139" s="888">
        <v>0</v>
      </c>
      <c r="J139" s="884">
        <v>33750000</v>
      </c>
      <c r="K139" s="881">
        <v>0</v>
      </c>
      <c r="L139" s="874">
        <v>0</v>
      </c>
      <c r="M139" s="857">
        <f t="shared" si="22"/>
        <v>0</v>
      </c>
      <c r="N139" s="857">
        <f t="shared" si="23"/>
        <v>33750000</v>
      </c>
      <c r="O139" s="881">
        <f>+Category!BA152</f>
        <v>1</v>
      </c>
      <c r="P139" s="874">
        <f>+Category!BN169</f>
        <v>0</v>
      </c>
      <c r="R139" s="32"/>
    </row>
    <row r="140" spans="2:18" x14ac:dyDescent="0.15">
      <c r="B140" s="545">
        <v>20</v>
      </c>
      <c r="C140" s="568" t="s">
        <v>704</v>
      </c>
      <c r="D140" s="852" t="s">
        <v>1392</v>
      </c>
      <c r="E140" s="894">
        <v>0</v>
      </c>
      <c r="F140" s="855">
        <v>0</v>
      </c>
      <c r="G140" s="891">
        <v>0</v>
      </c>
      <c r="H140" s="885">
        <v>0</v>
      </c>
      <c r="I140" s="888">
        <v>0</v>
      </c>
      <c r="J140" s="884">
        <v>0</v>
      </c>
      <c r="K140" s="881">
        <v>0</v>
      </c>
      <c r="L140" s="874">
        <v>20000000</v>
      </c>
      <c r="M140" s="857">
        <f t="shared" si="22"/>
        <v>0</v>
      </c>
      <c r="N140" s="857">
        <f t="shared" si="23"/>
        <v>20000000</v>
      </c>
      <c r="O140" s="881">
        <f>+Category!BA153</f>
        <v>1</v>
      </c>
      <c r="P140" s="874">
        <f>+Category!BN170</f>
        <v>0</v>
      </c>
      <c r="R140" s="32"/>
    </row>
    <row r="141" spans="2:18" x14ac:dyDescent="0.15">
      <c r="B141" s="545">
        <v>21</v>
      </c>
      <c r="C141" s="568" t="s">
        <v>703</v>
      </c>
      <c r="D141" s="852" t="s">
        <v>1392</v>
      </c>
      <c r="E141" s="894">
        <v>0</v>
      </c>
      <c r="F141" s="855">
        <v>0</v>
      </c>
      <c r="G141" s="891">
        <v>0</v>
      </c>
      <c r="H141" s="885">
        <v>0</v>
      </c>
      <c r="I141" s="888">
        <v>0</v>
      </c>
      <c r="J141" s="884">
        <v>0</v>
      </c>
      <c r="K141" s="881">
        <v>0</v>
      </c>
      <c r="L141" s="874">
        <v>33150000</v>
      </c>
      <c r="M141" s="857">
        <f t="shared" si="22"/>
        <v>0</v>
      </c>
      <c r="N141" s="857">
        <f t="shared" si="23"/>
        <v>33150000</v>
      </c>
      <c r="O141" s="881">
        <f>+Category!BA154</f>
        <v>0</v>
      </c>
      <c r="P141" s="874">
        <f>+Category!BN171</f>
        <v>0</v>
      </c>
      <c r="R141" s="32"/>
    </row>
    <row r="142" spans="2:18" x14ac:dyDescent="0.15">
      <c r="B142" s="545">
        <v>22</v>
      </c>
      <c r="C142" s="568" t="s">
        <v>963</v>
      </c>
      <c r="D142" s="852" t="s">
        <v>1392</v>
      </c>
      <c r="E142" s="894">
        <v>0</v>
      </c>
      <c r="F142" s="855">
        <v>0</v>
      </c>
      <c r="G142" s="891">
        <v>0</v>
      </c>
      <c r="H142" s="885">
        <v>0</v>
      </c>
      <c r="I142" s="888">
        <v>0</v>
      </c>
      <c r="J142" s="884">
        <v>0</v>
      </c>
      <c r="K142" s="881">
        <v>0</v>
      </c>
      <c r="L142" s="874">
        <v>5000000</v>
      </c>
      <c r="M142" s="857">
        <f t="shared" si="22"/>
        <v>0</v>
      </c>
      <c r="N142" s="857">
        <f t="shared" si="23"/>
        <v>5000000</v>
      </c>
      <c r="O142" s="881">
        <f>+Category!BA155</f>
        <v>0</v>
      </c>
      <c r="P142" s="874">
        <f>+Category!BN172</f>
        <v>0</v>
      </c>
      <c r="R142" s="32"/>
    </row>
    <row r="143" spans="2:18" x14ac:dyDescent="0.15">
      <c r="B143" s="545">
        <v>23</v>
      </c>
      <c r="C143" s="568" t="s">
        <v>1069</v>
      </c>
      <c r="D143" s="852" t="s">
        <v>1392</v>
      </c>
      <c r="E143" s="894">
        <v>0</v>
      </c>
      <c r="F143" s="855">
        <v>0</v>
      </c>
      <c r="G143" s="891">
        <v>0</v>
      </c>
      <c r="H143" s="885">
        <v>0</v>
      </c>
      <c r="I143" s="888">
        <v>0</v>
      </c>
      <c r="J143" s="884">
        <v>0</v>
      </c>
      <c r="K143" s="881">
        <v>0</v>
      </c>
      <c r="L143" s="874">
        <v>5219000</v>
      </c>
      <c r="M143" s="857">
        <f t="shared" si="22"/>
        <v>0</v>
      </c>
      <c r="N143" s="857">
        <f t="shared" si="23"/>
        <v>5219000</v>
      </c>
      <c r="O143" s="881">
        <f>+Category!BA156</f>
        <v>1</v>
      </c>
      <c r="P143" s="874">
        <f>+Category!BN173</f>
        <v>0</v>
      </c>
      <c r="R143" s="32"/>
    </row>
    <row r="144" spans="2:18" x14ac:dyDescent="0.15">
      <c r="B144" s="545">
        <v>24</v>
      </c>
      <c r="C144" s="568" t="s">
        <v>1071</v>
      </c>
      <c r="D144" s="852" t="s">
        <v>1392</v>
      </c>
      <c r="E144" s="894">
        <v>0</v>
      </c>
      <c r="F144" s="855">
        <v>0</v>
      </c>
      <c r="G144" s="891">
        <v>0</v>
      </c>
      <c r="H144" s="885">
        <v>0</v>
      </c>
      <c r="I144" s="888">
        <v>0</v>
      </c>
      <c r="J144" s="884">
        <v>0</v>
      </c>
      <c r="K144" s="881">
        <v>0</v>
      </c>
      <c r="L144" s="874">
        <v>5000942</v>
      </c>
      <c r="M144" s="857">
        <f t="shared" si="22"/>
        <v>0</v>
      </c>
      <c r="N144" s="857">
        <f t="shared" si="23"/>
        <v>5000942</v>
      </c>
      <c r="O144" s="881">
        <f>+Category!BA157</f>
        <v>1</v>
      </c>
      <c r="P144" s="874">
        <f>+Category!BN174</f>
        <v>0</v>
      </c>
      <c r="R144" s="32"/>
    </row>
    <row r="145" spans="2:21" x14ac:dyDescent="0.15">
      <c r="B145" s="545">
        <v>25</v>
      </c>
      <c r="C145" s="568" t="s">
        <v>1074</v>
      </c>
      <c r="D145" s="852" t="s">
        <v>1392</v>
      </c>
      <c r="E145" s="894">
        <v>0</v>
      </c>
      <c r="F145" s="855">
        <v>0</v>
      </c>
      <c r="G145" s="891">
        <v>0</v>
      </c>
      <c r="H145" s="885">
        <v>0</v>
      </c>
      <c r="I145" s="888">
        <v>0</v>
      </c>
      <c r="J145" s="884">
        <v>0</v>
      </c>
      <c r="K145" s="881">
        <v>0</v>
      </c>
      <c r="L145" s="874">
        <v>3280000</v>
      </c>
      <c r="M145" s="857">
        <f t="shared" si="22"/>
        <v>0</v>
      </c>
      <c r="N145" s="857">
        <f t="shared" si="23"/>
        <v>3280000</v>
      </c>
      <c r="O145" s="881">
        <f>+Category!BA158</f>
        <v>1</v>
      </c>
      <c r="P145" s="874">
        <f>+Category!BN175</f>
        <v>0</v>
      </c>
      <c r="R145" s="32"/>
    </row>
    <row r="146" spans="2:21" x14ac:dyDescent="0.15">
      <c r="B146" s="545">
        <v>26</v>
      </c>
      <c r="C146" s="568" t="s">
        <v>959</v>
      </c>
      <c r="D146" s="852" t="s">
        <v>1392</v>
      </c>
      <c r="E146" s="894">
        <v>0</v>
      </c>
      <c r="F146" s="855">
        <v>0</v>
      </c>
      <c r="G146" s="891">
        <v>0</v>
      </c>
      <c r="H146" s="885">
        <v>0</v>
      </c>
      <c r="I146" s="888">
        <v>0</v>
      </c>
      <c r="J146" s="884">
        <v>0</v>
      </c>
      <c r="K146" s="881">
        <v>0</v>
      </c>
      <c r="L146" s="874">
        <v>5063300</v>
      </c>
      <c r="M146" s="857">
        <f t="shared" si="22"/>
        <v>0</v>
      </c>
      <c r="N146" s="857">
        <f t="shared" si="23"/>
        <v>5063300</v>
      </c>
      <c r="O146" s="881">
        <f>+Category!BA159</f>
        <v>0</v>
      </c>
      <c r="P146" s="874">
        <f>+Category!BN176</f>
        <v>0</v>
      </c>
      <c r="R146" s="32"/>
    </row>
    <row r="147" spans="2:21" ht="15.75" x14ac:dyDescent="0.15">
      <c r="B147" s="545">
        <v>27</v>
      </c>
      <c r="C147" s="898" t="s">
        <v>1399</v>
      </c>
      <c r="D147" s="852" t="s">
        <v>1392</v>
      </c>
      <c r="E147" s="894">
        <v>0</v>
      </c>
      <c r="F147" s="855">
        <v>0</v>
      </c>
      <c r="G147" s="891">
        <v>0</v>
      </c>
      <c r="H147" s="885">
        <v>0</v>
      </c>
      <c r="I147" s="888">
        <v>0</v>
      </c>
      <c r="J147" s="884">
        <v>0</v>
      </c>
      <c r="K147" s="881">
        <v>15</v>
      </c>
      <c r="L147" s="874">
        <v>60000000</v>
      </c>
      <c r="M147" s="857">
        <f t="shared" si="22"/>
        <v>15</v>
      </c>
      <c r="N147" s="857">
        <f t="shared" si="23"/>
        <v>60000000</v>
      </c>
      <c r="O147" s="881">
        <f>+Category!BA160</f>
        <v>1</v>
      </c>
      <c r="P147" s="874">
        <f>SUM(Category!BN178:BN198)</f>
        <v>17000000</v>
      </c>
      <c r="R147" s="32"/>
    </row>
    <row r="148" spans="2:21" x14ac:dyDescent="0.15">
      <c r="B148" s="545">
        <v>28</v>
      </c>
      <c r="C148" s="568" t="s">
        <v>1068</v>
      </c>
      <c r="D148" s="852" t="s">
        <v>1392</v>
      </c>
      <c r="E148" s="894">
        <v>0</v>
      </c>
      <c r="F148" s="855">
        <v>0</v>
      </c>
      <c r="G148" s="891">
        <v>0</v>
      </c>
      <c r="H148" s="885">
        <v>0</v>
      </c>
      <c r="I148" s="888">
        <v>0</v>
      </c>
      <c r="J148" s="884">
        <v>0</v>
      </c>
      <c r="K148" s="881">
        <v>0</v>
      </c>
      <c r="L148" s="874">
        <v>12210000</v>
      </c>
      <c r="M148" s="857">
        <f t="shared" ref="M148:M162" si="24">+E148+G148+I148+K148</f>
        <v>0</v>
      </c>
      <c r="N148" s="857">
        <f t="shared" ref="N148:N162" si="25">+F148+H148+J148+L148</f>
        <v>12210000</v>
      </c>
      <c r="O148" s="881">
        <f>+Category!BA161</f>
        <v>1</v>
      </c>
      <c r="P148" s="874">
        <f>+Category!BN199</f>
        <v>0</v>
      </c>
      <c r="R148" s="32"/>
    </row>
    <row r="149" spans="2:21" x14ac:dyDescent="0.15">
      <c r="B149" s="545">
        <v>29</v>
      </c>
      <c r="C149" s="568" t="s">
        <v>1070</v>
      </c>
      <c r="D149" s="852" t="s">
        <v>1392</v>
      </c>
      <c r="E149" s="894">
        <v>0</v>
      </c>
      <c r="F149" s="855">
        <v>0</v>
      </c>
      <c r="G149" s="891">
        <v>0</v>
      </c>
      <c r="H149" s="885">
        <v>0</v>
      </c>
      <c r="I149" s="888">
        <v>0</v>
      </c>
      <c r="J149" s="884">
        <v>0</v>
      </c>
      <c r="K149" s="881">
        <v>0</v>
      </c>
      <c r="L149" s="874">
        <v>9884882</v>
      </c>
      <c r="M149" s="857">
        <f t="shared" si="24"/>
        <v>0</v>
      </c>
      <c r="N149" s="857">
        <f t="shared" si="25"/>
        <v>9884882</v>
      </c>
      <c r="O149" s="881">
        <f>+Category!BA162</f>
        <v>1</v>
      </c>
      <c r="P149" s="874">
        <f>+Category!BN200</f>
        <v>0</v>
      </c>
      <c r="R149" s="32"/>
    </row>
    <row r="150" spans="2:21" x14ac:dyDescent="0.15">
      <c r="B150" s="545">
        <v>30</v>
      </c>
      <c r="C150" s="568" t="s">
        <v>1073</v>
      </c>
      <c r="D150" s="852" t="s">
        <v>1392</v>
      </c>
      <c r="E150" s="894">
        <v>0</v>
      </c>
      <c r="F150" s="855">
        <v>0</v>
      </c>
      <c r="G150" s="891">
        <v>0</v>
      </c>
      <c r="H150" s="885">
        <v>0</v>
      </c>
      <c r="I150" s="888">
        <v>0</v>
      </c>
      <c r="J150" s="884">
        <v>0</v>
      </c>
      <c r="K150" s="881">
        <v>0</v>
      </c>
      <c r="L150" s="874">
        <v>3540000</v>
      </c>
      <c r="M150" s="857">
        <f t="shared" si="24"/>
        <v>0</v>
      </c>
      <c r="N150" s="857">
        <f t="shared" si="25"/>
        <v>3540000</v>
      </c>
      <c r="O150" s="881">
        <f>+Category!BA163</f>
        <v>0</v>
      </c>
      <c r="P150" s="874">
        <f>+Category!BN201</f>
        <v>0</v>
      </c>
      <c r="R150" s="32"/>
    </row>
    <row r="151" spans="2:21" ht="26.25" x14ac:dyDescent="0.15">
      <c r="B151" s="545">
        <v>31</v>
      </c>
      <c r="C151" s="568" t="s">
        <v>1075</v>
      </c>
      <c r="D151" s="852" t="s">
        <v>1392</v>
      </c>
      <c r="E151" s="894">
        <v>0</v>
      </c>
      <c r="F151" s="855">
        <v>0</v>
      </c>
      <c r="G151" s="891">
        <v>0</v>
      </c>
      <c r="H151" s="885">
        <v>0</v>
      </c>
      <c r="I151" s="888">
        <v>0</v>
      </c>
      <c r="J151" s="884">
        <v>0</v>
      </c>
      <c r="K151" s="881">
        <v>0</v>
      </c>
      <c r="L151" s="874">
        <v>318500</v>
      </c>
      <c r="M151" s="857">
        <f t="shared" si="24"/>
        <v>0</v>
      </c>
      <c r="N151" s="857">
        <f t="shared" si="25"/>
        <v>318500</v>
      </c>
      <c r="O151" s="881">
        <f>+Category!BA164</f>
        <v>0</v>
      </c>
      <c r="P151" s="874">
        <f>+Category!BN202</f>
        <v>0</v>
      </c>
      <c r="R151" s="32"/>
    </row>
    <row r="152" spans="2:21" x14ac:dyDescent="0.15">
      <c r="B152" s="545">
        <v>32</v>
      </c>
      <c r="C152" s="568" t="s">
        <v>995</v>
      </c>
      <c r="D152" s="852" t="s">
        <v>1392</v>
      </c>
      <c r="E152" s="894">
        <v>0</v>
      </c>
      <c r="F152" s="855">
        <v>0</v>
      </c>
      <c r="G152" s="891">
        <v>0</v>
      </c>
      <c r="H152" s="885">
        <v>0</v>
      </c>
      <c r="I152" s="888">
        <v>0</v>
      </c>
      <c r="J152" s="884">
        <v>0</v>
      </c>
      <c r="K152" s="881">
        <v>0</v>
      </c>
      <c r="L152" s="874">
        <v>10000000</v>
      </c>
      <c r="M152" s="857">
        <f t="shared" si="24"/>
        <v>0</v>
      </c>
      <c r="N152" s="857">
        <f t="shared" si="25"/>
        <v>10000000</v>
      </c>
      <c r="O152" s="881">
        <f>+Category!BA165</f>
        <v>0</v>
      </c>
      <c r="P152" s="874">
        <f>+Category!BN203</f>
        <v>0</v>
      </c>
      <c r="R152" s="32"/>
    </row>
    <row r="153" spans="2:21" x14ac:dyDescent="0.15">
      <c r="B153" s="545">
        <v>33</v>
      </c>
      <c r="C153" s="568" t="s">
        <v>1104</v>
      </c>
      <c r="D153" s="913" t="s">
        <v>1392</v>
      </c>
      <c r="E153" s="894">
        <v>0</v>
      </c>
      <c r="F153" s="855">
        <v>0</v>
      </c>
      <c r="G153" s="891">
        <v>0</v>
      </c>
      <c r="H153" s="885">
        <v>0</v>
      </c>
      <c r="I153" s="888">
        <v>0</v>
      </c>
      <c r="J153" s="884">
        <v>0</v>
      </c>
      <c r="K153" s="881">
        <v>0</v>
      </c>
      <c r="L153" s="874">
        <v>1508700</v>
      </c>
      <c r="M153" s="857">
        <f>+E153+G153+I153+K153</f>
        <v>0</v>
      </c>
      <c r="N153" s="857">
        <f>+F153+H153+J153+L153</f>
        <v>1508700</v>
      </c>
      <c r="O153" s="881">
        <f>+Category!BA166</f>
        <v>0</v>
      </c>
      <c r="P153" s="874">
        <f>+Category!BN204</f>
        <v>0</v>
      </c>
      <c r="Q153" s="914"/>
      <c r="R153" s="914"/>
      <c r="S153" s="914"/>
      <c r="U153" s="914"/>
    </row>
    <row r="154" spans="2:21" ht="30.75" customHeight="1" x14ac:dyDescent="0.15">
      <c r="B154" s="545">
        <v>34</v>
      </c>
      <c r="C154" s="912" t="s">
        <v>1279</v>
      </c>
      <c r="D154" s="913" t="s">
        <v>1392</v>
      </c>
      <c r="E154" s="894">
        <v>0</v>
      </c>
      <c r="F154" s="855">
        <v>0</v>
      </c>
      <c r="G154" s="891">
        <v>0</v>
      </c>
      <c r="H154" s="885">
        <v>0</v>
      </c>
      <c r="I154" s="888">
        <v>0</v>
      </c>
      <c r="J154" s="884">
        <v>0</v>
      </c>
      <c r="K154" s="881">
        <v>1</v>
      </c>
      <c r="L154" s="874">
        <v>35000000</v>
      </c>
      <c r="M154" s="857">
        <f>+E154+G154+I154+K154</f>
        <v>1</v>
      </c>
      <c r="N154" s="857">
        <f>+F154+H154+J154+L154</f>
        <v>35000000</v>
      </c>
      <c r="O154" s="881">
        <f>+Category!BA167</f>
        <v>0</v>
      </c>
      <c r="P154" s="874">
        <f>+Category!BN205</f>
        <v>0</v>
      </c>
      <c r="Q154" s="914"/>
      <c r="R154" s="914"/>
      <c r="S154" s="914"/>
      <c r="U154" s="914"/>
    </row>
    <row r="155" spans="2:21" x14ac:dyDescent="0.15">
      <c r="B155" s="545">
        <v>35</v>
      </c>
      <c r="C155" s="912" t="s">
        <v>1485</v>
      </c>
      <c r="D155" s="913" t="s">
        <v>1392</v>
      </c>
      <c r="E155" s="894">
        <v>0</v>
      </c>
      <c r="F155" s="855">
        <v>0</v>
      </c>
      <c r="G155" s="891">
        <v>0</v>
      </c>
      <c r="H155" s="885">
        <v>0</v>
      </c>
      <c r="I155" s="888">
        <v>0</v>
      </c>
      <c r="J155" s="884">
        <v>0</v>
      </c>
      <c r="K155" s="881">
        <v>1</v>
      </c>
      <c r="L155" s="874">
        <v>35000000</v>
      </c>
      <c r="M155" s="857">
        <f t="shared" ref="M155:N159" si="26">+E155+G155+I155+K155</f>
        <v>1</v>
      </c>
      <c r="N155" s="857">
        <f t="shared" si="26"/>
        <v>35000000</v>
      </c>
      <c r="O155" s="874">
        <f>+[10]Category!BA201</f>
        <v>0</v>
      </c>
      <c r="P155" s="874">
        <f>+Category!BN206</f>
        <v>0</v>
      </c>
      <c r="Q155" s="914"/>
      <c r="R155" s="914"/>
      <c r="S155" s="914"/>
      <c r="U155" s="914"/>
    </row>
    <row r="156" spans="2:21" x14ac:dyDescent="0.15">
      <c r="B156" s="545">
        <v>36</v>
      </c>
      <c r="C156" s="912" t="s">
        <v>1500</v>
      </c>
      <c r="D156" s="913" t="s">
        <v>1392</v>
      </c>
      <c r="E156" s="894">
        <v>0</v>
      </c>
      <c r="F156" s="855">
        <v>0</v>
      </c>
      <c r="G156" s="891">
        <v>0</v>
      </c>
      <c r="H156" s="885">
        <v>0</v>
      </c>
      <c r="I156" s="888">
        <v>0</v>
      </c>
      <c r="J156" s="884">
        <v>0</v>
      </c>
      <c r="K156" s="881">
        <v>1</v>
      </c>
      <c r="L156" s="874">
        <v>35000000</v>
      </c>
      <c r="M156" s="857">
        <f t="shared" si="26"/>
        <v>1</v>
      </c>
      <c r="N156" s="857">
        <f t="shared" si="26"/>
        <v>35000000</v>
      </c>
      <c r="O156" s="874">
        <f>+[10]Category!BA202</f>
        <v>0</v>
      </c>
      <c r="P156" s="874">
        <f>+Category!BN207</f>
        <v>0</v>
      </c>
      <c r="Q156" s="914"/>
      <c r="R156" s="914"/>
      <c r="S156" s="914"/>
      <c r="U156" s="914"/>
    </row>
    <row r="157" spans="2:21" ht="26.25" x14ac:dyDescent="0.15">
      <c r="B157" s="545">
        <v>37</v>
      </c>
      <c r="C157" s="912" t="s">
        <v>1612</v>
      </c>
      <c r="D157" s="913" t="s">
        <v>1392</v>
      </c>
      <c r="E157" s="894">
        <v>0</v>
      </c>
      <c r="F157" s="855">
        <v>0</v>
      </c>
      <c r="G157" s="891">
        <v>0</v>
      </c>
      <c r="H157" s="885">
        <v>0</v>
      </c>
      <c r="I157" s="888">
        <v>0</v>
      </c>
      <c r="J157" s="884">
        <v>0</v>
      </c>
      <c r="K157" s="881">
        <v>1</v>
      </c>
      <c r="L157" s="874">
        <v>35000000</v>
      </c>
      <c r="M157" s="857">
        <f t="shared" si="26"/>
        <v>1</v>
      </c>
      <c r="N157" s="857">
        <f t="shared" si="26"/>
        <v>35000000</v>
      </c>
      <c r="O157" s="874">
        <f>+[10]Category!BA203</f>
        <v>0</v>
      </c>
      <c r="P157" s="874">
        <f>+Category!BN208</f>
        <v>0</v>
      </c>
      <c r="Q157" s="914"/>
      <c r="R157" s="914"/>
      <c r="S157" s="914"/>
      <c r="U157" s="914"/>
    </row>
    <row r="158" spans="2:21" ht="15.75" x14ac:dyDescent="0.15">
      <c r="B158" s="545">
        <v>38</v>
      </c>
      <c r="C158" s="898" t="s">
        <v>2198</v>
      </c>
      <c r="D158" s="913" t="s">
        <v>1392</v>
      </c>
      <c r="E158" s="894">
        <v>0</v>
      </c>
      <c r="F158" s="855">
        <v>0</v>
      </c>
      <c r="G158" s="891">
        <v>0</v>
      </c>
      <c r="H158" s="885">
        <v>0</v>
      </c>
      <c r="I158" s="888">
        <v>0</v>
      </c>
      <c r="J158" s="884">
        <v>0</v>
      </c>
      <c r="K158" s="881">
        <v>1</v>
      </c>
      <c r="L158" s="874">
        <v>35000000</v>
      </c>
      <c r="M158" s="857">
        <f t="shared" si="26"/>
        <v>1</v>
      </c>
      <c r="N158" s="857">
        <f t="shared" si="26"/>
        <v>35000000</v>
      </c>
      <c r="O158" s="874">
        <f>SUM([10]Category!BA204:BA207)</f>
        <v>0</v>
      </c>
      <c r="P158" s="874">
        <f>SUM(Category!BN209:BN212)</f>
        <v>4000000</v>
      </c>
      <c r="Q158" s="914"/>
      <c r="R158" s="914"/>
      <c r="S158" s="914"/>
      <c r="U158" s="914"/>
    </row>
    <row r="159" spans="2:21" x14ac:dyDescent="0.15">
      <c r="B159" s="545">
        <v>39</v>
      </c>
      <c r="C159" s="912" t="s">
        <v>1688</v>
      </c>
      <c r="D159" s="913" t="s">
        <v>1392</v>
      </c>
      <c r="E159" s="894">
        <v>0</v>
      </c>
      <c r="F159" s="855">
        <v>0</v>
      </c>
      <c r="G159" s="891">
        <v>0</v>
      </c>
      <c r="H159" s="885">
        <v>0</v>
      </c>
      <c r="I159" s="888">
        <v>0</v>
      </c>
      <c r="J159" s="884">
        <v>0</v>
      </c>
      <c r="K159" s="881">
        <v>1</v>
      </c>
      <c r="L159" s="874">
        <v>35000000</v>
      </c>
      <c r="M159" s="857">
        <f t="shared" si="26"/>
        <v>1</v>
      </c>
      <c r="N159" s="857">
        <f t="shared" si="26"/>
        <v>35000000</v>
      </c>
      <c r="O159" s="874">
        <f>+[10]Category!BA208</f>
        <v>0</v>
      </c>
      <c r="P159" s="874">
        <f>+Category!BN213</f>
        <v>0</v>
      </c>
      <c r="Q159" s="914"/>
      <c r="R159" s="914"/>
      <c r="S159" s="914"/>
      <c r="U159" s="914"/>
    </row>
    <row r="160" spans="2:21" x14ac:dyDescent="0.15">
      <c r="B160" s="545">
        <v>40</v>
      </c>
      <c r="C160" s="899" t="s">
        <v>71</v>
      </c>
      <c r="D160" s="852" t="s">
        <v>1393</v>
      </c>
      <c r="E160" s="894">
        <v>0</v>
      </c>
      <c r="F160" s="855">
        <f>+Category!J103</f>
        <v>1800000</v>
      </c>
      <c r="G160" s="891">
        <f>+Category!K103</f>
        <v>1</v>
      </c>
      <c r="H160" s="885">
        <f>+Category!X103</f>
        <v>1440737</v>
      </c>
      <c r="I160" s="888">
        <v>0</v>
      </c>
      <c r="J160" s="884">
        <f>+Category!AL103</f>
        <v>2750000</v>
      </c>
      <c r="K160" s="881">
        <f>+Category!AM103</f>
        <v>2</v>
      </c>
      <c r="L160" s="874">
        <f>+Category!AZ103</f>
        <v>2325000</v>
      </c>
      <c r="M160" s="857">
        <f t="shared" si="24"/>
        <v>3</v>
      </c>
      <c r="N160" s="857">
        <f t="shared" si="25"/>
        <v>8315737</v>
      </c>
      <c r="O160" s="881">
        <f>+Category!BA168</f>
        <v>0</v>
      </c>
      <c r="P160" s="874">
        <f>+Category!BN103</f>
        <v>5000000</v>
      </c>
      <c r="R160" s="32"/>
    </row>
    <row r="161" spans="2:18" x14ac:dyDescent="0.15">
      <c r="B161" s="545">
        <v>41</v>
      </c>
      <c r="C161" s="899" t="s">
        <v>1054</v>
      </c>
      <c r="D161" s="852" t="s">
        <v>1393</v>
      </c>
      <c r="E161" s="894">
        <f>+Category!D103</f>
        <v>2</v>
      </c>
      <c r="F161" s="855">
        <f>+Category!J246</f>
        <v>95258041</v>
      </c>
      <c r="G161" s="891">
        <f>+Category!K246</f>
        <v>1</v>
      </c>
      <c r="H161" s="885">
        <f>+Category!X246</f>
        <v>20000000</v>
      </c>
      <c r="I161" s="888">
        <f>+Category!Y103</f>
        <v>5</v>
      </c>
      <c r="J161" s="884">
        <f>+Category!AL246</f>
        <v>0</v>
      </c>
      <c r="K161" s="881">
        <f>+Category!AM246</f>
        <v>1</v>
      </c>
      <c r="L161" s="874">
        <f>+Category!AZ246</f>
        <v>234437850</v>
      </c>
      <c r="M161" s="857">
        <f t="shared" si="24"/>
        <v>9</v>
      </c>
      <c r="N161" s="857">
        <f t="shared" si="25"/>
        <v>349695891</v>
      </c>
      <c r="O161" s="881">
        <f>+Category!BA169</f>
        <v>0</v>
      </c>
      <c r="P161" s="874">
        <f>+Category!BN246</f>
        <v>3000000</v>
      </c>
      <c r="R161" s="32"/>
    </row>
    <row r="162" spans="2:18" x14ac:dyDescent="0.15">
      <c r="B162" s="545">
        <v>42</v>
      </c>
      <c r="C162" s="1038" t="s">
        <v>1382</v>
      </c>
      <c r="D162" s="852" t="s">
        <v>1391</v>
      </c>
      <c r="E162" s="894">
        <v>0</v>
      </c>
      <c r="F162" s="855">
        <f>+Category!J278</f>
        <v>175157110</v>
      </c>
      <c r="G162" s="891">
        <v>0</v>
      </c>
      <c r="H162" s="885">
        <f>+Category!X278</f>
        <v>69376249</v>
      </c>
      <c r="I162" s="888">
        <v>0</v>
      </c>
      <c r="J162" s="884">
        <f>+Category!AL278</f>
        <v>149833200</v>
      </c>
      <c r="K162" s="881">
        <v>0</v>
      </c>
      <c r="L162" s="874">
        <f>+Category!AZ278</f>
        <v>421463500</v>
      </c>
      <c r="M162" s="857">
        <f t="shared" si="24"/>
        <v>0</v>
      </c>
      <c r="N162" s="857">
        <f t="shared" si="25"/>
        <v>815830059</v>
      </c>
      <c r="O162" s="881">
        <f>+Category!BA170</f>
        <v>0</v>
      </c>
      <c r="P162" s="874">
        <f>+Category!BN278</f>
        <v>0</v>
      </c>
      <c r="R162" s="32"/>
    </row>
    <row r="163" spans="2:18" ht="15.75" customHeight="1" x14ac:dyDescent="0.15">
      <c r="B163" s="545">
        <v>43</v>
      </c>
      <c r="C163" s="1039" t="s">
        <v>2196</v>
      </c>
      <c r="D163" s="852"/>
      <c r="E163" s="894">
        <v>0</v>
      </c>
      <c r="F163" s="855">
        <f>+Category!J279</f>
        <v>0</v>
      </c>
      <c r="G163" s="891">
        <v>0</v>
      </c>
      <c r="H163" s="885">
        <f>+Category!X279</f>
        <v>0</v>
      </c>
      <c r="I163" s="888">
        <v>0</v>
      </c>
      <c r="J163" s="884">
        <f>+Category!AL279</f>
        <v>100000000</v>
      </c>
      <c r="K163" s="881">
        <v>0</v>
      </c>
      <c r="L163" s="874">
        <f>+Category!AZ279</f>
        <v>0</v>
      </c>
      <c r="M163" s="857">
        <f t="shared" ref="M163:M164" si="27">+E163+G163+I163+K163</f>
        <v>0</v>
      </c>
      <c r="N163" s="857">
        <f t="shared" ref="N163:N164" si="28">+F163+H163+J163+L163</f>
        <v>100000000</v>
      </c>
      <c r="O163" s="881">
        <f>+Category!BA171</f>
        <v>0</v>
      </c>
      <c r="P163" s="874">
        <f>+Category!BN171</f>
        <v>0</v>
      </c>
      <c r="R163" s="32"/>
    </row>
    <row r="164" spans="2:18" ht="30.75" customHeight="1" x14ac:dyDescent="0.2">
      <c r="B164" s="545">
        <v>44</v>
      </c>
      <c r="C164" s="1040" t="s">
        <v>2196</v>
      </c>
      <c r="D164" s="852"/>
      <c r="E164" s="894">
        <v>0</v>
      </c>
      <c r="F164" s="855">
        <f>+Category!J280</f>
        <v>0</v>
      </c>
      <c r="G164" s="891">
        <v>0</v>
      </c>
      <c r="H164" s="885">
        <f>+Category!X280</f>
        <v>0</v>
      </c>
      <c r="I164" s="888">
        <v>0</v>
      </c>
      <c r="J164" s="884">
        <f>+Category!AL280</f>
        <v>0</v>
      </c>
      <c r="K164" s="881">
        <v>0</v>
      </c>
      <c r="L164" s="874">
        <f>+Category!AZ280</f>
        <v>100000000</v>
      </c>
      <c r="M164" s="857">
        <f t="shared" si="27"/>
        <v>0</v>
      </c>
      <c r="N164" s="857">
        <f t="shared" si="28"/>
        <v>100000000</v>
      </c>
      <c r="O164" s="881">
        <f>+Category!BA172</f>
        <v>0</v>
      </c>
      <c r="P164" s="874">
        <f>+Category!BN214</f>
        <v>6250360</v>
      </c>
      <c r="R164" s="32"/>
    </row>
    <row r="165" spans="2:18" x14ac:dyDescent="0.15">
      <c r="B165" s="545"/>
      <c r="C165" s="568" t="s">
        <v>2205</v>
      </c>
      <c r="D165" s="852"/>
      <c r="E165" s="894"/>
      <c r="F165" s="855"/>
      <c r="G165" s="891"/>
      <c r="H165" s="885"/>
      <c r="I165" s="888"/>
      <c r="J165" s="884"/>
      <c r="K165" s="881"/>
      <c r="L165" s="874"/>
      <c r="M165" s="857">
        <f t="shared" ref="M165:M166" si="29">+E165+G165+I165+K165</f>
        <v>0</v>
      </c>
      <c r="N165" s="857">
        <f t="shared" ref="N165:N166" si="30">+F165+H165+J165+L165</f>
        <v>0</v>
      </c>
      <c r="O165" s="881">
        <f>+Category!BA173</f>
        <v>0</v>
      </c>
      <c r="P165" s="874">
        <f>+Category!BN215</f>
        <v>30000000</v>
      </c>
      <c r="R165" s="32"/>
    </row>
    <row r="166" spans="2:18" x14ac:dyDescent="0.15">
      <c r="B166" s="545"/>
      <c r="C166" s="568" t="s">
        <v>2206</v>
      </c>
      <c r="D166" s="852"/>
      <c r="E166" s="894"/>
      <c r="F166" s="855"/>
      <c r="G166" s="891"/>
      <c r="H166" s="885"/>
      <c r="I166" s="888"/>
      <c r="J166" s="884"/>
      <c r="K166" s="881"/>
      <c r="L166" s="874"/>
      <c r="M166" s="857">
        <f t="shared" si="29"/>
        <v>0</v>
      </c>
      <c r="N166" s="857">
        <f t="shared" si="30"/>
        <v>0</v>
      </c>
      <c r="O166" s="881">
        <f>+Category!BA174</f>
        <v>0</v>
      </c>
      <c r="P166" s="874">
        <f>+Category!BN216</f>
        <v>63900072</v>
      </c>
      <c r="R166" s="32"/>
    </row>
    <row r="167" spans="2:18" x14ac:dyDescent="0.15">
      <c r="B167" s="545"/>
      <c r="C167" s="568"/>
      <c r="D167" s="852"/>
      <c r="E167" s="894"/>
      <c r="F167" s="855"/>
      <c r="G167" s="891"/>
      <c r="H167" s="885"/>
      <c r="I167" s="888"/>
      <c r="J167" s="884"/>
      <c r="K167" s="881"/>
      <c r="L167" s="874"/>
      <c r="M167" s="867"/>
      <c r="N167" s="867"/>
      <c r="O167" s="881"/>
      <c r="P167" s="874"/>
      <c r="R167" s="32"/>
    </row>
    <row r="168" spans="2:18" x14ac:dyDescent="0.15">
      <c r="B168" s="546"/>
      <c r="C168" s="568"/>
      <c r="D168" s="852"/>
      <c r="E168" s="894"/>
      <c r="F168" s="855"/>
      <c r="G168" s="891"/>
      <c r="H168" s="885"/>
      <c r="I168" s="888"/>
      <c r="J168" s="884"/>
      <c r="K168" s="881"/>
      <c r="L168" s="874"/>
      <c r="M168" s="867"/>
      <c r="N168" s="867"/>
      <c r="O168" s="881"/>
      <c r="P168" s="874"/>
      <c r="R168" s="32"/>
    </row>
    <row r="169" spans="2:18" ht="16.5" thickBot="1" x14ac:dyDescent="0.2">
      <c r="B169" s="863"/>
      <c r="C169" s="864" t="s">
        <v>156</v>
      </c>
      <c r="D169" s="864"/>
      <c r="E169" s="883">
        <f t="shared" ref="E169:N169" si="31">SUM(E121,E88,E76,E66,E27,E5)</f>
        <v>467</v>
      </c>
      <c r="F169" s="876">
        <f t="shared" si="31"/>
        <v>571959151</v>
      </c>
      <c r="G169" s="883">
        <f t="shared" si="31"/>
        <v>974</v>
      </c>
      <c r="H169" s="876">
        <f t="shared" si="31"/>
        <v>939430984</v>
      </c>
      <c r="I169" s="883">
        <f t="shared" si="31"/>
        <v>3274</v>
      </c>
      <c r="J169" s="876">
        <f t="shared" si="31"/>
        <v>3459803543</v>
      </c>
      <c r="K169" s="883">
        <f t="shared" si="31"/>
        <v>3210</v>
      </c>
      <c r="L169" s="876">
        <f t="shared" si="31"/>
        <v>5672296847.4700003</v>
      </c>
      <c r="M169" s="876">
        <f t="shared" si="31"/>
        <v>7925</v>
      </c>
      <c r="N169" s="876">
        <f t="shared" si="31"/>
        <v>10643490525.469999</v>
      </c>
      <c r="O169" s="883">
        <f t="shared" ref="O169:P169" si="32">SUM(O121,O88,O76,O66,O27,O5)</f>
        <v>2671</v>
      </c>
      <c r="P169" s="876">
        <f t="shared" si="32"/>
        <v>850906502</v>
      </c>
      <c r="R169" s="32"/>
    </row>
    <row r="170" spans="2:18" ht="14.25" thickTop="1" x14ac:dyDescent="0.15">
      <c r="L170" s="873"/>
      <c r="M170" s="873"/>
      <c r="N170" s="873"/>
      <c r="P170" s="873"/>
      <c r="R170" s="32"/>
    </row>
    <row r="171" spans="2:18" x14ac:dyDescent="0.15">
      <c r="E171" s="1052">
        <f>+E169-Category!D338</f>
        <v>0</v>
      </c>
      <c r="F171" s="1053">
        <f>+F169-Category!J338</f>
        <v>0</v>
      </c>
      <c r="G171" s="1052">
        <f>+G169-Category!K338</f>
        <v>-28</v>
      </c>
      <c r="H171" s="1053">
        <f>+H169-Category!X338</f>
        <v>-32075028</v>
      </c>
      <c r="I171" s="1052">
        <f>+I169-Category!Y338</f>
        <v>0</v>
      </c>
      <c r="J171" s="1053">
        <f>+J169-Category!AL338</f>
        <v>91999977</v>
      </c>
      <c r="K171" s="1052">
        <f>+K169-Category!AM338</f>
        <v>20</v>
      </c>
      <c r="L171" s="1053">
        <f>+L169-Category!AZ338</f>
        <v>105000000.00000095</v>
      </c>
      <c r="M171" s="1053"/>
      <c r="N171" s="1053">
        <f>+N169-Yearly!F53</f>
        <v>158656406.99999809</v>
      </c>
      <c r="O171" s="1052">
        <f>+O169-Category!AQ338</f>
        <v>-446758732</v>
      </c>
      <c r="P171" s="1053">
        <f>+P169-Category!BD338</f>
        <v>850906502</v>
      </c>
      <c r="R171" s="32"/>
    </row>
    <row r="172" spans="2:18" x14ac:dyDescent="0.15">
      <c r="L172" s="873"/>
      <c r="M172" s="873"/>
      <c r="N172" s="873"/>
      <c r="P172" s="873"/>
      <c r="R172" s="32"/>
    </row>
    <row r="173" spans="2:18" x14ac:dyDescent="0.15">
      <c r="L173" s="873"/>
      <c r="M173" s="873"/>
      <c r="N173" s="873"/>
      <c r="P173" s="873"/>
      <c r="R173" s="32"/>
    </row>
    <row r="174" spans="2:18" x14ac:dyDescent="0.15">
      <c r="L174" s="873"/>
      <c r="M174" s="873"/>
      <c r="N174" s="873"/>
      <c r="P174" s="873"/>
      <c r="R174" s="32"/>
    </row>
    <row r="175" spans="2:18" x14ac:dyDescent="0.15">
      <c r="L175" s="873"/>
      <c r="M175" s="873"/>
      <c r="N175" s="873"/>
      <c r="P175" s="873"/>
      <c r="R175" s="32"/>
    </row>
    <row r="176" spans="2:18" x14ac:dyDescent="0.15">
      <c r="L176" s="873"/>
      <c r="M176" s="873"/>
      <c r="N176" s="873"/>
      <c r="P176" s="873"/>
      <c r="R176" s="32"/>
    </row>
    <row r="177" spans="12:18" x14ac:dyDescent="0.15">
      <c r="L177" s="873"/>
      <c r="M177" s="873"/>
      <c r="N177" s="873"/>
      <c r="P177" s="873"/>
      <c r="R177" s="32"/>
    </row>
    <row r="178" spans="12:18" x14ac:dyDescent="0.15">
      <c r="L178" s="873"/>
      <c r="M178" s="873"/>
      <c r="N178" s="873"/>
      <c r="P178" s="873"/>
      <c r="R178" s="32"/>
    </row>
    <row r="179" spans="12:18" x14ac:dyDescent="0.15">
      <c r="L179" s="873"/>
      <c r="M179" s="873"/>
      <c r="N179" s="873"/>
      <c r="P179" s="873"/>
      <c r="R179" s="32"/>
    </row>
    <row r="180" spans="12:18" x14ac:dyDescent="0.15">
      <c r="L180" s="873"/>
      <c r="M180" s="873"/>
      <c r="N180" s="873"/>
      <c r="P180" s="873"/>
      <c r="R180" s="32"/>
    </row>
    <row r="181" spans="12:18" x14ac:dyDescent="0.15">
      <c r="L181" s="873"/>
      <c r="M181" s="873"/>
      <c r="N181" s="873"/>
      <c r="P181" s="873"/>
      <c r="R181" s="32"/>
    </row>
    <row r="182" spans="12:18" x14ac:dyDescent="0.15">
      <c r="L182" s="873"/>
      <c r="M182" s="873"/>
      <c r="N182" s="873"/>
      <c r="P182" s="873"/>
      <c r="R182" s="32"/>
    </row>
    <row r="183" spans="12:18" x14ac:dyDescent="0.15">
      <c r="L183" s="873"/>
      <c r="M183" s="873"/>
      <c r="N183" s="873"/>
      <c r="P183" s="873"/>
      <c r="R183" s="32"/>
    </row>
    <row r="184" spans="12:18" x14ac:dyDescent="0.15">
      <c r="L184" s="873"/>
      <c r="M184" s="873"/>
      <c r="N184" s="873"/>
      <c r="P184" s="873"/>
      <c r="R184" s="32"/>
    </row>
    <row r="185" spans="12:18" x14ac:dyDescent="0.15">
      <c r="L185" s="873"/>
      <c r="M185" s="873"/>
      <c r="N185" s="873"/>
      <c r="P185" s="873"/>
      <c r="R185" s="32"/>
    </row>
    <row r="186" spans="12:18" x14ac:dyDescent="0.15">
      <c r="L186" s="873"/>
      <c r="M186" s="873"/>
      <c r="N186" s="873"/>
      <c r="P186" s="873"/>
      <c r="R186" s="32"/>
    </row>
    <row r="187" spans="12:18" x14ac:dyDescent="0.15">
      <c r="L187" s="873"/>
      <c r="M187" s="873"/>
      <c r="N187" s="873"/>
      <c r="P187" s="873"/>
      <c r="R187" s="32"/>
    </row>
    <row r="188" spans="12:18" x14ac:dyDescent="0.15">
      <c r="L188" s="873"/>
      <c r="M188" s="873"/>
      <c r="N188" s="873"/>
      <c r="P188" s="873"/>
      <c r="R188" s="32"/>
    </row>
    <row r="189" spans="12:18" x14ac:dyDescent="0.15">
      <c r="L189" s="873"/>
      <c r="M189" s="873"/>
      <c r="N189" s="873"/>
      <c r="P189" s="873"/>
      <c r="R189" s="32"/>
    </row>
    <row r="190" spans="12:18" x14ac:dyDescent="0.15">
      <c r="L190" s="873"/>
      <c r="M190" s="873"/>
      <c r="N190" s="873"/>
      <c r="P190" s="873"/>
      <c r="R190" s="32"/>
    </row>
    <row r="191" spans="12:18" x14ac:dyDescent="0.15">
      <c r="L191" s="873"/>
      <c r="M191" s="873"/>
      <c r="N191" s="873"/>
      <c r="P191" s="873"/>
      <c r="R191" s="32"/>
    </row>
    <row r="192" spans="12:18" x14ac:dyDescent="0.15">
      <c r="L192" s="873"/>
      <c r="M192" s="873"/>
      <c r="N192" s="873"/>
      <c r="P192" s="873"/>
      <c r="R192" s="32"/>
    </row>
    <row r="193" spans="12:18" x14ac:dyDescent="0.15">
      <c r="L193" s="873"/>
      <c r="M193" s="873"/>
      <c r="N193" s="873"/>
      <c r="P193" s="873"/>
      <c r="R193" s="32"/>
    </row>
    <row r="194" spans="12:18" x14ac:dyDescent="0.15">
      <c r="L194" s="873"/>
      <c r="M194" s="873"/>
      <c r="N194" s="873"/>
      <c r="P194" s="873"/>
      <c r="R194" s="32"/>
    </row>
    <row r="195" spans="12:18" x14ac:dyDescent="0.15">
      <c r="L195" s="873"/>
      <c r="M195" s="873"/>
      <c r="N195" s="873"/>
      <c r="P195" s="873"/>
      <c r="R195" s="32"/>
    </row>
    <row r="196" spans="12:18" x14ac:dyDescent="0.15">
      <c r="L196" s="873"/>
      <c r="M196" s="873"/>
      <c r="N196" s="873"/>
      <c r="P196" s="873"/>
      <c r="R196" s="32"/>
    </row>
    <row r="197" spans="12:18" x14ac:dyDescent="0.15">
      <c r="L197" s="873"/>
      <c r="M197" s="873"/>
      <c r="N197" s="873"/>
      <c r="P197" s="873"/>
      <c r="R197" s="32"/>
    </row>
    <row r="198" spans="12:18" x14ac:dyDescent="0.15">
      <c r="L198" s="873"/>
      <c r="M198" s="873"/>
      <c r="N198" s="873"/>
      <c r="P198" s="873"/>
      <c r="R198" s="32"/>
    </row>
    <row r="199" spans="12:18" x14ac:dyDescent="0.15">
      <c r="L199" s="873"/>
      <c r="M199" s="873"/>
      <c r="N199" s="873"/>
      <c r="P199" s="873"/>
      <c r="R199" s="32"/>
    </row>
    <row r="200" spans="12:18" x14ac:dyDescent="0.15">
      <c r="L200" s="873"/>
      <c r="M200" s="873"/>
      <c r="N200" s="873"/>
      <c r="P200" s="873"/>
      <c r="R200" s="32"/>
    </row>
    <row r="201" spans="12:18" x14ac:dyDescent="0.15">
      <c r="L201" s="873"/>
      <c r="M201" s="873"/>
      <c r="N201" s="873"/>
      <c r="P201" s="873"/>
      <c r="R201" s="32"/>
    </row>
    <row r="202" spans="12:18" x14ac:dyDescent="0.15">
      <c r="L202" s="873"/>
      <c r="M202" s="873"/>
      <c r="N202" s="873"/>
      <c r="P202" s="873"/>
      <c r="R202" s="32"/>
    </row>
    <row r="203" spans="12:18" x14ac:dyDescent="0.15">
      <c r="L203" s="873"/>
      <c r="M203" s="873"/>
      <c r="N203" s="873"/>
      <c r="P203" s="873"/>
      <c r="R203" s="32"/>
    </row>
    <row r="204" spans="12:18" x14ac:dyDescent="0.15">
      <c r="L204" s="873"/>
      <c r="M204" s="873"/>
      <c r="N204" s="873"/>
      <c r="P204" s="873"/>
      <c r="R204" s="32"/>
    </row>
    <row r="205" spans="12:18" x14ac:dyDescent="0.15">
      <c r="L205" s="873"/>
      <c r="M205" s="873"/>
      <c r="N205" s="873"/>
      <c r="P205" s="873"/>
      <c r="R205" s="32"/>
    </row>
    <row r="206" spans="12:18" x14ac:dyDescent="0.15">
      <c r="L206" s="873"/>
      <c r="M206" s="873"/>
      <c r="N206" s="873"/>
      <c r="P206" s="873"/>
      <c r="R206" s="32"/>
    </row>
    <row r="207" spans="12:18" x14ac:dyDescent="0.15">
      <c r="L207" s="873"/>
      <c r="M207" s="873"/>
      <c r="N207" s="873"/>
      <c r="P207" s="873"/>
      <c r="R207" s="32"/>
    </row>
    <row r="208" spans="12:18" x14ac:dyDescent="0.15">
      <c r="L208" s="873"/>
      <c r="M208" s="873"/>
      <c r="N208" s="873"/>
      <c r="P208" s="873"/>
      <c r="R208" s="32"/>
    </row>
    <row r="209" spans="12:18" x14ac:dyDescent="0.15">
      <c r="L209" s="873"/>
      <c r="M209" s="873"/>
      <c r="N209" s="873"/>
      <c r="P209" s="873"/>
      <c r="R209" s="32"/>
    </row>
    <row r="210" spans="12:18" x14ac:dyDescent="0.15">
      <c r="L210" s="873"/>
      <c r="M210" s="873"/>
      <c r="N210" s="873"/>
      <c r="P210" s="873"/>
      <c r="R210" s="32"/>
    </row>
    <row r="211" spans="12:18" x14ac:dyDescent="0.15">
      <c r="L211" s="873"/>
      <c r="M211" s="873"/>
      <c r="N211" s="873"/>
      <c r="P211" s="873"/>
      <c r="R211" s="32"/>
    </row>
    <row r="212" spans="12:18" x14ac:dyDescent="0.15">
      <c r="L212" s="873"/>
      <c r="M212" s="873"/>
      <c r="N212" s="873"/>
      <c r="P212" s="873"/>
      <c r="R212" s="32"/>
    </row>
    <row r="213" spans="12:18" x14ac:dyDescent="0.15">
      <c r="L213" s="873"/>
      <c r="M213" s="873"/>
      <c r="N213" s="873"/>
      <c r="P213" s="873"/>
      <c r="R213" s="32"/>
    </row>
    <row r="214" spans="12:18" x14ac:dyDescent="0.15">
      <c r="L214" s="873"/>
      <c r="M214" s="873"/>
      <c r="N214" s="873"/>
      <c r="P214" s="873"/>
      <c r="R214" s="32"/>
    </row>
    <row r="215" spans="12:18" x14ac:dyDescent="0.15">
      <c r="L215" s="873"/>
      <c r="M215" s="873"/>
      <c r="N215" s="873"/>
      <c r="P215" s="873"/>
      <c r="R215" s="32"/>
    </row>
    <row r="216" spans="12:18" x14ac:dyDescent="0.15">
      <c r="L216" s="873"/>
      <c r="M216" s="873"/>
      <c r="N216" s="873"/>
      <c r="P216" s="873"/>
      <c r="R216" s="32"/>
    </row>
    <row r="217" spans="12:18" x14ac:dyDescent="0.15">
      <c r="L217" s="873"/>
      <c r="M217" s="873"/>
      <c r="N217" s="873"/>
      <c r="P217" s="873"/>
      <c r="R217" s="32"/>
    </row>
    <row r="218" spans="12:18" x14ac:dyDescent="0.15">
      <c r="L218" s="873"/>
      <c r="M218" s="873"/>
      <c r="N218" s="873"/>
      <c r="P218" s="873"/>
      <c r="R218" s="32"/>
    </row>
    <row r="219" spans="12:18" x14ac:dyDescent="0.15">
      <c r="L219" s="873"/>
      <c r="M219" s="873"/>
      <c r="N219" s="873"/>
      <c r="P219" s="873"/>
      <c r="R219" s="32"/>
    </row>
    <row r="220" spans="12:18" x14ac:dyDescent="0.15">
      <c r="L220" s="873"/>
      <c r="M220" s="873"/>
      <c r="N220" s="873"/>
      <c r="P220" s="873"/>
      <c r="R220" s="32"/>
    </row>
    <row r="221" spans="12:18" x14ac:dyDescent="0.15">
      <c r="L221" s="873"/>
      <c r="M221" s="873"/>
      <c r="N221" s="873"/>
      <c r="P221" s="873"/>
      <c r="R221" s="32"/>
    </row>
    <row r="222" spans="12:18" x14ac:dyDescent="0.15">
      <c r="L222" s="873"/>
      <c r="M222" s="873"/>
      <c r="N222" s="873"/>
      <c r="P222" s="873"/>
      <c r="R222" s="32"/>
    </row>
    <row r="223" spans="12:18" x14ac:dyDescent="0.15">
      <c r="L223" s="873"/>
      <c r="M223" s="873"/>
      <c r="N223" s="873"/>
      <c r="P223" s="873"/>
      <c r="R223" s="32"/>
    </row>
    <row r="224" spans="12:18" x14ac:dyDescent="0.15">
      <c r="L224" s="873"/>
      <c r="M224" s="873"/>
      <c r="N224" s="873"/>
      <c r="P224" s="873"/>
      <c r="R224" s="32"/>
    </row>
    <row r="225" spans="12:18" x14ac:dyDescent="0.15">
      <c r="L225" s="873"/>
      <c r="M225" s="873"/>
      <c r="N225" s="873"/>
      <c r="P225" s="873"/>
      <c r="R225" s="32"/>
    </row>
    <row r="226" spans="12:18" x14ac:dyDescent="0.15">
      <c r="L226" s="873"/>
      <c r="M226" s="873"/>
      <c r="N226" s="873"/>
      <c r="P226" s="873"/>
      <c r="R226" s="32"/>
    </row>
    <row r="227" spans="12:18" x14ac:dyDescent="0.15">
      <c r="L227" s="873"/>
      <c r="M227" s="873"/>
      <c r="N227" s="873"/>
      <c r="P227" s="873"/>
      <c r="R227" s="32"/>
    </row>
    <row r="228" spans="12:18" x14ac:dyDescent="0.15">
      <c r="L228" s="873"/>
      <c r="M228" s="873"/>
      <c r="N228" s="873"/>
      <c r="P228" s="873"/>
      <c r="R228" s="32"/>
    </row>
    <row r="229" spans="12:18" x14ac:dyDescent="0.15">
      <c r="L229" s="873"/>
      <c r="M229" s="873"/>
      <c r="N229" s="873"/>
      <c r="P229" s="873"/>
      <c r="R229" s="32"/>
    </row>
    <row r="230" spans="12:18" x14ac:dyDescent="0.15">
      <c r="L230" s="873"/>
      <c r="M230" s="873"/>
      <c r="N230" s="873"/>
      <c r="P230" s="873"/>
      <c r="R230" s="32"/>
    </row>
    <row r="231" spans="12:18" x14ac:dyDescent="0.15">
      <c r="L231" s="873"/>
      <c r="M231" s="873"/>
      <c r="N231" s="873"/>
      <c r="P231" s="873"/>
      <c r="R231" s="32"/>
    </row>
    <row r="232" spans="12:18" x14ac:dyDescent="0.15">
      <c r="L232" s="873"/>
      <c r="M232" s="873"/>
      <c r="N232" s="873"/>
      <c r="P232" s="873"/>
      <c r="R232" s="32"/>
    </row>
    <row r="233" spans="12:18" x14ac:dyDescent="0.15">
      <c r="L233" s="873"/>
      <c r="M233" s="873"/>
      <c r="N233" s="873"/>
      <c r="P233" s="873"/>
      <c r="R233" s="32"/>
    </row>
    <row r="234" spans="12:18" x14ac:dyDescent="0.15">
      <c r="L234" s="873"/>
      <c r="M234" s="873"/>
      <c r="N234" s="873"/>
      <c r="P234" s="873"/>
      <c r="R234" s="32"/>
    </row>
    <row r="235" spans="12:18" x14ac:dyDescent="0.15">
      <c r="L235" s="873"/>
      <c r="M235" s="873"/>
      <c r="N235" s="873"/>
      <c r="P235" s="873"/>
      <c r="R235" s="32"/>
    </row>
    <row r="236" spans="12:18" x14ac:dyDescent="0.15">
      <c r="L236" s="873"/>
      <c r="M236" s="873"/>
      <c r="N236" s="873"/>
      <c r="P236" s="873"/>
      <c r="R236" s="32"/>
    </row>
    <row r="237" spans="12:18" x14ac:dyDescent="0.15">
      <c r="L237" s="873"/>
      <c r="M237" s="873"/>
      <c r="N237" s="873"/>
      <c r="P237" s="873"/>
      <c r="R237" s="32"/>
    </row>
    <row r="238" spans="12:18" x14ac:dyDescent="0.15">
      <c r="L238" s="873"/>
      <c r="M238" s="873"/>
      <c r="N238" s="873"/>
      <c r="P238" s="873"/>
      <c r="R238" s="32"/>
    </row>
    <row r="239" spans="12:18" x14ac:dyDescent="0.15">
      <c r="L239" s="873"/>
      <c r="M239" s="873"/>
      <c r="N239" s="873"/>
      <c r="P239" s="873"/>
      <c r="R239" s="32"/>
    </row>
    <row r="240" spans="12:18" x14ac:dyDescent="0.15">
      <c r="L240" s="873"/>
      <c r="M240" s="873"/>
      <c r="N240" s="873"/>
      <c r="P240" s="873"/>
      <c r="R240" s="32"/>
    </row>
    <row r="241" spans="12:18" x14ac:dyDescent="0.15">
      <c r="L241" s="873"/>
      <c r="M241" s="873"/>
      <c r="N241" s="873"/>
      <c r="P241" s="873"/>
      <c r="R241" s="32"/>
    </row>
    <row r="242" spans="12:18" x14ac:dyDescent="0.15">
      <c r="L242" s="873"/>
      <c r="M242" s="873"/>
      <c r="N242" s="873"/>
      <c r="P242" s="873"/>
      <c r="R242" s="32"/>
    </row>
    <row r="243" spans="12:18" x14ac:dyDescent="0.15">
      <c r="L243" s="873"/>
      <c r="M243" s="873"/>
      <c r="N243" s="873"/>
      <c r="P243" s="873"/>
      <c r="R243" s="32"/>
    </row>
    <row r="244" spans="12:18" x14ac:dyDescent="0.15">
      <c r="L244" s="873"/>
      <c r="M244" s="873"/>
      <c r="N244" s="873"/>
      <c r="P244" s="873"/>
      <c r="R244" s="32"/>
    </row>
    <row r="245" spans="12:18" x14ac:dyDescent="0.15">
      <c r="L245" s="873"/>
      <c r="M245" s="873"/>
      <c r="N245" s="873"/>
      <c r="P245" s="873"/>
      <c r="R245" s="32"/>
    </row>
    <row r="246" spans="12:18" x14ac:dyDescent="0.15">
      <c r="L246" s="873"/>
      <c r="M246" s="873"/>
      <c r="N246" s="873"/>
      <c r="P246" s="873"/>
      <c r="R246" s="32"/>
    </row>
    <row r="247" spans="12:18" x14ac:dyDescent="0.15">
      <c r="L247" s="873"/>
      <c r="M247" s="873"/>
      <c r="N247" s="873"/>
      <c r="P247" s="873"/>
      <c r="R247" s="32"/>
    </row>
    <row r="248" spans="12:18" x14ac:dyDescent="0.15">
      <c r="L248" s="873"/>
      <c r="M248" s="873"/>
      <c r="N248" s="873"/>
      <c r="P248" s="873"/>
      <c r="R248" s="32"/>
    </row>
    <row r="249" spans="12:18" x14ac:dyDescent="0.15">
      <c r="L249" s="873"/>
      <c r="M249" s="873"/>
      <c r="N249" s="873"/>
      <c r="P249" s="873"/>
      <c r="R249" s="32"/>
    </row>
    <row r="250" spans="12:18" x14ac:dyDescent="0.15">
      <c r="L250" s="873"/>
      <c r="M250" s="873"/>
      <c r="N250" s="873"/>
      <c r="P250" s="873"/>
      <c r="R250" s="32"/>
    </row>
    <row r="251" spans="12:18" x14ac:dyDescent="0.15">
      <c r="L251" s="873"/>
      <c r="M251" s="873"/>
      <c r="N251" s="873"/>
      <c r="P251" s="873"/>
      <c r="R251" s="32"/>
    </row>
    <row r="252" spans="12:18" x14ac:dyDescent="0.15">
      <c r="L252" s="873"/>
      <c r="M252" s="873"/>
      <c r="N252" s="873"/>
      <c r="P252" s="873"/>
      <c r="R252" s="32"/>
    </row>
    <row r="253" spans="12:18" x14ac:dyDescent="0.15">
      <c r="L253" s="873"/>
      <c r="M253" s="873"/>
      <c r="N253" s="873"/>
      <c r="P253" s="873"/>
      <c r="R253" s="32"/>
    </row>
    <row r="254" spans="12:18" x14ac:dyDescent="0.15">
      <c r="L254" s="873"/>
      <c r="M254" s="873"/>
      <c r="N254" s="873"/>
      <c r="P254" s="873"/>
      <c r="R254" s="32"/>
    </row>
    <row r="255" spans="12:18" x14ac:dyDescent="0.15">
      <c r="L255" s="873"/>
      <c r="M255" s="873"/>
      <c r="N255" s="873"/>
      <c r="P255" s="873"/>
      <c r="R255" s="32"/>
    </row>
    <row r="256" spans="12:18" x14ac:dyDescent="0.15">
      <c r="L256" s="873"/>
      <c r="M256" s="873"/>
      <c r="N256" s="873"/>
      <c r="P256" s="873"/>
      <c r="R256" s="32"/>
    </row>
    <row r="257" spans="12:18" x14ac:dyDescent="0.15">
      <c r="L257" s="873"/>
      <c r="M257" s="873"/>
      <c r="N257" s="873"/>
      <c r="P257" s="873"/>
      <c r="R257" s="32"/>
    </row>
    <row r="258" spans="12:18" x14ac:dyDescent="0.15">
      <c r="L258" s="873"/>
      <c r="M258" s="873"/>
      <c r="N258" s="873"/>
      <c r="P258" s="873"/>
      <c r="R258" s="32"/>
    </row>
    <row r="259" spans="12:18" x14ac:dyDescent="0.15">
      <c r="L259" s="873"/>
      <c r="M259" s="873"/>
      <c r="N259" s="873"/>
      <c r="P259" s="873"/>
      <c r="R259" s="32"/>
    </row>
    <row r="260" spans="12:18" x14ac:dyDescent="0.15">
      <c r="L260" s="873"/>
      <c r="M260" s="873"/>
      <c r="N260" s="873"/>
      <c r="P260" s="873"/>
      <c r="R260" s="32"/>
    </row>
    <row r="261" spans="12:18" x14ac:dyDescent="0.15">
      <c r="L261" s="873"/>
      <c r="M261" s="873"/>
      <c r="N261" s="873"/>
      <c r="P261" s="873"/>
      <c r="R261" s="32"/>
    </row>
    <row r="262" spans="12:18" x14ac:dyDescent="0.15">
      <c r="L262" s="873"/>
      <c r="M262" s="873"/>
      <c r="N262" s="873"/>
      <c r="P262" s="873"/>
      <c r="R262" s="32"/>
    </row>
    <row r="263" spans="12:18" x14ac:dyDescent="0.15">
      <c r="L263" s="873"/>
      <c r="M263" s="873"/>
      <c r="N263" s="873"/>
      <c r="P263" s="873"/>
      <c r="R263" s="32"/>
    </row>
    <row r="264" spans="12:18" x14ac:dyDescent="0.15">
      <c r="L264" s="873"/>
      <c r="M264" s="873"/>
      <c r="N264" s="873"/>
      <c r="P264" s="873"/>
      <c r="R264" s="32"/>
    </row>
    <row r="265" spans="12:18" x14ac:dyDescent="0.15">
      <c r="L265" s="873"/>
      <c r="M265" s="873"/>
      <c r="N265" s="873"/>
      <c r="P265" s="873"/>
      <c r="R265" s="32"/>
    </row>
    <row r="266" spans="12:18" x14ac:dyDescent="0.15">
      <c r="L266" s="873"/>
      <c r="M266" s="873"/>
      <c r="N266" s="873"/>
      <c r="P266" s="873"/>
      <c r="R266" s="32"/>
    </row>
    <row r="267" spans="12:18" x14ac:dyDescent="0.15">
      <c r="L267" s="873"/>
      <c r="M267" s="873"/>
      <c r="N267" s="873"/>
      <c r="P267" s="873"/>
      <c r="R267" s="32"/>
    </row>
    <row r="268" spans="12:18" x14ac:dyDescent="0.15">
      <c r="L268" s="873"/>
      <c r="M268" s="873"/>
      <c r="N268" s="873"/>
      <c r="P268" s="873"/>
      <c r="R268" s="32"/>
    </row>
    <row r="269" spans="12:18" x14ac:dyDescent="0.15">
      <c r="L269" s="873"/>
      <c r="M269" s="873"/>
      <c r="N269" s="873"/>
      <c r="P269" s="873"/>
      <c r="R269" s="32"/>
    </row>
    <row r="270" spans="12:18" x14ac:dyDescent="0.15">
      <c r="L270" s="873"/>
      <c r="M270" s="873"/>
      <c r="N270" s="873"/>
      <c r="P270" s="873"/>
      <c r="R270" s="32"/>
    </row>
    <row r="271" spans="12:18" x14ac:dyDescent="0.15">
      <c r="L271" s="873"/>
      <c r="M271" s="873"/>
      <c r="N271" s="873"/>
      <c r="P271" s="873"/>
      <c r="R271" s="32"/>
    </row>
    <row r="272" spans="12:18" x14ac:dyDescent="0.15">
      <c r="L272" s="873"/>
      <c r="M272" s="873"/>
      <c r="N272" s="873"/>
      <c r="P272" s="873"/>
      <c r="R272" s="32"/>
    </row>
    <row r="273" spans="12:18" x14ac:dyDescent="0.15">
      <c r="L273" s="873"/>
      <c r="M273" s="873"/>
      <c r="N273" s="873"/>
      <c r="P273" s="873"/>
      <c r="R273" s="32"/>
    </row>
    <row r="274" spans="12:18" x14ac:dyDescent="0.15">
      <c r="L274" s="873"/>
      <c r="M274" s="873"/>
      <c r="N274" s="873"/>
      <c r="P274" s="873"/>
      <c r="R274" s="32"/>
    </row>
    <row r="275" spans="12:18" x14ac:dyDescent="0.15">
      <c r="L275" s="873"/>
      <c r="M275" s="873"/>
      <c r="N275" s="873"/>
      <c r="P275" s="873"/>
      <c r="R275" s="32"/>
    </row>
    <row r="276" spans="12:18" x14ac:dyDescent="0.15">
      <c r="L276" s="873"/>
      <c r="M276" s="873"/>
      <c r="N276" s="873"/>
      <c r="P276" s="873"/>
      <c r="R276" s="32"/>
    </row>
    <row r="277" spans="12:18" x14ac:dyDescent="0.15">
      <c r="L277" s="873"/>
      <c r="M277" s="873"/>
      <c r="N277" s="873"/>
      <c r="P277" s="873"/>
      <c r="R277" s="32"/>
    </row>
    <row r="278" spans="12:18" x14ac:dyDescent="0.15">
      <c r="L278" s="873"/>
      <c r="M278" s="873"/>
      <c r="N278" s="873"/>
      <c r="P278" s="873"/>
      <c r="R278" s="32"/>
    </row>
    <row r="279" spans="12:18" x14ac:dyDescent="0.15">
      <c r="L279" s="873"/>
      <c r="M279" s="873"/>
      <c r="N279" s="873"/>
      <c r="P279" s="873"/>
      <c r="R279" s="32"/>
    </row>
    <row r="280" spans="12:18" x14ac:dyDescent="0.15">
      <c r="L280" s="873"/>
      <c r="M280" s="873"/>
      <c r="N280" s="873"/>
      <c r="P280" s="873"/>
      <c r="R280" s="32"/>
    </row>
    <row r="281" spans="12:18" x14ac:dyDescent="0.15">
      <c r="L281" s="873"/>
      <c r="M281" s="873"/>
      <c r="N281" s="873"/>
      <c r="P281" s="873"/>
      <c r="R281" s="32"/>
    </row>
    <row r="282" spans="12:18" x14ac:dyDescent="0.15">
      <c r="N282" s="873"/>
    </row>
    <row r="283" spans="12:18" x14ac:dyDescent="0.15">
      <c r="N283" s="873"/>
    </row>
    <row r="284" spans="12:18" x14ac:dyDescent="0.15">
      <c r="N284" s="873"/>
    </row>
    <row r="285" spans="12:18" x14ac:dyDescent="0.15">
      <c r="N285" s="873"/>
    </row>
    <row r="286" spans="12:18" x14ac:dyDescent="0.15">
      <c r="N286" s="873"/>
    </row>
    <row r="287" spans="12:18" x14ac:dyDescent="0.15">
      <c r="N287" s="873"/>
    </row>
    <row r="288" spans="12:18" x14ac:dyDescent="0.15">
      <c r="N288" s="873"/>
    </row>
    <row r="289" spans="14:14" x14ac:dyDescent="0.15">
      <c r="N289" s="873"/>
    </row>
    <row r="290" spans="14:14" x14ac:dyDescent="0.15">
      <c r="N290" s="873"/>
    </row>
    <row r="291" spans="14:14" x14ac:dyDescent="0.15">
      <c r="N291" s="873"/>
    </row>
    <row r="292" spans="14:14" x14ac:dyDescent="0.15">
      <c r="N292" s="873"/>
    </row>
    <row r="293" spans="14:14" x14ac:dyDescent="0.15">
      <c r="N293" s="873"/>
    </row>
    <row r="294" spans="14:14" x14ac:dyDescent="0.15">
      <c r="N294" s="873"/>
    </row>
    <row r="295" spans="14:14" x14ac:dyDescent="0.15">
      <c r="N295" s="873"/>
    </row>
    <row r="296" spans="14:14" x14ac:dyDescent="0.15">
      <c r="N296" s="873"/>
    </row>
    <row r="297" spans="14:14" x14ac:dyDescent="0.15">
      <c r="N297" s="873"/>
    </row>
    <row r="298" spans="14:14" x14ac:dyDescent="0.15">
      <c r="N298" s="873"/>
    </row>
    <row r="299" spans="14:14" x14ac:dyDescent="0.15">
      <c r="N299" s="873"/>
    </row>
    <row r="300" spans="14:14" x14ac:dyDescent="0.15">
      <c r="N300" s="873"/>
    </row>
    <row r="301" spans="14:14" x14ac:dyDescent="0.15">
      <c r="N301" s="873"/>
    </row>
    <row r="302" spans="14:14" x14ac:dyDescent="0.15">
      <c r="N302" s="873"/>
    </row>
    <row r="303" spans="14:14" x14ac:dyDescent="0.15">
      <c r="N303" s="873"/>
    </row>
    <row r="304" spans="14:14" x14ac:dyDescent="0.15">
      <c r="N304" s="873"/>
    </row>
    <row r="305" spans="14:14" x14ac:dyDescent="0.15">
      <c r="N305" s="873"/>
    </row>
    <row r="306" spans="14:14" x14ac:dyDescent="0.15">
      <c r="N306" s="873"/>
    </row>
    <row r="307" spans="14:14" x14ac:dyDescent="0.15">
      <c r="N307" s="873"/>
    </row>
    <row r="308" spans="14:14" x14ac:dyDescent="0.15">
      <c r="N308" s="873"/>
    </row>
    <row r="309" spans="14:14" x14ac:dyDescent="0.15">
      <c r="N309" s="873"/>
    </row>
    <row r="310" spans="14:14" x14ac:dyDescent="0.15">
      <c r="N310" s="873"/>
    </row>
    <row r="311" spans="14:14" x14ac:dyDescent="0.15">
      <c r="N311" s="873"/>
    </row>
    <row r="312" spans="14:14" x14ac:dyDescent="0.15">
      <c r="N312" s="873"/>
    </row>
    <row r="313" spans="14:14" x14ac:dyDescent="0.15">
      <c r="N313" s="873"/>
    </row>
    <row r="314" spans="14:14" x14ac:dyDescent="0.15">
      <c r="N314" s="873"/>
    </row>
    <row r="315" spans="14:14" x14ac:dyDescent="0.15">
      <c r="N315" s="873"/>
    </row>
    <row r="316" spans="14:14" x14ac:dyDescent="0.15">
      <c r="N316" s="873"/>
    </row>
    <row r="317" spans="14:14" x14ac:dyDescent="0.15">
      <c r="N317" s="873"/>
    </row>
    <row r="318" spans="14:14" x14ac:dyDescent="0.15">
      <c r="N318" s="873"/>
    </row>
    <row r="319" spans="14:14" x14ac:dyDescent="0.15">
      <c r="N319" s="873"/>
    </row>
    <row r="320" spans="14:14" x14ac:dyDescent="0.15">
      <c r="N320" s="873"/>
    </row>
    <row r="321" spans="14:14" x14ac:dyDescent="0.15">
      <c r="N321" s="873"/>
    </row>
    <row r="322" spans="14:14" x14ac:dyDescent="0.15">
      <c r="N322" s="873"/>
    </row>
    <row r="323" spans="14:14" x14ac:dyDescent="0.15">
      <c r="N323" s="873"/>
    </row>
    <row r="324" spans="14:14" x14ac:dyDescent="0.15">
      <c r="N324" s="873"/>
    </row>
    <row r="325" spans="14:14" x14ac:dyDescent="0.15">
      <c r="N325" s="873"/>
    </row>
    <row r="326" spans="14:14" x14ac:dyDescent="0.15">
      <c r="N326" s="873"/>
    </row>
    <row r="327" spans="14:14" x14ac:dyDescent="0.15">
      <c r="N327" s="873"/>
    </row>
    <row r="328" spans="14:14" x14ac:dyDescent="0.15">
      <c r="N328" s="873"/>
    </row>
    <row r="329" spans="14:14" x14ac:dyDescent="0.15">
      <c r="N329" s="873"/>
    </row>
    <row r="330" spans="14:14" x14ac:dyDescent="0.15">
      <c r="N330" s="873"/>
    </row>
    <row r="331" spans="14:14" x14ac:dyDescent="0.15">
      <c r="N331" s="873"/>
    </row>
    <row r="332" spans="14:14" x14ac:dyDescent="0.15">
      <c r="N332" s="873"/>
    </row>
    <row r="333" spans="14:14" x14ac:dyDescent="0.15">
      <c r="N333" s="873"/>
    </row>
    <row r="334" spans="14:14" x14ac:dyDescent="0.15">
      <c r="N334" s="873"/>
    </row>
    <row r="335" spans="14:14" x14ac:dyDescent="0.15">
      <c r="N335" s="873"/>
    </row>
    <row r="336" spans="14:14" x14ac:dyDescent="0.15">
      <c r="N336" s="873"/>
    </row>
    <row r="337" spans="14:14" x14ac:dyDescent="0.15">
      <c r="N337" s="873"/>
    </row>
    <row r="338" spans="14:14" x14ac:dyDescent="0.15">
      <c r="N338" s="873"/>
    </row>
    <row r="339" spans="14:14" x14ac:dyDescent="0.15">
      <c r="N339" s="873"/>
    </row>
    <row r="340" spans="14:14" x14ac:dyDescent="0.15">
      <c r="N340" s="873"/>
    </row>
    <row r="341" spans="14:14" x14ac:dyDescent="0.15">
      <c r="N341" s="873"/>
    </row>
    <row r="342" spans="14:14" x14ac:dyDescent="0.15">
      <c r="N342" s="873"/>
    </row>
    <row r="343" spans="14:14" x14ac:dyDescent="0.15">
      <c r="N343" s="873"/>
    </row>
    <row r="344" spans="14:14" x14ac:dyDescent="0.15">
      <c r="N344" s="873"/>
    </row>
    <row r="345" spans="14:14" x14ac:dyDescent="0.15">
      <c r="N345" s="873"/>
    </row>
    <row r="346" spans="14:14" x14ac:dyDescent="0.15">
      <c r="N346" s="873"/>
    </row>
    <row r="347" spans="14:14" x14ac:dyDescent="0.15">
      <c r="N347" s="873"/>
    </row>
    <row r="348" spans="14:14" x14ac:dyDescent="0.15">
      <c r="N348" s="873"/>
    </row>
    <row r="349" spans="14:14" x14ac:dyDescent="0.15">
      <c r="N349" s="873"/>
    </row>
    <row r="350" spans="14:14" x14ac:dyDescent="0.15">
      <c r="N350" s="873"/>
    </row>
    <row r="351" spans="14:14" x14ac:dyDescent="0.15">
      <c r="N351" s="873"/>
    </row>
    <row r="352" spans="14:14" x14ac:dyDescent="0.15">
      <c r="N352" s="873"/>
    </row>
    <row r="353" spans="14:14" x14ac:dyDescent="0.15">
      <c r="N353" s="873"/>
    </row>
    <row r="354" spans="14:14" x14ac:dyDescent="0.15">
      <c r="N354" s="873"/>
    </row>
    <row r="355" spans="14:14" x14ac:dyDescent="0.15">
      <c r="N355" s="873"/>
    </row>
    <row r="356" spans="14:14" x14ac:dyDescent="0.15">
      <c r="N356" s="873"/>
    </row>
    <row r="357" spans="14:14" x14ac:dyDescent="0.15">
      <c r="N357" s="873"/>
    </row>
    <row r="358" spans="14:14" x14ac:dyDescent="0.15">
      <c r="N358" s="873"/>
    </row>
    <row r="359" spans="14:14" x14ac:dyDescent="0.15">
      <c r="N359" s="873"/>
    </row>
    <row r="360" spans="14:14" x14ac:dyDescent="0.15">
      <c r="N360" s="873"/>
    </row>
    <row r="361" spans="14:14" x14ac:dyDescent="0.15">
      <c r="N361" s="873"/>
    </row>
    <row r="362" spans="14:14" x14ac:dyDescent="0.15">
      <c r="N362" s="873"/>
    </row>
    <row r="363" spans="14:14" x14ac:dyDescent="0.15">
      <c r="N363" s="873"/>
    </row>
    <row r="364" spans="14:14" x14ac:dyDescent="0.15">
      <c r="N364" s="873"/>
    </row>
    <row r="365" spans="14:14" x14ac:dyDescent="0.15">
      <c r="N365" s="873"/>
    </row>
    <row r="366" spans="14:14" x14ac:dyDescent="0.15">
      <c r="N366" s="873"/>
    </row>
    <row r="367" spans="14:14" x14ac:dyDescent="0.15">
      <c r="N367" s="873"/>
    </row>
    <row r="368" spans="14:14" x14ac:dyDescent="0.15">
      <c r="N368" s="873"/>
    </row>
    <row r="369" spans="14:14" x14ac:dyDescent="0.15">
      <c r="N369" s="873"/>
    </row>
    <row r="370" spans="14:14" x14ac:dyDescent="0.15">
      <c r="N370" s="873"/>
    </row>
    <row r="371" spans="14:14" x14ac:dyDescent="0.15">
      <c r="N371" s="873"/>
    </row>
    <row r="372" spans="14:14" x14ac:dyDescent="0.15">
      <c r="N372" s="873"/>
    </row>
    <row r="373" spans="14:14" x14ac:dyDescent="0.15">
      <c r="N373" s="873"/>
    </row>
    <row r="374" spans="14:14" x14ac:dyDescent="0.15">
      <c r="N374" s="873"/>
    </row>
    <row r="375" spans="14:14" x14ac:dyDescent="0.15">
      <c r="N375" s="873"/>
    </row>
    <row r="376" spans="14:14" x14ac:dyDescent="0.15">
      <c r="N376" s="873"/>
    </row>
    <row r="377" spans="14:14" x14ac:dyDescent="0.15">
      <c r="N377" s="873"/>
    </row>
    <row r="378" spans="14:14" x14ac:dyDescent="0.15">
      <c r="N378" s="873"/>
    </row>
    <row r="379" spans="14:14" x14ac:dyDescent="0.15">
      <c r="N379" s="873"/>
    </row>
    <row r="380" spans="14:14" x14ac:dyDescent="0.15">
      <c r="N380" s="873"/>
    </row>
    <row r="381" spans="14:14" x14ac:dyDescent="0.15">
      <c r="N381" s="873"/>
    </row>
    <row r="382" spans="14:14" x14ac:dyDescent="0.15">
      <c r="N382" s="873"/>
    </row>
    <row r="383" spans="14:14" x14ac:dyDescent="0.15">
      <c r="N383" s="873"/>
    </row>
    <row r="384" spans="14:14" x14ac:dyDescent="0.15">
      <c r="N384" s="873"/>
    </row>
    <row r="385" spans="14:14" x14ac:dyDescent="0.15">
      <c r="N385" s="873"/>
    </row>
    <row r="386" spans="14:14" x14ac:dyDescent="0.15">
      <c r="N386" s="873"/>
    </row>
    <row r="387" spans="14:14" x14ac:dyDescent="0.15">
      <c r="N387" s="873"/>
    </row>
    <row r="388" spans="14:14" x14ac:dyDescent="0.15">
      <c r="N388" s="873"/>
    </row>
    <row r="389" spans="14:14" x14ac:dyDescent="0.15">
      <c r="N389" s="873"/>
    </row>
    <row r="390" spans="14:14" x14ac:dyDescent="0.15">
      <c r="N390" s="873"/>
    </row>
    <row r="391" spans="14:14" x14ac:dyDescent="0.15">
      <c r="N391" s="873"/>
    </row>
    <row r="392" spans="14:14" x14ac:dyDescent="0.15">
      <c r="N392" s="873"/>
    </row>
    <row r="393" spans="14:14" x14ac:dyDescent="0.15">
      <c r="N393" s="873"/>
    </row>
    <row r="394" spans="14:14" x14ac:dyDescent="0.15">
      <c r="N394" s="873"/>
    </row>
    <row r="395" spans="14:14" x14ac:dyDescent="0.15">
      <c r="N395" s="873"/>
    </row>
    <row r="396" spans="14:14" x14ac:dyDescent="0.15">
      <c r="N396" s="873"/>
    </row>
    <row r="397" spans="14:14" x14ac:dyDescent="0.15">
      <c r="N397" s="873"/>
    </row>
    <row r="398" spans="14:14" x14ac:dyDescent="0.15">
      <c r="N398" s="873"/>
    </row>
    <row r="399" spans="14:14" x14ac:dyDescent="0.15">
      <c r="N399" s="873"/>
    </row>
    <row r="400" spans="14:14" x14ac:dyDescent="0.15">
      <c r="N400" s="873"/>
    </row>
    <row r="401" spans="14:14" x14ac:dyDescent="0.15">
      <c r="N401" s="873"/>
    </row>
    <row r="402" spans="14:14" x14ac:dyDescent="0.15">
      <c r="N402" s="873"/>
    </row>
    <row r="403" spans="14:14" x14ac:dyDescent="0.15">
      <c r="N403" s="873"/>
    </row>
    <row r="404" spans="14:14" x14ac:dyDescent="0.15">
      <c r="N404" s="873"/>
    </row>
    <row r="405" spans="14:14" x14ac:dyDescent="0.15">
      <c r="N405" s="873"/>
    </row>
    <row r="406" spans="14:14" x14ac:dyDescent="0.15">
      <c r="N406" s="873"/>
    </row>
    <row r="407" spans="14:14" x14ac:dyDescent="0.15">
      <c r="N407" s="873"/>
    </row>
    <row r="408" spans="14:14" x14ac:dyDescent="0.15">
      <c r="N408" s="873"/>
    </row>
    <row r="409" spans="14:14" x14ac:dyDescent="0.15">
      <c r="N409" s="873"/>
    </row>
    <row r="410" spans="14:14" x14ac:dyDescent="0.15">
      <c r="N410" s="873"/>
    </row>
    <row r="411" spans="14:14" x14ac:dyDescent="0.15">
      <c r="N411" s="873"/>
    </row>
    <row r="412" spans="14:14" x14ac:dyDescent="0.15">
      <c r="N412" s="873"/>
    </row>
    <row r="413" spans="14:14" x14ac:dyDescent="0.15">
      <c r="N413" s="873"/>
    </row>
    <row r="414" spans="14:14" x14ac:dyDescent="0.15">
      <c r="N414" s="873"/>
    </row>
    <row r="415" spans="14:14" x14ac:dyDescent="0.15">
      <c r="N415" s="873"/>
    </row>
    <row r="416" spans="14:14" x14ac:dyDescent="0.15">
      <c r="N416" s="873"/>
    </row>
    <row r="417" spans="14:14" x14ac:dyDescent="0.15">
      <c r="N417" s="873"/>
    </row>
    <row r="418" spans="14:14" x14ac:dyDescent="0.15">
      <c r="N418" s="873"/>
    </row>
    <row r="419" spans="14:14" x14ac:dyDescent="0.15">
      <c r="N419" s="873"/>
    </row>
    <row r="420" spans="14:14" x14ac:dyDescent="0.15">
      <c r="N420" s="873"/>
    </row>
    <row r="421" spans="14:14" x14ac:dyDescent="0.15">
      <c r="N421" s="873"/>
    </row>
    <row r="422" spans="14:14" x14ac:dyDescent="0.15">
      <c r="N422" s="873"/>
    </row>
    <row r="423" spans="14:14" x14ac:dyDescent="0.15">
      <c r="N423" s="873"/>
    </row>
    <row r="424" spans="14:14" x14ac:dyDescent="0.15">
      <c r="N424" s="873"/>
    </row>
    <row r="425" spans="14:14" x14ac:dyDescent="0.15">
      <c r="N425" s="873"/>
    </row>
    <row r="426" spans="14:14" x14ac:dyDescent="0.15">
      <c r="N426" s="873"/>
    </row>
    <row r="427" spans="14:14" x14ac:dyDescent="0.15">
      <c r="N427" s="873"/>
    </row>
    <row r="428" spans="14:14" x14ac:dyDescent="0.15">
      <c r="N428" s="873"/>
    </row>
    <row r="429" spans="14:14" x14ac:dyDescent="0.15">
      <c r="N429" s="873"/>
    </row>
    <row r="430" spans="14:14" x14ac:dyDescent="0.15">
      <c r="N430" s="873"/>
    </row>
    <row r="431" spans="14:14" x14ac:dyDescent="0.15">
      <c r="N431" s="873"/>
    </row>
    <row r="432" spans="14:14" x14ac:dyDescent="0.15">
      <c r="N432" s="873"/>
    </row>
    <row r="433" spans="14:14" x14ac:dyDescent="0.15">
      <c r="N433" s="873"/>
    </row>
    <row r="434" spans="14:14" x14ac:dyDescent="0.15">
      <c r="N434" s="873"/>
    </row>
    <row r="435" spans="14:14" x14ac:dyDescent="0.15">
      <c r="N435" s="873"/>
    </row>
    <row r="436" spans="14:14" x14ac:dyDescent="0.15">
      <c r="N436" s="873"/>
    </row>
    <row r="437" spans="14:14" x14ac:dyDescent="0.15">
      <c r="N437" s="873"/>
    </row>
    <row r="438" spans="14:14" x14ac:dyDescent="0.15">
      <c r="N438" s="873"/>
    </row>
    <row r="439" spans="14:14" x14ac:dyDescent="0.15">
      <c r="N439" s="873"/>
    </row>
    <row r="440" spans="14:14" x14ac:dyDescent="0.15">
      <c r="N440" s="873"/>
    </row>
    <row r="441" spans="14:14" x14ac:dyDescent="0.15">
      <c r="N441" s="873"/>
    </row>
    <row r="442" spans="14:14" x14ac:dyDescent="0.15">
      <c r="N442" s="873"/>
    </row>
    <row r="443" spans="14:14" x14ac:dyDescent="0.15">
      <c r="N443" s="873"/>
    </row>
    <row r="444" spans="14:14" x14ac:dyDescent="0.15">
      <c r="N444" s="873"/>
    </row>
    <row r="445" spans="14:14" x14ac:dyDescent="0.15">
      <c r="N445" s="873"/>
    </row>
    <row r="446" spans="14:14" x14ac:dyDescent="0.15">
      <c r="N446" s="873"/>
    </row>
    <row r="447" spans="14:14" x14ac:dyDescent="0.15">
      <c r="N447" s="873"/>
    </row>
    <row r="448" spans="14:14" x14ac:dyDescent="0.15">
      <c r="N448" s="873"/>
    </row>
    <row r="449" spans="14:14" x14ac:dyDescent="0.15">
      <c r="N449" s="873"/>
    </row>
    <row r="450" spans="14:14" x14ac:dyDescent="0.15">
      <c r="N450" s="873"/>
    </row>
    <row r="451" spans="14:14" x14ac:dyDescent="0.15">
      <c r="N451" s="873"/>
    </row>
    <row r="452" spans="14:14" x14ac:dyDescent="0.15">
      <c r="N452" s="873"/>
    </row>
    <row r="453" spans="14:14" x14ac:dyDescent="0.15">
      <c r="N453" s="873"/>
    </row>
    <row r="454" spans="14:14" x14ac:dyDescent="0.15">
      <c r="N454" s="873"/>
    </row>
    <row r="455" spans="14:14" x14ac:dyDescent="0.15">
      <c r="N455" s="873"/>
    </row>
    <row r="456" spans="14:14" x14ac:dyDescent="0.15">
      <c r="N456" s="873"/>
    </row>
    <row r="457" spans="14:14" x14ac:dyDescent="0.15">
      <c r="N457" s="873"/>
    </row>
    <row r="458" spans="14:14" x14ac:dyDescent="0.15">
      <c r="N458" s="873"/>
    </row>
    <row r="459" spans="14:14" x14ac:dyDescent="0.15">
      <c r="N459" s="873"/>
    </row>
    <row r="460" spans="14:14" x14ac:dyDescent="0.15">
      <c r="N460" s="873"/>
    </row>
    <row r="461" spans="14:14" x14ac:dyDescent="0.15">
      <c r="N461" s="873"/>
    </row>
    <row r="462" spans="14:14" x14ac:dyDescent="0.15">
      <c r="N462" s="873"/>
    </row>
    <row r="463" spans="14:14" x14ac:dyDescent="0.15">
      <c r="N463" s="873"/>
    </row>
    <row r="464" spans="14:14" x14ac:dyDescent="0.15">
      <c r="N464" s="873"/>
    </row>
    <row r="465" spans="14:14" x14ac:dyDescent="0.15">
      <c r="N465" s="873"/>
    </row>
    <row r="466" spans="14:14" x14ac:dyDescent="0.15">
      <c r="N466" s="873"/>
    </row>
    <row r="467" spans="14:14" x14ac:dyDescent="0.15">
      <c r="N467" s="873"/>
    </row>
    <row r="468" spans="14:14" x14ac:dyDescent="0.15">
      <c r="N468" s="873"/>
    </row>
    <row r="469" spans="14:14" x14ac:dyDescent="0.15">
      <c r="N469" s="873"/>
    </row>
    <row r="470" spans="14:14" x14ac:dyDescent="0.15">
      <c r="N470" s="873"/>
    </row>
    <row r="471" spans="14:14" x14ac:dyDescent="0.15">
      <c r="N471" s="873"/>
    </row>
    <row r="472" spans="14:14" x14ac:dyDescent="0.15">
      <c r="N472" s="873"/>
    </row>
    <row r="473" spans="14:14" x14ac:dyDescent="0.15">
      <c r="N473" s="873"/>
    </row>
    <row r="474" spans="14:14" x14ac:dyDescent="0.15">
      <c r="N474" s="873"/>
    </row>
    <row r="475" spans="14:14" x14ac:dyDescent="0.15">
      <c r="N475" s="873"/>
    </row>
    <row r="476" spans="14:14" x14ac:dyDescent="0.15">
      <c r="N476" s="873"/>
    </row>
    <row r="477" spans="14:14" x14ac:dyDescent="0.15">
      <c r="N477" s="873"/>
    </row>
    <row r="478" spans="14:14" x14ac:dyDescent="0.15">
      <c r="N478" s="873"/>
    </row>
    <row r="479" spans="14:14" x14ac:dyDescent="0.15">
      <c r="N479" s="873"/>
    </row>
    <row r="480" spans="14:14" x14ac:dyDescent="0.15">
      <c r="N480" s="873"/>
    </row>
    <row r="481" spans="14:14" x14ac:dyDescent="0.15">
      <c r="N481" s="873"/>
    </row>
    <row r="482" spans="14:14" x14ac:dyDescent="0.15">
      <c r="N482" s="873"/>
    </row>
    <row r="483" spans="14:14" x14ac:dyDescent="0.15">
      <c r="N483" s="873"/>
    </row>
    <row r="484" spans="14:14" x14ac:dyDescent="0.15">
      <c r="N484" s="873"/>
    </row>
    <row r="485" spans="14:14" x14ac:dyDescent="0.15">
      <c r="N485" s="873"/>
    </row>
    <row r="486" spans="14:14" x14ac:dyDescent="0.15">
      <c r="N486" s="873"/>
    </row>
    <row r="487" spans="14:14" x14ac:dyDescent="0.15">
      <c r="N487" s="873"/>
    </row>
    <row r="488" spans="14:14" x14ac:dyDescent="0.15">
      <c r="N488" s="873"/>
    </row>
    <row r="489" spans="14:14" x14ac:dyDescent="0.15">
      <c r="N489" s="873"/>
    </row>
    <row r="490" spans="14:14" x14ac:dyDescent="0.15">
      <c r="N490" s="873"/>
    </row>
    <row r="491" spans="14:14" x14ac:dyDescent="0.15">
      <c r="N491" s="873"/>
    </row>
    <row r="492" spans="14:14" x14ac:dyDescent="0.15">
      <c r="N492" s="873"/>
    </row>
    <row r="493" spans="14:14" x14ac:dyDescent="0.15">
      <c r="N493" s="873"/>
    </row>
    <row r="494" spans="14:14" x14ac:dyDescent="0.15">
      <c r="N494" s="873"/>
    </row>
    <row r="495" spans="14:14" x14ac:dyDescent="0.15">
      <c r="N495" s="873"/>
    </row>
    <row r="496" spans="14:14" x14ac:dyDescent="0.15">
      <c r="N496" s="873"/>
    </row>
    <row r="497" spans="14:14" x14ac:dyDescent="0.15">
      <c r="N497" s="873"/>
    </row>
    <row r="498" spans="14:14" x14ac:dyDescent="0.15">
      <c r="N498" s="873"/>
    </row>
    <row r="499" spans="14:14" x14ac:dyDescent="0.15">
      <c r="N499" s="873"/>
    </row>
    <row r="500" spans="14:14" x14ac:dyDescent="0.15">
      <c r="N500" s="873"/>
    </row>
    <row r="501" spans="14:14" x14ac:dyDescent="0.15">
      <c r="N501" s="873"/>
    </row>
    <row r="502" spans="14:14" x14ac:dyDescent="0.15">
      <c r="N502" s="873"/>
    </row>
    <row r="503" spans="14:14" x14ac:dyDescent="0.15">
      <c r="N503" s="873"/>
    </row>
    <row r="504" spans="14:14" x14ac:dyDescent="0.15">
      <c r="N504" s="873"/>
    </row>
    <row r="505" spans="14:14" x14ac:dyDescent="0.15">
      <c r="N505" s="873"/>
    </row>
    <row r="506" spans="14:14" x14ac:dyDescent="0.15">
      <c r="N506" s="873"/>
    </row>
    <row r="507" spans="14:14" x14ac:dyDescent="0.15">
      <c r="N507" s="873"/>
    </row>
    <row r="508" spans="14:14" x14ac:dyDescent="0.15">
      <c r="N508" s="873"/>
    </row>
    <row r="509" spans="14:14" x14ac:dyDescent="0.15">
      <c r="N509" s="873"/>
    </row>
    <row r="510" spans="14:14" x14ac:dyDescent="0.15">
      <c r="N510" s="873"/>
    </row>
    <row r="511" spans="14:14" x14ac:dyDescent="0.15">
      <c r="N511" s="873"/>
    </row>
    <row r="512" spans="14:14" x14ac:dyDescent="0.15">
      <c r="N512" s="873"/>
    </row>
    <row r="513" spans="14:14" x14ac:dyDescent="0.15">
      <c r="N513" s="873"/>
    </row>
    <row r="514" spans="14:14" x14ac:dyDescent="0.15">
      <c r="N514" s="873"/>
    </row>
    <row r="515" spans="14:14" x14ac:dyDescent="0.15">
      <c r="N515" s="873"/>
    </row>
    <row r="516" spans="14:14" x14ac:dyDescent="0.15">
      <c r="N516" s="873"/>
    </row>
    <row r="517" spans="14:14" x14ac:dyDescent="0.15">
      <c r="N517" s="873"/>
    </row>
    <row r="518" spans="14:14" x14ac:dyDescent="0.15">
      <c r="N518" s="873"/>
    </row>
    <row r="519" spans="14:14" x14ac:dyDescent="0.15">
      <c r="N519" s="873"/>
    </row>
    <row r="520" spans="14:14" x14ac:dyDescent="0.15">
      <c r="N520" s="873"/>
    </row>
    <row r="521" spans="14:14" x14ac:dyDescent="0.15">
      <c r="N521" s="873"/>
    </row>
    <row r="522" spans="14:14" x14ac:dyDescent="0.15">
      <c r="N522" s="873"/>
    </row>
    <row r="523" spans="14:14" x14ac:dyDescent="0.15">
      <c r="N523" s="873"/>
    </row>
    <row r="524" spans="14:14" x14ac:dyDescent="0.15">
      <c r="N524" s="873"/>
    </row>
    <row r="525" spans="14:14" x14ac:dyDescent="0.15">
      <c r="N525" s="873"/>
    </row>
    <row r="526" spans="14:14" x14ac:dyDescent="0.15">
      <c r="N526" s="873"/>
    </row>
    <row r="527" spans="14:14" x14ac:dyDescent="0.15">
      <c r="N527" s="873"/>
    </row>
    <row r="528" spans="14:14" x14ac:dyDescent="0.15">
      <c r="N528" s="873"/>
    </row>
    <row r="529" spans="14:14" x14ac:dyDescent="0.15">
      <c r="N529" s="873"/>
    </row>
    <row r="530" spans="14:14" x14ac:dyDescent="0.15">
      <c r="N530" s="873"/>
    </row>
    <row r="531" spans="14:14" x14ac:dyDescent="0.15">
      <c r="N531" s="873"/>
    </row>
    <row r="532" spans="14:14" x14ac:dyDescent="0.15">
      <c r="N532" s="873"/>
    </row>
    <row r="533" spans="14:14" x14ac:dyDescent="0.15">
      <c r="N533" s="873"/>
    </row>
    <row r="534" spans="14:14" x14ac:dyDescent="0.15">
      <c r="N534" s="873"/>
    </row>
    <row r="535" spans="14:14" x14ac:dyDescent="0.15">
      <c r="N535" s="873"/>
    </row>
    <row r="536" spans="14:14" x14ac:dyDescent="0.15">
      <c r="N536" s="873"/>
    </row>
    <row r="537" spans="14:14" x14ac:dyDescent="0.15">
      <c r="N537" s="873"/>
    </row>
    <row r="538" spans="14:14" x14ac:dyDescent="0.15">
      <c r="N538" s="873"/>
    </row>
    <row r="539" spans="14:14" x14ac:dyDescent="0.15">
      <c r="N539" s="873"/>
    </row>
    <row r="540" spans="14:14" x14ac:dyDescent="0.15">
      <c r="N540" s="873"/>
    </row>
    <row r="541" spans="14:14" x14ac:dyDescent="0.15">
      <c r="N541" s="873"/>
    </row>
    <row r="542" spans="14:14" x14ac:dyDescent="0.15">
      <c r="N542" s="873"/>
    </row>
    <row r="543" spans="14:14" x14ac:dyDescent="0.15">
      <c r="N543" s="873"/>
    </row>
    <row r="544" spans="14:14" x14ac:dyDescent="0.15">
      <c r="N544" s="873"/>
    </row>
    <row r="545" spans="14:14" x14ac:dyDescent="0.15">
      <c r="N545" s="873"/>
    </row>
    <row r="546" spans="14:14" x14ac:dyDescent="0.15">
      <c r="N546" s="873"/>
    </row>
    <row r="547" spans="14:14" x14ac:dyDescent="0.15">
      <c r="N547" s="873"/>
    </row>
    <row r="548" spans="14:14" x14ac:dyDescent="0.15">
      <c r="N548" s="873"/>
    </row>
    <row r="549" spans="14:14" x14ac:dyDescent="0.15">
      <c r="N549" s="873"/>
    </row>
    <row r="550" spans="14:14" x14ac:dyDescent="0.15">
      <c r="N550" s="873"/>
    </row>
    <row r="551" spans="14:14" x14ac:dyDescent="0.15">
      <c r="N551" s="873"/>
    </row>
    <row r="552" spans="14:14" x14ac:dyDescent="0.15">
      <c r="N552" s="873"/>
    </row>
    <row r="553" spans="14:14" x14ac:dyDescent="0.15">
      <c r="N553" s="873"/>
    </row>
    <row r="554" spans="14:14" x14ac:dyDescent="0.15">
      <c r="N554" s="873"/>
    </row>
    <row r="555" spans="14:14" x14ac:dyDescent="0.15">
      <c r="N555" s="873"/>
    </row>
    <row r="556" spans="14:14" x14ac:dyDescent="0.15">
      <c r="N556" s="873"/>
    </row>
    <row r="557" spans="14:14" x14ac:dyDescent="0.15">
      <c r="N557" s="873"/>
    </row>
    <row r="558" spans="14:14" x14ac:dyDescent="0.15">
      <c r="N558" s="873"/>
    </row>
    <row r="559" spans="14:14" x14ac:dyDescent="0.15">
      <c r="N559" s="873"/>
    </row>
    <row r="560" spans="14:14" x14ac:dyDescent="0.15">
      <c r="N560" s="873"/>
    </row>
    <row r="561" spans="14:14" x14ac:dyDescent="0.15">
      <c r="N561" s="873"/>
    </row>
    <row r="562" spans="14:14" x14ac:dyDescent="0.15">
      <c r="N562" s="873"/>
    </row>
    <row r="563" spans="14:14" x14ac:dyDescent="0.15">
      <c r="N563" s="873"/>
    </row>
    <row r="564" spans="14:14" x14ac:dyDescent="0.15">
      <c r="N564" s="873"/>
    </row>
    <row r="565" spans="14:14" x14ac:dyDescent="0.15">
      <c r="N565" s="873"/>
    </row>
    <row r="566" spans="14:14" x14ac:dyDescent="0.15">
      <c r="N566" s="873"/>
    </row>
    <row r="567" spans="14:14" x14ac:dyDescent="0.15">
      <c r="N567" s="873"/>
    </row>
    <row r="568" spans="14:14" x14ac:dyDescent="0.15">
      <c r="N568" s="873"/>
    </row>
    <row r="569" spans="14:14" x14ac:dyDescent="0.15">
      <c r="N569" s="873"/>
    </row>
    <row r="570" spans="14:14" x14ac:dyDescent="0.15">
      <c r="N570" s="873"/>
    </row>
    <row r="571" spans="14:14" x14ac:dyDescent="0.15">
      <c r="N571" s="873"/>
    </row>
    <row r="572" spans="14:14" x14ac:dyDescent="0.15">
      <c r="N572" s="873"/>
    </row>
    <row r="573" spans="14:14" x14ac:dyDescent="0.15">
      <c r="N573" s="873"/>
    </row>
    <row r="574" spans="14:14" x14ac:dyDescent="0.15">
      <c r="N574" s="873"/>
    </row>
    <row r="575" spans="14:14" x14ac:dyDescent="0.15">
      <c r="N575" s="873"/>
    </row>
    <row r="576" spans="14:14" x14ac:dyDescent="0.15">
      <c r="N576" s="873"/>
    </row>
    <row r="577" spans="14:14" x14ac:dyDescent="0.15">
      <c r="N577" s="873"/>
    </row>
    <row r="578" spans="14:14" x14ac:dyDescent="0.15">
      <c r="N578" s="873"/>
    </row>
    <row r="579" spans="14:14" x14ac:dyDescent="0.15">
      <c r="N579" s="873"/>
    </row>
    <row r="580" spans="14:14" x14ac:dyDescent="0.15">
      <c r="N580" s="873"/>
    </row>
    <row r="581" spans="14:14" x14ac:dyDescent="0.15">
      <c r="N581" s="873"/>
    </row>
    <row r="582" spans="14:14" x14ac:dyDescent="0.15">
      <c r="N582" s="873"/>
    </row>
    <row r="583" spans="14:14" x14ac:dyDescent="0.15">
      <c r="N583" s="873"/>
    </row>
    <row r="584" spans="14:14" x14ac:dyDescent="0.15">
      <c r="N584" s="873"/>
    </row>
    <row r="585" spans="14:14" x14ac:dyDescent="0.15">
      <c r="N585" s="873"/>
    </row>
    <row r="586" spans="14:14" x14ac:dyDescent="0.15">
      <c r="N586" s="873"/>
    </row>
    <row r="587" spans="14:14" x14ac:dyDescent="0.15">
      <c r="N587" s="873"/>
    </row>
    <row r="588" spans="14:14" x14ac:dyDescent="0.15">
      <c r="N588" s="873"/>
    </row>
    <row r="589" spans="14:14" x14ac:dyDescent="0.15">
      <c r="N589" s="873"/>
    </row>
    <row r="590" spans="14:14" x14ac:dyDescent="0.15">
      <c r="N590" s="873"/>
    </row>
    <row r="591" spans="14:14" x14ac:dyDescent="0.15">
      <c r="N591" s="873"/>
    </row>
    <row r="592" spans="14:14" x14ac:dyDescent="0.15">
      <c r="N592" s="873"/>
    </row>
    <row r="593" spans="14:14" x14ac:dyDescent="0.15">
      <c r="N593" s="873"/>
    </row>
    <row r="594" spans="14:14" x14ac:dyDescent="0.15">
      <c r="N594" s="873"/>
    </row>
    <row r="595" spans="14:14" x14ac:dyDescent="0.15">
      <c r="N595" s="873"/>
    </row>
    <row r="596" spans="14:14" x14ac:dyDescent="0.15">
      <c r="N596" s="873"/>
    </row>
    <row r="597" spans="14:14" x14ac:dyDescent="0.15">
      <c r="N597" s="873"/>
    </row>
    <row r="598" spans="14:14" x14ac:dyDescent="0.15">
      <c r="N598" s="873"/>
    </row>
    <row r="599" spans="14:14" x14ac:dyDescent="0.15">
      <c r="N599" s="873"/>
    </row>
    <row r="600" spans="14:14" x14ac:dyDescent="0.15">
      <c r="N600" s="873"/>
    </row>
    <row r="601" spans="14:14" x14ac:dyDescent="0.15">
      <c r="N601" s="873"/>
    </row>
    <row r="602" spans="14:14" x14ac:dyDescent="0.15">
      <c r="N602" s="873"/>
    </row>
    <row r="603" spans="14:14" x14ac:dyDescent="0.15">
      <c r="N603" s="873"/>
    </row>
    <row r="604" spans="14:14" x14ac:dyDescent="0.15">
      <c r="N604" s="873"/>
    </row>
    <row r="605" spans="14:14" x14ac:dyDescent="0.15">
      <c r="N605" s="873"/>
    </row>
    <row r="606" spans="14:14" x14ac:dyDescent="0.15">
      <c r="N606" s="873"/>
    </row>
    <row r="607" spans="14:14" x14ac:dyDescent="0.15">
      <c r="N607" s="873"/>
    </row>
    <row r="608" spans="14:14" x14ac:dyDescent="0.15">
      <c r="N608" s="873"/>
    </row>
    <row r="609" spans="14:14" x14ac:dyDescent="0.15">
      <c r="N609" s="873"/>
    </row>
    <row r="610" spans="14:14" x14ac:dyDescent="0.15">
      <c r="N610" s="873"/>
    </row>
    <row r="611" spans="14:14" x14ac:dyDescent="0.15">
      <c r="N611" s="873"/>
    </row>
    <row r="612" spans="14:14" x14ac:dyDescent="0.15">
      <c r="N612" s="873"/>
    </row>
    <row r="613" spans="14:14" x14ac:dyDescent="0.15">
      <c r="N613" s="873"/>
    </row>
    <row r="614" spans="14:14" x14ac:dyDescent="0.15">
      <c r="N614" s="873"/>
    </row>
    <row r="615" spans="14:14" x14ac:dyDescent="0.15">
      <c r="N615" s="873"/>
    </row>
    <row r="616" spans="14:14" x14ac:dyDescent="0.15">
      <c r="N616" s="873"/>
    </row>
    <row r="617" spans="14:14" x14ac:dyDescent="0.15">
      <c r="N617" s="873"/>
    </row>
    <row r="618" spans="14:14" x14ac:dyDescent="0.15">
      <c r="N618" s="873"/>
    </row>
    <row r="619" spans="14:14" x14ac:dyDescent="0.15">
      <c r="N619" s="873"/>
    </row>
    <row r="620" spans="14:14" x14ac:dyDescent="0.15">
      <c r="N620" s="873"/>
    </row>
    <row r="621" spans="14:14" x14ac:dyDescent="0.15">
      <c r="N621" s="873"/>
    </row>
    <row r="622" spans="14:14" x14ac:dyDescent="0.15">
      <c r="N622" s="873"/>
    </row>
    <row r="623" spans="14:14" x14ac:dyDescent="0.15">
      <c r="N623" s="873"/>
    </row>
    <row r="624" spans="14:14" x14ac:dyDescent="0.15">
      <c r="N624" s="873"/>
    </row>
    <row r="625" spans="14:14" x14ac:dyDescent="0.15">
      <c r="N625" s="873"/>
    </row>
    <row r="626" spans="14:14" x14ac:dyDescent="0.15">
      <c r="N626" s="873"/>
    </row>
    <row r="627" spans="14:14" x14ac:dyDescent="0.15">
      <c r="N627" s="873"/>
    </row>
    <row r="628" spans="14:14" x14ac:dyDescent="0.15">
      <c r="N628" s="873"/>
    </row>
    <row r="629" spans="14:14" x14ac:dyDescent="0.15">
      <c r="N629" s="873"/>
    </row>
    <row r="630" spans="14:14" x14ac:dyDescent="0.15">
      <c r="N630" s="873"/>
    </row>
    <row r="631" spans="14:14" x14ac:dyDescent="0.15">
      <c r="N631" s="873"/>
    </row>
    <row r="632" spans="14:14" x14ac:dyDescent="0.15">
      <c r="N632" s="873"/>
    </row>
    <row r="633" spans="14:14" x14ac:dyDescent="0.15">
      <c r="N633" s="873"/>
    </row>
    <row r="634" spans="14:14" x14ac:dyDescent="0.15">
      <c r="N634" s="873"/>
    </row>
    <row r="635" spans="14:14" x14ac:dyDescent="0.15">
      <c r="N635" s="873"/>
    </row>
    <row r="636" spans="14:14" x14ac:dyDescent="0.15">
      <c r="N636" s="873"/>
    </row>
    <row r="637" spans="14:14" x14ac:dyDescent="0.15">
      <c r="N637" s="873"/>
    </row>
    <row r="638" spans="14:14" x14ac:dyDescent="0.15">
      <c r="N638" s="873"/>
    </row>
    <row r="639" spans="14:14" x14ac:dyDescent="0.15">
      <c r="N639" s="873"/>
    </row>
    <row r="640" spans="14:14" x14ac:dyDescent="0.15">
      <c r="N640" s="873"/>
    </row>
    <row r="641" spans="14:14" x14ac:dyDescent="0.15">
      <c r="N641" s="873"/>
    </row>
    <row r="642" spans="14:14" x14ac:dyDescent="0.15">
      <c r="N642" s="873"/>
    </row>
    <row r="643" spans="14:14" x14ac:dyDescent="0.15">
      <c r="N643" s="873"/>
    </row>
    <row r="644" spans="14:14" x14ac:dyDescent="0.15">
      <c r="N644" s="873"/>
    </row>
    <row r="645" spans="14:14" x14ac:dyDescent="0.15">
      <c r="N645" s="873"/>
    </row>
    <row r="646" spans="14:14" x14ac:dyDescent="0.15">
      <c r="N646" s="873"/>
    </row>
    <row r="647" spans="14:14" x14ac:dyDescent="0.15">
      <c r="N647" s="873"/>
    </row>
    <row r="648" spans="14:14" x14ac:dyDescent="0.15">
      <c r="N648" s="873"/>
    </row>
    <row r="649" spans="14:14" x14ac:dyDescent="0.15">
      <c r="N649" s="873"/>
    </row>
    <row r="650" spans="14:14" x14ac:dyDescent="0.15">
      <c r="N650" s="873"/>
    </row>
    <row r="651" spans="14:14" x14ac:dyDescent="0.15">
      <c r="N651" s="873"/>
    </row>
    <row r="652" spans="14:14" x14ac:dyDescent="0.15">
      <c r="N652" s="873"/>
    </row>
    <row r="653" spans="14:14" x14ac:dyDescent="0.15">
      <c r="N653" s="873"/>
    </row>
    <row r="654" spans="14:14" x14ac:dyDescent="0.15">
      <c r="N654" s="873"/>
    </row>
    <row r="655" spans="14:14" x14ac:dyDescent="0.15">
      <c r="N655" s="873"/>
    </row>
    <row r="656" spans="14:14" x14ac:dyDescent="0.15">
      <c r="N656" s="873"/>
    </row>
    <row r="657" spans="14:14" x14ac:dyDescent="0.15">
      <c r="N657" s="873"/>
    </row>
    <row r="658" spans="14:14" x14ac:dyDescent="0.15">
      <c r="N658" s="873"/>
    </row>
    <row r="659" spans="14:14" x14ac:dyDescent="0.15">
      <c r="N659" s="873"/>
    </row>
    <row r="660" spans="14:14" x14ac:dyDescent="0.15">
      <c r="N660" s="873"/>
    </row>
    <row r="661" spans="14:14" x14ac:dyDescent="0.15">
      <c r="N661" s="873"/>
    </row>
    <row r="662" spans="14:14" x14ac:dyDescent="0.15">
      <c r="N662" s="873"/>
    </row>
    <row r="663" spans="14:14" x14ac:dyDescent="0.15">
      <c r="N663" s="873"/>
    </row>
    <row r="664" spans="14:14" x14ac:dyDescent="0.15">
      <c r="N664" s="873"/>
    </row>
    <row r="665" spans="14:14" x14ac:dyDescent="0.15">
      <c r="N665" s="873"/>
    </row>
    <row r="666" spans="14:14" x14ac:dyDescent="0.15">
      <c r="N666" s="873"/>
    </row>
    <row r="667" spans="14:14" x14ac:dyDescent="0.15">
      <c r="N667" s="873"/>
    </row>
    <row r="668" spans="14:14" x14ac:dyDescent="0.15">
      <c r="N668" s="873"/>
    </row>
    <row r="669" spans="14:14" x14ac:dyDescent="0.15">
      <c r="N669" s="873"/>
    </row>
    <row r="670" spans="14:14" x14ac:dyDescent="0.15">
      <c r="N670" s="873"/>
    </row>
    <row r="671" spans="14:14" x14ac:dyDescent="0.15">
      <c r="N671" s="873"/>
    </row>
    <row r="672" spans="14:14" x14ac:dyDescent="0.15">
      <c r="N672" s="873"/>
    </row>
    <row r="673" spans="14:14" x14ac:dyDescent="0.15">
      <c r="N673" s="873"/>
    </row>
    <row r="674" spans="14:14" x14ac:dyDescent="0.15">
      <c r="N674" s="873"/>
    </row>
    <row r="675" spans="14:14" x14ac:dyDescent="0.15">
      <c r="N675" s="873"/>
    </row>
    <row r="676" spans="14:14" x14ac:dyDescent="0.15">
      <c r="N676" s="873"/>
    </row>
    <row r="677" spans="14:14" x14ac:dyDescent="0.15">
      <c r="N677" s="873"/>
    </row>
    <row r="678" spans="14:14" x14ac:dyDescent="0.15">
      <c r="N678" s="873"/>
    </row>
    <row r="679" spans="14:14" x14ac:dyDescent="0.15">
      <c r="N679" s="873"/>
    </row>
    <row r="680" spans="14:14" x14ac:dyDescent="0.15">
      <c r="N680" s="873"/>
    </row>
    <row r="681" spans="14:14" x14ac:dyDescent="0.15">
      <c r="N681" s="873"/>
    </row>
    <row r="682" spans="14:14" x14ac:dyDescent="0.15">
      <c r="N682" s="873"/>
    </row>
    <row r="683" spans="14:14" x14ac:dyDescent="0.15">
      <c r="N683" s="873"/>
    </row>
    <row r="684" spans="14:14" x14ac:dyDescent="0.15">
      <c r="N684" s="873"/>
    </row>
    <row r="685" spans="14:14" x14ac:dyDescent="0.15">
      <c r="N685" s="873"/>
    </row>
    <row r="686" spans="14:14" x14ac:dyDescent="0.15">
      <c r="N686" s="873"/>
    </row>
    <row r="687" spans="14:14" x14ac:dyDescent="0.15">
      <c r="N687" s="873"/>
    </row>
    <row r="688" spans="14:14" x14ac:dyDescent="0.15">
      <c r="N688" s="873"/>
    </row>
    <row r="689" spans="14:14" x14ac:dyDescent="0.15">
      <c r="N689" s="873"/>
    </row>
    <row r="690" spans="14:14" x14ac:dyDescent="0.15">
      <c r="N690" s="873"/>
    </row>
    <row r="691" spans="14:14" x14ac:dyDescent="0.15">
      <c r="N691" s="873"/>
    </row>
    <row r="692" spans="14:14" x14ac:dyDescent="0.15">
      <c r="N692" s="873"/>
    </row>
    <row r="693" spans="14:14" x14ac:dyDescent="0.15">
      <c r="N693" s="873"/>
    </row>
    <row r="694" spans="14:14" x14ac:dyDescent="0.15">
      <c r="N694" s="873"/>
    </row>
    <row r="695" spans="14:14" x14ac:dyDescent="0.15">
      <c r="N695" s="873"/>
    </row>
    <row r="696" spans="14:14" x14ac:dyDescent="0.15">
      <c r="N696" s="873"/>
    </row>
    <row r="697" spans="14:14" x14ac:dyDescent="0.15">
      <c r="N697" s="873"/>
    </row>
    <row r="698" spans="14:14" x14ac:dyDescent="0.15">
      <c r="N698" s="873"/>
    </row>
    <row r="699" spans="14:14" x14ac:dyDescent="0.15">
      <c r="N699" s="873"/>
    </row>
    <row r="700" spans="14:14" x14ac:dyDescent="0.15">
      <c r="N700" s="873"/>
    </row>
    <row r="701" spans="14:14" x14ac:dyDescent="0.15">
      <c r="N701" s="873"/>
    </row>
    <row r="702" spans="14:14" x14ac:dyDescent="0.15">
      <c r="N702" s="873"/>
    </row>
    <row r="703" spans="14:14" x14ac:dyDescent="0.15">
      <c r="N703" s="873"/>
    </row>
    <row r="704" spans="14:14" x14ac:dyDescent="0.15">
      <c r="N704" s="873"/>
    </row>
    <row r="705" spans="14:14" x14ac:dyDescent="0.15">
      <c r="N705" s="873"/>
    </row>
    <row r="706" spans="14:14" x14ac:dyDescent="0.15">
      <c r="N706" s="873"/>
    </row>
    <row r="707" spans="14:14" x14ac:dyDescent="0.15">
      <c r="N707" s="873"/>
    </row>
    <row r="708" spans="14:14" x14ac:dyDescent="0.15">
      <c r="N708" s="873"/>
    </row>
    <row r="709" spans="14:14" x14ac:dyDescent="0.15">
      <c r="N709" s="873"/>
    </row>
    <row r="710" spans="14:14" x14ac:dyDescent="0.15">
      <c r="N710" s="873"/>
    </row>
    <row r="711" spans="14:14" x14ac:dyDescent="0.15">
      <c r="N711" s="873"/>
    </row>
    <row r="712" spans="14:14" x14ac:dyDescent="0.15">
      <c r="N712" s="873"/>
    </row>
    <row r="713" spans="14:14" x14ac:dyDescent="0.15">
      <c r="N713" s="873"/>
    </row>
    <row r="714" spans="14:14" x14ac:dyDescent="0.15">
      <c r="N714" s="873"/>
    </row>
    <row r="715" spans="14:14" x14ac:dyDescent="0.15">
      <c r="N715" s="873"/>
    </row>
    <row r="716" spans="14:14" x14ac:dyDescent="0.15">
      <c r="N716" s="873"/>
    </row>
    <row r="717" spans="14:14" x14ac:dyDescent="0.15">
      <c r="N717" s="873"/>
    </row>
    <row r="718" spans="14:14" x14ac:dyDescent="0.15">
      <c r="N718" s="873"/>
    </row>
    <row r="719" spans="14:14" x14ac:dyDescent="0.15">
      <c r="N719" s="873"/>
    </row>
    <row r="720" spans="14:14" x14ac:dyDescent="0.15">
      <c r="N720" s="873"/>
    </row>
    <row r="721" spans="14:14" x14ac:dyDescent="0.15">
      <c r="N721" s="873"/>
    </row>
    <row r="722" spans="14:14" x14ac:dyDescent="0.15">
      <c r="N722" s="873"/>
    </row>
    <row r="723" spans="14:14" x14ac:dyDescent="0.15">
      <c r="N723" s="873"/>
    </row>
    <row r="724" spans="14:14" x14ac:dyDescent="0.15">
      <c r="N724" s="873"/>
    </row>
    <row r="725" spans="14:14" x14ac:dyDescent="0.15">
      <c r="N725" s="873"/>
    </row>
    <row r="726" spans="14:14" x14ac:dyDescent="0.15">
      <c r="N726" s="873"/>
    </row>
    <row r="727" spans="14:14" x14ac:dyDescent="0.15">
      <c r="N727" s="873"/>
    </row>
    <row r="728" spans="14:14" x14ac:dyDescent="0.15">
      <c r="N728" s="873"/>
    </row>
    <row r="729" spans="14:14" x14ac:dyDescent="0.15">
      <c r="N729" s="873"/>
    </row>
    <row r="730" spans="14:14" x14ac:dyDescent="0.15">
      <c r="N730" s="873"/>
    </row>
    <row r="731" spans="14:14" x14ac:dyDescent="0.15">
      <c r="N731" s="873"/>
    </row>
    <row r="732" spans="14:14" x14ac:dyDescent="0.15">
      <c r="N732" s="873"/>
    </row>
    <row r="733" spans="14:14" x14ac:dyDescent="0.15">
      <c r="N733" s="873"/>
    </row>
    <row r="734" spans="14:14" x14ac:dyDescent="0.15">
      <c r="N734" s="873"/>
    </row>
    <row r="735" spans="14:14" x14ac:dyDescent="0.15">
      <c r="N735" s="873"/>
    </row>
    <row r="736" spans="14:14" x14ac:dyDescent="0.15">
      <c r="N736" s="873"/>
    </row>
    <row r="737" spans="14:14" x14ac:dyDescent="0.15">
      <c r="N737" s="873"/>
    </row>
    <row r="738" spans="14:14" x14ac:dyDescent="0.15">
      <c r="N738" s="873"/>
    </row>
    <row r="739" spans="14:14" x14ac:dyDescent="0.15">
      <c r="N739" s="873"/>
    </row>
    <row r="740" spans="14:14" x14ac:dyDescent="0.15">
      <c r="N740" s="873"/>
    </row>
    <row r="741" spans="14:14" x14ac:dyDescent="0.15">
      <c r="N741" s="873"/>
    </row>
    <row r="742" spans="14:14" x14ac:dyDescent="0.15">
      <c r="N742" s="873"/>
    </row>
    <row r="743" spans="14:14" x14ac:dyDescent="0.15">
      <c r="N743" s="873"/>
    </row>
    <row r="744" spans="14:14" x14ac:dyDescent="0.15">
      <c r="N744" s="873"/>
    </row>
    <row r="745" spans="14:14" x14ac:dyDescent="0.15">
      <c r="N745" s="873"/>
    </row>
    <row r="746" spans="14:14" x14ac:dyDescent="0.15">
      <c r="N746" s="873"/>
    </row>
    <row r="747" spans="14:14" x14ac:dyDescent="0.15">
      <c r="N747" s="873"/>
    </row>
    <row r="748" spans="14:14" x14ac:dyDescent="0.15">
      <c r="N748" s="873"/>
    </row>
    <row r="749" spans="14:14" x14ac:dyDescent="0.15">
      <c r="N749" s="873"/>
    </row>
    <row r="750" spans="14:14" x14ac:dyDescent="0.15">
      <c r="N750" s="873"/>
    </row>
    <row r="751" spans="14:14" x14ac:dyDescent="0.15">
      <c r="N751" s="873"/>
    </row>
    <row r="752" spans="14:14" x14ac:dyDescent="0.15">
      <c r="N752" s="873"/>
    </row>
    <row r="753" spans="14:14" x14ac:dyDescent="0.15">
      <c r="N753" s="873"/>
    </row>
    <row r="754" spans="14:14" x14ac:dyDescent="0.15">
      <c r="N754" s="873"/>
    </row>
    <row r="755" spans="14:14" x14ac:dyDescent="0.15">
      <c r="N755" s="873"/>
    </row>
    <row r="756" spans="14:14" x14ac:dyDescent="0.15">
      <c r="N756" s="873"/>
    </row>
    <row r="757" spans="14:14" x14ac:dyDescent="0.15">
      <c r="N757" s="873"/>
    </row>
    <row r="758" spans="14:14" x14ac:dyDescent="0.15">
      <c r="N758" s="873"/>
    </row>
    <row r="759" spans="14:14" x14ac:dyDescent="0.15">
      <c r="N759" s="873"/>
    </row>
    <row r="760" spans="14:14" x14ac:dyDescent="0.15">
      <c r="N760" s="873"/>
    </row>
    <row r="761" spans="14:14" x14ac:dyDescent="0.15">
      <c r="N761" s="873"/>
    </row>
    <row r="762" spans="14:14" x14ac:dyDescent="0.15">
      <c r="N762" s="873"/>
    </row>
    <row r="763" spans="14:14" x14ac:dyDescent="0.15">
      <c r="N763" s="873"/>
    </row>
    <row r="764" spans="14:14" x14ac:dyDescent="0.15">
      <c r="N764" s="873"/>
    </row>
    <row r="765" spans="14:14" x14ac:dyDescent="0.15">
      <c r="N765" s="873"/>
    </row>
    <row r="766" spans="14:14" x14ac:dyDescent="0.15">
      <c r="N766" s="873"/>
    </row>
    <row r="767" spans="14:14" x14ac:dyDescent="0.15">
      <c r="N767" s="873"/>
    </row>
    <row r="768" spans="14:14" x14ac:dyDescent="0.15">
      <c r="N768" s="873"/>
    </row>
    <row r="769" spans="14:14" x14ac:dyDescent="0.15">
      <c r="N769" s="873"/>
    </row>
    <row r="770" spans="14:14" x14ac:dyDescent="0.15">
      <c r="N770" s="873"/>
    </row>
    <row r="771" spans="14:14" x14ac:dyDescent="0.15">
      <c r="N771" s="873"/>
    </row>
    <row r="772" spans="14:14" x14ac:dyDescent="0.15">
      <c r="N772" s="873"/>
    </row>
    <row r="773" spans="14:14" x14ac:dyDescent="0.15">
      <c r="N773" s="873"/>
    </row>
    <row r="774" spans="14:14" x14ac:dyDescent="0.15">
      <c r="N774" s="873"/>
    </row>
    <row r="775" spans="14:14" x14ac:dyDescent="0.15">
      <c r="N775" s="873"/>
    </row>
    <row r="776" spans="14:14" x14ac:dyDescent="0.15">
      <c r="N776" s="873"/>
    </row>
    <row r="777" spans="14:14" x14ac:dyDescent="0.15">
      <c r="N777" s="873"/>
    </row>
    <row r="778" spans="14:14" x14ac:dyDescent="0.15">
      <c r="N778" s="873"/>
    </row>
    <row r="779" spans="14:14" x14ac:dyDescent="0.15">
      <c r="N779" s="873"/>
    </row>
    <row r="780" spans="14:14" x14ac:dyDescent="0.15">
      <c r="N780" s="873"/>
    </row>
    <row r="781" spans="14:14" x14ac:dyDescent="0.15">
      <c r="N781" s="873"/>
    </row>
    <row r="782" spans="14:14" x14ac:dyDescent="0.15">
      <c r="N782" s="873"/>
    </row>
    <row r="783" spans="14:14" x14ac:dyDescent="0.15">
      <c r="N783" s="873"/>
    </row>
    <row r="784" spans="14:14" x14ac:dyDescent="0.15">
      <c r="N784" s="873"/>
    </row>
    <row r="785" spans="14:14" x14ac:dyDescent="0.15">
      <c r="N785" s="873"/>
    </row>
    <row r="786" spans="14:14" x14ac:dyDescent="0.15">
      <c r="N786" s="873"/>
    </row>
    <row r="787" spans="14:14" x14ac:dyDescent="0.15">
      <c r="N787" s="873"/>
    </row>
    <row r="788" spans="14:14" x14ac:dyDescent="0.15">
      <c r="N788" s="873"/>
    </row>
    <row r="789" spans="14:14" x14ac:dyDescent="0.15">
      <c r="N789" s="873"/>
    </row>
    <row r="790" spans="14:14" x14ac:dyDescent="0.15">
      <c r="N790" s="873"/>
    </row>
    <row r="791" spans="14:14" x14ac:dyDescent="0.15">
      <c r="N791" s="873"/>
    </row>
    <row r="792" spans="14:14" x14ac:dyDescent="0.15">
      <c r="N792" s="873"/>
    </row>
    <row r="793" spans="14:14" x14ac:dyDescent="0.15">
      <c r="N793" s="873"/>
    </row>
    <row r="794" spans="14:14" x14ac:dyDescent="0.15">
      <c r="N794" s="873"/>
    </row>
    <row r="795" spans="14:14" x14ac:dyDescent="0.15">
      <c r="N795" s="873"/>
    </row>
    <row r="796" spans="14:14" x14ac:dyDescent="0.15">
      <c r="N796" s="873"/>
    </row>
    <row r="797" spans="14:14" x14ac:dyDescent="0.15">
      <c r="N797" s="873"/>
    </row>
    <row r="798" spans="14:14" x14ac:dyDescent="0.15">
      <c r="N798" s="873"/>
    </row>
    <row r="799" spans="14:14" x14ac:dyDescent="0.15">
      <c r="N799" s="873"/>
    </row>
    <row r="800" spans="14:14" x14ac:dyDescent="0.15">
      <c r="N800" s="873"/>
    </row>
    <row r="801" spans="14:14" x14ac:dyDescent="0.15">
      <c r="N801" s="873"/>
    </row>
    <row r="802" spans="14:14" x14ac:dyDescent="0.15">
      <c r="N802" s="873"/>
    </row>
    <row r="803" spans="14:14" x14ac:dyDescent="0.15">
      <c r="N803" s="873"/>
    </row>
    <row r="804" spans="14:14" x14ac:dyDescent="0.15">
      <c r="N804" s="873"/>
    </row>
    <row r="805" spans="14:14" x14ac:dyDescent="0.15">
      <c r="N805" s="873"/>
    </row>
    <row r="806" spans="14:14" x14ac:dyDescent="0.15">
      <c r="N806" s="873"/>
    </row>
    <row r="807" spans="14:14" x14ac:dyDescent="0.15">
      <c r="N807" s="873"/>
    </row>
    <row r="808" spans="14:14" x14ac:dyDescent="0.15">
      <c r="N808" s="873"/>
    </row>
    <row r="809" spans="14:14" x14ac:dyDescent="0.15">
      <c r="N809" s="873"/>
    </row>
    <row r="810" spans="14:14" x14ac:dyDescent="0.15">
      <c r="N810" s="873"/>
    </row>
    <row r="811" spans="14:14" x14ac:dyDescent="0.15">
      <c r="N811" s="873"/>
    </row>
    <row r="812" spans="14:14" x14ac:dyDescent="0.15">
      <c r="N812" s="873"/>
    </row>
    <row r="813" spans="14:14" x14ac:dyDescent="0.15">
      <c r="N813" s="873"/>
    </row>
    <row r="814" spans="14:14" x14ac:dyDescent="0.15">
      <c r="N814" s="873"/>
    </row>
    <row r="815" spans="14:14" x14ac:dyDescent="0.15">
      <c r="N815" s="873"/>
    </row>
    <row r="816" spans="14:14" x14ac:dyDescent="0.15">
      <c r="N816" s="873"/>
    </row>
    <row r="817" spans="14:14" x14ac:dyDescent="0.15">
      <c r="N817" s="873"/>
    </row>
    <row r="818" spans="14:14" x14ac:dyDescent="0.15">
      <c r="N818" s="873"/>
    </row>
    <row r="819" spans="14:14" x14ac:dyDescent="0.15">
      <c r="N819" s="873"/>
    </row>
    <row r="820" spans="14:14" x14ac:dyDescent="0.15">
      <c r="N820" s="873"/>
    </row>
    <row r="821" spans="14:14" x14ac:dyDescent="0.15">
      <c r="N821" s="873"/>
    </row>
    <row r="822" spans="14:14" x14ac:dyDescent="0.15">
      <c r="N822" s="873"/>
    </row>
    <row r="823" spans="14:14" x14ac:dyDescent="0.15">
      <c r="N823" s="873"/>
    </row>
    <row r="824" spans="14:14" x14ac:dyDescent="0.15">
      <c r="N824" s="873"/>
    </row>
    <row r="825" spans="14:14" x14ac:dyDescent="0.15">
      <c r="N825" s="873"/>
    </row>
    <row r="826" spans="14:14" x14ac:dyDescent="0.15">
      <c r="N826" s="873"/>
    </row>
    <row r="827" spans="14:14" x14ac:dyDescent="0.15">
      <c r="N827" s="873"/>
    </row>
    <row r="828" spans="14:14" x14ac:dyDescent="0.15">
      <c r="N828" s="873"/>
    </row>
    <row r="829" spans="14:14" x14ac:dyDescent="0.15">
      <c r="N829" s="873"/>
    </row>
    <row r="830" spans="14:14" x14ac:dyDescent="0.15">
      <c r="N830" s="873"/>
    </row>
    <row r="831" spans="14:14" x14ac:dyDescent="0.15">
      <c r="N831" s="873"/>
    </row>
    <row r="832" spans="14:14" x14ac:dyDescent="0.15">
      <c r="N832" s="873"/>
    </row>
    <row r="833" spans="14:14" x14ac:dyDescent="0.15">
      <c r="N833" s="873"/>
    </row>
    <row r="834" spans="14:14" x14ac:dyDescent="0.15">
      <c r="N834" s="873"/>
    </row>
    <row r="835" spans="14:14" x14ac:dyDescent="0.15">
      <c r="N835" s="873"/>
    </row>
    <row r="836" spans="14:14" x14ac:dyDescent="0.15">
      <c r="N836" s="873"/>
    </row>
    <row r="837" spans="14:14" x14ac:dyDescent="0.15">
      <c r="N837" s="873"/>
    </row>
    <row r="838" spans="14:14" x14ac:dyDescent="0.15">
      <c r="N838" s="873"/>
    </row>
    <row r="839" spans="14:14" x14ac:dyDescent="0.15">
      <c r="N839" s="873"/>
    </row>
    <row r="840" spans="14:14" x14ac:dyDescent="0.15">
      <c r="N840" s="873"/>
    </row>
    <row r="841" spans="14:14" x14ac:dyDescent="0.15">
      <c r="N841" s="873"/>
    </row>
    <row r="842" spans="14:14" x14ac:dyDescent="0.15">
      <c r="N842" s="873"/>
    </row>
    <row r="843" spans="14:14" x14ac:dyDescent="0.15">
      <c r="N843" s="873"/>
    </row>
    <row r="844" spans="14:14" x14ac:dyDescent="0.15">
      <c r="N844" s="873"/>
    </row>
    <row r="845" spans="14:14" x14ac:dyDescent="0.15">
      <c r="N845" s="873"/>
    </row>
    <row r="846" spans="14:14" x14ac:dyDescent="0.15">
      <c r="N846" s="873"/>
    </row>
    <row r="847" spans="14:14" x14ac:dyDescent="0.15">
      <c r="N847" s="873"/>
    </row>
    <row r="848" spans="14:14" x14ac:dyDescent="0.15">
      <c r="N848" s="873"/>
    </row>
    <row r="849" spans="14:14" x14ac:dyDescent="0.15">
      <c r="N849" s="873"/>
    </row>
    <row r="850" spans="14:14" x14ac:dyDescent="0.15">
      <c r="N850" s="873"/>
    </row>
    <row r="851" spans="14:14" x14ac:dyDescent="0.15">
      <c r="N851" s="873"/>
    </row>
    <row r="852" spans="14:14" x14ac:dyDescent="0.15">
      <c r="N852" s="873"/>
    </row>
    <row r="853" spans="14:14" x14ac:dyDescent="0.15">
      <c r="N853" s="873"/>
    </row>
    <row r="854" spans="14:14" x14ac:dyDescent="0.15">
      <c r="N854" s="873"/>
    </row>
    <row r="855" spans="14:14" x14ac:dyDescent="0.15">
      <c r="N855" s="873"/>
    </row>
    <row r="856" spans="14:14" x14ac:dyDescent="0.15">
      <c r="N856" s="873"/>
    </row>
    <row r="857" spans="14:14" x14ac:dyDescent="0.15">
      <c r="N857" s="873"/>
    </row>
    <row r="858" spans="14:14" x14ac:dyDescent="0.15">
      <c r="N858" s="873"/>
    </row>
    <row r="859" spans="14:14" x14ac:dyDescent="0.15">
      <c r="N859" s="873"/>
    </row>
    <row r="860" spans="14:14" x14ac:dyDescent="0.15">
      <c r="N860" s="873"/>
    </row>
    <row r="861" spans="14:14" x14ac:dyDescent="0.15">
      <c r="N861" s="873"/>
    </row>
    <row r="862" spans="14:14" x14ac:dyDescent="0.15">
      <c r="N862" s="873"/>
    </row>
    <row r="863" spans="14:14" x14ac:dyDescent="0.15">
      <c r="N863" s="873"/>
    </row>
    <row r="864" spans="14:14" x14ac:dyDescent="0.15">
      <c r="N864" s="873"/>
    </row>
    <row r="865" spans="14:14" x14ac:dyDescent="0.15">
      <c r="N865" s="873"/>
    </row>
    <row r="866" spans="14:14" x14ac:dyDescent="0.15">
      <c r="N866" s="873"/>
    </row>
    <row r="867" spans="14:14" x14ac:dyDescent="0.15">
      <c r="N867" s="873"/>
    </row>
    <row r="868" spans="14:14" x14ac:dyDescent="0.15">
      <c r="N868" s="873"/>
    </row>
    <row r="869" spans="14:14" x14ac:dyDescent="0.15">
      <c r="N869" s="873"/>
    </row>
    <row r="870" spans="14:14" x14ac:dyDescent="0.15">
      <c r="N870" s="873"/>
    </row>
    <row r="871" spans="14:14" x14ac:dyDescent="0.15">
      <c r="N871" s="873"/>
    </row>
    <row r="872" spans="14:14" x14ac:dyDescent="0.15">
      <c r="N872" s="873"/>
    </row>
    <row r="873" spans="14:14" x14ac:dyDescent="0.15">
      <c r="N873" s="873"/>
    </row>
    <row r="874" spans="14:14" x14ac:dyDescent="0.15">
      <c r="N874" s="873"/>
    </row>
    <row r="875" spans="14:14" x14ac:dyDescent="0.15">
      <c r="N875" s="873"/>
    </row>
    <row r="876" spans="14:14" x14ac:dyDescent="0.15">
      <c r="N876" s="873"/>
    </row>
    <row r="877" spans="14:14" x14ac:dyDescent="0.15">
      <c r="N877" s="873"/>
    </row>
    <row r="878" spans="14:14" x14ac:dyDescent="0.15">
      <c r="N878" s="873"/>
    </row>
    <row r="879" spans="14:14" x14ac:dyDescent="0.15">
      <c r="N879" s="873"/>
    </row>
    <row r="880" spans="14:14" x14ac:dyDescent="0.15">
      <c r="N880" s="873"/>
    </row>
    <row r="881" spans="14:14" x14ac:dyDescent="0.15">
      <c r="N881" s="873"/>
    </row>
    <row r="882" spans="14:14" x14ac:dyDescent="0.15">
      <c r="N882" s="873"/>
    </row>
    <row r="883" spans="14:14" x14ac:dyDescent="0.15">
      <c r="N883" s="873"/>
    </row>
    <row r="884" spans="14:14" x14ac:dyDescent="0.15">
      <c r="N884" s="873"/>
    </row>
    <row r="885" spans="14:14" x14ac:dyDescent="0.15">
      <c r="N885" s="873"/>
    </row>
    <row r="886" spans="14:14" x14ac:dyDescent="0.15">
      <c r="N886" s="873"/>
    </row>
    <row r="887" spans="14:14" x14ac:dyDescent="0.15">
      <c r="N887" s="873"/>
    </row>
    <row r="888" spans="14:14" x14ac:dyDescent="0.15">
      <c r="N888" s="873"/>
    </row>
    <row r="889" spans="14:14" x14ac:dyDescent="0.15">
      <c r="N889" s="873"/>
    </row>
    <row r="890" spans="14:14" x14ac:dyDescent="0.15">
      <c r="N890" s="873"/>
    </row>
    <row r="891" spans="14:14" x14ac:dyDescent="0.15">
      <c r="N891" s="873"/>
    </row>
    <row r="892" spans="14:14" x14ac:dyDescent="0.15">
      <c r="N892" s="873"/>
    </row>
    <row r="893" spans="14:14" x14ac:dyDescent="0.15">
      <c r="N893" s="873"/>
    </row>
    <row r="894" spans="14:14" x14ac:dyDescent="0.15">
      <c r="N894" s="873"/>
    </row>
    <row r="895" spans="14:14" x14ac:dyDescent="0.15">
      <c r="N895" s="873"/>
    </row>
    <row r="896" spans="14:14" x14ac:dyDescent="0.15">
      <c r="N896" s="873"/>
    </row>
    <row r="897" spans="14:14" x14ac:dyDescent="0.15">
      <c r="N897" s="873"/>
    </row>
    <row r="898" spans="14:14" x14ac:dyDescent="0.15">
      <c r="N898" s="873"/>
    </row>
    <row r="899" spans="14:14" x14ac:dyDescent="0.15">
      <c r="N899" s="873"/>
    </row>
    <row r="900" spans="14:14" x14ac:dyDescent="0.15">
      <c r="N900" s="873"/>
    </row>
    <row r="901" spans="14:14" x14ac:dyDescent="0.15">
      <c r="N901" s="873"/>
    </row>
    <row r="902" spans="14:14" x14ac:dyDescent="0.15">
      <c r="N902" s="873"/>
    </row>
    <row r="903" spans="14:14" x14ac:dyDescent="0.15">
      <c r="N903" s="873"/>
    </row>
    <row r="904" spans="14:14" x14ac:dyDescent="0.15">
      <c r="N904" s="873"/>
    </row>
    <row r="905" spans="14:14" x14ac:dyDescent="0.15">
      <c r="N905" s="873"/>
    </row>
    <row r="906" spans="14:14" x14ac:dyDescent="0.15">
      <c r="N906" s="873"/>
    </row>
    <row r="907" spans="14:14" x14ac:dyDescent="0.15">
      <c r="N907" s="873"/>
    </row>
    <row r="908" spans="14:14" x14ac:dyDescent="0.15">
      <c r="N908" s="873"/>
    </row>
    <row r="909" spans="14:14" x14ac:dyDescent="0.15">
      <c r="N909" s="873"/>
    </row>
    <row r="910" spans="14:14" x14ac:dyDescent="0.15">
      <c r="N910" s="873"/>
    </row>
    <row r="911" spans="14:14" x14ac:dyDescent="0.15">
      <c r="N911" s="873"/>
    </row>
    <row r="912" spans="14:14" x14ac:dyDescent="0.15">
      <c r="N912" s="873"/>
    </row>
    <row r="913" spans="14:14" x14ac:dyDescent="0.15">
      <c r="N913" s="873"/>
    </row>
    <row r="914" spans="14:14" x14ac:dyDescent="0.15">
      <c r="N914" s="873"/>
    </row>
    <row r="915" spans="14:14" x14ac:dyDescent="0.15">
      <c r="N915" s="873"/>
    </row>
    <row r="916" spans="14:14" x14ac:dyDescent="0.15">
      <c r="N916" s="873"/>
    </row>
    <row r="917" spans="14:14" x14ac:dyDescent="0.15">
      <c r="N917" s="873"/>
    </row>
    <row r="918" spans="14:14" x14ac:dyDescent="0.15">
      <c r="N918" s="873"/>
    </row>
    <row r="919" spans="14:14" x14ac:dyDescent="0.15">
      <c r="N919" s="873"/>
    </row>
    <row r="920" spans="14:14" x14ac:dyDescent="0.15">
      <c r="N920" s="873"/>
    </row>
    <row r="921" spans="14:14" x14ac:dyDescent="0.15">
      <c r="N921" s="873"/>
    </row>
    <row r="922" spans="14:14" x14ac:dyDescent="0.15">
      <c r="N922" s="873"/>
    </row>
    <row r="923" spans="14:14" x14ac:dyDescent="0.15">
      <c r="N923" s="873"/>
    </row>
    <row r="924" spans="14:14" x14ac:dyDescent="0.15">
      <c r="N924" s="873"/>
    </row>
    <row r="925" spans="14:14" x14ac:dyDescent="0.15">
      <c r="N925" s="873"/>
    </row>
    <row r="926" spans="14:14" x14ac:dyDescent="0.15">
      <c r="N926" s="873"/>
    </row>
    <row r="927" spans="14:14" x14ac:dyDescent="0.15">
      <c r="N927" s="873"/>
    </row>
    <row r="928" spans="14:14" x14ac:dyDescent="0.15">
      <c r="N928" s="873"/>
    </row>
    <row r="929" spans="14:14" x14ac:dyDescent="0.15">
      <c r="N929" s="873"/>
    </row>
    <row r="930" spans="14:14" x14ac:dyDescent="0.15">
      <c r="N930" s="873"/>
    </row>
    <row r="931" spans="14:14" x14ac:dyDescent="0.15">
      <c r="N931" s="873"/>
    </row>
    <row r="932" spans="14:14" x14ac:dyDescent="0.15">
      <c r="N932" s="873"/>
    </row>
    <row r="933" spans="14:14" x14ac:dyDescent="0.15">
      <c r="N933" s="873"/>
    </row>
    <row r="934" spans="14:14" x14ac:dyDescent="0.15">
      <c r="N934" s="873"/>
    </row>
    <row r="935" spans="14:14" x14ac:dyDescent="0.15">
      <c r="N935" s="873"/>
    </row>
    <row r="936" spans="14:14" x14ac:dyDescent="0.15">
      <c r="N936" s="873"/>
    </row>
    <row r="937" spans="14:14" x14ac:dyDescent="0.15">
      <c r="N937" s="873"/>
    </row>
    <row r="938" spans="14:14" x14ac:dyDescent="0.15">
      <c r="N938" s="873"/>
    </row>
    <row r="939" spans="14:14" x14ac:dyDescent="0.15">
      <c r="N939" s="873"/>
    </row>
    <row r="940" spans="14:14" x14ac:dyDescent="0.15">
      <c r="N940" s="873"/>
    </row>
    <row r="941" spans="14:14" x14ac:dyDescent="0.15">
      <c r="N941" s="873"/>
    </row>
    <row r="942" spans="14:14" x14ac:dyDescent="0.15">
      <c r="N942" s="873"/>
    </row>
    <row r="943" spans="14:14" x14ac:dyDescent="0.15">
      <c r="N943" s="873"/>
    </row>
    <row r="944" spans="14:14" x14ac:dyDescent="0.15">
      <c r="N944" s="873"/>
    </row>
    <row r="945" spans="14:14" x14ac:dyDescent="0.15">
      <c r="N945" s="873"/>
    </row>
    <row r="946" spans="14:14" x14ac:dyDescent="0.15">
      <c r="N946" s="873"/>
    </row>
    <row r="947" spans="14:14" x14ac:dyDescent="0.15">
      <c r="N947" s="873"/>
    </row>
    <row r="948" spans="14:14" x14ac:dyDescent="0.15">
      <c r="N948" s="873"/>
    </row>
    <row r="949" spans="14:14" x14ac:dyDescent="0.15">
      <c r="N949" s="873"/>
    </row>
    <row r="950" spans="14:14" x14ac:dyDescent="0.15">
      <c r="N950" s="873"/>
    </row>
    <row r="951" spans="14:14" x14ac:dyDescent="0.15">
      <c r="N951" s="873"/>
    </row>
    <row r="952" spans="14:14" x14ac:dyDescent="0.15">
      <c r="N952" s="873"/>
    </row>
    <row r="953" spans="14:14" x14ac:dyDescent="0.15">
      <c r="N953" s="873"/>
    </row>
    <row r="954" spans="14:14" x14ac:dyDescent="0.15">
      <c r="N954" s="873"/>
    </row>
  </sheetData>
  <mergeCells count="15">
    <mergeCell ref="O3:P3"/>
    <mergeCell ref="B121:D121"/>
    <mergeCell ref="B1:N1"/>
    <mergeCell ref="B76:D76"/>
    <mergeCell ref="B66:D66"/>
    <mergeCell ref="B27:D27"/>
    <mergeCell ref="B5:D5"/>
    <mergeCell ref="M3:N3"/>
    <mergeCell ref="B3:B4"/>
    <mergeCell ref="C3:C4"/>
    <mergeCell ref="D3:D4"/>
    <mergeCell ref="E3:F3"/>
    <mergeCell ref="G3:H3"/>
    <mergeCell ref="I3:J3"/>
    <mergeCell ref="K3:L3"/>
  </mergeCells>
  <printOptions horizontalCentered="1"/>
  <pageMargins left="0.19685039370078741" right="0.19685039370078741" top="0.41" bottom="0.39" header="0.11811023622047245" footer="0.11811023622047245"/>
  <pageSetup paperSize="9" scale="7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R22"/>
  <sheetViews>
    <sheetView showGridLines="0" workbookViewId="0">
      <selection activeCell="I19" sqref="I19"/>
    </sheetView>
  </sheetViews>
  <sheetFormatPr defaultColWidth="9.14453125" defaultRowHeight="15" x14ac:dyDescent="0.2"/>
  <cols>
    <col min="1" max="1" width="9.14453125" style="476"/>
    <col min="2" max="2" width="30.265625" style="476" bestFit="1" customWidth="1"/>
    <col min="3" max="3" width="4.4375" style="44" bestFit="1" customWidth="1"/>
    <col min="4" max="4" width="4.83984375" style="44" bestFit="1" customWidth="1"/>
    <col min="5" max="5" width="5.24609375" style="44" bestFit="1" customWidth="1"/>
    <col min="6" max="6" width="4.9765625" style="44" bestFit="1" customWidth="1"/>
    <col min="7" max="7" width="5.37890625" style="44" bestFit="1" customWidth="1"/>
    <col min="8" max="8" width="4.5703125" style="44" bestFit="1" customWidth="1"/>
    <col min="9" max="9" width="11.97265625" style="44" bestFit="1" customWidth="1"/>
    <col min="10" max="10" width="13.44921875" style="44" bestFit="1" customWidth="1"/>
    <col min="11" max="11" width="14.66015625" style="44" bestFit="1" customWidth="1"/>
    <col min="12" max="12" width="14.9296875" style="44" customWidth="1"/>
    <col min="13" max="15" width="14.66015625" style="44" bestFit="1" customWidth="1"/>
    <col min="16" max="16" width="0" style="476" hidden="1" customWidth="1"/>
    <col min="17" max="17" width="23.80859375" style="476" hidden="1" customWidth="1"/>
    <col min="18" max="18" width="13.71875" style="476" hidden="1" customWidth="1"/>
    <col min="19" max="20" width="0" style="476" hidden="1" customWidth="1"/>
    <col min="21" max="16384" width="9.14453125" style="476"/>
  </cols>
  <sheetData>
    <row r="1" spans="2:18" s="49" customFormat="1" ht="39.75" customHeight="1" x14ac:dyDescent="0.2">
      <c r="B1" s="97" t="s">
        <v>1381</v>
      </c>
      <c r="C1" s="50">
        <v>1</v>
      </c>
      <c r="D1" s="50">
        <v>2</v>
      </c>
      <c r="E1" s="50">
        <v>3</v>
      </c>
      <c r="F1" s="50">
        <v>4</v>
      </c>
      <c r="G1" s="50">
        <v>5</v>
      </c>
      <c r="H1" s="50">
        <v>6</v>
      </c>
      <c r="I1" s="50">
        <v>7</v>
      </c>
      <c r="J1" s="50">
        <v>8</v>
      </c>
      <c r="K1" s="50">
        <v>9</v>
      </c>
      <c r="L1" s="50">
        <v>10</v>
      </c>
      <c r="M1" s="50">
        <v>11</v>
      </c>
      <c r="N1" s="50">
        <v>12</v>
      </c>
      <c r="O1" s="50"/>
    </row>
    <row r="2" spans="2:18" s="54" customFormat="1" ht="15.75" thickBot="1" x14ac:dyDescent="0.25">
      <c r="B2" s="59"/>
      <c r="C2" s="60" t="s">
        <v>160</v>
      </c>
      <c r="D2" s="60" t="s">
        <v>161</v>
      </c>
      <c r="E2" s="60" t="s">
        <v>162</v>
      </c>
      <c r="F2" s="60" t="s">
        <v>163</v>
      </c>
      <c r="G2" s="60" t="s">
        <v>164</v>
      </c>
      <c r="H2" s="60" t="s">
        <v>165</v>
      </c>
      <c r="I2" s="60" t="s">
        <v>166</v>
      </c>
      <c r="J2" s="60" t="s">
        <v>174</v>
      </c>
      <c r="K2" s="60" t="s">
        <v>168</v>
      </c>
      <c r="L2" s="60" t="s">
        <v>175</v>
      </c>
      <c r="M2" s="60" t="s">
        <v>170</v>
      </c>
      <c r="N2" s="61" t="s">
        <v>176</v>
      </c>
      <c r="O2" s="83">
        <v>2020</v>
      </c>
      <c r="P2" s="95" t="s">
        <v>177</v>
      </c>
      <c r="Q2" s="96" t="s">
        <v>178</v>
      </c>
    </row>
    <row r="3" spans="2:18" x14ac:dyDescent="0.2">
      <c r="B3" s="51" t="s">
        <v>179</v>
      </c>
      <c r="C3" s="52">
        <f>SUMIFS('2019'!$H:$H,'2019'!$E:$E,'S2 2019'!$B3,'2019'!$N:$N,'S2 2019'!C$1)</f>
        <v>0</v>
      </c>
      <c r="D3" s="52">
        <f>SUMIFS('2019'!$H:$H,'2019'!$E:$E,'S2 2019'!$B3,'2019'!$N:$N,'S2 2019'!D$1)</f>
        <v>0</v>
      </c>
      <c r="E3" s="52">
        <f>SUMIFS('2019'!$H:$H,'2019'!$E:$E,'S2 2019'!$B3,'2019'!$N:$N,'S2 2019'!E$1)</f>
        <v>0</v>
      </c>
      <c r="F3" s="52">
        <f>SUMIFS('2019'!$H:$H,'2019'!$E:$E,'S2 2019'!$B3,'2019'!$N:$N,'S2 2019'!F$1)</f>
        <v>0</v>
      </c>
      <c r="G3" s="52">
        <f>SUMIFS('2019'!$H:$H,'2019'!$E:$E,'S2 2019'!$B3,'2019'!$N:$N,'S2 2019'!G$1)</f>
        <v>0</v>
      </c>
      <c r="H3" s="52">
        <f>SUMIFS('2019'!$H:$H,'2019'!$E:$E,'S2 2019'!$B3,'2019'!$N:$N,'S2 2019'!H$1)</f>
        <v>0</v>
      </c>
      <c r="I3" s="52">
        <f>SUMIFS('2019'!$H:$H,'2019'!$E:$E,'S2 2019'!$B3,'2019'!$N:$N,'S2 2019'!I$1)</f>
        <v>0</v>
      </c>
      <c r="J3" s="52">
        <f>SUMIFS('2019'!$H:$H,'2019'!$E:$E,'S2 2019'!$B3,'2019'!$N:$N,'S2 2019'!J$1)</f>
        <v>15000000</v>
      </c>
      <c r="K3" s="52">
        <f>SUMIFS('2019'!$H:$H,'2019'!$E:$E,'S2 2019'!$B3,'2019'!$N:$N,'S2 2019'!K$1)</f>
        <v>0</v>
      </c>
      <c r="L3" s="52">
        <f>SUMIFS('2019'!$H:$H,'2019'!$E:$E,'S2 2019'!$B3,'2019'!$N:$N,'S2 2019'!L$1)</f>
        <v>10015000</v>
      </c>
      <c r="M3" s="52">
        <f>SUMIFS('2019'!$H:$H,'2019'!$E:$E,'S2 2019'!$B3,'2019'!$N:$N,'S2 2019'!M$1)</f>
        <v>229229000</v>
      </c>
      <c r="N3" s="52">
        <f>SUMIFS('2019'!$H:$H,'2019'!$E:$E,'S2 2019'!$B3,'2019'!$N:$N,'S2 2019'!N$1)</f>
        <v>0</v>
      </c>
      <c r="O3" s="84">
        <f t="shared" ref="O3:O9" si="0">SUM(C3:N3)</f>
        <v>254244000</v>
      </c>
      <c r="P3" s="477">
        <f>+Category!K4</f>
        <v>368</v>
      </c>
      <c r="Q3" s="94" t="s">
        <v>180</v>
      </c>
      <c r="R3" s="187">
        <f t="shared" ref="R3:R9" si="1">+O3/P3</f>
        <v>690880.43478260865</v>
      </c>
    </row>
    <row r="4" spans="2:18" x14ac:dyDescent="0.2">
      <c r="B4" s="53" t="s">
        <v>17</v>
      </c>
      <c r="C4" s="52">
        <f>SUMIFS('2019'!$H:$H,'2019'!$E:$E,'S2 2019'!$B4,'2019'!$N:$N,'S2 2019'!C$1)</f>
        <v>0</v>
      </c>
      <c r="D4" s="52">
        <f>SUMIFS('2019'!$H:$H,'2019'!$E:$E,'S2 2019'!$B4,'2019'!$N:$N,'S2 2019'!D$1)</f>
        <v>0</v>
      </c>
      <c r="E4" s="52">
        <f>SUMIFS('2019'!$H:$H,'2019'!$E:$E,'S2 2019'!$B4,'2019'!$N:$N,'S2 2019'!E$1)</f>
        <v>0</v>
      </c>
      <c r="F4" s="52">
        <f>SUMIFS('2019'!$H:$H,'2019'!$E:$E,'S2 2019'!$B4,'2019'!$N:$N,'S2 2019'!F$1)</f>
        <v>0</v>
      </c>
      <c r="G4" s="52">
        <f>SUMIFS('2019'!$H:$H,'2019'!$E:$E,'S2 2019'!$B4,'2019'!$N:$N,'S2 2019'!G$1)</f>
        <v>0</v>
      </c>
      <c r="H4" s="52">
        <f>SUMIFS('2019'!$H:$H,'2019'!$E:$E,'S2 2019'!$B4,'2019'!$N:$N,'S2 2019'!H$1)</f>
        <v>0</v>
      </c>
      <c r="I4" s="52">
        <f>SUMIFS('2019'!$H:$H,'2019'!$E:$E,'S2 2019'!$B4,'2019'!$N:$N,'S2 2019'!I$1)</f>
        <v>0</v>
      </c>
      <c r="J4" s="52">
        <f>SUMIFS('2019'!$H:$H,'2019'!$E:$E,'S2 2019'!$B4,'2019'!$N:$N,'S2 2019'!J$1)</f>
        <v>0</v>
      </c>
      <c r="K4" s="52">
        <f>SUMIFS('2019'!$H:$H,'2019'!$E:$E,'S2 2019'!$B4,'2019'!$N:$N,'S2 2019'!K$1)</f>
        <v>0</v>
      </c>
      <c r="L4" s="52">
        <f>SUMIFS('2019'!$H:$H,'2019'!$E:$E,'S2 2019'!$B4,'2019'!$N:$N,'S2 2019'!L$1)</f>
        <v>0</v>
      </c>
      <c r="M4" s="52">
        <f>SUMIFS('2019'!$H:$H,'2019'!$E:$E,'S2 2019'!$B4,'2019'!$N:$N,'S2 2019'!M$1)</f>
        <v>5500000</v>
      </c>
      <c r="N4" s="52">
        <f>SUMIFS('2019'!$H:$H,'2019'!$E:$E,'S2 2019'!$B4,'2019'!$N:$N,'S2 2019'!N$1)</f>
        <v>40000000</v>
      </c>
      <c r="O4" s="85">
        <f t="shared" si="0"/>
        <v>45500000</v>
      </c>
      <c r="P4" s="477">
        <f>+Category!K26</f>
        <v>552</v>
      </c>
      <c r="Q4" s="94" t="s">
        <v>180</v>
      </c>
      <c r="R4" s="187">
        <f t="shared" si="1"/>
        <v>82427.536231884063</v>
      </c>
    </row>
    <row r="5" spans="2:18" x14ac:dyDescent="0.2">
      <c r="B5" s="53" t="s">
        <v>107</v>
      </c>
      <c r="C5" s="52">
        <f>SUMIFS('2019'!$H:$H,'2019'!$E:$E,'S2 2019'!$B5,'2019'!$N:$N,'S2 2019'!C$1)</f>
        <v>0</v>
      </c>
      <c r="D5" s="52">
        <f>SUMIFS('2019'!$H:$H,'2019'!$E:$E,'S2 2019'!$B5,'2019'!$N:$N,'S2 2019'!D$1)</f>
        <v>0</v>
      </c>
      <c r="E5" s="52">
        <f>SUMIFS('2019'!$H:$H,'2019'!$E:$E,'S2 2019'!$B5,'2019'!$N:$N,'S2 2019'!E$1)</f>
        <v>0</v>
      </c>
      <c r="F5" s="52">
        <f>SUMIFS('2019'!$H:$H,'2019'!$E:$E,'S2 2019'!$B5,'2019'!$N:$N,'S2 2019'!F$1)</f>
        <v>0</v>
      </c>
      <c r="G5" s="52">
        <f>SUMIFS('2019'!$H:$H,'2019'!$E:$E,'S2 2019'!$B5,'2019'!$N:$N,'S2 2019'!G$1)</f>
        <v>0</v>
      </c>
      <c r="H5" s="52">
        <f>SUMIFS('2019'!$H:$H,'2019'!$E:$E,'S2 2019'!$B5,'2019'!$N:$N,'S2 2019'!H$1)</f>
        <v>0</v>
      </c>
      <c r="I5" s="52">
        <f>SUMIFS('2019'!$H:$H,'2019'!$E:$E,'S2 2019'!$B5,'2019'!$N:$N,'S2 2019'!I$1)</f>
        <v>0</v>
      </c>
      <c r="J5" s="52">
        <f>SUMIFS('2019'!$H:$H,'2019'!$E:$E,'S2 2019'!$B5,'2019'!$N:$N,'S2 2019'!J$1)</f>
        <v>0</v>
      </c>
      <c r="K5" s="52">
        <f>SUMIFS('2019'!$H:$H,'2019'!$E:$E,'S2 2019'!$B5,'2019'!$N:$N,'S2 2019'!K$1)</f>
        <v>0</v>
      </c>
      <c r="L5" s="52">
        <f>SUMIFS('2019'!$H:$H,'2019'!$E:$E,'S2 2019'!$B5,'2019'!$N:$N,'S2 2019'!L$1)</f>
        <v>0</v>
      </c>
      <c r="M5" s="52">
        <f>SUMIFS('2019'!$H:$H,'2019'!$E:$E,'S2 2019'!$B5,'2019'!$N:$N,'S2 2019'!M$1)</f>
        <v>0</v>
      </c>
      <c r="N5" s="52">
        <f>SUMIFS('2019'!$H:$H,'2019'!$E:$E,'S2 2019'!$B5,'2019'!$N:$N,'S2 2019'!N$1)</f>
        <v>0</v>
      </c>
      <c r="O5" s="85">
        <f t="shared" si="0"/>
        <v>0</v>
      </c>
      <c r="P5" s="511">
        <f>+Category!K74</f>
        <v>6</v>
      </c>
      <c r="Q5" s="99" t="s">
        <v>181</v>
      </c>
      <c r="R5" s="187">
        <f t="shared" si="1"/>
        <v>0</v>
      </c>
    </row>
    <row r="6" spans="2:18" x14ac:dyDescent="0.2">
      <c r="B6" s="53" t="s">
        <v>71</v>
      </c>
      <c r="C6" s="52">
        <f>SUMIFS('2019'!$H:$H,'2019'!$E:$E,'S2 2019'!$B6,'2019'!$N:$N,'S2 2019'!C$1)</f>
        <v>0</v>
      </c>
      <c r="D6" s="52">
        <f>SUMIFS('2019'!$H:$H,'2019'!$E:$E,'S2 2019'!$B6,'2019'!$N:$N,'S2 2019'!D$1)</f>
        <v>0</v>
      </c>
      <c r="E6" s="52">
        <f>SUMIFS('2019'!$H:$H,'2019'!$E:$E,'S2 2019'!$B6,'2019'!$N:$N,'S2 2019'!E$1)</f>
        <v>0</v>
      </c>
      <c r="F6" s="52">
        <f>SUMIFS('2019'!$H:$H,'2019'!$E:$E,'S2 2019'!$B6,'2019'!$N:$N,'S2 2019'!F$1)</f>
        <v>0</v>
      </c>
      <c r="G6" s="52">
        <f>SUMIFS('2019'!$H:$H,'2019'!$E:$E,'S2 2019'!$B6,'2019'!$N:$N,'S2 2019'!G$1)</f>
        <v>0</v>
      </c>
      <c r="H6" s="52">
        <f>SUMIFS('2019'!$H:$H,'2019'!$E:$E,'S2 2019'!$B6,'2019'!$N:$N,'S2 2019'!H$1)</f>
        <v>0</v>
      </c>
      <c r="I6" s="52">
        <f>SUMIFS('2019'!$H:$H,'2019'!$E:$E,'S2 2019'!$B6,'2019'!$N:$N,'S2 2019'!I$1)</f>
        <v>0</v>
      </c>
      <c r="J6" s="52">
        <f>SUMIFS('2019'!$H:$H,'2019'!$E:$E,'S2 2019'!$B6,'2019'!$N:$N,'S2 2019'!J$1)</f>
        <v>1800000</v>
      </c>
      <c r="K6" s="52">
        <f>SUMIFS('2019'!$H:$H,'2019'!$E:$E,'S2 2019'!$B6,'2019'!$N:$N,'S2 2019'!K$1)</f>
        <v>0</v>
      </c>
      <c r="L6" s="52">
        <f>SUMIFS('2019'!$H:$H,'2019'!$E:$E,'S2 2019'!$B6,'2019'!$N:$N,'S2 2019'!L$1)</f>
        <v>0</v>
      </c>
      <c r="M6" s="52">
        <f>SUMIFS('2019'!$H:$H,'2019'!$E:$E,'S2 2019'!$B6,'2019'!$N:$N,'S2 2019'!M$1)</f>
        <v>0</v>
      </c>
      <c r="N6" s="52">
        <f>SUMIFS('2019'!$H:$H,'2019'!$E:$E,'S2 2019'!$B6,'2019'!$N:$N,'S2 2019'!N$1)</f>
        <v>0</v>
      </c>
      <c r="O6" s="85">
        <f t="shared" si="0"/>
        <v>1800000</v>
      </c>
      <c r="P6" s="478">
        <f>+Category!K103</f>
        <v>1</v>
      </c>
      <c r="Q6" s="94" t="s">
        <v>180</v>
      </c>
      <c r="R6" s="187">
        <f t="shared" si="1"/>
        <v>1800000</v>
      </c>
    </row>
    <row r="7" spans="2:18" x14ac:dyDescent="0.2">
      <c r="B7" s="53" t="s">
        <v>57</v>
      </c>
      <c r="C7" s="52">
        <f>SUMIFS('2019'!$H:$H,'2019'!$E:$E,'S2 2019'!$B7,'2019'!$N:$N,'S2 2019'!C$1)</f>
        <v>0</v>
      </c>
      <c r="D7" s="52">
        <f>SUMIFS('2019'!$H:$H,'2019'!$E:$E,'S2 2019'!$B7,'2019'!$N:$N,'S2 2019'!D$1)</f>
        <v>0</v>
      </c>
      <c r="E7" s="52">
        <f>SUMIFS('2019'!$H:$H,'2019'!$E:$E,'S2 2019'!$B7,'2019'!$N:$N,'S2 2019'!E$1)</f>
        <v>0</v>
      </c>
      <c r="F7" s="52">
        <f>SUMIFS('2019'!$H:$H,'2019'!$E:$E,'S2 2019'!$B7,'2019'!$N:$N,'S2 2019'!F$1)</f>
        <v>0</v>
      </c>
      <c r="G7" s="52">
        <f>SUMIFS('2019'!$H:$H,'2019'!$E:$E,'S2 2019'!$B7,'2019'!$N:$N,'S2 2019'!G$1)</f>
        <v>0</v>
      </c>
      <c r="H7" s="52">
        <f>SUMIFS('2019'!$H:$H,'2019'!$E:$E,'S2 2019'!$B7,'2019'!$N:$N,'S2 2019'!H$1)</f>
        <v>0</v>
      </c>
      <c r="I7" s="52">
        <f>SUMIFS('2019'!$H:$H,'2019'!$E:$E,'S2 2019'!$B7,'2019'!$N:$N,'S2 2019'!I$1)</f>
        <v>0</v>
      </c>
      <c r="J7" s="52">
        <f>SUMIFS('2019'!$H:$H,'2019'!$E:$E,'S2 2019'!$B7,'2019'!$N:$N,'S2 2019'!J$1)</f>
        <v>0</v>
      </c>
      <c r="K7" s="52">
        <f>SUMIFS('2019'!$H:$H,'2019'!$E:$E,'S2 2019'!$B7,'2019'!$N:$N,'S2 2019'!K$1)</f>
        <v>0</v>
      </c>
      <c r="L7" s="52">
        <f>SUMIFS('2019'!$H:$H,'2019'!$E:$E,'S2 2019'!$B7,'2019'!$N:$N,'S2 2019'!L$1)</f>
        <v>0</v>
      </c>
      <c r="M7" s="52">
        <f>SUMIFS('2019'!$H:$H,'2019'!$E:$E,'S2 2019'!$B7,'2019'!$N:$N,'S2 2019'!M$1)</f>
        <v>0</v>
      </c>
      <c r="N7" s="52">
        <f>SUMIFS('2019'!$H:$H,'2019'!$E:$E,'S2 2019'!$B7,'2019'!$N:$N,'S2 2019'!N$1)</f>
        <v>0</v>
      </c>
      <c r="O7" s="85">
        <f t="shared" si="0"/>
        <v>0</v>
      </c>
      <c r="P7" s="478">
        <f>+Category!K121</f>
        <v>6</v>
      </c>
      <c r="Q7" s="94" t="s">
        <v>180</v>
      </c>
      <c r="R7" s="187">
        <f t="shared" si="1"/>
        <v>0</v>
      </c>
    </row>
    <row r="8" spans="2:18" x14ac:dyDescent="0.2">
      <c r="B8" s="55" t="s">
        <v>26</v>
      </c>
      <c r="C8" s="52">
        <f>SUMIFS('2019'!$H:$H,'2019'!$E:$E,'S2 2019'!$B8,'2019'!$N:$N,'S2 2019'!C$1)</f>
        <v>0</v>
      </c>
      <c r="D8" s="288">
        <f>SUMIFS('2019'!$H:$H,'2019'!$E:$E,'S2 2019'!$B8,'2019'!$N:$N,'S2 2019'!D$1)</f>
        <v>0</v>
      </c>
      <c r="E8" s="288">
        <f>SUMIFS('2019'!$H:$H,'2019'!$E:$E,'S2 2019'!$B8,'2019'!$N:$N,'S2 2019'!E$1)</f>
        <v>0</v>
      </c>
      <c r="F8" s="288">
        <f>SUMIFS('2019'!$H:$H,'2019'!$E:$E,'S2 2019'!$B8,'2019'!$N:$N,'S2 2019'!F$1)</f>
        <v>0</v>
      </c>
      <c r="G8" s="288">
        <f>SUMIFS('2019'!$H:$H,'2019'!$E:$E,'S2 2019'!$B8,'2019'!$N:$N,'S2 2019'!G$1)</f>
        <v>0</v>
      </c>
      <c r="H8" s="288">
        <f>SUMIFS('2019'!$H:$H,'2019'!$E:$E,'S2 2019'!$B8,'2019'!$N:$N,'S2 2019'!H$1)</f>
        <v>0</v>
      </c>
      <c r="I8" s="288">
        <f>SUMIFS('2019'!$H:$H,'2019'!$E:$E,'S2 2019'!$B8,'2019'!$N:$N,'S2 2019'!I$1)</f>
        <v>0</v>
      </c>
      <c r="J8" s="288">
        <f>SUMIFS('2019'!$H:$H,'2019'!$E:$E,'S2 2019'!$B8,'2019'!$N:$N,'S2 2019'!J$1)</f>
        <v>0</v>
      </c>
      <c r="K8" s="288">
        <f>SUMIFS('2019'!$H:$H,'2019'!$E:$E,'S2 2019'!$B8,'2019'!$N:$N,'S2 2019'!K$1)</f>
        <v>0</v>
      </c>
      <c r="L8" s="288">
        <f>SUMIFS('2019'!$H:$H,'2019'!$E:$E,'S2 2019'!$B8,'2019'!$N:$N,'S2 2019'!L$1)</f>
        <v>0</v>
      </c>
      <c r="M8" s="288">
        <f>SUMIFS('2019'!$H:$H,'2019'!$E:$E,'S2 2019'!$B8,'2019'!$N:$N,'S2 2019'!M$1)</f>
        <v>0</v>
      </c>
      <c r="N8" s="288">
        <f>SUMIFS('2019'!$H:$H,'2019'!$E:$E,'S2 2019'!$B8,'2019'!$N:$N,'S2 2019'!N$1)</f>
        <v>0</v>
      </c>
      <c r="O8" s="86">
        <f t="shared" si="0"/>
        <v>0</v>
      </c>
      <c r="P8" s="511">
        <f>+Category!K134</f>
        <v>68</v>
      </c>
      <c r="Q8" s="99" t="s">
        <v>182</v>
      </c>
      <c r="R8" s="187">
        <f t="shared" si="1"/>
        <v>0</v>
      </c>
    </row>
    <row r="9" spans="2:18" x14ac:dyDescent="0.2">
      <c r="B9" s="55" t="s">
        <v>1054</v>
      </c>
      <c r="C9" s="52">
        <f>SUMIFS('2019'!$H:$H,'2019'!$E:$E,'S2 2019'!$B9,'2019'!$N:$N,'S2 2019'!C$1)</f>
        <v>0</v>
      </c>
      <c r="D9" s="288">
        <f>SUMIFS('2019'!$H:$H,'2019'!$E:$E,'S2 2019'!$B9,'2019'!$N:$N,'S2 2019'!D$1)</f>
        <v>0</v>
      </c>
      <c r="E9" s="288">
        <f>SUMIFS('2019'!$H:$H,'2019'!$E:$E,'S2 2019'!$B9,'2019'!$N:$N,'S2 2019'!E$1)</f>
        <v>0</v>
      </c>
      <c r="F9" s="288">
        <f>SUMIFS('2019'!$H:$H,'2019'!$E:$E,'S2 2019'!$B9,'2019'!$N:$N,'S2 2019'!F$1)</f>
        <v>0</v>
      </c>
      <c r="G9" s="288">
        <f>SUMIFS('2019'!$H:$H,'2019'!$E:$E,'S2 2019'!$B9,'2019'!$N:$N,'S2 2019'!G$1)</f>
        <v>0</v>
      </c>
      <c r="H9" s="288">
        <f>SUMIFS('2019'!$H:$H,'2019'!$E:$E,'S2 2019'!$B9,'2019'!$N:$N,'S2 2019'!H$1)</f>
        <v>0</v>
      </c>
      <c r="I9" s="288">
        <f>SUMIFS('2019'!$H:$H,'2019'!$E:$E,'S2 2019'!$B9,'2019'!$N:$N,'S2 2019'!I$1)</f>
        <v>0</v>
      </c>
      <c r="J9" s="288">
        <f>SUMIFS('2019'!$H:$H,'2019'!$E:$E,'S2 2019'!$B9,'2019'!$N:$N,'S2 2019'!J$1)</f>
        <v>46000000</v>
      </c>
      <c r="K9" s="288">
        <f>SUMIFS('2019'!$H:$H,'2019'!$E:$E,'S2 2019'!$B9,'2019'!$N:$N,'S2 2019'!K$1)</f>
        <v>0</v>
      </c>
      <c r="L9" s="288">
        <f>SUMIFS('2019'!$H:$H,'2019'!$E:$E,'S2 2019'!$B9,'2019'!$N:$N,'S2 2019'!L$1)</f>
        <v>2029041</v>
      </c>
      <c r="M9" s="288">
        <f>SUMIFS('2019'!$H:$H,'2019'!$E:$E,'S2 2019'!$B9,'2019'!$N:$N,'S2 2019'!M$1)</f>
        <v>6229000</v>
      </c>
      <c r="N9" s="288">
        <f>SUMIFS('2019'!$H:$H,'2019'!$E:$E,'S2 2019'!$B9,'2019'!$N:$N,'S2 2019'!N$1)</f>
        <v>41000000</v>
      </c>
      <c r="O9" s="86">
        <f t="shared" si="0"/>
        <v>95258041</v>
      </c>
      <c r="P9" s="511">
        <f>+Category!K246</f>
        <v>1</v>
      </c>
      <c r="Q9" s="99" t="s">
        <v>182</v>
      </c>
      <c r="R9" s="187">
        <f t="shared" si="1"/>
        <v>95258041</v>
      </c>
    </row>
    <row r="10" spans="2:18" x14ac:dyDescent="0.2">
      <c r="B10" s="55" t="s">
        <v>1055</v>
      </c>
      <c r="C10" s="52">
        <f>SUMIFS('2019'!$H:$H,'2019'!$E:$E,'S2 2019'!$B10,'2019'!$N:$N,'S2 2019'!C$1)</f>
        <v>0</v>
      </c>
      <c r="D10" s="288">
        <f>SUMIFS('2019'!$H:$H,'2019'!$E:$E,'S2 2019'!$B10,'2019'!$N:$N,'S2 2019'!D$1)</f>
        <v>0</v>
      </c>
      <c r="E10" s="288">
        <f>SUMIFS('2019'!$H:$H,'2019'!$E:$E,'S2 2019'!$B10,'2019'!$N:$N,'S2 2019'!E$1)</f>
        <v>0</v>
      </c>
      <c r="F10" s="288">
        <f>SUMIFS('2019'!$H:$H,'2019'!$E:$E,'S2 2019'!$B10,'2019'!$N:$N,'S2 2019'!F$1)</f>
        <v>0</v>
      </c>
      <c r="G10" s="288">
        <f>SUMIFS('2019'!$H:$H,'2019'!$E:$E,'S2 2019'!$B10,'2019'!$N:$N,'S2 2019'!G$1)</f>
        <v>0</v>
      </c>
      <c r="H10" s="288">
        <f>SUMIFS('2019'!$H:$H,'2019'!$E:$E,'S2 2019'!$B10,'2019'!$N:$N,'S2 2019'!H$1)</f>
        <v>0</v>
      </c>
      <c r="I10" s="288">
        <f>SUMIFS('2019'!$H:$H,'2019'!$E:$E,'S2 2019'!$B10,'2019'!$N:$N,'S2 2019'!I$1)</f>
        <v>0</v>
      </c>
      <c r="J10" s="288">
        <f>SUMIFS('2019'!$H:$H,'2019'!$E:$E,'S2 2019'!$B10,'2019'!$N:$N,'S2 2019'!J$1)</f>
        <v>0</v>
      </c>
      <c r="K10" s="288">
        <f>SUMIFS('2019'!$H:$H,'2019'!$E:$E,'S2 2019'!$B10,'2019'!$N:$N,'S2 2019'!K$1)</f>
        <v>13187300</v>
      </c>
      <c r="L10" s="288">
        <f>SUMIFS('2019'!$H:$H,'2019'!$E:$E,'S2 2019'!$B10,'2019'!$N:$N,'S2 2019'!L$1)</f>
        <v>91973450</v>
      </c>
      <c r="M10" s="288">
        <f>SUMIFS('2019'!$H:$H,'2019'!$E:$E,'S2 2019'!$B10,'2019'!$N:$N,'S2 2019'!M$1)</f>
        <v>0</v>
      </c>
      <c r="N10" s="288">
        <f>SUMIFS('2019'!$H:$H,'2019'!$E:$E,'S2 2019'!$B10,'2019'!$N:$N,'S2 2019'!N$1)</f>
        <v>69996360</v>
      </c>
      <c r="O10" s="86">
        <f>SUM(C10:N10)</f>
        <v>175157110</v>
      </c>
      <c r="P10" s="511">
        <f>+Category!K278</f>
        <v>0</v>
      </c>
      <c r="Q10" s="99" t="s">
        <v>182</v>
      </c>
    </row>
    <row r="11" spans="2:18" ht="15.75" thickBot="1" x14ac:dyDescent="0.25">
      <c r="B11" s="57" t="s">
        <v>156</v>
      </c>
      <c r="C11" s="58">
        <f t="shared" ref="C11:H11" si="2">SUM(C3:C8)</f>
        <v>0</v>
      </c>
      <c r="D11" s="58">
        <f t="shared" si="2"/>
        <v>0</v>
      </c>
      <c r="E11" s="58">
        <f t="shared" si="2"/>
        <v>0</v>
      </c>
      <c r="F11" s="58">
        <f t="shared" si="2"/>
        <v>0</v>
      </c>
      <c r="G11" s="58">
        <f t="shared" si="2"/>
        <v>0</v>
      </c>
      <c r="H11" s="58">
        <f t="shared" si="2"/>
        <v>0</v>
      </c>
      <c r="I11" s="58">
        <f>SUM(I3:I9)</f>
        <v>0</v>
      </c>
      <c r="J11" s="58">
        <f t="shared" ref="J11:P11" si="3">SUM(J3:J10)</f>
        <v>62800000</v>
      </c>
      <c r="K11" s="58">
        <f t="shared" si="3"/>
        <v>13187300</v>
      </c>
      <c r="L11" s="58">
        <f t="shared" si="3"/>
        <v>104017491</v>
      </c>
      <c r="M11" s="58">
        <f t="shared" si="3"/>
        <v>240958000</v>
      </c>
      <c r="N11" s="58">
        <f t="shared" si="3"/>
        <v>150996360</v>
      </c>
      <c r="O11" s="58">
        <f>SUM(O3:O10)</f>
        <v>571959151</v>
      </c>
      <c r="P11" s="88">
        <f t="shared" si="3"/>
        <v>1002</v>
      </c>
      <c r="Q11" s="90"/>
    </row>
    <row r="12" spans="2:18" ht="15.75" thickTop="1" x14ac:dyDescent="0.2">
      <c r="O12" s="45">
        <f>+O11-Category!J338</f>
        <v>0</v>
      </c>
      <c r="P12" s="146">
        <f>+P11-Category!K338</f>
        <v>0</v>
      </c>
    </row>
    <row r="13" spans="2:18" x14ac:dyDescent="0.2">
      <c r="B13" s="89" t="s">
        <v>178</v>
      </c>
    </row>
    <row r="14" spans="2:18" x14ac:dyDescent="0.2">
      <c r="B14" s="89" t="s">
        <v>183</v>
      </c>
      <c r="L14" s="91" t="s">
        <v>184</v>
      </c>
      <c r="M14" s="92"/>
      <c r="N14" s="92"/>
      <c r="O14" s="92"/>
      <c r="P14" s="475"/>
    </row>
    <row r="15" spans="2:18" x14ac:dyDescent="0.2">
      <c r="B15" s="89" t="s">
        <v>185</v>
      </c>
      <c r="L15" s="91" t="s">
        <v>186</v>
      </c>
      <c r="M15" s="92"/>
      <c r="N15" s="92"/>
      <c r="O15" s="92"/>
      <c r="P15" s="475"/>
    </row>
    <row r="16" spans="2:18" x14ac:dyDescent="0.2">
      <c r="B16" s="89" t="s">
        <v>187</v>
      </c>
      <c r="L16" s="91" t="s">
        <v>188</v>
      </c>
      <c r="M16" s="92"/>
      <c r="N16" s="92"/>
      <c r="O16" s="92"/>
      <c r="P16" s="475"/>
    </row>
    <row r="17" spans="2:2" x14ac:dyDescent="0.2">
      <c r="B17" s="89" t="s">
        <v>189</v>
      </c>
    </row>
    <row r="18" spans="2:2" x14ac:dyDescent="0.2">
      <c r="B18" s="89" t="s">
        <v>190</v>
      </c>
    </row>
    <row r="19" spans="2:2" x14ac:dyDescent="0.2">
      <c r="B19" s="89" t="s">
        <v>191</v>
      </c>
    </row>
    <row r="20" spans="2:2" x14ac:dyDescent="0.2">
      <c r="B20" s="89" t="s">
        <v>192</v>
      </c>
    </row>
    <row r="21" spans="2:2" x14ac:dyDescent="0.2">
      <c r="B21" s="89" t="s">
        <v>193</v>
      </c>
    </row>
    <row r="22" spans="2:2" x14ac:dyDescent="0.2">
      <c r="B22" s="89" t="s">
        <v>194</v>
      </c>
    </row>
  </sheetData>
  <printOptions horizontalCentered="1"/>
  <pageMargins left="0.19685039370078741" right="0.19685039370078741" top="0.74803149606299213" bottom="0.74803149606299213" header="0.31496062992125984" footer="0.31496062992125984"/>
  <pageSetup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Q56"/>
  <sheetViews>
    <sheetView showGridLines="0" zoomScale="80" zoomScaleNormal="80" workbookViewId="0">
      <pane ySplit="2" topLeftCell="A3" activePane="bottomLeft" state="frozen"/>
      <selection activeCell="D41" sqref="D41"/>
      <selection pane="bottomLeft" activeCell="D12" sqref="D12"/>
    </sheetView>
  </sheetViews>
  <sheetFormatPr defaultColWidth="9.01171875" defaultRowHeight="30" customHeight="1" x14ac:dyDescent="0.2"/>
  <cols>
    <col min="1" max="1" width="2.5546875" style="4" customWidth="1"/>
    <col min="2" max="2" width="22.59765625" style="25" customWidth="1"/>
    <col min="3" max="3" width="24.078125" style="68" customWidth="1"/>
    <col min="4" max="4" width="40.89453125" style="25" customWidth="1"/>
    <col min="5" max="5" width="21.65625" style="25" customWidth="1"/>
    <col min="6" max="6" width="14.52734375" style="25" customWidth="1"/>
    <col min="7" max="7" width="9.4140625" style="25" customWidth="1"/>
    <col min="8" max="8" width="20.17578125" style="25" customWidth="1"/>
    <col min="9" max="9" width="20.04296875" style="25" customWidth="1"/>
    <col min="10" max="10" width="12.375" style="25" customWidth="1"/>
    <col min="11" max="11" width="21.5234375" style="25" customWidth="1"/>
    <col min="12" max="12" width="16.0078125" style="25" bestFit="1" customWidth="1"/>
    <col min="13" max="13" width="22.46484375" style="25" customWidth="1"/>
    <col min="14" max="14" width="14.390625" style="8" bestFit="1" customWidth="1"/>
    <col min="15" max="15" width="135.46484375" style="25" bestFit="1" customWidth="1"/>
    <col min="16" max="16384" width="9.01171875" style="4"/>
  </cols>
  <sheetData>
    <row r="1" spans="2:16" s="476" customFormat="1" ht="70.5" customHeight="1" x14ac:dyDescent="0.2">
      <c r="B1" s="10"/>
      <c r="C1" s="64"/>
      <c r="D1" s="11"/>
      <c r="E1" s="11"/>
      <c r="F1" s="11"/>
      <c r="G1" s="11"/>
      <c r="H1" s="11"/>
      <c r="I1" s="11"/>
      <c r="J1" s="11"/>
      <c r="K1" s="11"/>
      <c r="L1" s="10"/>
      <c r="M1" s="11"/>
      <c r="N1" s="5"/>
      <c r="O1" s="11"/>
    </row>
    <row r="2" spans="2:16" ht="30" customHeight="1" x14ac:dyDescent="0.2">
      <c r="B2" s="12" t="s">
        <v>0</v>
      </c>
      <c r="C2" s="65" t="s">
        <v>1</v>
      </c>
      <c r="D2" s="9" t="s">
        <v>2</v>
      </c>
      <c r="E2" s="2" t="s">
        <v>3</v>
      </c>
      <c r="F2" s="2" t="s">
        <v>4</v>
      </c>
      <c r="G2" s="9" t="s">
        <v>5</v>
      </c>
      <c r="H2" s="9" t="s">
        <v>6</v>
      </c>
      <c r="I2" s="9" t="s">
        <v>7</v>
      </c>
      <c r="J2" s="2" t="s">
        <v>8</v>
      </c>
      <c r="K2" s="3" t="s">
        <v>9</v>
      </c>
      <c r="L2" s="42" t="s">
        <v>10</v>
      </c>
      <c r="M2" s="3" t="s">
        <v>11</v>
      </c>
      <c r="N2" s="6" t="s">
        <v>12</v>
      </c>
      <c r="O2" s="3" t="s">
        <v>13</v>
      </c>
      <c r="P2" s="4" t="s">
        <v>14</v>
      </c>
    </row>
    <row r="3" spans="2:16" ht="71.25" x14ac:dyDescent="0.2">
      <c r="B3" s="19">
        <v>43699</v>
      </c>
      <c r="C3" s="69" t="s">
        <v>1344</v>
      </c>
      <c r="D3" s="17" t="s">
        <v>25</v>
      </c>
      <c r="E3" s="14" t="s">
        <v>179</v>
      </c>
      <c r="F3" s="14" t="s">
        <v>18</v>
      </c>
      <c r="G3" s="15">
        <v>12</v>
      </c>
      <c r="H3" s="40">
        <v>4500000</v>
      </c>
      <c r="I3" s="40">
        <f>List5[[#This Row],[Pengajuan Donasi]]</f>
        <v>4500000</v>
      </c>
      <c r="J3" s="16" t="s">
        <v>19</v>
      </c>
      <c r="K3" s="20" t="s">
        <v>1314</v>
      </c>
      <c r="L3" s="62">
        <v>43684</v>
      </c>
      <c r="M3" s="17"/>
      <c r="N3" s="7">
        <f>MONTH(List5[[#This Row],[Tanggal Pengajuan]])</f>
        <v>8</v>
      </c>
      <c r="O3" s="17"/>
    </row>
    <row r="4" spans="2:16" ht="29.25" customHeight="1" x14ac:dyDescent="0.2">
      <c r="B4" s="19">
        <v>43699</v>
      </c>
      <c r="C4" s="69" t="s">
        <v>1345</v>
      </c>
      <c r="D4" s="20" t="s">
        <v>1315</v>
      </c>
      <c r="E4" s="18" t="s">
        <v>71</v>
      </c>
      <c r="F4" s="18"/>
      <c r="G4" s="70">
        <v>1</v>
      </c>
      <c r="H4" s="40">
        <v>800000</v>
      </c>
      <c r="I4" s="40">
        <f>List5[[#This Row],[Pengajuan Donasi]]</f>
        <v>800000</v>
      </c>
      <c r="J4" s="16" t="s">
        <v>19</v>
      </c>
      <c r="K4" s="20" t="s">
        <v>1315</v>
      </c>
      <c r="L4" s="62">
        <v>43684</v>
      </c>
      <c r="M4" s="20"/>
      <c r="N4" s="7">
        <f>MONTH(List5[[#This Row],[Tanggal Pengajuan]])</f>
        <v>8</v>
      </c>
      <c r="O4" s="17"/>
      <c r="P4" s="4" t="s">
        <v>23</v>
      </c>
    </row>
    <row r="5" spans="2:16" ht="42.75" x14ac:dyDescent="0.2">
      <c r="B5" s="19">
        <v>43699</v>
      </c>
      <c r="C5" s="69" t="s">
        <v>1346</v>
      </c>
      <c r="D5" s="20" t="s">
        <v>1316</v>
      </c>
      <c r="E5" s="18" t="s">
        <v>71</v>
      </c>
      <c r="F5" s="14"/>
      <c r="G5" s="15">
        <v>1</v>
      </c>
      <c r="H5" s="40">
        <v>1000000</v>
      </c>
      <c r="I5" s="40">
        <f>List5[[#This Row],[Pengajuan Donasi]]</f>
        <v>1000000</v>
      </c>
      <c r="J5" s="16" t="s">
        <v>19</v>
      </c>
      <c r="K5" s="20" t="s">
        <v>1316</v>
      </c>
      <c r="L5" s="62">
        <v>43684</v>
      </c>
      <c r="M5" s="17"/>
      <c r="N5" s="7">
        <f>MONTH(List5[[#This Row],[Tanggal Pengajuan]])</f>
        <v>8</v>
      </c>
      <c r="O5" s="17"/>
    </row>
    <row r="6" spans="2:16" ht="29.25" x14ac:dyDescent="0.2">
      <c r="B6" s="19">
        <v>43699</v>
      </c>
      <c r="C6" s="69" t="s">
        <v>1347</v>
      </c>
      <c r="D6" s="20" t="s">
        <v>1317</v>
      </c>
      <c r="E6" s="14" t="s">
        <v>1054</v>
      </c>
      <c r="F6" s="14"/>
      <c r="G6" s="15">
        <v>0</v>
      </c>
      <c r="H6" s="40">
        <v>46000000</v>
      </c>
      <c r="I6" s="40">
        <f>List5[[#This Row],[Pengajuan Donasi]]</f>
        <v>46000000</v>
      </c>
      <c r="J6" s="16" t="s">
        <v>19</v>
      </c>
      <c r="K6" s="20" t="s">
        <v>1317</v>
      </c>
      <c r="L6" s="182">
        <v>43684</v>
      </c>
      <c r="M6" s="17"/>
      <c r="N6" s="7">
        <f>MONTH(List5[[#This Row],[Tanggal Pengajuan]])</f>
        <v>8</v>
      </c>
      <c r="O6" s="17"/>
    </row>
    <row r="7" spans="2:16" ht="71.25" x14ac:dyDescent="0.2">
      <c r="B7" s="19">
        <v>43699</v>
      </c>
      <c r="C7" s="69" t="s">
        <v>1348</v>
      </c>
      <c r="D7" s="17" t="s">
        <v>25</v>
      </c>
      <c r="E7" s="14" t="s">
        <v>179</v>
      </c>
      <c r="F7" s="18" t="s">
        <v>18</v>
      </c>
      <c r="G7" s="70">
        <v>12</v>
      </c>
      <c r="H7" s="71">
        <v>10500000</v>
      </c>
      <c r="I7" s="40">
        <f>List5[[#This Row],[Pengajuan Donasi]]</f>
        <v>10500000</v>
      </c>
      <c r="J7" s="72" t="s">
        <v>19</v>
      </c>
      <c r="K7" s="20" t="s">
        <v>1318</v>
      </c>
      <c r="L7" s="63">
        <v>43703</v>
      </c>
      <c r="M7" s="20"/>
      <c r="N7" s="7">
        <f>MONTH(List5[[#This Row],[Tanggal Pengajuan]])</f>
        <v>8</v>
      </c>
      <c r="O7" s="17"/>
    </row>
    <row r="8" spans="2:16" ht="30" customHeight="1" x14ac:dyDescent="0.2">
      <c r="B8" s="19">
        <v>43713</v>
      </c>
      <c r="C8" s="69" t="s">
        <v>1349</v>
      </c>
      <c r="D8" s="20" t="s">
        <v>1319</v>
      </c>
      <c r="E8" s="14" t="s">
        <v>1055</v>
      </c>
      <c r="F8" s="18"/>
      <c r="G8" s="70">
        <v>0</v>
      </c>
      <c r="H8" s="71">
        <v>13187300</v>
      </c>
      <c r="I8" s="40">
        <f>List5[[#This Row],[Pengajuan Donasi]]</f>
        <v>13187300</v>
      </c>
      <c r="J8" s="72" t="s">
        <v>19</v>
      </c>
      <c r="K8" s="20" t="s">
        <v>1319</v>
      </c>
      <c r="L8" s="182">
        <v>43741</v>
      </c>
      <c r="M8" s="20"/>
      <c r="N8" s="7">
        <f>MONTH(List5[[#This Row],[Tanggal Pengajuan]])</f>
        <v>9</v>
      </c>
      <c r="O8" s="17"/>
    </row>
    <row r="9" spans="2:16" ht="30" customHeight="1" x14ac:dyDescent="0.2">
      <c r="B9" s="19">
        <v>43754</v>
      </c>
      <c r="C9" s="69" t="s">
        <v>1350</v>
      </c>
      <c r="D9" s="18" t="s">
        <v>48</v>
      </c>
      <c r="E9" s="14" t="s">
        <v>179</v>
      </c>
      <c r="F9" s="14" t="s">
        <v>49</v>
      </c>
      <c r="G9" s="70">
        <v>32</v>
      </c>
      <c r="H9" s="71">
        <v>4515000</v>
      </c>
      <c r="I9" s="40">
        <f>List5[[#This Row],[Pengajuan Donasi]]</f>
        <v>4515000</v>
      </c>
      <c r="J9" s="72" t="s">
        <v>19</v>
      </c>
      <c r="K9" s="20" t="s">
        <v>1320</v>
      </c>
      <c r="L9" s="182">
        <v>43762</v>
      </c>
      <c r="M9" s="20"/>
      <c r="N9" s="7">
        <f>MONTH(List5[[#This Row],[Tanggal Pengajuan]])</f>
        <v>10</v>
      </c>
      <c r="O9" s="17"/>
    </row>
    <row r="10" spans="2:16" ht="42.75" x14ac:dyDescent="0.2">
      <c r="B10" s="13">
        <v>43742</v>
      </c>
      <c r="C10" s="66" t="s">
        <v>1351</v>
      </c>
      <c r="D10" s="14" t="s">
        <v>1059</v>
      </c>
      <c r="E10" s="14" t="s">
        <v>1055</v>
      </c>
      <c r="F10" s="14" t="s">
        <v>18</v>
      </c>
      <c r="G10" s="70">
        <v>0</v>
      </c>
      <c r="H10" s="71">
        <v>10507000</v>
      </c>
      <c r="I10" s="40">
        <f>List5[[#This Row],[Pengajuan Donasi]]</f>
        <v>10507000</v>
      </c>
      <c r="J10" s="72" t="s">
        <v>19</v>
      </c>
      <c r="K10" s="20" t="s">
        <v>1321</v>
      </c>
      <c r="L10" s="63">
        <v>43760</v>
      </c>
      <c r="M10" s="20"/>
      <c r="N10" s="7">
        <f>MONTH(List5[[#This Row],[Tanggal Pengajuan]])</f>
        <v>10</v>
      </c>
      <c r="O10" s="17"/>
    </row>
    <row r="11" spans="2:16" ht="42.75" x14ac:dyDescent="0.2">
      <c r="B11" s="19">
        <v>43763</v>
      </c>
      <c r="C11" s="66" t="s">
        <v>1352</v>
      </c>
      <c r="D11" s="20" t="s">
        <v>1322</v>
      </c>
      <c r="E11" s="14" t="s">
        <v>1054</v>
      </c>
      <c r="F11" s="14" t="s">
        <v>49</v>
      </c>
      <c r="G11" s="15">
        <v>0</v>
      </c>
      <c r="H11" s="40">
        <v>-8965049</v>
      </c>
      <c r="I11" s="40">
        <f>List5[[#This Row],[Pengajuan Donasi]]</f>
        <v>-8965049</v>
      </c>
      <c r="J11" s="16" t="s">
        <v>19</v>
      </c>
      <c r="K11" s="20" t="s">
        <v>1322</v>
      </c>
      <c r="L11" s="182">
        <v>43773</v>
      </c>
      <c r="M11" s="17"/>
      <c r="N11" s="7">
        <f>MONTH(List5[[#This Row],[Tanggal Pengajuan]])</f>
        <v>10</v>
      </c>
      <c r="O11" s="17"/>
    </row>
    <row r="12" spans="2:16" ht="57" x14ac:dyDescent="0.2">
      <c r="B12" s="19">
        <v>43763</v>
      </c>
      <c r="C12" s="66" t="s">
        <v>1353</v>
      </c>
      <c r="D12" s="20" t="s">
        <v>1323</v>
      </c>
      <c r="E12" s="14" t="s">
        <v>1054</v>
      </c>
      <c r="F12" s="14" t="s">
        <v>18</v>
      </c>
      <c r="G12" s="15">
        <v>0</v>
      </c>
      <c r="H12" s="40">
        <v>10994090</v>
      </c>
      <c r="I12" s="40">
        <f>List5[[#This Row],[Pengajuan Donasi]]</f>
        <v>10994090</v>
      </c>
      <c r="J12" s="16" t="s">
        <v>19</v>
      </c>
      <c r="K12" s="20" t="s">
        <v>1323</v>
      </c>
      <c r="L12" s="182">
        <v>43775</v>
      </c>
      <c r="M12" s="17"/>
      <c r="N12" s="7">
        <f>MONTH(List5[[#This Row],[Tanggal Pengajuan]])</f>
        <v>10</v>
      </c>
      <c r="O12" s="17"/>
    </row>
    <row r="13" spans="2:16" ht="29.25" x14ac:dyDescent="0.2">
      <c r="B13" s="19">
        <v>43766</v>
      </c>
      <c r="C13" s="66" t="s">
        <v>1354</v>
      </c>
      <c r="D13" s="14" t="s">
        <v>1059</v>
      </c>
      <c r="E13" s="14" t="s">
        <v>1055</v>
      </c>
      <c r="F13" s="14" t="s">
        <v>18</v>
      </c>
      <c r="G13" s="15">
        <v>0</v>
      </c>
      <c r="H13" s="40">
        <v>10696450</v>
      </c>
      <c r="I13" s="40">
        <f>List5[[#This Row],[Pengajuan Donasi]]</f>
        <v>10696450</v>
      </c>
      <c r="J13" s="16" t="s">
        <v>19</v>
      </c>
      <c r="K13" s="20" t="s">
        <v>1324</v>
      </c>
      <c r="L13" s="182">
        <v>43780</v>
      </c>
      <c r="M13" s="17"/>
      <c r="N13" s="7">
        <f>MONTH(List5[[#This Row],[Tanggal Pengajuan]])</f>
        <v>10</v>
      </c>
      <c r="O13" s="17"/>
    </row>
    <row r="14" spans="2:16" ht="42.75" x14ac:dyDescent="0.2">
      <c r="B14" s="19">
        <v>43766</v>
      </c>
      <c r="C14" s="66" t="s">
        <v>1355</v>
      </c>
      <c r="D14" s="18" t="s">
        <v>106</v>
      </c>
      <c r="E14" s="14" t="s">
        <v>179</v>
      </c>
      <c r="F14" s="14" t="s">
        <v>18</v>
      </c>
      <c r="G14" s="15"/>
      <c r="H14" s="40">
        <v>5500000</v>
      </c>
      <c r="I14" s="40">
        <f>List5[[#This Row],[Pengajuan Donasi]]</f>
        <v>5500000</v>
      </c>
      <c r="J14" s="16" t="s">
        <v>19</v>
      </c>
      <c r="K14" s="20" t="s">
        <v>1325</v>
      </c>
      <c r="L14" s="182">
        <v>43775</v>
      </c>
      <c r="M14" s="17"/>
      <c r="N14" s="7">
        <f>MONTH(List5[[#This Row],[Tanggal Pengajuan]])</f>
        <v>10</v>
      </c>
      <c r="O14" s="17"/>
    </row>
    <row r="15" spans="2:16" ht="29.25" x14ac:dyDescent="0.2">
      <c r="B15" s="19">
        <v>43766</v>
      </c>
      <c r="C15" s="66" t="s">
        <v>1356</v>
      </c>
      <c r="D15" s="20" t="s">
        <v>1326</v>
      </c>
      <c r="E15" s="14" t="s">
        <v>1055</v>
      </c>
      <c r="F15" s="14" t="s">
        <v>28</v>
      </c>
      <c r="G15" s="15"/>
      <c r="H15" s="40">
        <v>70770000</v>
      </c>
      <c r="I15" s="40">
        <f>List5[[#This Row],[Pengajuan Donasi]]</f>
        <v>70770000</v>
      </c>
      <c r="J15" s="16" t="s">
        <v>19</v>
      </c>
      <c r="K15" s="20" t="s">
        <v>1326</v>
      </c>
      <c r="L15" s="182">
        <v>43780</v>
      </c>
      <c r="M15" s="17"/>
      <c r="N15" s="7">
        <f>MONTH(List5[[#This Row],[Tanggal Pengajuan]])</f>
        <v>10</v>
      </c>
      <c r="O15" s="17"/>
    </row>
    <row r="16" spans="2:16" ht="30" customHeight="1" x14ac:dyDescent="0.2">
      <c r="B16" s="19">
        <v>43796</v>
      </c>
      <c r="C16" s="69" t="s">
        <v>1357</v>
      </c>
      <c r="D16" s="20" t="s">
        <v>1327</v>
      </c>
      <c r="E16" s="14" t="s">
        <v>1054</v>
      </c>
      <c r="F16" s="14" t="s">
        <v>28</v>
      </c>
      <c r="G16" s="70"/>
      <c r="H16" s="40">
        <v>6229000</v>
      </c>
      <c r="I16" s="40">
        <f>List5[[#This Row],[Pengajuan Donasi]]</f>
        <v>6229000</v>
      </c>
      <c r="J16" s="16" t="s">
        <v>19</v>
      </c>
      <c r="K16" s="20" t="s">
        <v>1327</v>
      </c>
      <c r="L16" s="182">
        <v>43801</v>
      </c>
      <c r="M16" s="20"/>
      <c r="N16" s="7">
        <f>MONTH(List5[[#This Row],[Tanggal Pengajuan]])</f>
        <v>11</v>
      </c>
      <c r="O16" s="20"/>
    </row>
    <row r="17" spans="2:17" ht="57" x14ac:dyDescent="0.2">
      <c r="B17" s="19">
        <v>43797</v>
      </c>
      <c r="C17" s="69" t="s">
        <v>1358</v>
      </c>
      <c r="D17" s="18" t="s">
        <v>35</v>
      </c>
      <c r="E17" s="18" t="s">
        <v>179</v>
      </c>
      <c r="F17" s="14" t="s">
        <v>18</v>
      </c>
      <c r="G17" s="70">
        <v>29</v>
      </c>
      <c r="H17" s="40">
        <v>18750000</v>
      </c>
      <c r="I17" s="40">
        <f>List5[[#This Row],[Pengajuan Donasi]]</f>
        <v>18750000</v>
      </c>
      <c r="J17" s="16" t="s">
        <v>72</v>
      </c>
      <c r="K17" s="20" t="s">
        <v>1328</v>
      </c>
      <c r="L17" s="63">
        <v>43801</v>
      </c>
      <c r="M17" s="20"/>
      <c r="N17" s="7">
        <f>MONTH(List5[[#This Row],[Tanggal Pengajuan]])</f>
        <v>11</v>
      </c>
      <c r="O17" s="20"/>
    </row>
    <row r="18" spans="2:17" ht="42.75" x14ac:dyDescent="0.2">
      <c r="B18" s="19">
        <v>43797</v>
      </c>
      <c r="C18" s="69" t="s">
        <v>1359</v>
      </c>
      <c r="D18" s="18" t="s">
        <v>256</v>
      </c>
      <c r="E18" s="18" t="s">
        <v>17</v>
      </c>
      <c r="F18" s="14" t="s">
        <v>18</v>
      </c>
      <c r="G18" s="70">
        <v>16</v>
      </c>
      <c r="H18" s="40">
        <v>5500000</v>
      </c>
      <c r="I18" s="40">
        <f>List5[[#This Row],[Pengajuan Donasi]]</f>
        <v>5500000</v>
      </c>
      <c r="J18" s="16" t="s">
        <v>19</v>
      </c>
      <c r="K18" s="20" t="s">
        <v>1329</v>
      </c>
      <c r="L18" s="182">
        <v>43801</v>
      </c>
      <c r="M18" s="20"/>
      <c r="N18" s="7">
        <f>MONTH(List5[[#This Row],[Tanggal Pengajuan]])</f>
        <v>11</v>
      </c>
      <c r="O18" s="20"/>
    </row>
    <row r="19" spans="2:17" ht="57" x14ac:dyDescent="0.2">
      <c r="B19" s="19">
        <v>43797</v>
      </c>
      <c r="C19" s="69" t="s">
        <v>1360</v>
      </c>
      <c r="D19" s="18" t="s">
        <v>60</v>
      </c>
      <c r="E19" s="18" t="s">
        <v>179</v>
      </c>
      <c r="F19" s="18" t="s">
        <v>18</v>
      </c>
      <c r="G19" s="70">
        <v>37</v>
      </c>
      <c r="H19" s="40">
        <v>31305000</v>
      </c>
      <c r="I19" s="40">
        <f>List5[[#This Row],[Pengajuan Donasi]]</f>
        <v>31305000</v>
      </c>
      <c r="J19" s="16" t="s">
        <v>19</v>
      </c>
      <c r="K19" s="20" t="s">
        <v>1330</v>
      </c>
      <c r="L19" s="182">
        <v>43802</v>
      </c>
      <c r="M19" s="20"/>
      <c r="N19" s="7">
        <f>MONTH(List5[[#This Row],[Tanggal Pengajuan]])</f>
        <v>11</v>
      </c>
      <c r="O19" s="20"/>
    </row>
    <row r="20" spans="2:17" ht="57" x14ac:dyDescent="0.2">
      <c r="B20" s="19">
        <v>43797</v>
      </c>
      <c r="C20" s="69" t="s">
        <v>1361</v>
      </c>
      <c r="D20" s="20" t="s">
        <v>1231</v>
      </c>
      <c r="E20" s="18" t="s">
        <v>179</v>
      </c>
      <c r="F20" s="18"/>
      <c r="G20" s="70">
        <v>13</v>
      </c>
      <c r="H20" s="40">
        <v>10080000</v>
      </c>
      <c r="I20" s="40">
        <f>List5[[#This Row],[Pengajuan Donasi]]</f>
        <v>10080000</v>
      </c>
      <c r="J20" s="16" t="s">
        <v>19</v>
      </c>
      <c r="K20" s="20" t="s">
        <v>1331</v>
      </c>
      <c r="L20" s="182">
        <v>43801</v>
      </c>
      <c r="M20" s="20"/>
      <c r="N20" s="7">
        <f>MONTH(List5[[#This Row],[Tanggal Pengajuan]])</f>
        <v>11</v>
      </c>
      <c r="O20" s="20"/>
    </row>
    <row r="21" spans="2:17" ht="57" x14ac:dyDescent="0.2">
      <c r="B21" s="21">
        <v>43797</v>
      </c>
      <c r="C21" s="77" t="s">
        <v>1362</v>
      </c>
      <c r="D21" s="22" t="s">
        <v>53</v>
      </c>
      <c r="E21" s="18" t="s">
        <v>179</v>
      </c>
      <c r="F21" s="18"/>
      <c r="G21" s="70">
        <v>67</v>
      </c>
      <c r="H21" s="41">
        <v>61810000</v>
      </c>
      <c r="I21" s="40">
        <f>List5[[#This Row],[Pengajuan Donasi]]</f>
        <v>61810000</v>
      </c>
      <c r="J21" s="16" t="s">
        <v>19</v>
      </c>
      <c r="K21" s="20" t="s">
        <v>1332</v>
      </c>
      <c r="L21" s="182">
        <v>43801</v>
      </c>
      <c r="M21" s="20"/>
      <c r="N21" s="7">
        <f>MONTH(List5[[#This Row],[Tanggal Pengajuan]])</f>
        <v>11</v>
      </c>
      <c r="O21" s="20"/>
    </row>
    <row r="22" spans="2:17" ht="29.25" x14ac:dyDescent="0.2">
      <c r="B22" s="21">
        <v>43797</v>
      </c>
      <c r="C22" s="67" t="s">
        <v>1363</v>
      </c>
      <c r="D22" s="22" t="s">
        <v>53</v>
      </c>
      <c r="E22" s="14" t="s">
        <v>179</v>
      </c>
      <c r="F22" s="14"/>
      <c r="G22" s="23">
        <v>16</v>
      </c>
      <c r="H22" s="41">
        <v>5500000</v>
      </c>
      <c r="I22" s="40">
        <f>List5[[#This Row],[Pengajuan Donasi]]</f>
        <v>5500000</v>
      </c>
      <c r="J22" s="16" t="s">
        <v>19</v>
      </c>
      <c r="K22" s="20" t="s">
        <v>1333</v>
      </c>
      <c r="L22" s="182">
        <v>43801</v>
      </c>
      <c r="M22" s="20"/>
      <c r="N22" s="7">
        <f>MONTH(List5[[#This Row],[Tanggal Pengajuan]])</f>
        <v>11</v>
      </c>
      <c r="O22" s="20"/>
    </row>
    <row r="23" spans="2:17" ht="30" customHeight="1" x14ac:dyDescent="0.2">
      <c r="B23" s="21">
        <v>43798</v>
      </c>
      <c r="C23" s="77" t="s">
        <v>1364</v>
      </c>
      <c r="D23" s="20" t="s">
        <v>64</v>
      </c>
      <c r="E23" s="22" t="s">
        <v>179</v>
      </c>
      <c r="F23" s="18" t="s">
        <v>28</v>
      </c>
      <c r="G23" s="79">
        <v>10</v>
      </c>
      <c r="H23" s="78">
        <v>10760000</v>
      </c>
      <c r="I23" s="40">
        <f>List5[[#This Row],[Pengajuan Donasi]]</f>
        <v>10760000</v>
      </c>
      <c r="J23" s="16" t="s">
        <v>19</v>
      </c>
      <c r="K23" s="20" t="s">
        <v>1334</v>
      </c>
      <c r="L23" s="182">
        <v>43801</v>
      </c>
      <c r="M23" s="20"/>
      <c r="N23" s="7">
        <f>MONTH(List5[[#This Row],[Tanggal Pengajuan]])</f>
        <v>11</v>
      </c>
      <c r="O23" s="20"/>
    </row>
    <row r="24" spans="2:17" ht="30" customHeight="1" x14ac:dyDescent="0.2">
      <c r="B24" s="21">
        <v>43798</v>
      </c>
      <c r="C24" s="77" t="s">
        <v>1365</v>
      </c>
      <c r="D24" s="22" t="s">
        <v>48</v>
      </c>
      <c r="E24" s="22" t="s">
        <v>179</v>
      </c>
      <c r="F24" s="18" t="s">
        <v>49</v>
      </c>
      <c r="G24" s="79">
        <v>7</v>
      </c>
      <c r="H24" s="78">
        <v>1792000</v>
      </c>
      <c r="I24" s="40">
        <f>List5[[#This Row],[Pengajuan Donasi]]</f>
        <v>1792000</v>
      </c>
      <c r="J24" s="16" t="s">
        <v>19</v>
      </c>
      <c r="K24" s="20" t="s">
        <v>1335</v>
      </c>
      <c r="L24" s="182">
        <v>43801</v>
      </c>
      <c r="M24" s="20"/>
      <c r="N24" s="7">
        <f>MONTH(List5[[#This Row],[Tanggal Pengajuan]])</f>
        <v>11</v>
      </c>
      <c r="O24" s="20"/>
    </row>
    <row r="25" spans="2:17" ht="30" customHeight="1" x14ac:dyDescent="0.2">
      <c r="B25" s="21">
        <v>43798</v>
      </c>
      <c r="C25" s="77" t="s">
        <v>1366</v>
      </c>
      <c r="D25" s="22" t="s">
        <v>114</v>
      </c>
      <c r="E25" s="22" t="s">
        <v>179</v>
      </c>
      <c r="F25" s="18" t="s">
        <v>18</v>
      </c>
      <c r="G25" s="79">
        <v>84</v>
      </c>
      <c r="H25" s="78">
        <v>89232000</v>
      </c>
      <c r="I25" s="40">
        <f>List5[[#This Row],[Pengajuan Donasi]]</f>
        <v>89232000</v>
      </c>
      <c r="J25" s="16" t="s">
        <v>19</v>
      </c>
      <c r="K25" s="20" t="s">
        <v>1336</v>
      </c>
      <c r="L25" s="182">
        <v>43801</v>
      </c>
      <c r="M25" s="20"/>
      <c r="N25" s="7">
        <f>MONTH(List5[[#This Row],[Tanggal Pengajuan]])</f>
        <v>11</v>
      </c>
      <c r="O25" s="20"/>
    </row>
    <row r="26" spans="2:17" ht="30" customHeight="1" x14ac:dyDescent="0.2">
      <c r="B26" s="21">
        <v>43798</v>
      </c>
      <c r="C26" s="77" t="s">
        <v>1367</v>
      </c>
      <c r="D26" s="20" t="s">
        <v>1337</v>
      </c>
      <c r="E26" s="14" t="s">
        <v>1054</v>
      </c>
      <c r="F26" s="18" t="s">
        <v>18</v>
      </c>
      <c r="G26" s="79">
        <v>1</v>
      </c>
      <c r="H26" s="78"/>
      <c r="I26" s="40">
        <f>List5[[#This Row],[Pengajuan Donasi]]</f>
        <v>0</v>
      </c>
      <c r="J26" s="16" t="s">
        <v>19</v>
      </c>
      <c r="K26" s="20" t="s">
        <v>1337</v>
      </c>
      <c r="L26" s="182">
        <v>43798</v>
      </c>
      <c r="M26" s="20"/>
      <c r="N26" s="7">
        <f>MONTH(List5[[#This Row],[Tanggal Pengajuan]])</f>
        <v>11</v>
      </c>
      <c r="O26" s="20"/>
    </row>
    <row r="27" spans="2:17" ht="30" customHeight="1" x14ac:dyDescent="0.2">
      <c r="B27" s="21">
        <v>43802</v>
      </c>
      <c r="C27" s="77" t="s">
        <v>1368</v>
      </c>
      <c r="D27" s="20" t="s">
        <v>1338</v>
      </c>
      <c r="E27" s="22" t="s">
        <v>17</v>
      </c>
      <c r="F27" s="18" t="s">
        <v>28</v>
      </c>
      <c r="G27" s="79">
        <f>65+14+30</f>
        <v>109</v>
      </c>
      <c r="H27" s="78">
        <v>30000000</v>
      </c>
      <c r="I27" s="40">
        <f>List5[[#This Row],[Pengajuan Donasi]]</f>
        <v>30000000</v>
      </c>
      <c r="J27" s="16" t="s">
        <v>19</v>
      </c>
      <c r="K27" s="20" t="s">
        <v>1338</v>
      </c>
      <c r="L27" s="182">
        <v>43802</v>
      </c>
      <c r="M27" s="20"/>
      <c r="N27" s="7">
        <f>MONTH(List5[[#This Row],[Tanggal Pengajuan]])</f>
        <v>12</v>
      </c>
      <c r="O27" s="20"/>
      <c r="Q27" s="4" t="s">
        <v>102</v>
      </c>
    </row>
    <row r="28" spans="2:17" ht="30" customHeight="1" x14ac:dyDescent="0.2">
      <c r="B28" s="21">
        <v>43812</v>
      </c>
      <c r="C28" s="77" t="s">
        <v>1369</v>
      </c>
      <c r="D28" s="20" t="s">
        <v>1339</v>
      </c>
      <c r="E28" s="22" t="s">
        <v>17</v>
      </c>
      <c r="F28" s="18" t="s">
        <v>28</v>
      </c>
      <c r="G28" s="79">
        <v>24</v>
      </c>
      <c r="H28" s="78">
        <v>10000000</v>
      </c>
      <c r="I28" s="40">
        <f>List5[[#This Row],[Pengajuan Donasi]]</f>
        <v>10000000</v>
      </c>
      <c r="J28" s="16" t="s">
        <v>19</v>
      </c>
      <c r="K28" s="20" t="s">
        <v>1339</v>
      </c>
      <c r="L28" s="182">
        <v>43817</v>
      </c>
      <c r="M28" s="20"/>
      <c r="N28" s="7">
        <f>MONTH(List5[[#This Row],[Tanggal Pengajuan]])</f>
        <v>12</v>
      </c>
      <c r="O28" s="20"/>
    </row>
    <row r="29" spans="2:17" ht="29.25" x14ac:dyDescent="0.2">
      <c r="B29" s="21">
        <v>43815</v>
      </c>
      <c r="C29" s="77" t="s">
        <v>1370</v>
      </c>
      <c r="D29" s="20" t="s">
        <v>1337</v>
      </c>
      <c r="E29" s="14" t="s">
        <v>1054</v>
      </c>
      <c r="F29" s="18" t="s">
        <v>18</v>
      </c>
      <c r="G29" s="79">
        <v>1</v>
      </c>
      <c r="H29" s="78"/>
      <c r="I29" s="40">
        <f>List5[[#This Row],[Pengajuan Donasi]]</f>
        <v>0</v>
      </c>
      <c r="J29" s="80" t="s">
        <v>19</v>
      </c>
      <c r="K29" s="24" t="s">
        <v>1337</v>
      </c>
      <c r="L29" s="182">
        <v>43728</v>
      </c>
      <c r="M29" s="20"/>
      <c r="N29" s="7">
        <f>MONTH(List5[[#This Row],[Tanggal Pengajuan]])</f>
        <v>12</v>
      </c>
      <c r="O29" s="24"/>
      <c r="P29" s="4">
        <v>1</v>
      </c>
    </row>
    <row r="30" spans="2:17" ht="42.75" x14ac:dyDescent="0.2">
      <c r="B30" s="21">
        <v>43817</v>
      </c>
      <c r="C30" s="77" t="s">
        <v>1371</v>
      </c>
      <c r="D30" s="20" t="s">
        <v>1340</v>
      </c>
      <c r="E30" s="14" t="s">
        <v>1055</v>
      </c>
      <c r="F30" s="18" t="s">
        <v>28</v>
      </c>
      <c r="G30" s="79">
        <v>0</v>
      </c>
      <c r="H30" s="78">
        <v>20000000</v>
      </c>
      <c r="I30" s="40">
        <f>List5[[#This Row],[Pengajuan Donasi]]</f>
        <v>20000000</v>
      </c>
      <c r="J30" s="16" t="s">
        <v>19</v>
      </c>
      <c r="K30" s="20" t="s">
        <v>1340</v>
      </c>
      <c r="L30" s="182">
        <v>43522</v>
      </c>
      <c r="M30" s="20"/>
      <c r="N30" s="7">
        <f>MONTH(List5[[#This Row],[Tanggal Pengajuan]])</f>
        <v>12</v>
      </c>
      <c r="O30" s="20"/>
      <c r="P30" s="4">
        <v>6</v>
      </c>
    </row>
    <row r="31" spans="2:17" ht="42.75" x14ac:dyDescent="0.2">
      <c r="B31" s="21">
        <v>43817</v>
      </c>
      <c r="C31" s="67" t="s">
        <v>1372</v>
      </c>
      <c r="D31" s="20" t="s">
        <v>1341</v>
      </c>
      <c r="E31" s="14" t="s">
        <v>1054</v>
      </c>
      <c r="F31" s="18" t="s">
        <v>28</v>
      </c>
      <c r="G31" s="79">
        <v>0</v>
      </c>
      <c r="H31" s="41">
        <v>41000000</v>
      </c>
      <c r="I31" s="40">
        <f>List5[[#This Row],[Pengajuan Donasi]]</f>
        <v>41000000</v>
      </c>
      <c r="J31" s="16" t="s">
        <v>19</v>
      </c>
      <c r="K31" s="20" t="s">
        <v>1341</v>
      </c>
      <c r="L31" s="182">
        <v>43825</v>
      </c>
      <c r="M31" s="20"/>
      <c r="N31" s="7">
        <f>MONTH(List5[[#This Row],[Tanggal Pengajuan]])</f>
        <v>12</v>
      </c>
      <c r="O31" s="20"/>
    </row>
    <row r="32" spans="2:17" ht="29.25" x14ac:dyDescent="0.2">
      <c r="B32" s="21">
        <v>43818</v>
      </c>
      <c r="C32" s="67" t="s">
        <v>1373</v>
      </c>
      <c r="D32" s="20" t="s">
        <v>1342</v>
      </c>
      <c r="E32" s="14" t="s">
        <v>1055</v>
      </c>
      <c r="F32" s="18" t="s">
        <v>28</v>
      </c>
      <c r="G32" s="79">
        <v>0</v>
      </c>
      <c r="H32" s="41">
        <v>-8803640</v>
      </c>
      <c r="I32" s="40">
        <f>List5[[#This Row],[Pengajuan Donasi]]</f>
        <v>-8803640</v>
      </c>
      <c r="J32" s="16" t="s">
        <v>19</v>
      </c>
      <c r="K32" s="20" t="s">
        <v>1342</v>
      </c>
      <c r="L32" s="182">
        <v>43825</v>
      </c>
      <c r="M32" s="20"/>
      <c r="N32" s="7">
        <f>MONTH(List5[[#This Row],[Tanggal Pengajuan]])</f>
        <v>12</v>
      </c>
      <c r="O32" s="20"/>
    </row>
    <row r="33" spans="2:16" ht="30" customHeight="1" x14ac:dyDescent="0.2">
      <c r="B33" s="21">
        <v>43829</v>
      </c>
      <c r="C33" s="77" t="s">
        <v>1374</v>
      </c>
      <c r="D33" s="20" t="s">
        <v>1343</v>
      </c>
      <c r="E33" s="14" t="s">
        <v>1055</v>
      </c>
      <c r="F33" s="18" t="s">
        <v>28</v>
      </c>
      <c r="G33" s="79">
        <v>0</v>
      </c>
      <c r="H33" s="78">
        <v>58800000</v>
      </c>
      <c r="I33" s="40">
        <f>List5[[#This Row],[Pengajuan Donasi]]</f>
        <v>58800000</v>
      </c>
      <c r="J33" s="72" t="s">
        <v>19</v>
      </c>
      <c r="K33" s="20" t="s">
        <v>1343</v>
      </c>
      <c r="L33" s="182">
        <v>43524</v>
      </c>
      <c r="M33" s="20"/>
      <c r="N33" s="7">
        <f>MONTH(List5[[#This Row],[Tanggal Pengajuan]])</f>
        <v>12</v>
      </c>
      <c r="O33" s="22"/>
    </row>
    <row r="34" spans="2:16" ht="30" customHeight="1" x14ac:dyDescent="0.2">
      <c r="B34" s="21"/>
      <c r="C34" s="77"/>
      <c r="D34" s="22"/>
      <c r="E34" s="22"/>
      <c r="F34" s="22"/>
      <c r="G34" s="79"/>
      <c r="H34" s="78"/>
      <c r="I34" s="78"/>
      <c r="J34" s="72"/>
      <c r="K34" s="20"/>
      <c r="L34" s="182"/>
      <c r="M34" s="20"/>
      <c r="N34" s="7">
        <f>MONTH(List5[[#This Row],[Tanggal Pengajuan]])</f>
        <v>1</v>
      </c>
      <c r="O34" s="20"/>
    </row>
    <row r="35" spans="2:16" ht="30" customHeight="1" x14ac:dyDescent="0.2">
      <c r="B35" s="21"/>
      <c r="C35" s="77"/>
      <c r="D35" s="22"/>
      <c r="E35" s="22"/>
      <c r="F35" s="22"/>
      <c r="G35" s="79"/>
      <c r="H35" s="78"/>
      <c r="I35" s="78"/>
      <c r="J35" s="72"/>
      <c r="K35" s="20"/>
      <c r="L35" s="182"/>
      <c r="M35" s="20"/>
      <c r="N35" s="7">
        <f>MONTH(List5[[#This Row],[Tanggal Pengajuan]])</f>
        <v>1</v>
      </c>
      <c r="O35" s="20"/>
    </row>
    <row r="36" spans="2:16" ht="30" customHeight="1" x14ac:dyDescent="0.2">
      <c r="B36" s="21"/>
      <c r="C36" s="77"/>
      <c r="D36" s="22"/>
      <c r="E36" s="22"/>
      <c r="F36" s="22"/>
      <c r="G36" s="79"/>
      <c r="H36" s="78"/>
      <c r="I36" s="78"/>
      <c r="J36" s="72"/>
      <c r="K36" s="20"/>
      <c r="L36" s="182"/>
      <c r="M36" s="20"/>
      <c r="N36" s="7">
        <f>MONTH(List5[[#This Row],[Tanggal Pengajuan]])</f>
        <v>1</v>
      </c>
      <c r="O36" s="20"/>
    </row>
    <row r="37" spans="2:16" ht="30" customHeight="1" x14ac:dyDescent="0.2">
      <c r="B37" s="21"/>
      <c r="C37" s="77"/>
      <c r="D37" s="22"/>
      <c r="E37" s="22"/>
      <c r="F37" s="22"/>
      <c r="G37" s="79"/>
      <c r="H37" s="78"/>
      <c r="I37" s="78"/>
      <c r="J37" s="72"/>
      <c r="K37" s="20"/>
      <c r="L37" s="182"/>
      <c r="M37" s="20"/>
      <c r="N37" s="7">
        <f>MONTH(List5[[#This Row],[Tanggal Pengajuan]])</f>
        <v>1</v>
      </c>
      <c r="O37" s="20"/>
    </row>
    <row r="38" spans="2:16" ht="15.75" x14ac:dyDescent="0.2">
      <c r="B38" s="21"/>
      <c r="C38" s="77"/>
      <c r="D38" s="22"/>
      <c r="E38" s="18"/>
      <c r="F38" s="22"/>
      <c r="G38" s="79"/>
      <c r="H38" s="78"/>
      <c r="I38" s="78"/>
      <c r="J38" s="80"/>
      <c r="K38" s="24"/>
      <c r="L38" s="182"/>
      <c r="M38" s="20"/>
      <c r="N38" s="7">
        <f>MONTH(List5[[#This Row],[Tanggal Pengajuan]])</f>
        <v>1</v>
      </c>
      <c r="O38" s="24"/>
    </row>
    <row r="39" spans="2:16" ht="15.75" x14ac:dyDescent="0.2">
      <c r="B39" s="21"/>
      <c r="C39" s="77"/>
      <c r="D39" s="22"/>
      <c r="E39" s="22"/>
      <c r="F39" s="22"/>
      <c r="G39" s="79"/>
      <c r="H39" s="78"/>
      <c r="I39" s="78"/>
      <c r="J39" s="80"/>
      <c r="K39" s="24"/>
      <c r="L39" s="182"/>
      <c r="M39" s="20"/>
      <c r="N39" s="7">
        <f>MONTH(List5[[#This Row],[Tanggal Pengajuan]])</f>
        <v>1</v>
      </c>
      <c r="O39" s="20"/>
    </row>
    <row r="40" spans="2:16" ht="15.75" x14ac:dyDescent="0.2">
      <c r="B40" s="21"/>
      <c r="C40" s="77"/>
      <c r="D40" s="22"/>
      <c r="E40" s="18"/>
      <c r="F40" s="22"/>
      <c r="G40" s="79"/>
      <c r="H40" s="78"/>
      <c r="I40" s="78"/>
      <c r="J40" s="72"/>
      <c r="K40" s="24"/>
      <c r="L40" s="182"/>
      <c r="M40" s="24"/>
      <c r="N40" s="7"/>
      <c r="O40" s="24"/>
      <c r="P40" s="4">
        <v>1</v>
      </c>
    </row>
    <row r="41" spans="2:16" ht="30" customHeight="1" x14ac:dyDescent="0.2">
      <c r="B41" s="21"/>
      <c r="C41" s="77"/>
      <c r="D41" s="22"/>
      <c r="E41" s="18"/>
      <c r="F41" s="22"/>
      <c r="G41" s="79"/>
      <c r="H41" s="78"/>
      <c r="I41" s="78"/>
      <c r="J41" s="80"/>
      <c r="K41" s="24"/>
      <c r="L41" s="182"/>
      <c r="M41" s="24"/>
      <c r="N41" s="7"/>
      <c r="O41" s="24"/>
    </row>
    <row r="42" spans="2:16" ht="30" customHeight="1" x14ac:dyDescent="0.2">
      <c r="B42" s="21"/>
      <c r="C42" s="77"/>
      <c r="D42" s="22"/>
      <c r="E42" s="18"/>
      <c r="F42" s="22"/>
      <c r="G42" s="79"/>
      <c r="H42" s="78"/>
      <c r="I42" s="78"/>
      <c r="J42" s="72"/>
      <c r="K42" s="24"/>
      <c r="L42" s="182"/>
      <c r="M42" s="20"/>
      <c r="N42" s="7"/>
      <c r="O42" s="20"/>
    </row>
    <row r="43" spans="2:16" ht="15.75" x14ac:dyDescent="0.2">
      <c r="B43" s="21"/>
      <c r="C43" s="77"/>
      <c r="D43" s="22"/>
      <c r="E43" s="18"/>
      <c r="F43" s="22"/>
      <c r="G43" s="79"/>
      <c r="H43" s="78"/>
      <c r="I43" s="78"/>
      <c r="J43" s="80"/>
      <c r="K43" s="24"/>
      <c r="L43" s="182"/>
      <c r="M43" s="24"/>
      <c r="N43" s="7"/>
      <c r="O43" s="24"/>
    </row>
    <row r="44" spans="2:16" ht="30" customHeight="1" x14ac:dyDescent="0.2">
      <c r="B44" s="21"/>
      <c r="C44" s="77"/>
      <c r="D44" s="22"/>
      <c r="E44" s="18"/>
      <c r="F44" s="22"/>
      <c r="G44" s="79"/>
      <c r="H44" s="78"/>
      <c r="I44" s="78"/>
      <c r="J44" s="80"/>
      <c r="K44" s="24"/>
      <c r="L44" s="182"/>
      <c r="M44" s="24"/>
      <c r="N44" s="7"/>
      <c r="O44" s="24"/>
    </row>
    <row r="45" spans="2:16" ht="30" customHeight="1" x14ac:dyDescent="0.2">
      <c r="B45" s="21"/>
      <c r="C45" s="77"/>
      <c r="D45" s="22"/>
      <c r="E45" s="22"/>
      <c r="F45" s="22"/>
      <c r="G45" s="79"/>
      <c r="H45" s="78"/>
      <c r="I45" s="78"/>
      <c r="J45" s="80"/>
      <c r="K45" s="24"/>
      <c r="L45" s="182"/>
      <c r="M45" s="24"/>
      <c r="N45" s="7"/>
      <c r="O45" s="24"/>
    </row>
    <row r="46" spans="2:16" ht="30" customHeight="1" x14ac:dyDescent="0.2">
      <c r="B46" s="21"/>
      <c r="C46" s="77"/>
      <c r="D46" s="22"/>
      <c r="E46" s="22"/>
      <c r="F46" s="22"/>
      <c r="G46" s="79"/>
      <c r="H46" s="78"/>
      <c r="I46" s="78"/>
      <c r="J46" s="80"/>
      <c r="K46" s="24"/>
      <c r="L46" s="182"/>
      <c r="M46" s="24"/>
      <c r="N46" s="7"/>
      <c r="O46" s="24"/>
    </row>
    <row r="47" spans="2:16" ht="30" customHeight="1" x14ac:dyDescent="0.2">
      <c r="B47" s="21"/>
      <c r="C47" s="77"/>
      <c r="D47" s="22"/>
      <c r="E47" s="18"/>
      <c r="F47" s="22"/>
      <c r="G47" s="79"/>
      <c r="H47" s="78"/>
      <c r="I47" s="78"/>
      <c r="J47" s="80"/>
      <c r="K47" s="24"/>
      <c r="L47" s="182"/>
      <c r="M47" s="24"/>
      <c r="N47" s="7">
        <f>MONTH(List5[[#This Row],[Tanggal Pengajuan]])</f>
        <v>1</v>
      </c>
      <c r="O47" s="24"/>
    </row>
    <row r="48" spans="2:16" ht="30" customHeight="1" x14ac:dyDescent="0.2">
      <c r="B48" s="21"/>
      <c r="C48" s="77"/>
      <c r="D48" s="22"/>
      <c r="E48" s="18"/>
      <c r="F48" s="22"/>
      <c r="G48" s="79"/>
      <c r="H48" s="78"/>
      <c r="I48" s="78"/>
      <c r="J48" s="80"/>
      <c r="K48" s="24"/>
      <c r="L48" s="182"/>
      <c r="M48" s="24"/>
      <c r="N48" s="7">
        <f>MONTH(List5[[#This Row],[Tanggal Pengajuan]])</f>
        <v>1</v>
      </c>
      <c r="O48" s="24"/>
    </row>
    <row r="49" spans="2:16" ht="30" customHeight="1" x14ac:dyDescent="0.2">
      <c r="B49" s="21"/>
      <c r="C49" s="77"/>
      <c r="D49" s="22"/>
      <c r="E49" s="18"/>
      <c r="F49" s="22"/>
      <c r="G49" s="79"/>
      <c r="H49" s="78"/>
      <c r="I49" s="78"/>
      <c r="J49" s="80"/>
      <c r="K49" s="24"/>
      <c r="L49" s="182"/>
      <c r="M49" s="24"/>
      <c r="N49" s="7">
        <f>MONTH(List5[[#This Row],[Tanggal Pengajuan]])</f>
        <v>1</v>
      </c>
      <c r="O49" s="24"/>
    </row>
    <row r="50" spans="2:16" ht="30" customHeight="1" x14ac:dyDescent="0.2">
      <c r="B50" s="21"/>
      <c r="C50" s="77"/>
      <c r="D50" s="22"/>
      <c r="E50" s="18"/>
      <c r="F50" s="22"/>
      <c r="G50" s="79"/>
      <c r="H50" s="78"/>
      <c r="I50" s="78"/>
      <c r="J50" s="80"/>
      <c r="K50" s="24"/>
      <c r="L50" s="182"/>
      <c r="M50" s="24"/>
      <c r="N50" s="7">
        <f>MONTH(List5[[#This Row],[Tanggal Pengajuan]])</f>
        <v>1</v>
      </c>
      <c r="O50" s="24"/>
    </row>
    <row r="51" spans="2:16" ht="30" customHeight="1" x14ac:dyDescent="0.2">
      <c r="B51" s="21"/>
      <c r="C51" s="77"/>
      <c r="D51" s="22"/>
      <c r="E51" s="18"/>
      <c r="F51" s="22"/>
      <c r="G51" s="79"/>
      <c r="H51" s="78"/>
      <c r="I51" s="78"/>
      <c r="J51" s="80"/>
      <c r="K51" s="24"/>
      <c r="L51" s="182"/>
      <c r="M51" s="24"/>
      <c r="N51" s="7">
        <f>MONTH(List5[[#This Row],[Tanggal Pengajuan]])</f>
        <v>1</v>
      </c>
      <c r="O51" s="24"/>
    </row>
    <row r="52" spans="2:16" ht="30" customHeight="1" x14ac:dyDescent="0.2">
      <c r="B52" s="21"/>
      <c r="C52" s="77"/>
      <c r="D52" s="22"/>
      <c r="E52" s="18"/>
      <c r="F52" s="22"/>
      <c r="G52" s="79"/>
      <c r="H52" s="78"/>
      <c r="I52" s="78"/>
      <c r="J52" s="80"/>
      <c r="K52" s="24"/>
      <c r="L52" s="182"/>
      <c r="M52" s="24"/>
      <c r="N52" s="7"/>
      <c r="O52" s="24"/>
    </row>
    <row r="53" spans="2:16" s="8" customFormat="1" ht="30" customHeight="1" x14ac:dyDescent="0.2">
      <c r="B53" s="954"/>
      <c r="C53" s="955"/>
      <c r="D53" s="956"/>
      <c r="E53" s="956"/>
      <c r="F53" s="956" t="s">
        <v>156</v>
      </c>
      <c r="G53" s="957">
        <f>SUBTOTAL(109,List5[[Jumlah Anak ]])</f>
        <v>472</v>
      </c>
      <c r="H53" s="958">
        <f>SUBTOTAL(109,List5[Pengajuan Donasi])</f>
        <v>571959151</v>
      </c>
      <c r="I53" s="958">
        <f>SUBTOTAL(109,List5[Jumlah Transfer])</f>
        <v>571959151</v>
      </c>
      <c r="J53" s="957"/>
      <c r="K53" s="956"/>
      <c r="L53" s="954"/>
      <c r="M53" s="956"/>
      <c r="N53" s="959"/>
      <c r="O53" s="956"/>
      <c r="P53" s="8">
        <f>SUM(P4:P52)</f>
        <v>8</v>
      </c>
    </row>
    <row r="54" spans="2:16" ht="30" customHeight="1" x14ac:dyDescent="0.2">
      <c r="G54" s="81"/>
      <c r="I54" s="528">
        <f>+List5[[#Totals],[Jumlah Transfer]]-List5[[#Totals],[Pengajuan Donasi]]</f>
        <v>0</v>
      </c>
    </row>
    <row r="55" spans="2:16" ht="30" customHeight="1" x14ac:dyDescent="0.2">
      <c r="H55" s="81"/>
    </row>
    <row r="56" spans="2:16" ht="30" customHeight="1" x14ac:dyDescent="0.2">
      <c r="G56" s="82"/>
    </row>
  </sheetData>
  <dataValidations count="9">
    <dataValidation allowBlank="1" showInputMessage="1" showErrorMessage="1" prompt="Enter Address in this column under this heading" sqref="E2:F2" xr:uid="{00000000-0002-0000-0100-000000000000}"/>
    <dataValidation allowBlank="1" showInputMessage="1" showErrorMessage="1" prompt="Enter City, State, and Zip Code in this column under this heading" sqref="C2:C4" xr:uid="{00000000-0002-0000-0100-000001000000}"/>
    <dataValidation allowBlank="1" showInputMessage="1" showErrorMessage="1" prompt="Enter First Name in this column under this heading" sqref="D2" xr:uid="{00000000-0002-0000-0100-000002000000}"/>
    <dataValidation allowBlank="1" showInputMessage="1" showErrorMessage="1" prompt="Enter Last Name in this column under this heading. Use heading filters to find specific entries" sqref="B2:B4" xr:uid="{00000000-0002-0000-0100-000003000000}"/>
    <dataValidation errorStyle="warning" allowBlank="1" showInputMessage="1" showErrorMessage="1" error="If the card was received, select Yes from the list. Select CANCEL, press ALT+DOWN ARROW for options, then DOWN ARROW and ENTER to make selection" sqref="N54:O1048576 N1:N39 D7 O30 D3 O1:O7 O10:O27 M4:M28 M30:M37 M39" xr:uid="{00000000-0002-0000-0100-000004000000}"/>
    <dataValidation allowBlank="1" showInputMessage="1" showErrorMessage="1" prompt="Create a Christmas Card List in this worksheet. Enter Year in cell at right and details in List table" sqref="A1" xr:uid="{00000000-0002-0000-0100-000005000000}"/>
    <dataValidation allowBlank="1" showInputMessage="1" showErrorMessage="1" prompt="Title of this worksheet is in this cell. Enter details in table below" sqref="C1" xr:uid="{00000000-0002-0000-0100-000006000000}"/>
    <dataValidation allowBlank="1" showInputMessage="1" showErrorMessage="1" prompt="Enter Year in this cell. Poinsettia is also in this cell. Title of this worksheet is in cell at right" sqref="B1" xr:uid="{00000000-0002-0000-0100-000007000000}"/>
    <dataValidation type="list" allowBlank="1" showInputMessage="1" showErrorMessage="1" sqref="D13:D14 D10 D17:D19 D21:D22 D24:D25 D34:D52" xr:uid="{00000000-0002-0000-0100-000008000000}">
      <formula1>$C$5:$C$131</formula1>
    </dataValidation>
  </dataValidations>
  <printOptions horizontalCentered="1"/>
  <pageMargins left="0.4" right="0.4" top="0.62" bottom="0.53" header="0.18" footer="0.18"/>
  <pageSetup scale="58"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A000000}">
          <x14:formula1>
            <xm:f>'S2 2020'!$B$3:$B$8</xm:f>
          </x14:formula1>
          <xm:sqref>E3:E52</xm:sqref>
        </x14:dataValidation>
        <x14:dataValidation type="list" errorStyle="warning" allowBlank="1" showInputMessage="1" showErrorMessage="1" error="If the card was received, select Yes from the list. Select CANCEL, press ALT+DOWN ARROW for options, then DOWN ARROW and ENTER to make selection" xr:uid="{00000000-0002-0000-0100-00000B000000}">
          <x14:formula1>
            <xm:f>Sheet1!$C$2:$C$5</xm:f>
          </x14:formula1>
          <xm:sqref>K3:K52 D4:D6 D8 D11:D12 D15:D16 D20 D23 D26:D33</xm:sqref>
        </x14:dataValidation>
        <x14:dataValidation type="list" allowBlank="1" showInputMessage="1" showErrorMessage="1" xr:uid="{00000000-0002-0000-0100-00000C000000}">
          <x14:formula1>
            <xm:f>Sheet1!$B$2:$B$3</xm:f>
          </x14:formula1>
          <xm:sqref>J3:J52</xm:sqref>
        </x14:dataValidation>
        <x14:dataValidation type="list" allowBlank="1" showInputMessage="1" showErrorMessage="1" xr:uid="{00000000-0002-0000-0100-00000D000000}">
          <x14:formula1>
            <xm:f>Sheet1!$D$2:$D$4</xm:f>
          </x14:formula1>
          <xm:sqref>F52 F41:F42 F3:F39</xm:sqref>
        </x14:dataValidation>
        <x14:dataValidation type="list" allowBlank="1" showInputMessage="1" showErrorMessage="1" xr:uid="{00000000-0002-0000-0100-00000E000000}">
          <x14:formula1>
            <xm:f>Category!$C$5:$C$137</xm:f>
          </x14:formula1>
          <xm:sqref>D9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8"/>
  <dimension ref="B1:R22"/>
  <sheetViews>
    <sheetView showGridLines="0" workbookViewId="0">
      <selection activeCell="K24" sqref="K24"/>
    </sheetView>
  </sheetViews>
  <sheetFormatPr defaultRowHeight="15" x14ac:dyDescent="0.2"/>
  <cols>
    <col min="2" max="2" width="30.265625" bestFit="1" customWidth="1"/>
    <col min="3" max="3" width="13.44921875" style="44" hidden="1" customWidth="1"/>
    <col min="4" max="4" width="4.83984375" style="44" bestFit="1" customWidth="1"/>
    <col min="5" max="5" width="5.24609375" style="44" bestFit="1" customWidth="1"/>
    <col min="6" max="6" width="4.9765625" style="44" bestFit="1" customWidth="1"/>
    <col min="7" max="7" width="5.37890625" style="44" bestFit="1" customWidth="1"/>
    <col min="8" max="8" width="4.5703125" style="44" bestFit="1" customWidth="1"/>
    <col min="9" max="9" width="11.97265625" style="44" bestFit="1" customWidth="1"/>
    <col min="10" max="10" width="13.44921875" style="44" bestFit="1" customWidth="1"/>
    <col min="11" max="11" width="14.66015625" style="44" bestFit="1" customWidth="1"/>
    <col min="12" max="12" width="13.44921875" style="44" bestFit="1" customWidth="1"/>
    <col min="13" max="15" width="14.66015625" style="44" bestFit="1" customWidth="1"/>
    <col min="16" max="16" width="0" hidden="1" customWidth="1"/>
    <col min="17" max="17" width="23.80859375" hidden="1" customWidth="1"/>
    <col min="18" max="18" width="13.71875" hidden="1" customWidth="1"/>
    <col min="19" max="20" width="0" hidden="1" customWidth="1"/>
  </cols>
  <sheetData>
    <row r="1" spans="2:18" s="49" customFormat="1" ht="39.75" customHeight="1" x14ac:dyDescent="0.2">
      <c r="B1" s="97" t="s">
        <v>173</v>
      </c>
      <c r="C1" s="50">
        <v>1</v>
      </c>
      <c r="D1" s="50">
        <v>2</v>
      </c>
      <c r="E1" s="50">
        <v>3</v>
      </c>
      <c r="F1" s="50">
        <v>4</v>
      </c>
      <c r="G1" s="50">
        <v>5</v>
      </c>
      <c r="H1" s="50">
        <v>6</v>
      </c>
      <c r="I1" s="50">
        <v>7</v>
      </c>
      <c r="J1" s="50">
        <v>8</v>
      </c>
      <c r="K1" s="50">
        <v>9</v>
      </c>
      <c r="L1" s="50">
        <v>10</v>
      </c>
      <c r="M1" s="50">
        <v>11</v>
      </c>
      <c r="N1" s="50">
        <v>12</v>
      </c>
      <c r="O1" s="50"/>
    </row>
    <row r="2" spans="2:18" s="54" customFormat="1" ht="15.75" thickBot="1" x14ac:dyDescent="0.25">
      <c r="B2" s="59"/>
      <c r="C2" s="60" t="s">
        <v>160</v>
      </c>
      <c r="D2" s="60" t="s">
        <v>161</v>
      </c>
      <c r="E2" s="60" t="s">
        <v>162</v>
      </c>
      <c r="F2" s="60" t="s">
        <v>163</v>
      </c>
      <c r="G2" s="60" t="s">
        <v>164</v>
      </c>
      <c r="H2" s="60" t="s">
        <v>165</v>
      </c>
      <c r="I2" s="60" t="s">
        <v>166</v>
      </c>
      <c r="J2" s="60" t="s">
        <v>174</v>
      </c>
      <c r="K2" s="60" t="s">
        <v>168</v>
      </c>
      <c r="L2" s="60" t="s">
        <v>175</v>
      </c>
      <c r="M2" s="60" t="s">
        <v>170</v>
      </c>
      <c r="N2" s="61" t="s">
        <v>176</v>
      </c>
      <c r="O2" s="83">
        <v>2020</v>
      </c>
      <c r="P2" s="95" t="s">
        <v>177</v>
      </c>
      <c r="Q2" s="96" t="s">
        <v>178</v>
      </c>
    </row>
    <row r="3" spans="2:18" x14ac:dyDescent="0.2">
      <c r="B3" s="51" t="s">
        <v>179</v>
      </c>
      <c r="C3" s="52">
        <f>SUMIFS('2020'!$H:$H,'2020'!$E:$E,'S2 2020'!$B3,'2020'!$N:$N,'S2 2020'!C$1)</f>
        <v>0</v>
      </c>
      <c r="D3" s="52">
        <f>SUMIFS('2020'!$H:$H,'2020'!$E:$E,'S2 2020'!$B3,'2020'!$N:$N,'S2 2020'!D$1)</f>
        <v>0</v>
      </c>
      <c r="E3" s="52">
        <f>SUMIFS('2020'!$H:$H,'2020'!$E:$E,'S2 2020'!$B3,'2020'!$N:$N,'S2 2020'!E$1)</f>
        <v>46864998</v>
      </c>
      <c r="F3" s="52">
        <f>SUMIFS('2020'!$H:$H,'2020'!$E:$E,'S2 2020'!$B3,'2020'!$N:$N,'S2 2020'!F$1)</f>
        <v>0</v>
      </c>
      <c r="G3" s="52">
        <f>SUMIFS('2020'!$H:$H,'2020'!$E:$E,'S2 2020'!$B3,'2020'!$N:$N,'S2 2020'!G$1)</f>
        <v>0</v>
      </c>
      <c r="H3" s="52">
        <f>SUMIFS('2020'!$H:$H,'2020'!$E:$E,'S2 2020'!$B3,'2020'!$N:$N,'S2 2020'!H$1)</f>
        <v>0</v>
      </c>
      <c r="I3" s="52">
        <f>SUMIFS('2020'!$H:$H,'2020'!$E:$E,'S2 2020'!$B3,'2020'!$N:$N,'S2 2020'!I$1)</f>
        <v>0</v>
      </c>
      <c r="J3" s="52">
        <f>SUMIFS('2020'!$H:$H,'2020'!$E:$E,'S2 2020'!$B3,'2020'!$N:$N,'S2 2020'!J$1)</f>
        <v>40325000</v>
      </c>
      <c r="K3" s="52">
        <f>SUMIFS('2020'!$H:$H,'2020'!$E:$E,'S2 2020'!$B3,'2020'!$N:$N,'S2 2020'!K$1)</f>
        <v>206758000</v>
      </c>
      <c r="L3" s="52">
        <f>SUMIFS('2020'!$H:$H,'2020'!$E:$E,'S2 2020'!$B3,'2020'!$N:$N,'S2 2020'!L$1)</f>
        <v>0</v>
      </c>
      <c r="M3" s="52">
        <f>SUMIFS('2020'!$H:$H,'2020'!$E:$E,'S2 2020'!$B3,'2020'!$N:$N,'S2 2020'!M$1)</f>
        <v>182910000</v>
      </c>
      <c r="N3" s="52">
        <f>SUMIFS('2020'!$H:$H,'2020'!$E:$E,'S2 2020'!$B3,'2020'!$N:$N,'S2 2020'!N$1)</f>
        <v>0</v>
      </c>
      <c r="O3" s="84">
        <f t="shared" ref="O3:O9" si="0">SUM(C3:N3)</f>
        <v>476857998</v>
      </c>
      <c r="P3" s="87">
        <f>+Category!K4</f>
        <v>368</v>
      </c>
      <c r="Q3" s="94" t="s">
        <v>180</v>
      </c>
      <c r="R3" s="187">
        <f t="shared" ref="R3:R9" si="1">+O3/P3</f>
        <v>1295809.7771739131</v>
      </c>
    </row>
    <row r="4" spans="2:18" x14ac:dyDescent="0.2">
      <c r="B4" s="53" t="s">
        <v>17</v>
      </c>
      <c r="C4" s="52">
        <f>SUMIFS('2020'!$H:$H,'2020'!$E:$E,'S2 2020'!$B4,'2020'!$N:$N,'S2 2020'!C$1)</f>
        <v>0</v>
      </c>
      <c r="D4" s="52">
        <f>SUMIFS('2020'!$H:$H,'2020'!$E:$E,'S2 2020'!$B4,'2020'!$N:$N,'S2 2020'!D$1)</f>
        <v>0</v>
      </c>
      <c r="E4" s="52">
        <f>SUMIFS('2020'!$H:$H,'2020'!$E:$E,'S2 2020'!$B4,'2020'!$N:$N,'S2 2020'!E$1)</f>
        <v>0</v>
      </c>
      <c r="F4" s="52">
        <f>SUMIFS('2020'!$H:$H,'2020'!$E:$E,'S2 2020'!$B4,'2020'!$N:$N,'S2 2020'!F$1)</f>
        <v>0</v>
      </c>
      <c r="G4" s="52">
        <f>SUMIFS('2020'!$H:$H,'2020'!$E:$E,'S2 2020'!$B4,'2020'!$N:$N,'S2 2020'!G$1)</f>
        <v>0</v>
      </c>
      <c r="H4" s="52">
        <f>SUMIFS('2020'!$H:$H,'2020'!$E:$E,'S2 2020'!$B4,'2020'!$N:$N,'S2 2020'!H$1)</f>
        <v>0</v>
      </c>
      <c r="I4" s="52">
        <f>SUMIFS('2020'!$H:$H,'2020'!$E:$E,'S2 2020'!$B4,'2020'!$N:$N,'S2 2020'!I$1)</f>
        <v>0</v>
      </c>
      <c r="J4" s="52">
        <f>SUMIFS('2020'!$H:$H,'2020'!$E:$E,'S2 2020'!$B4,'2020'!$N:$N,'S2 2020'!J$1)</f>
        <v>13190500</v>
      </c>
      <c r="K4" s="52">
        <f>SUMIFS('2020'!$H:$H,'2020'!$E:$E,'S2 2020'!$B4,'2020'!$N:$N,'S2 2020'!K$1)</f>
        <v>30204000</v>
      </c>
      <c r="L4" s="52">
        <f>SUMIFS('2020'!$H:$H,'2020'!$E:$E,'S2 2020'!$B4,'2020'!$N:$N,'S2 2020'!L$1)</f>
        <v>16500000</v>
      </c>
      <c r="M4" s="52">
        <f>SUMIFS('2020'!$H:$H,'2020'!$E:$E,'S2 2020'!$B4,'2020'!$N:$N,'S2 2020'!M$1)</f>
        <v>56071500</v>
      </c>
      <c r="N4" s="52">
        <f>SUMIFS('2020'!$H:$H,'2020'!$E:$E,'S2 2020'!$B4,'2020'!$N:$N,'S2 2020'!N$1)</f>
        <v>88910000</v>
      </c>
      <c r="O4" s="85">
        <f t="shared" si="0"/>
        <v>204876000</v>
      </c>
      <c r="P4" s="87">
        <f>+Category!K26</f>
        <v>552</v>
      </c>
      <c r="Q4" s="94" t="s">
        <v>180</v>
      </c>
      <c r="R4" s="187">
        <f t="shared" si="1"/>
        <v>371152.17391304346</v>
      </c>
    </row>
    <row r="5" spans="2:18" x14ac:dyDescent="0.2">
      <c r="B5" s="53" t="s">
        <v>107</v>
      </c>
      <c r="C5" s="52">
        <f>SUMIFS('2020'!$H:$H,'2020'!$E:$E,'S2 2020'!$B5,'2020'!$N:$N,'S2 2020'!C$1)</f>
        <v>0</v>
      </c>
      <c r="D5" s="52">
        <f>SUMIFS('2020'!$H:$H,'2020'!$E:$E,'S2 2020'!$B5,'2020'!$N:$N,'S2 2020'!D$1)</f>
        <v>0</v>
      </c>
      <c r="E5" s="52">
        <f>SUMIFS('2020'!$H:$H,'2020'!$E:$E,'S2 2020'!$B5,'2020'!$N:$N,'S2 2020'!E$1)</f>
        <v>0</v>
      </c>
      <c r="F5" s="52">
        <f>SUMIFS('2020'!$H:$H,'2020'!$E:$E,'S2 2020'!$B5,'2020'!$N:$N,'S2 2020'!F$1)</f>
        <v>0</v>
      </c>
      <c r="G5" s="52">
        <f>SUMIFS('2020'!$H:$H,'2020'!$E:$E,'S2 2020'!$B5,'2020'!$N:$N,'S2 2020'!G$1)</f>
        <v>0</v>
      </c>
      <c r="H5" s="52">
        <f>SUMIFS('2020'!$H:$H,'2020'!$E:$E,'S2 2020'!$B5,'2020'!$N:$N,'S2 2020'!H$1)</f>
        <v>0</v>
      </c>
      <c r="I5" s="52">
        <f>SUMIFS('2020'!$H:$H,'2020'!$E:$E,'S2 2020'!$B5,'2020'!$N:$N,'S2 2020'!I$1)</f>
        <v>0</v>
      </c>
      <c r="J5" s="52">
        <f>SUMIFS('2020'!$H:$H,'2020'!$E:$E,'S2 2020'!$B5,'2020'!$N:$N,'S2 2020'!J$1)</f>
        <v>0</v>
      </c>
      <c r="K5" s="52">
        <f>SUMIFS('2020'!$H:$H,'2020'!$E:$E,'S2 2020'!$B5,'2020'!$N:$N,'S2 2020'!K$1)</f>
        <v>0</v>
      </c>
      <c r="L5" s="52">
        <f>SUMIFS('2020'!$H:$H,'2020'!$E:$E,'S2 2020'!$B5,'2020'!$N:$N,'S2 2020'!L$1)</f>
        <v>0</v>
      </c>
      <c r="M5" s="52">
        <f>SUMIFS('2020'!$H:$H,'2020'!$E:$E,'S2 2020'!$B5,'2020'!$N:$N,'S2 2020'!M$1)</f>
        <v>96880000</v>
      </c>
      <c r="N5" s="52">
        <f>SUMIFS('2020'!$H:$H,'2020'!$E:$E,'S2 2020'!$B5,'2020'!$N:$N,'S2 2020'!N$1)</f>
        <v>0</v>
      </c>
      <c r="O5" s="85">
        <f t="shared" si="0"/>
        <v>96880000</v>
      </c>
      <c r="P5" s="511">
        <f>+Category!K74</f>
        <v>6</v>
      </c>
      <c r="Q5" s="99" t="s">
        <v>181</v>
      </c>
      <c r="R5" s="187">
        <f t="shared" si="1"/>
        <v>16146666.666666666</v>
      </c>
    </row>
    <row r="6" spans="2:18" x14ac:dyDescent="0.2">
      <c r="B6" s="53" t="s">
        <v>71</v>
      </c>
      <c r="C6" s="52">
        <f>SUMIFS('2020'!$H:$H,'2020'!$E:$E,'S2 2020'!$B6,'2020'!$N:$N,'S2 2020'!C$1)</f>
        <v>0</v>
      </c>
      <c r="D6" s="52">
        <f>SUMIFS('2020'!$H:$H,'2020'!$E:$E,'S2 2020'!$B6,'2020'!$N:$N,'S2 2020'!D$1)</f>
        <v>0</v>
      </c>
      <c r="E6" s="52">
        <f>SUMIFS('2020'!$H:$H,'2020'!$E:$E,'S2 2020'!$B6,'2020'!$N:$N,'S2 2020'!E$1)</f>
        <v>770737</v>
      </c>
      <c r="F6" s="52">
        <f>SUMIFS('2020'!$H:$H,'2020'!$E:$E,'S2 2020'!$B6,'2020'!$N:$N,'S2 2020'!F$1)</f>
        <v>0</v>
      </c>
      <c r="G6" s="52">
        <f>SUMIFS('2020'!$H:$H,'2020'!$E:$E,'S2 2020'!$B6,'2020'!$N:$N,'S2 2020'!G$1)</f>
        <v>0</v>
      </c>
      <c r="H6" s="52">
        <f>SUMIFS('2020'!$H:$H,'2020'!$E:$E,'S2 2020'!$B6,'2020'!$N:$N,'S2 2020'!H$1)</f>
        <v>0</v>
      </c>
      <c r="I6" s="52">
        <f>SUMIFS('2020'!$H:$H,'2020'!$E:$E,'S2 2020'!$B6,'2020'!$N:$N,'S2 2020'!I$1)</f>
        <v>670000</v>
      </c>
      <c r="J6" s="52">
        <f>SUMIFS('2020'!$H:$H,'2020'!$E:$E,'S2 2020'!$B6,'2020'!$N:$N,'S2 2020'!J$1)</f>
        <v>0</v>
      </c>
      <c r="K6" s="52">
        <f>SUMIFS('2020'!$H:$H,'2020'!$E:$E,'S2 2020'!$B6,'2020'!$N:$N,'S2 2020'!K$1)</f>
        <v>0</v>
      </c>
      <c r="L6" s="52">
        <f>SUMIFS('2020'!$H:$H,'2020'!$E:$E,'S2 2020'!$B6,'2020'!$N:$N,'S2 2020'!L$1)</f>
        <v>0</v>
      </c>
      <c r="M6" s="52">
        <f>SUMIFS('2020'!$H:$H,'2020'!$E:$E,'S2 2020'!$B6,'2020'!$N:$N,'S2 2020'!M$1)</f>
        <v>0</v>
      </c>
      <c r="N6" s="52">
        <f>SUMIFS('2020'!$H:$H,'2020'!$E:$E,'S2 2020'!$B6,'2020'!$N:$N,'S2 2020'!N$1)</f>
        <v>0</v>
      </c>
      <c r="O6" s="85">
        <f t="shared" si="0"/>
        <v>1440737</v>
      </c>
      <c r="P6" s="478">
        <f>+Category!K103</f>
        <v>1</v>
      </c>
      <c r="Q6" s="94" t="s">
        <v>180</v>
      </c>
      <c r="R6" s="187">
        <f t="shared" si="1"/>
        <v>1440737</v>
      </c>
    </row>
    <row r="7" spans="2:18" x14ac:dyDescent="0.2">
      <c r="B7" s="53" t="s">
        <v>57</v>
      </c>
      <c r="C7" s="52">
        <f>SUMIFS('2020'!$H:$H,'2020'!$E:$E,'S2 2020'!$B7,'2020'!$N:$N,'S2 2020'!C$1)</f>
        <v>0</v>
      </c>
      <c r="D7" s="52">
        <f>SUMIFS('2020'!$H:$H,'2020'!$E:$E,'S2 2020'!$B7,'2020'!$N:$N,'S2 2020'!D$1)</f>
        <v>0</v>
      </c>
      <c r="E7" s="52">
        <f>SUMIFS('2020'!$H:$H,'2020'!$E:$E,'S2 2020'!$B7,'2020'!$N:$N,'S2 2020'!E$1)</f>
        <v>0</v>
      </c>
      <c r="F7" s="52">
        <f>SUMIFS('2020'!$H:$H,'2020'!$E:$E,'S2 2020'!$B7,'2020'!$N:$N,'S2 2020'!F$1)</f>
        <v>0</v>
      </c>
      <c r="G7" s="52">
        <f>SUMIFS('2020'!$H:$H,'2020'!$E:$E,'S2 2020'!$B7,'2020'!$N:$N,'S2 2020'!G$1)</f>
        <v>0</v>
      </c>
      <c r="H7" s="52">
        <f>SUMIFS('2020'!$H:$H,'2020'!$E:$E,'S2 2020'!$B7,'2020'!$N:$N,'S2 2020'!H$1)</f>
        <v>0</v>
      </c>
      <c r="I7" s="52">
        <f>SUMIFS('2020'!$H:$H,'2020'!$E:$E,'S2 2020'!$B7,'2020'!$N:$N,'S2 2020'!I$1)</f>
        <v>0</v>
      </c>
      <c r="J7" s="52">
        <f>SUMIFS('2020'!$H:$H,'2020'!$E:$E,'S2 2020'!$B7,'2020'!$N:$N,'S2 2020'!J$1)</f>
        <v>0</v>
      </c>
      <c r="K7" s="52">
        <f>SUMIFS('2020'!$H:$H,'2020'!$E:$E,'S2 2020'!$B7,'2020'!$N:$N,'S2 2020'!K$1)</f>
        <v>30000000</v>
      </c>
      <c r="L7" s="52">
        <f>SUMIFS('2020'!$H:$H,'2020'!$E:$E,'S2 2020'!$B7,'2020'!$N:$N,'S2 2020'!L$1)</f>
        <v>0</v>
      </c>
      <c r="M7" s="52">
        <f>SUMIFS('2020'!$H:$H,'2020'!$E:$E,'S2 2020'!$B7,'2020'!$N:$N,'S2 2020'!M$1)</f>
        <v>0</v>
      </c>
      <c r="N7" s="52">
        <f>SUMIFS('2020'!$H:$H,'2020'!$E:$E,'S2 2020'!$B7,'2020'!$N:$N,'S2 2020'!N$1)</f>
        <v>0</v>
      </c>
      <c r="O7" s="85">
        <f t="shared" si="0"/>
        <v>30000000</v>
      </c>
      <c r="P7" s="478">
        <f>+Category!K121</f>
        <v>6</v>
      </c>
      <c r="Q7" s="94" t="s">
        <v>180</v>
      </c>
      <c r="R7" s="187">
        <f t="shared" si="1"/>
        <v>5000000</v>
      </c>
    </row>
    <row r="8" spans="2:18" x14ac:dyDescent="0.2">
      <c r="B8" s="55" t="s">
        <v>26</v>
      </c>
      <c r="C8" s="56">
        <f>SUMIFS('2020'!$H:$H,'2020'!$E:$E,'S2 2020'!$B8,'2020'!$N:$N,'S2 2020'!C$1)</f>
        <v>0</v>
      </c>
      <c r="D8" s="288">
        <f>SUMIFS('2020'!$H:$H,'2020'!$E:$E,'S2 2020'!$B8,'2020'!$N:$N,'S2 2020'!D$1)</f>
        <v>0</v>
      </c>
      <c r="E8" s="288">
        <f>SUMIFS('2020'!$H:$H,'2020'!$E:$E,'S2 2020'!$B8,'2020'!$N:$N,'S2 2020'!E$1)</f>
        <v>0</v>
      </c>
      <c r="F8" s="288">
        <f>SUMIFS('2020'!$H:$H,'2020'!$E:$E,'S2 2020'!$B8,'2020'!$N:$N,'S2 2020'!F$1)</f>
        <v>0</v>
      </c>
      <c r="G8" s="288">
        <f>SUMIFS('2020'!$H:$H,'2020'!$E:$E,'S2 2020'!$B8,'2020'!$N:$N,'S2 2020'!G$1)</f>
        <v>13500000</v>
      </c>
      <c r="H8" s="288">
        <f>SUMIFS('2020'!$H:$H,'2020'!$E:$E,'S2 2020'!$B8,'2020'!$N:$N,'S2 2020'!H$1)</f>
        <v>0</v>
      </c>
      <c r="I8" s="288">
        <f>SUMIFS('2020'!$H:$H,'2020'!$E:$E,'S2 2020'!$B8,'2020'!$N:$N,'S2 2020'!I$1)</f>
        <v>10575000</v>
      </c>
      <c r="J8" s="288">
        <f>SUMIFS('2020'!$H:$H,'2020'!$E:$E,'S2 2020'!$B8,'2020'!$N:$N,'S2 2020'!J$1)</f>
        <v>0</v>
      </c>
      <c r="K8" s="288">
        <f>SUMIFS('2020'!$H:$H,'2020'!$E:$E,'S2 2020'!$B8,'2020'!$N:$N,'S2 2020'!K$1)</f>
        <v>0</v>
      </c>
      <c r="L8" s="288">
        <f>SUMIFS('2020'!$H:$H,'2020'!$E:$E,'S2 2020'!$B8,'2020'!$N:$N,'S2 2020'!L$1)</f>
        <v>13000028</v>
      </c>
      <c r="M8" s="288">
        <f>SUMIFS('2020'!$H:$H,'2020'!$E:$E,'S2 2020'!$B8,'2020'!$N:$N,'S2 2020'!M$1)</f>
        <v>0</v>
      </c>
      <c r="N8" s="288">
        <f>SUMIFS('2020'!$H:$H,'2020'!$E:$E,'S2 2020'!$B8,'2020'!$N:$N,'S2 2020'!N$1)</f>
        <v>35000000</v>
      </c>
      <c r="O8" s="86">
        <f t="shared" si="0"/>
        <v>72075028</v>
      </c>
      <c r="P8" s="511">
        <f>+Category!K134</f>
        <v>68</v>
      </c>
      <c r="Q8" s="99" t="s">
        <v>182</v>
      </c>
      <c r="R8" s="187">
        <f t="shared" si="1"/>
        <v>1059926.8823529412</v>
      </c>
    </row>
    <row r="9" spans="2:18" x14ac:dyDescent="0.2">
      <c r="B9" s="55" t="s">
        <v>1054</v>
      </c>
      <c r="C9" s="56">
        <f>SUMIFS('2020'!$H:$H,'2020'!$E:$E,'S2 2020'!$B9,'2020'!$N:$N,'S2 2020'!C$1)</f>
        <v>0</v>
      </c>
      <c r="D9" s="288">
        <f>SUMIFS('2020'!$H:$H,'2020'!$E:$E,'S2 2020'!$B9,'2020'!$N:$N,'S2 2020'!D$1)</f>
        <v>5000000</v>
      </c>
      <c r="E9" s="288">
        <f>SUMIFS('2020'!$H:$H,'2020'!$E:$E,'S2 2020'!$B9,'2020'!$N:$N,'S2 2020'!E$1)</f>
        <v>0</v>
      </c>
      <c r="F9" s="288">
        <f>SUMIFS('2020'!$H:$H,'2020'!$E:$E,'S2 2020'!$B9,'2020'!$N:$N,'S2 2020'!F$1)</f>
        <v>0</v>
      </c>
      <c r="G9" s="288">
        <f>SUMIFS('2020'!$H:$H,'2020'!$E:$E,'S2 2020'!$B9,'2020'!$N:$N,'S2 2020'!G$1)</f>
        <v>0</v>
      </c>
      <c r="H9" s="288">
        <f>SUMIFS('2020'!$H:$H,'2020'!$E:$E,'S2 2020'!$B9,'2020'!$N:$N,'S2 2020'!H$1)</f>
        <v>5000000</v>
      </c>
      <c r="I9" s="288">
        <f>SUMIFS('2020'!$H:$H,'2020'!$E:$E,'S2 2020'!$B9,'2020'!$N:$N,'S2 2020'!I$1)</f>
        <v>5000000</v>
      </c>
      <c r="J9" s="288">
        <f>SUMIFS('2020'!$H:$H,'2020'!$E:$E,'S2 2020'!$B9,'2020'!$N:$N,'S2 2020'!J$1)</f>
        <v>5000000</v>
      </c>
      <c r="K9" s="288">
        <f>SUMIFS('2020'!$H:$H,'2020'!$E:$E,'S2 2020'!$B9,'2020'!$N:$N,'S2 2020'!K$1)</f>
        <v>0</v>
      </c>
      <c r="L9" s="288">
        <f>SUMIFS('2020'!$H:$H,'2020'!$E:$E,'S2 2020'!$B9,'2020'!$N:$N,'S2 2020'!L$1)</f>
        <v>0</v>
      </c>
      <c r="M9" s="288">
        <f>SUMIFS('2020'!$H:$H,'2020'!$E:$E,'S2 2020'!$B9,'2020'!$N:$N,'S2 2020'!M$1)</f>
        <v>0</v>
      </c>
      <c r="N9" s="288">
        <f>SUMIFS('2020'!$H:$H,'2020'!$E:$E,'S2 2020'!$B9,'2020'!$N:$N,'S2 2020'!N$1)</f>
        <v>0</v>
      </c>
      <c r="O9" s="86">
        <f t="shared" si="0"/>
        <v>20000000</v>
      </c>
      <c r="P9" s="511">
        <f>+Category!K246</f>
        <v>1</v>
      </c>
      <c r="Q9" s="99" t="s">
        <v>182</v>
      </c>
      <c r="R9" s="187">
        <f t="shared" si="1"/>
        <v>20000000</v>
      </c>
    </row>
    <row r="10" spans="2:18" x14ac:dyDescent="0.2">
      <c r="B10" s="55" t="s">
        <v>1055</v>
      </c>
      <c r="C10" s="56">
        <f>SUMIFS('2020'!$H:$H,'2020'!$E:$E,'S2 2020'!$B10,'2020'!$N:$N,'S2 2020'!C$1)</f>
        <v>27748259</v>
      </c>
      <c r="D10" s="288">
        <f>SUMIFS('2020'!$H:$H,'2020'!$E:$E,'S2 2020'!$B10,'2020'!$N:$N,'S2 2020'!D$1)</f>
        <v>6721990</v>
      </c>
      <c r="E10" s="288">
        <f>SUMIFS('2020'!$H:$H,'2020'!$E:$E,'S2 2020'!$B10,'2020'!$N:$N,'S2 2020'!E$1)</f>
        <v>0</v>
      </c>
      <c r="F10" s="288">
        <f>SUMIFS('2020'!$H:$H,'2020'!$E:$E,'S2 2020'!$B10,'2020'!$N:$N,'S2 2020'!F$1)</f>
        <v>0</v>
      </c>
      <c r="G10" s="288">
        <f>SUMIFS('2020'!$H:$H,'2020'!$E:$E,'S2 2020'!$B10,'2020'!$N:$N,'S2 2020'!G$1)</f>
        <v>0</v>
      </c>
      <c r="H10" s="288">
        <f>SUMIFS('2020'!$H:$H,'2020'!$E:$E,'S2 2020'!$B10,'2020'!$N:$N,'S2 2020'!H$1)</f>
        <v>14453000</v>
      </c>
      <c r="I10" s="288">
        <f>SUMIFS('2020'!$H:$H,'2020'!$E:$E,'S2 2020'!$B10,'2020'!$N:$N,'S2 2020'!I$1)</f>
        <v>0</v>
      </c>
      <c r="J10" s="288">
        <f>SUMIFS('2020'!$H:$H,'2020'!$E:$E,'S2 2020'!$B10,'2020'!$N:$N,'S2 2020'!J$1)</f>
        <v>3000000</v>
      </c>
      <c r="K10" s="288">
        <f>SUMIFS('2020'!$H:$H,'2020'!$E:$E,'S2 2020'!$B10,'2020'!$N:$N,'S2 2020'!K$1)</f>
        <v>0</v>
      </c>
      <c r="L10" s="288">
        <f>SUMIFS('2020'!$H:$H,'2020'!$E:$E,'S2 2020'!$B10,'2020'!$N:$N,'S2 2020'!L$1)</f>
        <v>3000000</v>
      </c>
      <c r="M10" s="288">
        <f>SUMIFS('2020'!$H:$H,'2020'!$E:$E,'S2 2020'!$B10,'2020'!$N:$N,'S2 2020'!M$1)</f>
        <v>14453000</v>
      </c>
      <c r="N10" s="288">
        <f>SUMIFS('2020'!$H:$H,'2020'!$E:$E,'S2 2020'!$B10,'2020'!$N:$N,'S2 2020'!N$1)</f>
        <v>0</v>
      </c>
      <c r="O10" s="86">
        <f>SUM(C10:N10)</f>
        <v>69376249</v>
      </c>
      <c r="P10" s="511">
        <f>+Category!K278</f>
        <v>0</v>
      </c>
      <c r="Q10" s="99" t="s">
        <v>182</v>
      </c>
    </row>
    <row r="11" spans="2:18" ht="15.75" thickBot="1" x14ac:dyDescent="0.25">
      <c r="B11" s="57" t="s">
        <v>156</v>
      </c>
      <c r="C11" s="58">
        <f t="shared" ref="C11:H11" si="2">SUM(C3:C8)</f>
        <v>0</v>
      </c>
      <c r="D11" s="58">
        <f t="shared" si="2"/>
        <v>0</v>
      </c>
      <c r="E11" s="58">
        <f t="shared" si="2"/>
        <v>47635735</v>
      </c>
      <c r="F11" s="58">
        <f t="shared" si="2"/>
        <v>0</v>
      </c>
      <c r="G11" s="58">
        <f t="shared" si="2"/>
        <v>13500000</v>
      </c>
      <c r="H11" s="58">
        <f t="shared" si="2"/>
        <v>0</v>
      </c>
      <c r="I11" s="58">
        <f t="shared" ref="I11:N11" si="3">SUM(I3:I9)</f>
        <v>16245000</v>
      </c>
      <c r="J11" s="58">
        <f t="shared" si="3"/>
        <v>58515500</v>
      </c>
      <c r="K11" s="58">
        <f t="shared" si="3"/>
        <v>266962000</v>
      </c>
      <c r="L11" s="58">
        <f t="shared" si="3"/>
        <v>29500028</v>
      </c>
      <c r="M11" s="58">
        <f t="shared" si="3"/>
        <v>335861500</v>
      </c>
      <c r="N11" s="58">
        <f t="shared" si="3"/>
        <v>123910000</v>
      </c>
      <c r="O11" s="58">
        <f>SUM(O3:O10)</f>
        <v>971506012</v>
      </c>
      <c r="P11" s="88">
        <f>SUM(P3:P10)</f>
        <v>1002</v>
      </c>
      <c r="Q11" s="90"/>
    </row>
    <row r="12" spans="2:18" ht="15.75" thickTop="1" x14ac:dyDescent="0.2">
      <c r="O12" s="45">
        <f>O11-List[[#Totals],[Pengajuan Donasi]]</f>
        <v>0</v>
      </c>
      <c r="P12" s="146">
        <f>+P11-Category!K338</f>
        <v>0</v>
      </c>
    </row>
    <row r="13" spans="2:18" x14ac:dyDescent="0.2">
      <c r="B13" s="89" t="s">
        <v>178</v>
      </c>
    </row>
    <row r="14" spans="2:18" x14ac:dyDescent="0.2">
      <c r="B14" s="89" t="s">
        <v>183</v>
      </c>
      <c r="L14" s="91" t="s">
        <v>184</v>
      </c>
      <c r="M14" s="92"/>
      <c r="N14" s="92"/>
      <c r="O14" s="92"/>
      <c r="P14" s="93"/>
    </row>
    <row r="15" spans="2:18" x14ac:dyDescent="0.2">
      <c r="B15" s="89" t="s">
        <v>185</v>
      </c>
      <c r="L15" s="91" t="s">
        <v>186</v>
      </c>
      <c r="M15" s="92"/>
      <c r="N15" s="92"/>
      <c r="O15" s="92"/>
      <c r="P15" s="93"/>
    </row>
    <row r="16" spans="2:18" x14ac:dyDescent="0.2">
      <c r="B16" s="89" t="s">
        <v>187</v>
      </c>
      <c r="L16" s="91" t="s">
        <v>188</v>
      </c>
      <c r="M16" s="92"/>
      <c r="N16" s="92"/>
      <c r="O16" s="92"/>
      <c r="P16" s="93"/>
    </row>
    <row r="17" spans="2:2" x14ac:dyDescent="0.2">
      <c r="B17" s="89" t="s">
        <v>189</v>
      </c>
    </row>
    <row r="18" spans="2:2" x14ac:dyDescent="0.2">
      <c r="B18" s="89" t="s">
        <v>190</v>
      </c>
    </row>
    <row r="19" spans="2:2" x14ac:dyDescent="0.2">
      <c r="B19" s="89" t="s">
        <v>191</v>
      </c>
    </row>
    <row r="20" spans="2:2" x14ac:dyDescent="0.2">
      <c r="B20" s="89" t="s">
        <v>192</v>
      </c>
    </row>
    <row r="21" spans="2:2" x14ac:dyDescent="0.2">
      <c r="B21" s="89" t="s">
        <v>193</v>
      </c>
    </row>
    <row r="22" spans="2:2" x14ac:dyDescent="0.2">
      <c r="B22" s="89" t="s">
        <v>194</v>
      </c>
    </row>
  </sheetData>
  <phoneticPr fontId="9" type="noConversion"/>
  <printOptions horizontalCentered="1"/>
  <pageMargins left="0.19685039370078741" right="0.19685039370078741" top="0.74803149606299213" bottom="0.74803149606299213" header="0.31496062992125984" footer="0.31496062992125984"/>
  <pageSetup scale="8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9"/>
  <dimension ref="B1:AB22"/>
  <sheetViews>
    <sheetView showGridLines="0" zoomScaleNormal="100" workbookViewId="0">
      <selection activeCell="J12" sqref="J12"/>
    </sheetView>
  </sheetViews>
  <sheetFormatPr defaultRowHeight="15" x14ac:dyDescent="0.2"/>
  <cols>
    <col min="1" max="1" width="3.2265625" customWidth="1"/>
    <col min="2" max="2" width="27.3046875" customWidth="1"/>
    <col min="3" max="11" width="14.66015625" style="44" bestFit="1" customWidth="1"/>
    <col min="12" max="12" width="16.94921875" style="44" customWidth="1"/>
    <col min="13" max="14" width="14.66015625" style="44" bestFit="1" customWidth="1"/>
    <col min="15" max="15" width="16.41015625" style="44" customWidth="1"/>
    <col min="16" max="16" width="7.6640625" hidden="1" customWidth="1"/>
    <col min="17" max="17" width="14.52734375" hidden="1" customWidth="1"/>
    <col min="18" max="18" width="0" hidden="1" customWidth="1"/>
    <col min="19" max="19" width="13.71875" hidden="1" customWidth="1"/>
    <col min="20" max="20" width="19.7734375" hidden="1" customWidth="1"/>
    <col min="21" max="21" width="16.41015625" hidden="1" customWidth="1"/>
    <col min="22" max="22" width="0" hidden="1" customWidth="1"/>
    <col min="23" max="24" width="15.73828125" hidden="1" customWidth="1"/>
    <col min="25" max="25" width="0" hidden="1" customWidth="1"/>
    <col min="27" max="27" width="13.71875" bestFit="1" customWidth="1"/>
  </cols>
  <sheetData>
    <row r="1" spans="2:28" s="49" customFormat="1" ht="39.75" customHeight="1" x14ac:dyDescent="0.2">
      <c r="B1" s="97"/>
      <c r="C1" s="50">
        <v>1</v>
      </c>
      <c r="D1" s="50">
        <v>2</v>
      </c>
      <c r="E1" s="50">
        <v>3</v>
      </c>
      <c r="F1" s="50">
        <v>4</v>
      </c>
      <c r="G1" s="50">
        <v>5</v>
      </c>
      <c r="H1" s="50">
        <v>6</v>
      </c>
      <c r="I1" s="50">
        <v>7</v>
      </c>
      <c r="J1" s="50">
        <v>8</v>
      </c>
      <c r="K1" s="50">
        <v>9</v>
      </c>
      <c r="L1" s="50">
        <v>10</v>
      </c>
      <c r="M1" s="50">
        <v>11</v>
      </c>
      <c r="N1" s="50">
        <v>12</v>
      </c>
      <c r="O1" s="50"/>
    </row>
    <row r="2" spans="2:28" s="54" customFormat="1" ht="15.75" thickBot="1" x14ac:dyDescent="0.25">
      <c r="B2" s="129"/>
      <c r="C2" s="130" t="s">
        <v>160</v>
      </c>
      <c r="D2" s="130" t="s">
        <v>161</v>
      </c>
      <c r="E2" s="130" t="s">
        <v>162</v>
      </c>
      <c r="F2" s="130" t="s">
        <v>163</v>
      </c>
      <c r="G2" s="130" t="s">
        <v>164</v>
      </c>
      <c r="H2" s="130" t="s">
        <v>165</v>
      </c>
      <c r="I2" s="130" t="s">
        <v>166</v>
      </c>
      <c r="J2" s="130" t="s">
        <v>174</v>
      </c>
      <c r="K2" s="130" t="s">
        <v>168</v>
      </c>
      <c r="L2" s="130" t="s">
        <v>175</v>
      </c>
      <c r="M2" s="130" t="s">
        <v>170</v>
      </c>
      <c r="N2" s="131" t="s">
        <v>176</v>
      </c>
      <c r="O2" s="132">
        <v>2021</v>
      </c>
      <c r="P2" s="133" t="s">
        <v>177</v>
      </c>
      <c r="Q2" s="134" t="s">
        <v>178</v>
      </c>
      <c r="W2" s="54" t="s">
        <v>644</v>
      </c>
    </row>
    <row r="3" spans="2:28" x14ac:dyDescent="0.2">
      <c r="B3" s="51" t="str">
        <f>Category!B4</f>
        <v>Bantuan Anak Asuh</v>
      </c>
      <c r="C3" s="52">
        <f>SUMIFS('2021'!$H:$H,'2021'!$E:$E,'S1-S2  2021'!$B3,'2021'!$N:$N,'S1-S2  2021'!C$1)</f>
        <v>0</v>
      </c>
      <c r="D3" s="52">
        <f>SUMIFS('2021'!$H:$H,'2021'!$E:$E,'S1-S2  2021'!$B3,'2021'!$N:$N,'S1-S2  2021'!D$1)</f>
        <v>37080000</v>
      </c>
      <c r="E3" s="52">
        <f>SUMIFS('2021'!$H:$H,'2021'!$E:$E,'S1-S2  2021'!$B3,'2021'!$N:$N,'S1-S2  2021'!E$1)</f>
        <v>0</v>
      </c>
      <c r="F3" s="52">
        <f>SUMIFS('2021'!$H:$H,'2021'!$E:$E,'S1-S2  2021'!$B3,'2021'!$N:$N,'S1-S2  2021'!F$1)</f>
        <v>0</v>
      </c>
      <c r="G3" s="52">
        <f>SUMIFS('2021'!$H:$H,'2021'!$E:$E,'S1-S2  2021'!$B3,'2021'!$N:$N,'S1-S2  2021'!G$1)</f>
        <v>0</v>
      </c>
      <c r="H3" s="52">
        <f>SUMIFS('2021'!$H:$H,'2021'!$E:$E,'S1-S2  2021'!$B3,'2021'!$N:$N,'S1-S2  2021'!H$1)</f>
        <v>0</v>
      </c>
      <c r="I3" s="52">
        <f>SUMIFS('2021'!$H:$H,'2021'!$E:$E,'S1-S2  2021'!$B3,'2021'!$N:$N,'S1-S2  2021'!I$1)</f>
        <v>0</v>
      </c>
      <c r="J3" s="52">
        <f>SUMIFS('2021'!$H:$H,'2021'!$E:$E,'S1-S2  2021'!$B3,'2021'!$N:$N,'S1-S2  2021'!J$1)</f>
        <v>0</v>
      </c>
      <c r="K3" s="52">
        <f>SUMIFS('2021'!$H:$H,'2021'!$E:$E,'S1-S2  2021'!$B3,'2021'!$N:$N,'S1-S2  2021'!K$1)</f>
        <v>88623000</v>
      </c>
      <c r="L3" s="52">
        <f>SUMIFS('2021'!$H:$H,'2021'!$E:$E,'S1-S2  2021'!$B3,'2021'!$N:$N,'S1-S2  2021'!L$1)</f>
        <v>26099000</v>
      </c>
      <c r="M3" s="52">
        <f>SUMIFS('2021'!$H:$H,'2021'!$E:$E,'S1-S2  2021'!$B3,'2021'!$N:$N,'S1-S2  2021'!M$1)</f>
        <v>144016000</v>
      </c>
      <c r="N3" s="52">
        <f>SUMIFS('2021'!$H:$H,'2021'!$E:$E,'S1-S2  2021'!$B3,'2021'!$N:$N,'S1-S2  2021'!N$1)</f>
        <v>75506000</v>
      </c>
      <c r="O3" s="126">
        <f t="shared" ref="O3:O8" si="0">SUM(C3:N3)</f>
        <v>371324000</v>
      </c>
      <c r="P3" s="87">
        <f>+Category!Y4</f>
        <v>288</v>
      </c>
      <c r="Q3" s="94" t="s">
        <v>180</v>
      </c>
      <c r="S3" s="146">
        <f t="shared" ref="S3:S8" si="1">SUM(I3:N3)</f>
        <v>334244000</v>
      </c>
      <c r="T3" t="s">
        <v>639</v>
      </c>
      <c r="AA3" s="187"/>
      <c r="AB3" s="472"/>
    </row>
    <row r="4" spans="2:28" x14ac:dyDescent="0.2">
      <c r="B4" s="53" t="str">
        <f>Category!B26</f>
        <v>Panti Asuhan / Jompo</v>
      </c>
      <c r="C4" s="52">
        <f>SUMIFS('2021'!$H:$H,'2021'!$E:$E,'S1-S2  2021'!$B4,'2021'!$N:$N,'S1-S2  2021'!C$1)</f>
        <v>85500000</v>
      </c>
      <c r="D4" s="52">
        <f>SUMIFS('2021'!$H:$H,'2021'!$E:$E,'S1-S2  2021'!$B4,'2021'!$N:$N,'S1-S2  2021'!D$1)</f>
        <v>22000000</v>
      </c>
      <c r="E4" s="52">
        <f>SUMIFS('2021'!$H:$H,'2021'!$E:$E,'S1-S2  2021'!$B4,'2021'!$N:$N,'S1-S2  2021'!E$1)</f>
        <v>124000000</v>
      </c>
      <c r="F4" s="52">
        <f>SUMIFS('2021'!$H:$H,'2021'!$E:$E,'S1-S2  2021'!$B4,'2021'!$N:$N,'S1-S2  2021'!F$1)</f>
        <v>112730400</v>
      </c>
      <c r="G4" s="52">
        <f>SUMIFS('2021'!$H:$H,'2021'!$E:$E,'S1-S2  2021'!$B4,'2021'!$N:$N,'S1-S2  2021'!G$1)</f>
        <v>131954954</v>
      </c>
      <c r="H4" s="52">
        <f>SUMIFS('2021'!$H:$H,'2021'!$E:$E,'S1-S2  2021'!$B4,'2021'!$N:$N,'S1-S2  2021'!H$1)</f>
        <v>151938100</v>
      </c>
      <c r="I4" s="52">
        <f>SUMIFS('2021'!$H:$H,'2021'!$E:$E,'S1-S2  2021'!$B4,'2021'!$N:$N,'S1-S2  2021'!I$1)</f>
        <v>25500000</v>
      </c>
      <c r="J4" s="52">
        <f>SUMIFS('2021'!$H:$H,'2021'!$E:$E,'S1-S2  2021'!$B4,'2021'!$N:$N,'S1-S2  2021'!J$1)</f>
        <v>191980800</v>
      </c>
      <c r="K4" s="52">
        <f>SUMIFS('2021'!$H:$H,'2021'!$E:$E,'S1-S2  2021'!$B4,'2021'!$N:$N,'S1-S2  2021'!K$1)</f>
        <v>25500000</v>
      </c>
      <c r="L4" s="52">
        <f>SUMIFS('2021'!$H:$H,'2021'!$E:$E,'S1-S2  2021'!$B4,'2021'!$N:$N,'S1-S2  2021'!L$1)</f>
        <v>25500000</v>
      </c>
      <c r="M4" s="52">
        <f>SUMIFS('2021'!$H:$H,'2021'!$E:$E,'S1-S2  2021'!$B4,'2021'!$N:$N,'S1-S2  2021'!M$1)</f>
        <v>403362600</v>
      </c>
      <c r="N4" s="52">
        <f>SUMIFS('2021'!$H:$H,'2021'!$E:$E,'S1-S2  2021'!$B4,'2021'!$N:$N,'S1-S2  2021'!N$1)</f>
        <v>211495641</v>
      </c>
      <c r="O4" s="127">
        <f t="shared" si="0"/>
        <v>1511462495</v>
      </c>
      <c r="P4" s="87">
        <f>+Category!Y26</f>
        <v>2408</v>
      </c>
      <c r="Q4" s="94" t="s">
        <v>180</v>
      </c>
      <c r="S4" s="146">
        <f t="shared" si="1"/>
        <v>883339041</v>
      </c>
      <c r="T4" t="s">
        <v>638</v>
      </c>
      <c r="U4" t="s">
        <v>643</v>
      </c>
      <c r="V4">
        <v>10</v>
      </c>
      <c r="W4" s="187">
        <f>V4*6*6000000</f>
        <v>360000000</v>
      </c>
      <c r="Z4" s="146"/>
      <c r="AA4" s="187"/>
      <c r="AB4" s="472"/>
    </row>
    <row r="5" spans="2:28" x14ac:dyDescent="0.2">
      <c r="B5" s="53" t="str">
        <f>Category!B74</f>
        <v>Bantuan Renovasi Gereja</v>
      </c>
      <c r="C5" s="52">
        <f>SUMIFS('2021'!$H:$H,'2021'!$E:$E,'S1-S2  2021'!$B5,'2021'!$N:$N,'S1-S2  2021'!C$1)</f>
        <v>0</v>
      </c>
      <c r="D5" s="52">
        <f>SUMIFS('2021'!$H:$H,'2021'!$E:$E,'S1-S2  2021'!$B5,'2021'!$N:$N,'S1-S2  2021'!D$1)</f>
        <v>25725000</v>
      </c>
      <c r="E5" s="52">
        <f>SUMIFS('2021'!$H:$H,'2021'!$E:$E,'S1-S2  2021'!$B5,'2021'!$N:$N,'S1-S2  2021'!E$1)</f>
        <v>0</v>
      </c>
      <c r="F5" s="52">
        <f>SUMIFS('2021'!$H:$H,'2021'!$E:$E,'S1-S2  2021'!$B5,'2021'!$N:$N,'S1-S2  2021'!F$1)</f>
        <v>0</v>
      </c>
      <c r="G5" s="52">
        <f>SUMIFS('2021'!$H:$H,'2021'!$E:$E,'S1-S2  2021'!$B5,'2021'!$N:$N,'S1-S2  2021'!G$1)</f>
        <v>0</v>
      </c>
      <c r="H5" s="52">
        <f>SUMIFS('2021'!$H:$H,'2021'!$E:$E,'S1-S2  2021'!$B5,'2021'!$N:$N,'S1-S2  2021'!H$1)</f>
        <v>35000000</v>
      </c>
      <c r="I5" s="52">
        <f>SUMIFS('2021'!$H:$H,'2021'!$E:$E,'S1-S2  2021'!$B5,'2021'!$N:$N,'S1-S2  2021'!I$1)</f>
        <v>0</v>
      </c>
      <c r="J5" s="52">
        <f>SUMIFS('2021'!$H:$H,'2021'!$E:$E,'S1-S2  2021'!$B5,'2021'!$N:$N,'S1-S2  2021'!J$1)</f>
        <v>0</v>
      </c>
      <c r="K5" s="52">
        <f>SUMIFS('2021'!$H:$H,'2021'!$E:$E,'S1-S2  2021'!$B5,'2021'!$N:$N,'S1-S2  2021'!K$1)</f>
        <v>0</v>
      </c>
      <c r="L5" s="52">
        <f>SUMIFS('2021'!$H:$H,'2021'!$E:$E,'S1-S2  2021'!$B5,'2021'!$N:$N,'S1-S2  2021'!L$1)</f>
        <v>0</v>
      </c>
      <c r="M5" s="52">
        <f>SUMIFS('2021'!$H:$H,'2021'!$E:$E,'S1-S2  2021'!$B5,'2021'!$N:$N,'S1-S2  2021'!M$1)</f>
        <v>0</v>
      </c>
      <c r="N5" s="52">
        <f>SUMIFS('2021'!$H:$H,'2021'!$E:$E,'S1-S2  2021'!$B5,'2021'!$N:$N,'S1-S2  2021'!N$1)</f>
        <v>220720000</v>
      </c>
      <c r="O5" s="127">
        <f t="shared" si="0"/>
        <v>281445000</v>
      </c>
      <c r="P5" s="478">
        <f>+Category!Y74</f>
        <v>66</v>
      </c>
      <c r="Q5" s="94" t="s">
        <v>181</v>
      </c>
      <c r="S5" s="146">
        <f t="shared" si="1"/>
        <v>220720000</v>
      </c>
      <c r="U5" t="s">
        <v>642</v>
      </c>
      <c r="V5">
        <v>10</v>
      </c>
      <c r="W5" s="187">
        <f>V5*35000000</f>
        <v>350000000</v>
      </c>
      <c r="AA5" s="187"/>
      <c r="AB5" s="472"/>
    </row>
    <row r="6" spans="2:28" x14ac:dyDescent="0.2">
      <c r="B6" s="53" t="str">
        <f>Category!B103</f>
        <v>Sumbangan Duka</v>
      </c>
      <c r="C6" s="52">
        <f>SUMIFS('2021'!$H:$H,'2021'!$E:$E,'S1-S2  2021'!$B6,'2021'!$N:$N,'S1-S2  2021'!C$1)</f>
        <v>770000</v>
      </c>
      <c r="D6" s="52">
        <f>SUMIFS('2021'!$H:$H,'2021'!$E:$E,'S1-S2  2021'!$B6,'2021'!$N:$N,'S1-S2  2021'!D$1)</f>
        <v>0</v>
      </c>
      <c r="E6" s="52">
        <f>SUMIFS('2021'!$H:$H,'2021'!$E:$E,'S1-S2  2021'!$B6,'2021'!$N:$N,'S1-S2  2021'!E$1)</f>
        <v>0</v>
      </c>
      <c r="F6" s="52">
        <f>SUMIFS('2021'!$H:$H,'2021'!$E:$E,'S1-S2  2021'!$B6,'2021'!$N:$N,'S1-S2  2021'!F$1)</f>
        <v>0</v>
      </c>
      <c r="G6" s="52">
        <f>SUMIFS('2021'!$H:$H,'2021'!$E:$E,'S1-S2  2021'!$B6,'2021'!$N:$N,'S1-S2  2021'!G$1)</f>
        <v>600000</v>
      </c>
      <c r="H6" s="52">
        <f>SUMIFS('2021'!$H:$H,'2021'!$E:$E,'S1-S2  2021'!$B6,'2021'!$N:$N,'S1-S2  2021'!H$1)</f>
        <v>720000</v>
      </c>
      <c r="I6" s="52">
        <f>SUMIFS('2021'!$H:$H,'2021'!$E:$E,'S1-S2  2021'!$B6,'2021'!$N:$N,'S1-S2  2021'!I$1)</f>
        <v>0</v>
      </c>
      <c r="J6" s="52">
        <f>SUMIFS('2021'!$H:$H,'2021'!$E:$E,'S1-S2  2021'!$B6,'2021'!$N:$N,'S1-S2  2021'!J$1)</f>
        <v>660000</v>
      </c>
      <c r="K6" s="52">
        <f>SUMIFS('2021'!$H:$H,'2021'!$E:$E,'S1-S2  2021'!$B6,'2021'!$N:$N,'S1-S2  2021'!K$1)</f>
        <v>0</v>
      </c>
      <c r="L6" s="52">
        <f>SUMIFS('2021'!$H:$H,'2021'!$E:$E,'S1-S2  2021'!$B6,'2021'!$N:$N,'S1-S2  2021'!L$1)</f>
        <v>0</v>
      </c>
      <c r="M6" s="52">
        <f>SUMIFS('2021'!$H:$H,'2021'!$E:$E,'S1-S2  2021'!$B6,'2021'!$N:$N,'S1-S2  2021'!M$1)</f>
        <v>0</v>
      </c>
      <c r="N6" s="52">
        <f>SUMIFS('2021'!$H:$H,'2021'!$E:$E,'S1-S2  2021'!$B6,'2021'!$N:$N,'S1-S2  2021'!N$1)</f>
        <v>0</v>
      </c>
      <c r="O6" s="127">
        <f t="shared" si="0"/>
        <v>2750000</v>
      </c>
      <c r="P6" s="478">
        <f>+Category!Y103</f>
        <v>5</v>
      </c>
      <c r="Q6" s="94" t="s">
        <v>180</v>
      </c>
      <c r="S6" s="146">
        <f t="shared" si="1"/>
        <v>660000</v>
      </c>
      <c r="W6" s="187"/>
      <c r="AA6" s="187"/>
      <c r="AB6" s="472"/>
    </row>
    <row r="7" spans="2:28" x14ac:dyDescent="0.2">
      <c r="B7" s="53" t="str">
        <f>Category!B121</f>
        <v>Donasi Pendidikan Seminari</v>
      </c>
      <c r="C7" s="52">
        <f>SUMIFS('2021'!$H:$H,'2021'!$E:$E,'S1-S2  2021'!$B7,'2021'!$N:$N,'S1-S2  2021'!C$1)</f>
        <v>0</v>
      </c>
      <c r="D7" s="52">
        <f>SUMIFS('2021'!$H:$H,'2021'!$E:$E,'S1-S2  2021'!$B7,'2021'!$N:$N,'S1-S2  2021'!D$1)</f>
        <v>26400000</v>
      </c>
      <c r="E7" s="52">
        <f>SUMIFS('2021'!$H:$H,'2021'!$E:$E,'S1-S2  2021'!$B7,'2021'!$N:$N,'S1-S2  2021'!E$1)</f>
        <v>0</v>
      </c>
      <c r="F7" s="52">
        <f>SUMIFS('2021'!$H:$H,'2021'!$E:$E,'S1-S2  2021'!$B7,'2021'!$N:$N,'S1-S2  2021'!F$1)</f>
        <v>0</v>
      </c>
      <c r="G7" s="52">
        <f>SUMIFS('2021'!$H:$H,'2021'!$E:$E,'S1-S2  2021'!$B7,'2021'!$N:$N,'S1-S2  2021'!G$1)</f>
        <v>0</v>
      </c>
      <c r="H7" s="52">
        <f>SUMIFS('2021'!$H:$H,'2021'!$E:$E,'S1-S2  2021'!$B7,'2021'!$N:$N,'S1-S2  2021'!H$1)</f>
        <v>0</v>
      </c>
      <c r="I7" s="52">
        <f>SUMIFS('2021'!$H:$H,'2021'!$E:$E,'S1-S2  2021'!$B7,'2021'!$N:$N,'S1-S2  2021'!I$1)</f>
        <v>120000000</v>
      </c>
      <c r="J7" s="52">
        <f>SUMIFS('2021'!$H:$H,'2021'!$E:$E,'S1-S2  2021'!$B7,'2021'!$N:$N,'S1-S2  2021'!J$1)</f>
        <v>85000000</v>
      </c>
      <c r="K7" s="52">
        <f>SUMIFS('2021'!$H:$H,'2021'!$E:$E,'S1-S2  2021'!$B7,'2021'!$N:$N,'S1-S2  2021'!K$1)</f>
        <v>0</v>
      </c>
      <c r="L7" s="52">
        <f>SUMIFS('2021'!$H:$H,'2021'!$E:$E,'S1-S2  2021'!$B7,'2021'!$N:$N,'S1-S2  2021'!L$1)</f>
        <v>130000000</v>
      </c>
      <c r="M7" s="52">
        <f>SUMIFS('2021'!$H:$H,'2021'!$E:$E,'S1-S2  2021'!$B7,'2021'!$N:$N,'S1-S2  2021'!M$1)</f>
        <v>100600000</v>
      </c>
      <c r="N7" s="52">
        <f>SUMIFS('2021'!$H:$H,'2021'!$E:$E,'S1-S2  2021'!$B7,'2021'!$N:$N,'S1-S2  2021'!N$1)</f>
        <v>80500000</v>
      </c>
      <c r="O7" s="127">
        <f t="shared" si="0"/>
        <v>542500000</v>
      </c>
      <c r="P7" s="478">
        <f>+Category!Y121</f>
        <v>398</v>
      </c>
      <c r="Q7" s="94" t="s">
        <v>180</v>
      </c>
      <c r="S7" s="146">
        <f t="shared" si="1"/>
        <v>516100000</v>
      </c>
      <c r="T7" t="s">
        <v>640</v>
      </c>
      <c r="U7" t="s">
        <v>641</v>
      </c>
      <c r="V7">
        <v>5</v>
      </c>
      <c r="W7" s="187">
        <f>V7*60000000</f>
        <v>300000000</v>
      </c>
      <c r="AA7" s="187"/>
      <c r="AB7" s="472"/>
    </row>
    <row r="8" spans="2:28" x14ac:dyDescent="0.2">
      <c r="B8" s="55" t="str">
        <f>Category!B134</f>
        <v>Donasi Lainnya</v>
      </c>
      <c r="C8" s="288">
        <f>SUMIFS('2021'!$H:$H,'2021'!$E:$E,'S1-S2  2021'!$B8,'2021'!$N:$N,'S1-S2  2021'!C$1)</f>
        <v>0</v>
      </c>
      <c r="D8" s="288">
        <f>SUMIFS('2021'!$H:$H,'2021'!$E:$E,'S1-S2  2021'!$B8,'2021'!$N:$N,'S1-S2  2021'!D$1)</f>
        <v>3580500</v>
      </c>
      <c r="E8" s="288">
        <f>SUMIFS('2021'!$H:$H,'2021'!$E:$E,'S1-S2  2021'!$B8,'2021'!$N:$N,'S1-S2  2021'!E$1)</f>
        <v>0</v>
      </c>
      <c r="F8" s="288">
        <f>SUMIFS('2021'!$H:$H,'2021'!$E:$E,'S1-S2  2021'!$B8,'2021'!$N:$N,'S1-S2  2021'!F$1)</f>
        <v>165000024</v>
      </c>
      <c r="G8" s="288">
        <f>SUMIFS('2021'!$H:$H,'2021'!$E:$E,'S1-S2  2021'!$B8,'2021'!$N:$N,'S1-S2  2021'!G$1)</f>
        <v>0</v>
      </c>
      <c r="H8" s="288">
        <f>SUMIFS('2021'!$H:$H,'2021'!$E:$E,'S1-S2  2021'!$B8,'2021'!$N:$N,'S1-S2  2021'!H$1)</f>
        <v>0</v>
      </c>
      <c r="I8" s="288">
        <f>SUMIFS('2021'!$H:$H,'2021'!$E:$E,'S1-S2  2021'!$B8,'2021'!$N:$N,'S1-S2  2021'!I$1)</f>
        <v>7500000</v>
      </c>
      <c r="J8" s="288">
        <f>SUMIFS('2021'!$H:$H,'2021'!$E:$E,'S1-S2  2021'!$B8,'2021'!$N:$N,'S1-S2  2021'!J$1)</f>
        <v>28500023</v>
      </c>
      <c r="K8" s="288">
        <f>SUMIFS('2021'!$H:$H,'2021'!$E:$E,'S1-S2  2021'!$B8,'2021'!$N:$N,'S1-S2  2021'!K$1)</f>
        <v>40500000</v>
      </c>
      <c r="L8" s="288">
        <f>SUMIFS('2021'!$H:$H,'2021'!$E:$E,'S1-S2  2021'!$B8,'2021'!$N:$N,'S1-S2  2021'!L$1)</f>
        <v>40500000</v>
      </c>
      <c r="M8" s="288">
        <f>SUMIFS('2021'!$H:$H,'2021'!$E:$E,'S1-S2  2021'!$B8,'2021'!$N:$N,'S1-S2  2021'!M$1)</f>
        <v>40406500</v>
      </c>
      <c r="N8" s="288">
        <f>SUMIFS('2021'!$H:$H,'2021'!$E:$E,'S1-S2  2021'!$B8,'2021'!$N:$N,'S1-S2  2021'!N$1)</f>
        <v>182501800</v>
      </c>
      <c r="O8" s="128">
        <f t="shared" si="0"/>
        <v>508488847</v>
      </c>
      <c r="P8" s="478">
        <f>+Category!Y134</f>
        <v>109</v>
      </c>
      <c r="Q8" s="94" t="s">
        <v>182</v>
      </c>
      <c r="S8" s="146">
        <f t="shared" si="1"/>
        <v>339908323</v>
      </c>
      <c r="AA8" s="187"/>
      <c r="AB8" s="472"/>
    </row>
    <row r="9" spans="2:28" x14ac:dyDescent="0.2">
      <c r="B9" s="55" t="s">
        <v>1054</v>
      </c>
      <c r="C9" s="288">
        <f>SUMIFS('2021'!$H:$H,'2021'!$E:$E,'S1-S2  2021'!$B9,'2021'!$N:$N,'S1-S2  2021'!C$1)</f>
        <v>0</v>
      </c>
      <c r="D9" s="288">
        <f>SUMIFS('2021'!$H:$H,'2021'!$E:$E,'S1-S2  2021'!$B9,'2021'!$N:$N,'S1-S2  2021'!D$1)</f>
        <v>0</v>
      </c>
      <c r="E9" s="288">
        <f>SUMIFS('2021'!$H:$H,'2021'!$E:$E,'S1-S2  2021'!$B9,'2021'!$N:$N,'S1-S2  2021'!E$1)</f>
        <v>0</v>
      </c>
      <c r="F9" s="288">
        <f>SUMIFS('2021'!$H:$H,'2021'!$E:$E,'S1-S2  2021'!$B9,'2021'!$N:$N,'S1-S2  2021'!F$1)</f>
        <v>0</v>
      </c>
      <c r="G9" s="288">
        <f>SUMIFS('2021'!$H:$H,'2021'!$E:$E,'S1-S2  2021'!$B9,'2021'!$N:$N,'S1-S2  2021'!G$1)</f>
        <v>0</v>
      </c>
      <c r="H9" s="288">
        <f>SUMIFS('2021'!$H:$H,'2021'!$E:$E,'S1-S2  2021'!$B9,'2021'!$N:$N,'S1-S2  2021'!H$1)</f>
        <v>0</v>
      </c>
      <c r="I9" s="288">
        <f>SUMIFS('2021'!$H:$H,'2021'!$E:$E,'S1-S2  2021'!$B9,'2021'!$N:$N,'S1-S2  2021'!I$1)</f>
        <v>0</v>
      </c>
      <c r="J9" s="288">
        <f>SUMIFS('2021'!$H:$H,'2021'!$E:$E,'S1-S2  2021'!$B9,'2021'!$N:$N,'S1-S2  2021'!J$1)</f>
        <v>0</v>
      </c>
      <c r="K9" s="288">
        <f>SUMIFS('2021'!$H:$H,'2021'!$E:$E,'S1-S2  2021'!$B9,'2021'!$N:$N,'S1-S2  2021'!K$1)</f>
        <v>6268542</v>
      </c>
      <c r="L9" s="288">
        <f>SUMIFS('2021'!$H:$H,'2021'!$E:$E,'S1-S2  2021'!$B9,'2021'!$N:$N,'S1-S2  2021'!L$1)</f>
        <v>0</v>
      </c>
      <c r="M9" s="288">
        <f>SUMIFS('2021'!$H:$H,'2021'!$E:$E,'S1-S2  2021'!$B9,'2021'!$N:$N,'S1-S2  2021'!M$1)</f>
        <v>0</v>
      </c>
      <c r="N9" s="288">
        <f>SUMIFS('2021'!$H:$H,'2021'!$E:$E,'S1-S2  2021'!$B9,'2021'!$N:$N,'S1-S2  2021'!N$1)</f>
        <v>0</v>
      </c>
      <c r="O9" s="128">
        <f>SUM(C9:N9)</f>
        <v>6268542</v>
      </c>
      <c r="P9" s="478">
        <f>+Category!Y246</f>
        <v>0</v>
      </c>
      <c r="Q9" s="479"/>
      <c r="S9" s="146"/>
      <c r="AA9" s="187"/>
      <c r="AB9" s="472"/>
    </row>
    <row r="10" spans="2:28" x14ac:dyDescent="0.2">
      <c r="B10" s="55" t="s">
        <v>1055</v>
      </c>
      <c r="C10" s="288">
        <f>SUMIFS('2021'!$H:$H,'2021'!$E:$E,'S1-S2  2021'!$B10,'2021'!$N:$N,'S1-S2  2021'!C$1)</f>
        <v>100000000</v>
      </c>
      <c r="D10" s="288">
        <f>SUMIFS('2021'!$H:$H,'2021'!$E:$E,'S1-S2  2021'!$B10,'2021'!$N:$N,'S1-S2  2021'!D$1)</f>
        <v>27732700</v>
      </c>
      <c r="E10" s="288">
        <f>SUMIFS('2021'!$H:$H,'2021'!$E:$E,'S1-S2  2021'!$B10,'2021'!$N:$N,'S1-S2  2021'!E$1)</f>
        <v>4022400</v>
      </c>
      <c r="F10" s="288">
        <f>SUMIFS('2021'!$H:$H,'2021'!$E:$E,'S1-S2  2021'!$B10,'2021'!$N:$N,'S1-S2  2021'!F$1)</f>
        <v>0</v>
      </c>
      <c r="G10" s="288">
        <f>SUMIFS('2021'!$H:$H,'2021'!$E:$E,'S1-S2  2021'!$B10,'2021'!$N:$N,'S1-S2  2021'!G$1)</f>
        <v>5025300</v>
      </c>
      <c r="H10" s="288">
        <f>SUMIFS('2021'!$H:$H,'2021'!$E:$E,'S1-S2  2021'!$B10,'2021'!$N:$N,'S1-S2  2021'!H$1)</f>
        <v>6018100</v>
      </c>
      <c r="I10" s="288">
        <f>SUMIFS('2021'!$H:$H,'2021'!$E:$E,'S1-S2  2021'!$B10,'2021'!$N:$N,'S1-S2  2021'!I$1)</f>
        <v>0</v>
      </c>
      <c r="J10" s="288">
        <f>SUMIFS('2021'!$H:$H,'2021'!$E:$E,'S1-S2  2021'!$B10,'2021'!$N:$N,'S1-S2  2021'!J$1)</f>
        <v>0</v>
      </c>
      <c r="K10" s="288">
        <f>SUMIFS('2021'!$H:$H,'2021'!$E:$E,'S1-S2  2021'!$B10,'2021'!$N:$N,'S1-S2  2021'!K$1)</f>
        <v>7034700</v>
      </c>
      <c r="L10" s="288">
        <f>SUMIFS('2021'!$H:$H,'2021'!$E:$E,'S1-S2  2021'!$B10,'2021'!$N:$N,'S1-S2  2021'!L$1)</f>
        <v>0</v>
      </c>
      <c r="M10" s="288">
        <f>SUMIFS('2021'!$H:$H,'2021'!$E:$E,'S1-S2  2021'!$B10,'2021'!$N:$N,'S1-S2  2021'!M$1)</f>
        <v>0</v>
      </c>
      <c r="N10" s="288">
        <f>SUMIFS('2021'!$H:$H,'2021'!$E:$E,'S1-S2  2021'!$B10,'2021'!$N:$N,'S1-S2  2021'!N$1)</f>
        <v>0</v>
      </c>
      <c r="O10" s="128">
        <f>SUM(C10:N10)</f>
        <v>149833200</v>
      </c>
      <c r="P10" s="478">
        <f>+Category!Y278</f>
        <v>0</v>
      </c>
      <c r="Q10" s="479"/>
      <c r="S10" s="146"/>
      <c r="AB10" s="195"/>
    </row>
    <row r="11" spans="2:28" ht="15.75" thickBot="1" x14ac:dyDescent="0.25">
      <c r="B11" s="135" t="s">
        <v>156</v>
      </c>
      <c r="C11" s="136">
        <f t="shared" ref="C11:K11" si="2">SUM(C3:C10)</f>
        <v>186270000</v>
      </c>
      <c r="D11" s="136">
        <f t="shared" si="2"/>
        <v>142518200</v>
      </c>
      <c r="E11" s="136">
        <f t="shared" si="2"/>
        <v>128022400</v>
      </c>
      <c r="F11" s="136">
        <f t="shared" si="2"/>
        <v>277730424</v>
      </c>
      <c r="G11" s="136">
        <f t="shared" si="2"/>
        <v>137580254</v>
      </c>
      <c r="H11" s="136">
        <f t="shared" si="2"/>
        <v>193676200</v>
      </c>
      <c r="I11" s="136">
        <f t="shared" si="2"/>
        <v>153000000</v>
      </c>
      <c r="J11" s="136">
        <f t="shared" si="2"/>
        <v>306140823</v>
      </c>
      <c r="K11" s="136">
        <f t="shared" si="2"/>
        <v>167926242</v>
      </c>
      <c r="L11" s="136">
        <f>SUM(L3:L10)</f>
        <v>222099000</v>
      </c>
      <c r="M11" s="136">
        <f>SUM(M3:M10)</f>
        <v>688385100</v>
      </c>
      <c r="N11" s="136">
        <f>SUM(N3:N10)</f>
        <v>770723441</v>
      </c>
      <c r="O11" s="136">
        <f>SUM(O3:O10)</f>
        <v>3374072084</v>
      </c>
      <c r="P11" s="136">
        <f>SUM(P3:P10)</f>
        <v>3274</v>
      </c>
      <c r="Q11" s="480"/>
      <c r="S11" s="146">
        <f>SUM(S3:S8)</f>
        <v>2294971364</v>
      </c>
      <c r="W11" s="187">
        <f>SUM(W3:W8)</f>
        <v>1010000000</v>
      </c>
      <c r="X11" s="188">
        <f>W11+S11</f>
        <v>3304971364</v>
      </c>
    </row>
    <row r="12" spans="2:28" ht="15.75" thickTop="1" x14ac:dyDescent="0.2">
      <c r="C12" s="45">
        <f>C11-Category!Z$338</f>
        <v>0</v>
      </c>
      <c r="D12" s="45">
        <f>D11-Category!AA$338</f>
        <v>0</v>
      </c>
      <c r="E12" s="45">
        <f>E11-Category!AB$338</f>
        <v>0</v>
      </c>
      <c r="F12" s="45">
        <f>F11-Category!AC$338</f>
        <v>-50</v>
      </c>
      <c r="G12" s="45">
        <f>G11-Category!AD$338</f>
        <v>0</v>
      </c>
      <c r="H12" s="45">
        <f>H11-Category!AE$338</f>
        <v>26</v>
      </c>
      <c r="I12" s="45">
        <f>I11-Category!AF$338</f>
        <v>0</v>
      </c>
      <c r="J12" s="45">
        <f>J11-Category!AG$338</f>
        <v>0</v>
      </c>
      <c r="O12" s="45">
        <f>O11-List3[[#Totals],[Pengajuan Donasi]]</f>
        <v>0</v>
      </c>
      <c r="P12" s="146">
        <f>+P11-Category!Y338</f>
        <v>0</v>
      </c>
    </row>
    <row r="13" spans="2:28" hidden="1" x14ac:dyDescent="0.2">
      <c r="B13" s="89" t="s">
        <v>325</v>
      </c>
    </row>
    <row r="14" spans="2:28" hidden="1" x14ac:dyDescent="0.2">
      <c r="B14" s="89" t="s">
        <v>324</v>
      </c>
      <c r="L14" s="91" t="s">
        <v>184</v>
      </c>
      <c r="M14" s="92"/>
      <c r="N14" s="92"/>
      <c r="O14" s="92"/>
      <c r="P14" s="93"/>
    </row>
    <row r="15" spans="2:28" hidden="1" x14ac:dyDescent="0.2">
      <c r="B15" s="89" t="s">
        <v>326</v>
      </c>
      <c r="L15" s="91" t="s">
        <v>186</v>
      </c>
      <c r="M15" s="92"/>
      <c r="N15" s="92"/>
      <c r="O15" s="92"/>
      <c r="P15" s="93"/>
    </row>
    <row r="16" spans="2:28" hidden="1" x14ac:dyDescent="0.2">
      <c r="B16" s="89" t="s">
        <v>187</v>
      </c>
      <c r="L16" s="91" t="s">
        <v>188</v>
      </c>
      <c r="M16" s="92"/>
      <c r="N16" s="92"/>
      <c r="O16" s="92"/>
      <c r="P16" s="93"/>
    </row>
    <row r="17" spans="2:2" hidden="1" x14ac:dyDescent="0.2">
      <c r="B17" s="89" t="s">
        <v>189</v>
      </c>
    </row>
    <row r="18" spans="2:2" hidden="1" x14ac:dyDescent="0.2">
      <c r="B18" s="89" t="s">
        <v>190</v>
      </c>
    </row>
    <row r="19" spans="2:2" hidden="1" x14ac:dyDescent="0.2">
      <c r="B19" s="89" t="s">
        <v>191</v>
      </c>
    </row>
    <row r="20" spans="2:2" hidden="1" x14ac:dyDescent="0.2">
      <c r="B20" s="89" t="s">
        <v>192</v>
      </c>
    </row>
    <row r="21" spans="2:2" hidden="1" x14ac:dyDescent="0.2">
      <c r="B21" s="89" t="s">
        <v>193</v>
      </c>
    </row>
    <row r="22" spans="2:2" hidden="1" x14ac:dyDescent="0.2">
      <c r="B22" s="89" t="s">
        <v>194</v>
      </c>
    </row>
  </sheetData>
  <printOptions horizontalCentered="1"/>
  <pageMargins left="0.19685039370078741" right="0.19685039370078741" top="0.74803149606299213" bottom="0.74803149606299213" header="0.31496062992125984" footer="0.31496062992125984"/>
  <pageSetup scale="65"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B1:J45"/>
  <sheetViews>
    <sheetView showGridLines="0" workbookViewId="0">
      <selection activeCell="M20" sqref="M20"/>
    </sheetView>
  </sheetViews>
  <sheetFormatPr defaultRowHeight="15" x14ac:dyDescent="0.2"/>
  <cols>
    <col min="1" max="1" width="1.74609375" customWidth="1"/>
    <col min="2" max="2" width="30.265625" bestFit="1" customWidth="1"/>
    <col min="3" max="4" width="14.66015625" style="44" bestFit="1" customWidth="1"/>
    <col min="5" max="6" width="14.2578125" style="44" customWidth="1"/>
    <col min="7" max="7" width="14.66015625" style="44" bestFit="1" customWidth="1"/>
    <col min="8" max="8" width="16.41015625" style="44" bestFit="1" customWidth="1"/>
    <col min="9" max="9" width="7.6640625" hidden="1" customWidth="1"/>
    <col min="10" max="10" width="14.52734375" hidden="1" customWidth="1"/>
  </cols>
  <sheetData>
    <row r="1" spans="2:10" s="49" customFormat="1" ht="39.75" customHeight="1" x14ac:dyDescent="0.2">
      <c r="B1" s="97" t="s">
        <v>1022</v>
      </c>
      <c r="C1" s="50">
        <v>1</v>
      </c>
      <c r="D1" s="50">
        <v>2</v>
      </c>
      <c r="E1" s="50">
        <v>3</v>
      </c>
      <c r="F1" s="50">
        <v>4</v>
      </c>
      <c r="G1" s="50">
        <v>5</v>
      </c>
      <c r="H1" s="50"/>
    </row>
    <row r="2" spans="2:10" s="54" customFormat="1" ht="15.75" thickBot="1" x14ac:dyDescent="0.25">
      <c r="B2" s="295"/>
      <c r="C2" s="373" t="s">
        <v>160</v>
      </c>
      <c r="D2" s="373" t="s">
        <v>161</v>
      </c>
      <c r="E2" s="373" t="s">
        <v>162</v>
      </c>
      <c r="F2" s="373" t="s">
        <v>163</v>
      </c>
      <c r="G2" s="373" t="s">
        <v>164</v>
      </c>
      <c r="H2" s="374">
        <v>2022</v>
      </c>
      <c r="I2" s="375" t="s">
        <v>177</v>
      </c>
      <c r="J2" s="375" t="s">
        <v>178</v>
      </c>
    </row>
    <row r="3" spans="2:10" x14ac:dyDescent="0.2">
      <c r="B3" s="51" t="s">
        <v>179</v>
      </c>
      <c r="C3" s="52">
        <f>SUMIFS('2022'!$H:$H,'2022'!$E:$E,'S1 2022'!$B3,'2022'!$N:$N,'S1 2022'!C$1)</f>
        <v>32224000</v>
      </c>
      <c r="D3" s="52">
        <f>SUMIFS('2022'!$H:$H,'2022'!$E:$E,'S1 2022'!$B3,'2022'!$N:$N,'S1 2022'!D$1)</f>
        <v>114100000</v>
      </c>
      <c r="E3" s="52">
        <f>SUMIFS('2022'!$H:$H,'2022'!$E:$E,'S1 2022'!$B3,'2022'!$N:$N,'S1 2022'!E$1)</f>
        <v>39210000</v>
      </c>
      <c r="F3" s="52">
        <f>SUMIFS('2022'!$H:$H,'2022'!$E:$E,'S1 2022'!$B3,'2022'!$N:$N,'S1 2022'!F$1)</f>
        <v>50610000</v>
      </c>
      <c r="G3" s="52">
        <f>SUMIFS('2022'!$H:$H,'2022'!$E:$E,'S1 2022'!$B3,'2022'!$N:$N,'S1 2022'!G$1)</f>
        <v>50610000</v>
      </c>
      <c r="H3" s="289">
        <f t="shared" ref="H3:H10" si="0">SUM(C3:G3)</f>
        <v>286754000</v>
      </c>
      <c r="I3" s="371">
        <f ca="1">SUMIF(List[[Aktivitas]:[Jumlah Anak ]],$B$3,List[[Jumlah Anak ]:[Pengajuan Donasi]])</f>
        <v>502</v>
      </c>
      <c r="J3" s="292" t="s">
        <v>180</v>
      </c>
    </row>
    <row r="4" spans="2:10" x14ac:dyDescent="0.2">
      <c r="B4" s="53" t="s">
        <v>17</v>
      </c>
      <c r="C4" s="52">
        <f>SUMIFS('2022'!$H:$H,'2022'!$E:$E,'S1 2022'!$B4,'2022'!$N:$N,'S1 2022'!C$1)</f>
        <v>211495600</v>
      </c>
      <c r="D4" s="52">
        <f>SUMIFS('2022'!$H:$H,'2022'!$E:$E,'S1 2022'!$B4,'2022'!$N:$N,'S1 2022'!D$1)</f>
        <v>25500000</v>
      </c>
      <c r="E4" s="52">
        <f>SUMIFS('2022'!$H:$H,'2022'!$E:$E,'S1 2022'!$B4,'2022'!$N:$N,'S1 2022'!E$1)</f>
        <v>397181900</v>
      </c>
      <c r="F4" s="52">
        <f>SUMIFS('2022'!$H:$H,'2022'!$E:$E,'S1 2022'!$B4,'2022'!$N:$N,'S1 2022'!F$1)</f>
        <v>221329103</v>
      </c>
      <c r="G4" s="52">
        <f>SUMIFS('2022'!$H:$H,'2022'!$E:$E,'S1 2022'!$B4,'2022'!$N:$N,'S1 2022'!G$1)</f>
        <v>217611600</v>
      </c>
      <c r="H4" s="290">
        <f t="shared" si="0"/>
        <v>1073118203</v>
      </c>
      <c r="I4" s="371">
        <f ca="1">SUMIF(List[[Aktivitas]:[Jumlah Anak ]],B4,List[[Jumlah Anak ]])</f>
        <v>1200</v>
      </c>
      <c r="J4" s="292" t="s">
        <v>180</v>
      </c>
    </row>
    <row r="5" spans="2:10" x14ac:dyDescent="0.2">
      <c r="B5" s="53" t="s">
        <v>107</v>
      </c>
      <c r="C5" s="52">
        <f>SUMIFS('2022'!$H:$H,'2022'!$E:$E,'S1 2022'!$B5,'2022'!$N:$N,'S1 2022'!C$1)</f>
        <v>35000000</v>
      </c>
      <c r="D5" s="52">
        <f>SUMIFS('2022'!$H:$H,'2022'!$E:$E,'S1 2022'!$B5,'2022'!$N:$N,'S1 2022'!D$1)</f>
        <v>0</v>
      </c>
      <c r="E5" s="52">
        <f>SUMIFS('2022'!$H:$H,'2022'!$E:$E,'S1 2022'!$B5,'2022'!$N:$N,'S1 2022'!E$1)</f>
        <v>35000000</v>
      </c>
      <c r="F5" s="52">
        <f>SUMIFS('2022'!$H:$H,'2022'!$E:$E,'S1 2022'!$B5,'2022'!$N:$N,'S1 2022'!F$1)</f>
        <v>0</v>
      </c>
      <c r="G5" s="52">
        <f>SUMIFS('2022'!$H:$H,'2022'!$E:$E,'S1 2022'!$B5,'2022'!$N:$N,'S1 2022'!G$1)</f>
        <v>70000000</v>
      </c>
      <c r="H5" s="290">
        <f t="shared" si="0"/>
        <v>140000000</v>
      </c>
      <c r="I5" s="371">
        <f ca="1">SUMIF('2020'!E24:P82,B5,'2020'!P24:P82)</f>
        <v>0</v>
      </c>
      <c r="J5" s="292" t="s">
        <v>181</v>
      </c>
    </row>
    <row r="6" spans="2:10" x14ac:dyDescent="0.2">
      <c r="B6" s="53" t="s">
        <v>71</v>
      </c>
      <c r="C6" s="52">
        <f>SUMIFS('2022'!$H:$H,'2022'!$E:$E,'S1 2022'!$B6,'2022'!$N:$N,'S1 2022'!C$1)</f>
        <v>0</v>
      </c>
      <c r="D6" s="52">
        <f>SUMIFS('2022'!$H:$H,'2022'!$E:$E,'S1 2022'!$B6,'2022'!$N:$N,'S1 2022'!D$1)</f>
        <v>660000</v>
      </c>
      <c r="E6" s="52">
        <f>SUMIFS('2022'!$H:$H,'2022'!$E:$E,'S1 2022'!$B6,'2022'!$N:$N,'S1 2022'!E$1)</f>
        <v>0</v>
      </c>
      <c r="F6" s="52">
        <f>SUMIFS('2022'!$H:$H,'2022'!$E:$E,'S1 2022'!$B6,'2022'!$N:$N,'S1 2022'!F$1)</f>
        <v>0</v>
      </c>
      <c r="G6" s="52">
        <f>SUMIFS('2022'!$H:$H,'2022'!$E:$E,'S1 2022'!$B6,'2022'!$N:$N,'S1 2022'!G$1)</f>
        <v>777000</v>
      </c>
      <c r="H6" s="290">
        <f t="shared" si="0"/>
        <v>1437000</v>
      </c>
      <c r="I6" s="371">
        <f ca="1">SUMIF(List[[Aktivitas]:[Jumlah Anak ]],B6,List[[Jumlah Anak ]])</f>
        <v>1</v>
      </c>
      <c r="J6" s="292" t="s">
        <v>180</v>
      </c>
    </row>
    <row r="7" spans="2:10" x14ac:dyDescent="0.2">
      <c r="B7" s="53" t="s">
        <v>57</v>
      </c>
      <c r="C7" s="52">
        <f>SUMIFS('2022'!$H:$H,'2022'!$E:$E,'S1 2022'!$B7,'2022'!$N:$N,'S1 2022'!C$1)</f>
        <v>50000000</v>
      </c>
      <c r="D7" s="52">
        <f>SUMIFS('2022'!$H:$H,'2022'!$E:$E,'S1 2022'!$B7,'2022'!$N:$N,'S1 2022'!D$1)</f>
        <v>60000000</v>
      </c>
      <c r="E7" s="52">
        <f>SUMIFS('2022'!$H:$H,'2022'!$E:$E,'S1 2022'!$B7,'2022'!$N:$N,'S1 2022'!E$1)</f>
        <v>70000000</v>
      </c>
      <c r="F7" s="52">
        <f>SUMIFS('2022'!$H:$H,'2022'!$E:$E,'S1 2022'!$B7,'2022'!$N:$N,'S1 2022'!F$1)</f>
        <v>75000000</v>
      </c>
      <c r="G7" s="52">
        <f>SUMIFS('2022'!$H:$H,'2022'!$E:$E,'S1 2022'!$B7,'2022'!$N:$N,'S1 2022'!G$1)</f>
        <v>90000000</v>
      </c>
      <c r="H7" s="290">
        <f t="shared" si="0"/>
        <v>345000000</v>
      </c>
      <c r="I7" s="371">
        <f ca="1">SUMIF(List[[Aktivitas]:[Jumlah Anak ]],B7,List[[Jumlah Anak ]])</f>
        <v>6</v>
      </c>
      <c r="J7" s="292" t="s">
        <v>180</v>
      </c>
    </row>
    <row r="8" spans="2:10" x14ac:dyDescent="0.2">
      <c r="B8" s="55" t="s">
        <v>26</v>
      </c>
      <c r="C8" s="288">
        <f>SUMIFS('2022'!$H:$H,'2022'!$E:$E,'S1 2022'!$B8,'2022'!$N:$N,'S1 2022'!C$1)</f>
        <v>82150000</v>
      </c>
      <c r="D8" s="288">
        <f>SUMIFS('2022'!$H:$H,'2022'!$E:$E,'S1 2022'!$B8,'2022'!$N:$N,'S1 2022'!D$1)</f>
        <v>24000000</v>
      </c>
      <c r="E8" s="288">
        <f>SUMIFS('2022'!$H:$H,'2022'!$E:$E,'S1 2022'!$B8,'2022'!$N:$N,'S1 2022'!E$1)</f>
        <v>57633324</v>
      </c>
      <c r="F8" s="288">
        <f>SUMIFS('2022'!$H:$H,'2022'!$E:$E,'S1 2022'!$B8,'2022'!$N:$N,'S1 2022'!F$1)</f>
        <v>36856300</v>
      </c>
      <c r="G8" s="288">
        <f>SUMIFS('2022'!$H:$H,'2022'!$E:$E,'S1 2022'!$B8,'2022'!$N:$N,'S1 2022'!G$1)</f>
        <v>35000000</v>
      </c>
      <c r="H8" s="291">
        <f t="shared" si="0"/>
        <v>235639624</v>
      </c>
      <c r="I8" s="372">
        <f ca="1">SUMIF(List[[Aktivitas]:[Jumlah Anak ]],B8,List[[Jumlah Anak ]])</f>
        <v>92</v>
      </c>
      <c r="J8" s="292" t="s">
        <v>182</v>
      </c>
    </row>
    <row r="9" spans="2:10" x14ac:dyDescent="0.2">
      <c r="B9" s="53" t="s">
        <v>1054</v>
      </c>
      <c r="C9" s="288">
        <f>SUMIFS('2022'!$H:$H,'2022'!$E:$E,'S1 2022'!$B9,'2022'!$N:$N,'S1 2022'!C$1)</f>
        <v>0</v>
      </c>
      <c r="D9" s="288">
        <f>SUMIFS('2022'!$H:$H,'2022'!$E:$E,'S1 2022'!$B9,'2022'!$N:$N,'S1 2022'!D$1)</f>
        <v>0</v>
      </c>
      <c r="E9" s="288">
        <f>SUMIFS('2022'!$H:$H,'2022'!$E:$E,'S1 2022'!$B9,'2022'!$N:$N,'S1 2022'!E$1)</f>
        <v>2140000</v>
      </c>
      <c r="F9" s="288">
        <f>SUMIFS('2022'!$H:$H,'2022'!$E:$E,'S1 2022'!$B9,'2022'!$N:$N,'S1 2022'!F$1)</f>
        <v>62939000</v>
      </c>
      <c r="G9" s="288">
        <f>SUMIFS('2022'!$H:$H,'2022'!$E:$E,'S1 2022'!$B9,'2022'!$N:$N,'S1 2022'!G$1)</f>
        <v>0</v>
      </c>
      <c r="H9" s="291">
        <f t="shared" si="0"/>
        <v>65079000</v>
      </c>
      <c r="I9" s="372">
        <v>0</v>
      </c>
      <c r="J9" s="292"/>
    </row>
    <row r="10" spans="2:10" x14ac:dyDescent="0.2">
      <c r="B10" s="53" t="s">
        <v>1055</v>
      </c>
      <c r="C10" s="288">
        <f>SUMIFS('2022'!$H:$H,'2022'!$E:$E,'S1 2022'!$B10,'2022'!$N:$N,'S1 2022'!C$1)</f>
        <v>100000000</v>
      </c>
      <c r="D10" s="288">
        <f>SUMIFS('2022'!$H:$H,'2022'!$E:$E,'S1 2022'!$B10,'2022'!$N:$N,'S1 2022'!D$1)</f>
        <v>0</v>
      </c>
      <c r="E10" s="288">
        <f>SUMIFS('2022'!$H:$H,'2022'!$E:$E,'S1 2022'!$B10,'2022'!$N:$N,'S1 2022'!E$1)</f>
        <v>9080900</v>
      </c>
      <c r="F10" s="288">
        <f>SUMIFS('2022'!$H:$H,'2022'!$E:$E,'S1 2022'!$B10,'2022'!$N:$N,'S1 2022'!F$1)</f>
        <v>0</v>
      </c>
      <c r="G10" s="288">
        <f>SUMIFS('2022'!$H:$H,'2022'!$E:$E,'S1 2022'!$B10,'2022'!$N:$N,'S1 2022'!G$1)</f>
        <v>8017300</v>
      </c>
      <c r="H10" s="291">
        <f t="shared" si="0"/>
        <v>117098200</v>
      </c>
      <c r="I10" s="372">
        <v>0</v>
      </c>
      <c r="J10" s="292"/>
    </row>
    <row r="11" spans="2:10" ht="15.75" thickBot="1" x14ac:dyDescent="0.25">
      <c r="B11" s="368" t="s">
        <v>156</v>
      </c>
      <c r="C11" s="370">
        <f t="shared" ref="C11:H11" si="1">SUM(C3:C10)</f>
        <v>510869600</v>
      </c>
      <c r="D11" s="370">
        <f t="shared" si="1"/>
        <v>224260000</v>
      </c>
      <c r="E11" s="370">
        <f t="shared" si="1"/>
        <v>610246124</v>
      </c>
      <c r="F11" s="370">
        <f t="shared" si="1"/>
        <v>446734403</v>
      </c>
      <c r="G11" s="370">
        <f t="shared" si="1"/>
        <v>472015900</v>
      </c>
      <c r="H11" s="370">
        <f t="shared" si="1"/>
        <v>2264126027</v>
      </c>
      <c r="I11" s="370">
        <f ca="1">SUM(I3:I10)</f>
        <v>1801</v>
      </c>
      <c r="J11" s="369"/>
    </row>
    <row r="12" spans="2:10" ht="15.75" thickTop="1" x14ac:dyDescent="0.2">
      <c r="C12" s="45">
        <f>+C11-Category!AN338</f>
        <v>0</v>
      </c>
      <c r="D12" s="45">
        <f>+D11-Category!AO338</f>
        <v>0</v>
      </c>
      <c r="E12" s="45">
        <f>+E11-Category!AP338</f>
        <v>0</v>
      </c>
      <c r="F12" s="45">
        <f>+F11-Category!AQ338</f>
        <v>-27000</v>
      </c>
      <c r="G12" s="45">
        <f>+G11-Category!AR338</f>
        <v>0</v>
      </c>
      <c r="H12" s="45">
        <f>+H11-Category!AZ338</f>
        <v>-3303170820.4699993</v>
      </c>
    </row>
    <row r="13" spans="2:10" x14ac:dyDescent="0.2">
      <c r="B13" s="89" t="s">
        <v>178</v>
      </c>
    </row>
    <row r="14" spans="2:10" ht="27" customHeight="1" x14ac:dyDescent="0.2">
      <c r="B14" s="300" t="s">
        <v>183</v>
      </c>
      <c r="H14" s="92"/>
      <c r="I14" s="93"/>
      <c r="J14" s="299"/>
    </row>
    <row r="15" spans="2:10" x14ac:dyDescent="0.2">
      <c r="B15" s="301" t="s">
        <v>1023</v>
      </c>
      <c r="H15" s="92"/>
      <c r="I15" s="93"/>
      <c r="J15" s="91"/>
    </row>
    <row r="16" spans="2:10" x14ac:dyDescent="0.2">
      <c r="B16" s="301" t="s">
        <v>1024</v>
      </c>
      <c r="H16" s="92"/>
      <c r="I16" s="93"/>
      <c r="J16" s="91"/>
    </row>
    <row r="17" spans="2:10" x14ac:dyDescent="0.2">
      <c r="B17" s="301" t="s">
        <v>1025</v>
      </c>
    </row>
    <row r="18" spans="2:10" x14ac:dyDescent="0.2">
      <c r="B18" s="301" t="s">
        <v>1026</v>
      </c>
    </row>
    <row r="19" spans="2:10" s="44" customFormat="1" x14ac:dyDescent="0.2">
      <c r="B19" s="301" t="s">
        <v>1027</v>
      </c>
      <c r="I19"/>
      <c r="J19"/>
    </row>
    <row r="20" spans="2:10" s="44" customFormat="1" x14ac:dyDescent="0.2">
      <c r="B20" s="301" t="s">
        <v>1028</v>
      </c>
      <c r="I20"/>
      <c r="J20"/>
    </row>
    <row r="21" spans="2:10" s="44" customFormat="1" x14ac:dyDescent="0.2">
      <c r="B21" s="301" t="s">
        <v>1029</v>
      </c>
      <c r="I21"/>
      <c r="J21"/>
    </row>
    <row r="22" spans="2:10" s="44" customFormat="1" x14ac:dyDescent="0.2">
      <c r="B22" s="301" t="s">
        <v>1030</v>
      </c>
      <c r="I22"/>
      <c r="J22"/>
    </row>
    <row r="23" spans="2:10" x14ac:dyDescent="0.2">
      <c r="B23" s="301" t="s">
        <v>1031</v>
      </c>
    </row>
    <row r="24" spans="2:10" x14ac:dyDescent="0.2">
      <c r="B24" s="301" t="s">
        <v>1032</v>
      </c>
    </row>
    <row r="25" spans="2:10" x14ac:dyDescent="0.2">
      <c r="B25" s="301" t="s">
        <v>1033</v>
      </c>
    </row>
    <row r="26" spans="2:10" x14ac:dyDescent="0.2">
      <c r="B26" s="301" t="s">
        <v>1034</v>
      </c>
    </row>
    <row r="27" spans="2:10" x14ac:dyDescent="0.2">
      <c r="B27" s="301" t="s">
        <v>1035</v>
      </c>
    </row>
    <row r="28" spans="2:10" x14ac:dyDescent="0.2">
      <c r="B28" s="301" t="s">
        <v>1036</v>
      </c>
    </row>
    <row r="29" spans="2:10" x14ac:dyDescent="0.2">
      <c r="B29" s="301" t="s">
        <v>1037</v>
      </c>
    </row>
    <row r="30" spans="2:10" x14ac:dyDescent="0.2">
      <c r="B30" s="301" t="s">
        <v>1038</v>
      </c>
    </row>
    <row r="31" spans="2:10" x14ac:dyDescent="0.2">
      <c r="B31" s="301" t="s">
        <v>1039</v>
      </c>
    </row>
    <row r="32" spans="2:10" x14ac:dyDescent="0.2">
      <c r="B32" s="301" t="s">
        <v>1040</v>
      </c>
    </row>
    <row r="33" spans="2:2" x14ac:dyDescent="0.2">
      <c r="B33" s="301" t="s">
        <v>1041</v>
      </c>
    </row>
    <row r="34" spans="2:2" x14ac:dyDescent="0.2">
      <c r="B34" s="301" t="s">
        <v>1042</v>
      </c>
    </row>
    <row r="35" spans="2:2" x14ac:dyDescent="0.2">
      <c r="B35" s="301" t="s">
        <v>1043</v>
      </c>
    </row>
    <row r="36" spans="2:2" x14ac:dyDescent="0.2">
      <c r="B36" s="301" t="s">
        <v>1044</v>
      </c>
    </row>
    <row r="37" spans="2:2" x14ac:dyDescent="0.2">
      <c r="B37" s="301" t="s">
        <v>1045</v>
      </c>
    </row>
    <row r="38" spans="2:2" x14ac:dyDescent="0.2">
      <c r="B38" s="301" t="s">
        <v>1046</v>
      </c>
    </row>
    <row r="39" spans="2:2" x14ac:dyDescent="0.2">
      <c r="B39" s="301" t="s">
        <v>1047</v>
      </c>
    </row>
    <row r="40" spans="2:2" x14ac:dyDescent="0.2">
      <c r="B40" s="301" t="s">
        <v>1048</v>
      </c>
    </row>
    <row r="41" spans="2:2" x14ac:dyDescent="0.2">
      <c r="B41" s="301" t="s">
        <v>1049</v>
      </c>
    </row>
    <row r="42" spans="2:2" x14ac:dyDescent="0.2">
      <c r="B42" s="301" t="s">
        <v>1050</v>
      </c>
    </row>
    <row r="43" spans="2:2" x14ac:dyDescent="0.2">
      <c r="B43" s="301" t="s">
        <v>1051</v>
      </c>
    </row>
    <row r="44" spans="2:2" x14ac:dyDescent="0.2">
      <c r="B44" s="301" t="s">
        <v>1052</v>
      </c>
    </row>
    <row r="45" spans="2:2" x14ac:dyDescent="0.2">
      <c r="B45" s="301" t="s">
        <v>1053</v>
      </c>
    </row>
  </sheetData>
  <pageMargins left="0.19685039370078741" right="0.19685039370078741" top="0.49" bottom="0.68" header="0.34" footer="0.36"/>
  <pageSetup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B1:Q20"/>
  <sheetViews>
    <sheetView showGridLines="0" workbookViewId="0">
      <selection activeCell="L16" sqref="L16"/>
    </sheetView>
  </sheetViews>
  <sheetFormatPr defaultRowHeight="15" x14ac:dyDescent="0.2"/>
  <cols>
    <col min="2" max="2" width="30.265625" bestFit="1" customWidth="1"/>
    <col min="3" max="3" width="13.44921875" style="44" customWidth="1"/>
    <col min="4" max="8" width="6.72265625" style="44" customWidth="1"/>
    <col min="9" max="9" width="11.97265625" style="44" bestFit="1" customWidth="1"/>
    <col min="10" max="10" width="13.44921875" style="44" bestFit="1" customWidth="1"/>
    <col min="11" max="11" width="14.66015625" style="44" bestFit="1" customWidth="1"/>
    <col min="12" max="12" width="13.44921875" style="44" bestFit="1" customWidth="1"/>
    <col min="13" max="15" width="14.66015625" style="44" bestFit="1" customWidth="1"/>
    <col min="17" max="17" width="23.80859375" customWidth="1"/>
  </cols>
  <sheetData>
    <row r="1" spans="2:17" s="49" customFormat="1" ht="39.75" customHeight="1" x14ac:dyDescent="0.2">
      <c r="B1" s="97" t="s">
        <v>323</v>
      </c>
      <c r="C1" s="50">
        <v>1</v>
      </c>
      <c r="D1" s="50">
        <v>2</v>
      </c>
      <c r="E1" s="50">
        <v>3</v>
      </c>
      <c r="F1" s="50">
        <v>4</v>
      </c>
      <c r="G1" s="50">
        <v>5</v>
      </c>
      <c r="H1" s="50">
        <v>6</v>
      </c>
      <c r="I1" s="50">
        <v>7</v>
      </c>
      <c r="J1" s="50">
        <v>8</v>
      </c>
      <c r="K1" s="50">
        <v>9</v>
      </c>
      <c r="L1" s="50">
        <v>10</v>
      </c>
      <c r="M1" s="50">
        <v>11</v>
      </c>
      <c r="N1" s="50">
        <v>12</v>
      </c>
      <c r="O1" s="50"/>
    </row>
    <row r="2" spans="2:17" s="54" customFormat="1" ht="15.75" thickBot="1" x14ac:dyDescent="0.25">
      <c r="B2" s="59"/>
      <c r="C2" s="60" t="s">
        <v>160</v>
      </c>
      <c r="D2" s="60" t="s">
        <v>161</v>
      </c>
      <c r="E2" s="60" t="s">
        <v>162</v>
      </c>
      <c r="F2" s="60" t="s">
        <v>163</v>
      </c>
      <c r="G2" s="60" t="s">
        <v>164</v>
      </c>
      <c r="H2" s="60" t="s">
        <v>165</v>
      </c>
      <c r="I2" s="60" t="s">
        <v>166</v>
      </c>
      <c r="J2" s="60" t="s">
        <v>174</v>
      </c>
      <c r="K2" s="60" t="s">
        <v>168</v>
      </c>
      <c r="L2" s="60" t="s">
        <v>175</v>
      </c>
      <c r="M2" s="60" t="s">
        <v>170</v>
      </c>
      <c r="N2" s="61" t="s">
        <v>176</v>
      </c>
      <c r="O2" s="83">
        <v>2021</v>
      </c>
      <c r="P2" s="95" t="s">
        <v>177</v>
      </c>
      <c r="Q2" s="96" t="s">
        <v>178</v>
      </c>
    </row>
    <row r="3" spans="2:17" x14ac:dyDescent="0.2">
      <c r="B3" s="51" t="s">
        <v>179</v>
      </c>
      <c r="C3" s="52">
        <f>SUMIFS('2020'!$H:$H,'2020'!$E:$E,'S2 2021'!$B3,'2020'!$N:$N,'S2 2021'!C$1)</f>
        <v>0</v>
      </c>
      <c r="D3" s="52">
        <f>SUMIFS('2020'!$H:$H,'2020'!$E:$E,'S2 2021'!$B3,'2020'!$N:$N,'S2 2021'!D$1)</f>
        <v>0</v>
      </c>
      <c r="E3" s="52">
        <f>SUMIFS('2020'!$H:$H,'2020'!$E:$E,'S2 2021'!$B3,'2020'!$N:$N,'S2 2021'!E$1)</f>
        <v>46864998</v>
      </c>
      <c r="F3" s="52">
        <f>SUMIFS('2020'!$H:$H,'2020'!$E:$E,'S2 2021'!$B3,'2020'!$N:$N,'S2 2021'!F$1)</f>
        <v>0</v>
      </c>
      <c r="G3" s="52">
        <f>SUMIFS('2020'!$H:$H,'2020'!$E:$E,'S2 2021'!$B3,'2020'!$N:$N,'S2 2021'!G$1)</f>
        <v>0</v>
      </c>
      <c r="H3" s="52">
        <f>SUMIFS('2020'!$H:$H,'2020'!$E:$E,'S2 2021'!$B3,'2020'!$N:$N,'S2 2021'!H$1)</f>
        <v>0</v>
      </c>
      <c r="I3" s="52">
        <f>SUMIFS('2020'!$H:$H,'2020'!$E:$E,'S2 2021'!$B3,'2020'!$N:$N,'S2 2021'!I$1)</f>
        <v>0</v>
      </c>
      <c r="J3" s="52">
        <f>SUMIFS('2020'!$H:$H,'2020'!$E:$E,'S2 2021'!$B3,'2020'!$N:$N,'S2 2021'!J$1)</f>
        <v>40325000</v>
      </c>
      <c r="K3" s="52">
        <f>SUMIFS('2020'!$H:$H,'2020'!$E:$E,'S2 2021'!$B3,'2020'!$N:$N,'S2 2021'!K$1)</f>
        <v>206758000</v>
      </c>
      <c r="L3" s="52">
        <f>SUMIFS('2020'!$H:$H,'2020'!$E:$E,'S2 2021'!$B3,'2020'!$N:$N,'S2 2021'!L$1)</f>
        <v>0</v>
      </c>
      <c r="M3" s="52">
        <f>SUMIFS('2020'!$H:$H,'2020'!$E:$E,'S2 2021'!$B3,'2020'!$N:$N,'S2 2021'!M$1)</f>
        <v>182910000</v>
      </c>
      <c r="N3" s="52">
        <f>SUMIFS('2020'!$H:$H,'2020'!$E:$E,'S2 2021'!$B3,'2020'!$N:$N,'S2 2021'!N$1)</f>
        <v>0</v>
      </c>
      <c r="O3" s="84">
        <f t="shared" ref="O3:O8" si="0">SUM(C3:N3)</f>
        <v>476857998</v>
      </c>
      <c r="P3" s="87">
        <f ca="1">SUMIF(List[[Aktivitas]:[Jumlah Anak ]],$B$3,List[[Jumlah Anak ]:[Pengajuan Donasi]])</f>
        <v>502</v>
      </c>
      <c r="Q3" s="94" t="s">
        <v>180</v>
      </c>
    </row>
    <row r="4" spans="2:17" x14ac:dyDescent="0.2">
      <c r="B4" s="53" t="s">
        <v>17</v>
      </c>
      <c r="C4" s="52">
        <f>SUMIFS('2020'!$H:$H,'2020'!$E:$E,'S2 2021'!$B4,'2020'!$N:$N,'S2 2021'!C$1)</f>
        <v>0</v>
      </c>
      <c r="D4" s="52">
        <f>SUMIFS('2020'!$H:$H,'2020'!$E:$E,'S2 2021'!$B4,'2020'!$N:$N,'S2 2021'!D$1)</f>
        <v>0</v>
      </c>
      <c r="E4" s="52">
        <f>SUMIFS('2020'!$H:$H,'2020'!$E:$E,'S2 2021'!$B4,'2020'!$N:$N,'S2 2021'!E$1)</f>
        <v>0</v>
      </c>
      <c r="F4" s="52">
        <f>SUMIFS('2020'!$H:$H,'2020'!$E:$E,'S2 2021'!$B4,'2020'!$N:$N,'S2 2021'!F$1)</f>
        <v>0</v>
      </c>
      <c r="G4" s="52">
        <f>SUMIFS('2020'!$H:$H,'2020'!$E:$E,'S2 2021'!$B4,'2020'!$N:$N,'S2 2021'!G$1)</f>
        <v>0</v>
      </c>
      <c r="H4" s="52">
        <f>SUMIFS('2020'!$H:$H,'2020'!$E:$E,'S2 2021'!$B4,'2020'!$N:$N,'S2 2021'!H$1)</f>
        <v>0</v>
      </c>
      <c r="I4" s="52">
        <f>SUMIFS('2020'!$H:$H,'2020'!$E:$E,'S2 2021'!$B4,'2020'!$N:$N,'S2 2021'!I$1)</f>
        <v>0</v>
      </c>
      <c r="J4" s="52">
        <f>SUMIFS('2020'!$H:$H,'2020'!$E:$E,'S2 2021'!$B4,'2020'!$N:$N,'S2 2021'!J$1)</f>
        <v>13190500</v>
      </c>
      <c r="K4" s="52">
        <f>SUMIFS('2020'!$H:$H,'2020'!$E:$E,'S2 2021'!$B4,'2020'!$N:$N,'S2 2021'!K$1)</f>
        <v>30204000</v>
      </c>
      <c r="L4" s="52">
        <f>SUMIFS('2020'!$H:$H,'2020'!$E:$E,'S2 2021'!$B4,'2020'!$N:$N,'S2 2021'!L$1)</f>
        <v>16500000</v>
      </c>
      <c r="M4" s="52">
        <f>SUMIFS('2020'!$H:$H,'2020'!$E:$E,'S2 2021'!$B4,'2020'!$N:$N,'S2 2021'!M$1)</f>
        <v>56071500</v>
      </c>
      <c r="N4" s="52">
        <f>SUMIFS('2020'!$H:$H,'2020'!$E:$E,'S2 2021'!$B4,'2020'!$N:$N,'S2 2021'!N$1)</f>
        <v>88910000</v>
      </c>
      <c r="O4" s="85">
        <f t="shared" si="0"/>
        <v>204876000</v>
      </c>
      <c r="P4" s="87">
        <f ca="1">SUMIF(List[[Aktivitas]:[Jumlah Anak ]],B4,List[[Jumlah Anak ]])</f>
        <v>1200</v>
      </c>
      <c r="Q4" s="94" t="s">
        <v>180</v>
      </c>
    </row>
    <row r="5" spans="2:17" x14ac:dyDescent="0.2">
      <c r="B5" s="53" t="s">
        <v>107</v>
      </c>
      <c r="C5" s="52">
        <f>SUMIFS('2020'!$H:$H,'2020'!$E:$E,'S2 2021'!$B5,'2020'!$N:$N,'S2 2021'!C$1)</f>
        <v>0</v>
      </c>
      <c r="D5" s="52">
        <f>SUMIFS('2020'!$H:$H,'2020'!$E:$E,'S2 2021'!$B5,'2020'!$N:$N,'S2 2021'!D$1)</f>
        <v>0</v>
      </c>
      <c r="E5" s="52">
        <f>SUMIFS('2020'!$H:$H,'2020'!$E:$E,'S2 2021'!$B5,'2020'!$N:$N,'S2 2021'!E$1)</f>
        <v>0</v>
      </c>
      <c r="F5" s="52">
        <f>SUMIFS('2020'!$H:$H,'2020'!$E:$E,'S2 2021'!$B5,'2020'!$N:$N,'S2 2021'!F$1)</f>
        <v>0</v>
      </c>
      <c r="G5" s="52">
        <f>SUMIFS('2020'!$H:$H,'2020'!$E:$E,'S2 2021'!$B5,'2020'!$N:$N,'S2 2021'!G$1)</f>
        <v>0</v>
      </c>
      <c r="H5" s="52">
        <f>SUMIFS('2020'!$H:$H,'2020'!$E:$E,'S2 2021'!$B5,'2020'!$N:$N,'S2 2021'!H$1)</f>
        <v>0</v>
      </c>
      <c r="I5" s="52">
        <f>SUMIFS('2020'!$H:$H,'2020'!$E:$E,'S2 2021'!$B5,'2020'!$N:$N,'S2 2021'!I$1)</f>
        <v>0</v>
      </c>
      <c r="J5" s="52">
        <f>SUMIFS('2020'!$H:$H,'2020'!$E:$E,'S2 2021'!$B5,'2020'!$N:$N,'S2 2021'!J$1)</f>
        <v>0</v>
      </c>
      <c r="K5" s="52">
        <f>SUMIFS('2020'!$H:$H,'2020'!$E:$E,'S2 2021'!$B5,'2020'!$N:$N,'S2 2021'!K$1)</f>
        <v>0</v>
      </c>
      <c r="L5" s="52">
        <f>SUMIFS('2020'!$H:$H,'2020'!$E:$E,'S2 2021'!$B5,'2020'!$N:$N,'S2 2021'!L$1)</f>
        <v>0</v>
      </c>
      <c r="M5" s="52">
        <f>SUMIFS('2020'!$H:$H,'2020'!$E:$E,'S2 2021'!$B5,'2020'!$N:$N,'S2 2021'!M$1)</f>
        <v>96880000</v>
      </c>
      <c r="N5" s="52">
        <f>SUMIFS('2020'!$H:$H,'2020'!$E:$E,'S2 2021'!$B5,'2020'!$N:$N,'S2 2021'!N$1)</f>
        <v>0</v>
      </c>
      <c r="O5" s="85">
        <f t="shared" si="0"/>
        <v>96880000</v>
      </c>
      <c r="P5" s="98">
        <f ca="1">SUMIF('2020'!E24:P82,B5,'2020'!P24:P82)</f>
        <v>0</v>
      </c>
      <c r="Q5" s="99" t="s">
        <v>181</v>
      </c>
    </row>
    <row r="6" spans="2:17" x14ac:dyDescent="0.2">
      <c r="B6" s="53" t="s">
        <v>71</v>
      </c>
      <c r="C6" s="52">
        <f>SUMIFS('2020'!$H:$H,'2020'!$E:$E,'S2 2021'!$B6,'2020'!$N:$N,'S2 2021'!C$1)</f>
        <v>0</v>
      </c>
      <c r="D6" s="52">
        <f>SUMIFS('2020'!$H:$H,'2020'!$E:$E,'S2 2021'!$B6,'2020'!$N:$N,'S2 2021'!D$1)</f>
        <v>0</v>
      </c>
      <c r="E6" s="52">
        <f>SUMIFS('2020'!$H:$H,'2020'!$E:$E,'S2 2021'!$B6,'2020'!$N:$N,'S2 2021'!E$1)</f>
        <v>770737</v>
      </c>
      <c r="F6" s="52">
        <f>SUMIFS('2020'!$H:$H,'2020'!$E:$E,'S2 2021'!$B6,'2020'!$N:$N,'S2 2021'!F$1)</f>
        <v>0</v>
      </c>
      <c r="G6" s="52">
        <f>SUMIFS('2020'!$H:$H,'2020'!$E:$E,'S2 2021'!$B6,'2020'!$N:$N,'S2 2021'!G$1)</f>
        <v>0</v>
      </c>
      <c r="H6" s="52">
        <f>SUMIFS('2020'!$H:$H,'2020'!$E:$E,'S2 2021'!$B6,'2020'!$N:$N,'S2 2021'!H$1)</f>
        <v>0</v>
      </c>
      <c r="I6" s="52">
        <f>SUMIFS('2020'!$H:$H,'2020'!$E:$E,'S2 2021'!$B6,'2020'!$N:$N,'S2 2021'!I$1)</f>
        <v>670000</v>
      </c>
      <c r="J6" s="52">
        <f>SUMIFS('2020'!$H:$H,'2020'!$E:$E,'S2 2021'!$B6,'2020'!$N:$N,'S2 2021'!J$1)</f>
        <v>0</v>
      </c>
      <c r="K6" s="52">
        <f>SUMIFS('2020'!$H:$H,'2020'!$E:$E,'S2 2021'!$B6,'2020'!$N:$N,'S2 2021'!K$1)</f>
        <v>0</v>
      </c>
      <c r="L6" s="52">
        <f>SUMIFS('2020'!$H:$H,'2020'!$E:$E,'S2 2021'!$B6,'2020'!$N:$N,'S2 2021'!L$1)</f>
        <v>0</v>
      </c>
      <c r="M6" s="52">
        <f>SUMIFS('2020'!$H:$H,'2020'!$E:$E,'S2 2021'!$B6,'2020'!$N:$N,'S2 2021'!M$1)</f>
        <v>0</v>
      </c>
      <c r="N6" s="52">
        <f>SUMIFS('2020'!$H:$H,'2020'!$E:$E,'S2 2021'!$B6,'2020'!$N:$N,'S2 2021'!N$1)</f>
        <v>0</v>
      </c>
      <c r="O6" s="85">
        <f t="shared" si="0"/>
        <v>1440737</v>
      </c>
      <c r="P6" s="87">
        <f ca="1">SUMIF(List[[Aktivitas]:[Jumlah Anak ]],B6,List[[Jumlah Anak ]])</f>
        <v>1</v>
      </c>
      <c r="Q6" s="94" t="s">
        <v>180</v>
      </c>
    </row>
    <row r="7" spans="2:17" x14ac:dyDescent="0.2">
      <c r="B7" s="53" t="s">
        <v>57</v>
      </c>
      <c r="C7" s="52">
        <f>SUMIFS('2020'!$H:$H,'2020'!$E:$E,'S2 2021'!$B7,'2020'!$N:$N,'S2 2021'!C$1)</f>
        <v>0</v>
      </c>
      <c r="D7" s="52">
        <f>SUMIFS('2020'!$H:$H,'2020'!$E:$E,'S2 2021'!$B7,'2020'!$N:$N,'S2 2021'!D$1)</f>
        <v>0</v>
      </c>
      <c r="E7" s="52">
        <f>SUMIFS('2020'!$H:$H,'2020'!$E:$E,'S2 2021'!$B7,'2020'!$N:$N,'S2 2021'!E$1)</f>
        <v>0</v>
      </c>
      <c r="F7" s="52">
        <f>SUMIFS('2020'!$H:$H,'2020'!$E:$E,'S2 2021'!$B7,'2020'!$N:$N,'S2 2021'!F$1)</f>
        <v>0</v>
      </c>
      <c r="G7" s="52">
        <f>SUMIFS('2020'!$H:$H,'2020'!$E:$E,'S2 2021'!$B7,'2020'!$N:$N,'S2 2021'!G$1)</f>
        <v>0</v>
      </c>
      <c r="H7" s="52">
        <f>SUMIFS('2020'!$H:$H,'2020'!$E:$E,'S2 2021'!$B7,'2020'!$N:$N,'S2 2021'!H$1)</f>
        <v>0</v>
      </c>
      <c r="I7" s="52">
        <f>SUMIFS('2020'!$H:$H,'2020'!$E:$E,'S2 2021'!$B7,'2020'!$N:$N,'S2 2021'!I$1)</f>
        <v>0</v>
      </c>
      <c r="J7" s="52">
        <f>SUMIFS('2020'!$H:$H,'2020'!$E:$E,'S2 2021'!$B7,'2020'!$N:$N,'S2 2021'!J$1)</f>
        <v>0</v>
      </c>
      <c r="K7" s="52">
        <f>SUMIFS('2020'!$H:$H,'2020'!$E:$E,'S2 2021'!$B7,'2020'!$N:$N,'S2 2021'!K$1)</f>
        <v>30000000</v>
      </c>
      <c r="L7" s="52">
        <f>SUMIFS('2020'!$H:$H,'2020'!$E:$E,'S2 2021'!$B7,'2020'!$N:$N,'S2 2021'!L$1)</f>
        <v>0</v>
      </c>
      <c r="M7" s="52">
        <f>SUMIFS('2020'!$H:$H,'2020'!$E:$E,'S2 2021'!$B7,'2020'!$N:$N,'S2 2021'!M$1)</f>
        <v>0</v>
      </c>
      <c r="N7" s="52">
        <f>SUMIFS('2020'!$H:$H,'2020'!$E:$E,'S2 2021'!$B7,'2020'!$N:$N,'S2 2021'!N$1)</f>
        <v>0</v>
      </c>
      <c r="O7" s="85">
        <f t="shared" si="0"/>
        <v>30000000</v>
      </c>
      <c r="P7" s="87">
        <f ca="1">SUMIF(List[[Aktivitas]:[Jumlah Anak ]],B7,List[[Jumlah Anak ]])</f>
        <v>6</v>
      </c>
      <c r="Q7" s="94" t="s">
        <v>180</v>
      </c>
    </row>
    <row r="8" spans="2:17" x14ac:dyDescent="0.2">
      <c r="B8" s="55" t="s">
        <v>26</v>
      </c>
      <c r="C8" s="56">
        <f>SUMIFS('2020'!$H:$H,'2020'!$E:$E,'S2 2021'!$B8,'2020'!$N:$N,'S2 2021'!C$1)</f>
        <v>0</v>
      </c>
      <c r="D8" s="56">
        <f>SUMIFS('2020'!$H:$H,'2020'!$E:$E,'S2 2021'!$B8,'2020'!$N:$N,'S2 2021'!D$1)</f>
        <v>0</v>
      </c>
      <c r="E8" s="56">
        <f>SUMIFS('2020'!$H:$H,'2020'!$E:$E,'S2 2021'!$B8,'2020'!$N:$N,'S2 2021'!E$1)</f>
        <v>0</v>
      </c>
      <c r="F8" s="56">
        <f>SUMIFS('2020'!$H:$H,'2020'!$E:$E,'S2 2021'!$B8,'2020'!$N:$N,'S2 2021'!F$1)</f>
        <v>0</v>
      </c>
      <c r="G8" s="56">
        <f>SUMIFS('2020'!$H:$H,'2020'!$E:$E,'S2 2021'!$B8,'2020'!$N:$N,'S2 2021'!G$1)</f>
        <v>13500000</v>
      </c>
      <c r="H8" s="56">
        <f>SUMIFS('2020'!$H:$H,'2020'!$E:$E,'S2 2021'!$B8,'2020'!$N:$N,'S2 2021'!H$1)</f>
        <v>0</v>
      </c>
      <c r="I8" s="56">
        <f>SUMIFS('2020'!$H:$H,'2020'!$E:$E,'S2 2021'!$B8,'2020'!$N:$N,'S2 2021'!I$1)</f>
        <v>10575000</v>
      </c>
      <c r="J8" s="56">
        <f>SUMIFS('2020'!$H:$H,'2020'!$E:$E,'S2 2021'!$B8,'2020'!$N:$N,'S2 2021'!J$1)</f>
        <v>0</v>
      </c>
      <c r="K8" s="56">
        <f>SUMIFS('2020'!$H:$H,'2020'!$E:$E,'S2 2021'!$B8,'2020'!$N:$N,'S2 2021'!K$1)</f>
        <v>0</v>
      </c>
      <c r="L8" s="56">
        <f>SUMIFS('2020'!$H:$H,'2020'!$E:$E,'S2 2021'!$B8,'2020'!$N:$N,'S2 2021'!L$1)</f>
        <v>13000028</v>
      </c>
      <c r="M8" s="56">
        <f>SUMIFS('2020'!$H:$H,'2020'!$E:$E,'S2 2021'!$B8,'2020'!$N:$N,'S2 2021'!M$1)</f>
        <v>0</v>
      </c>
      <c r="N8" s="56">
        <f>SUMIFS('2020'!$H:$H,'2020'!$E:$E,'S2 2021'!$B8,'2020'!$N:$N,'S2 2021'!N$1)</f>
        <v>35000000</v>
      </c>
      <c r="O8" s="86">
        <f t="shared" si="0"/>
        <v>72075028</v>
      </c>
      <c r="P8" s="98">
        <f ca="1">SUMIF(List[[Aktivitas]:[Jumlah Anak ]],B8,List[[Jumlah Anak ]])</f>
        <v>92</v>
      </c>
      <c r="Q8" s="99" t="s">
        <v>182</v>
      </c>
    </row>
    <row r="9" spans="2:17" ht="15.75" thickBot="1" x14ac:dyDescent="0.25">
      <c r="B9" s="57" t="s">
        <v>156</v>
      </c>
      <c r="C9" s="58">
        <f>SUM(C3:C8)</f>
        <v>0</v>
      </c>
      <c r="D9" s="58">
        <f t="shared" ref="D9:O9" si="1">SUM(D3:D8)</f>
        <v>0</v>
      </c>
      <c r="E9" s="58">
        <f t="shared" si="1"/>
        <v>47635735</v>
      </c>
      <c r="F9" s="58">
        <f t="shared" si="1"/>
        <v>0</v>
      </c>
      <c r="G9" s="58">
        <f t="shared" si="1"/>
        <v>13500000</v>
      </c>
      <c r="H9" s="58">
        <f t="shared" si="1"/>
        <v>0</v>
      </c>
      <c r="I9" s="58">
        <f t="shared" si="1"/>
        <v>11245000</v>
      </c>
      <c r="J9" s="58">
        <f t="shared" si="1"/>
        <v>53515500</v>
      </c>
      <c r="K9" s="58">
        <f t="shared" si="1"/>
        <v>266962000</v>
      </c>
      <c r="L9" s="58">
        <f t="shared" si="1"/>
        <v>29500028</v>
      </c>
      <c r="M9" s="58">
        <f t="shared" si="1"/>
        <v>335861500</v>
      </c>
      <c r="N9" s="58">
        <f t="shared" si="1"/>
        <v>123910000</v>
      </c>
      <c r="O9" s="58">
        <f t="shared" si="1"/>
        <v>882129763</v>
      </c>
      <c r="P9" s="88">
        <f ca="1">SUM(P3:P8)</f>
        <v>1801</v>
      </c>
      <c r="Q9" s="90"/>
    </row>
    <row r="10" spans="2:17" ht="15.75" thickTop="1" x14ac:dyDescent="0.2">
      <c r="O10" s="45">
        <f>O9-List[[#Totals],[Pengajuan Donasi]]</f>
        <v>-89376249</v>
      </c>
    </row>
    <row r="11" spans="2:17" x14ac:dyDescent="0.2">
      <c r="B11" s="89" t="s">
        <v>178</v>
      </c>
    </row>
    <row r="12" spans="2:17" x14ac:dyDescent="0.2">
      <c r="B12" s="89" t="s">
        <v>183</v>
      </c>
      <c r="L12" s="91" t="s">
        <v>184</v>
      </c>
      <c r="M12" s="92"/>
      <c r="N12" s="92"/>
      <c r="O12" s="92"/>
      <c r="P12" s="93"/>
    </row>
    <row r="13" spans="2:17" x14ac:dyDescent="0.2">
      <c r="B13" s="89" t="s">
        <v>185</v>
      </c>
      <c r="L13" s="91" t="s">
        <v>186</v>
      </c>
      <c r="M13" s="92"/>
      <c r="N13" s="92"/>
      <c r="O13" s="92"/>
      <c r="P13" s="93"/>
    </row>
    <row r="14" spans="2:17" x14ac:dyDescent="0.2">
      <c r="B14" s="89" t="s">
        <v>187</v>
      </c>
      <c r="L14" s="91" t="s">
        <v>188</v>
      </c>
      <c r="M14" s="92"/>
      <c r="N14" s="92"/>
      <c r="O14" s="92"/>
      <c r="P14" s="93"/>
    </row>
    <row r="15" spans="2:17" x14ac:dyDescent="0.2">
      <c r="B15" s="89" t="s">
        <v>189</v>
      </c>
    </row>
    <row r="16" spans="2:17" x14ac:dyDescent="0.2">
      <c r="B16" s="89" t="s">
        <v>190</v>
      </c>
    </row>
    <row r="17" spans="2:2" x14ac:dyDescent="0.2">
      <c r="B17" s="89" t="s">
        <v>191</v>
      </c>
    </row>
    <row r="18" spans="2:2" x14ac:dyDescent="0.2">
      <c r="B18" s="89" t="s">
        <v>192</v>
      </c>
    </row>
    <row r="19" spans="2:2" x14ac:dyDescent="0.2">
      <c r="B19" s="89" t="s">
        <v>193</v>
      </c>
    </row>
    <row r="20" spans="2:2" x14ac:dyDescent="0.2">
      <c r="B20" s="89" t="s">
        <v>194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dimension ref="A1:V53"/>
  <sheetViews>
    <sheetView showGridLines="0" topLeftCell="B1" workbookViewId="0">
      <selection activeCell="M13" sqref="M13"/>
    </sheetView>
  </sheetViews>
  <sheetFormatPr defaultRowHeight="15" x14ac:dyDescent="0.2"/>
  <cols>
    <col min="1" max="1" width="2.15234375" hidden="1" customWidth="1"/>
    <col min="2" max="2" width="30.265625" bestFit="1" customWidth="1"/>
    <col min="3" max="14" width="14.66015625" style="44" bestFit="1" customWidth="1"/>
    <col min="15" max="15" width="17.75390625" style="44" customWidth="1"/>
    <col min="16" max="16" width="10.22265625" hidden="1" customWidth="1"/>
    <col min="17" max="17" width="12.64453125" hidden="1" customWidth="1"/>
    <col min="18" max="18" width="12.9140625" hidden="1" customWidth="1"/>
    <col min="19" max="19" width="10.625" hidden="1" customWidth="1"/>
    <col min="20" max="20" width="6.3203125" hidden="1" customWidth="1"/>
    <col min="21" max="21" width="9.4140625" hidden="1" customWidth="1"/>
    <col min="22" max="22" width="9.14453125" hidden="1" customWidth="1"/>
    <col min="23" max="24" width="9.14453125" customWidth="1"/>
  </cols>
  <sheetData>
    <row r="1" spans="2:20" s="49" customFormat="1" ht="39.75" customHeight="1" x14ac:dyDescent="0.2">
      <c r="B1" s="435" t="s">
        <v>1395</v>
      </c>
      <c r="C1" s="50">
        <v>1</v>
      </c>
      <c r="D1" s="50">
        <v>2</v>
      </c>
      <c r="E1" s="50">
        <v>3</v>
      </c>
      <c r="F1" s="50">
        <v>4</v>
      </c>
      <c r="G1" s="50">
        <v>5</v>
      </c>
      <c r="H1" s="50">
        <v>6</v>
      </c>
      <c r="I1" s="50">
        <v>7</v>
      </c>
      <c r="J1" s="50">
        <v>8</v>
      </c>
      <c r="K1" s="50">
        <v>9</v>
      </c>
      <c r="L1" s="50">
        <v>10</v>
      </c>
      <c r="M1" s="50">
        <v>11</v>
      </c>
      <c r="N1" s="50">
        <v>12</v>
      </c>
      <c r="O1" s="50"/>
    </row>
    <row r="2" spans="2:20" s="54" customFormat="1" ht="21.75" customHeight="1" thickBot="1" x14ac:dyDescent="0.25">
      <c r="B2" s="431" t="s">
        <v>9</v>
      </c>
      <c r="C2" s="429" t="s">
        <v>160</v>
      </c>
      <c r="D2" s="429" t="s">
        <v>161</v>
      </c>
      <c r="E2" s="429" t="s">
        <v>162</v>
      </c>
      <c r="F2" s="429" t="s">
        <v>163</v>
      </c>
      <c r="G2" s="429" t="s">
        <v>164</v>
      </c>
      <c r="H2" s="429" t="s">
        <v>165</v>
      </c>
      <c r="I2" s="429" t="s">
        <v>166</v>
      </c>
      <c r="J2" s="429" t="s">
        <v>174</v>
      </c>
      <c r="K2" s="429" t="s">
        <v>168</v>
      </c>
      <c r="L2" s="429" t="s">
        <v>175</v>
      </c>
      <c r="M2" s="429" t="s">
        <v>170</v>
      </c>
      <c r="N2" s="430" t="s">
        <v>176</v>
      </c>
      <c r="O2" s="429">
        <v>2022</v>
      </c>
      <c r="P2" s="407" t="s">
        <v>177</v>
      </c>
      <c r="Q2" s="296" t="s">
        <v>178</v>
      </c>
      <c r="S2" s="473">
        <v>877536.73469387752</v>
      </c>
      <c r="T2" s="473">
        <f>+O3/S2</f>
        <v>474.61255299504876</v>
      </c>
    </row>
    <row r="3" spans="2:20" x14ac:dyDescent="0.2">
      <c r="B3" s="51" t="s">
        <v>179</v>
      </c>
      <c r="C3" s="52">
        <f>SUMIFS('2022'!$H:$H,'2022'!$E:$E,'S1 - S2  2022'!$B3,'2022'!$N:$N,'S1 - S2  2022'!C$1)</f>
        <v>32224000</v>
      </c>
      <c r="D3" s="52">
        <f>SUMIFS('2022'!$H:$H,'2022'!$E:$E,'S1 - S2  2022'!$B3,'2022'!$N:$N,'S1 - S2  2022'!D$1)</f>
        <v>114100000</v>
      </c>
      <c r="E3" s="52">
        <f>SUMIFS('2022'!$H:$H,'2022'!$E:$E,'S1 - S2  2022'!$B3,'2022'!$N:$N,'S1 - S2  2022'!E$1)</f>
        <v>39210000</v>
      </c>
      <c r="F3" s="52">
        <f>SUMIFS('2022'!$H:$H,'2022'!$E:$E,'S1 - S2  2022'!$B3,'2022'!$N:$N,'S1 - S2  2022'!F$1)</f>
        <v>50610000</v>
      </c>
      <c r="G3" s="52">
        <f>SUMIFS('2022'!$H:$H,'2022'!$E:$E,'S1 - S2  2022'!$B3,'2022'!$N:$N,'S1 - S2  2022'!G$1)</f>
        <v>50610000</v>
      </c>
      <c r="H3" s="52">
        <f>SUMIFS('2022'!$H:$H,'2022'!$E:$E,'S1 - S2  2022'!$B3,'2022'!$N:$N,'S1 - S2  2022'!H$1)</f>
        <v>29510000</v>
      </c>
      <c r="I3" s="52">
        <f>SUMIFS('2022'!$H:$H,'2022'!$E:$E,'S1 - S2  2022'!$B3,'2022'!$N:$N,'S1 - S2  2022'!I$1)</f>
        <v>30125950</v>
      </c>
      <c r="J3" s="52">
        <f>SUMIFS('2022'!$H:$H,'2022'!$E:$E,'S1 - S2  2022'!$B3,'2022'!$N:$N,'S1 - S2  2022'!J$1)</f>
        <v>3820000</v>
      </c>
      <c r="K3" s="52">
        <f>SUMIFS('2022'!$H:$H,'2022'!$E:$E,'S1 - S2  2022'!$B3,'2022'!$N:$N,'S1 - S2  2022'!K$1)</f>
        <v>24220000</v>
      </c>
      <c r="L3" s="52">
        <f>SUMIFS('2022'!$H:$H,'2022'!$E:$E,'S1 - S2  2022'!$B3,'2022'!$N:$N,'S1 - S2  2022'!L$1)</f>
        <v>3820000</v>
      </c>
      <c r="M3" s="52">
        <f>SUMIFS('2022'!$H:$H,'2022'!$E:$E,'S1 - S2  2022'!$B3,'2022'!$N:$N,'S1 - S2  2022'!M$1)</f>
        <v>24220000</v>
      </c>
      <c r="N3" s="52">
        <f>SUMIFS('2022'!$H:$H,'2022'!$E:$E,'S1 - S2  2022'!$B3,'2022'!$N:$N,'S1 - S2  2022'!N$1)</f>
        <v>14020000</v>
      </c>
      <c r="O3" s="408">
        <f t="shared" ref="O3:O10" si="0">SUM(C3:N3)</f>
        <v>416489950</v>
      </c>
      <c r="P3" s="477">
        <f>+Category!AM4</f>
        <v>320</v>
      </c>
      <c r="Q3" s="292" t="s">
        <v>180</v>
      </c>
      <c r="R3" s="195"/>
      <c r="S3" s="474">
        <v>231636.1355081556</v>
      </c>
      <c r="T3" s="473">
        <f t="shared" ref="T3:T8" si="1">+O4/S3</f>
        <v>11329.088260400564</v>
      </c>
    </row>
    <row r="4" spans="2:20" x14ac:dyDescent="0.2">
      <c r="B4" s="53" t="s">
        <v>17</v>
      </c>
      <c r="C4" s="52">
        <f>SUMIFS('2022'!$H:$H,'2022'!$E:$E,'S1 - S2  2022'!$B4,'2022'!$N:$N,'S1 - S2  2022'!C$1)</f>
        <v>211495600</v>
      </c>
      <c r="D4" s="52">
        <f>SUMIFS('2022'!$H:$H,'2022'!$E:$E,'S1 - S2  2022'!$B4,'2022'!$N:$N,'S1 - S2  2022'!D$1)</f>
        <v>25500000</v>
      </c>
      <c r="E4" s="52">
        <f>SUMIFS('2022'!$H:$H,'2022'!$E:$E,'S1 - S2  2022'!$B4,'2022'!$N:$N,'S1 - S2  2022'!E$1)</f>
        <v>397181900</v>
      </c>
      <c r="F4" s="52">
        <f>SUMIFS('2022'!$H:$H,'2022'!$E:$E,'S1 - S2  2022'!$B4,'2022'!$N:$N,'S1 - S2  2022'!F$1)</f>
        <v>221329103</v>
      </c>
      <c r="G4" s="52">
        <f>SUMIFS('2022'!$H:$H,'2022'!$E:$E,'S1 - S2  2022'!$B4,'2022'!$N:$N,'S1 - S2  2022'!G$1)</f>
        <v>217611600</v>
      </c>
      <c r="H4" s="52">
        <f>SUMIFS('2022'!$H:$H,'2022'!$E:$E,'S1 - S2  2022'!$B4,'2022'!$N:$N,'S1 - S2  2022'!H$1)</f>
        <v>218372800</v>
      </c>
      <c r="I4" s="52">
        <f>SUMIFS('2022'!$H:$H,'2022'!$E:$E,'S1 - S2  2022'!$B4,'2022'!$N:$N,'S1 - S2  2022'!I$1)</f>
        <v>224711660</v>
      </c>
      <c r="J4" s="52">
        <f>SUMIFS('2022'!$H:$H,'2022'!$E:$E,'S1 - S2  2022'!$B4,'2022'!$N:$N,'S1 - S2  2022'!J$1)</f>
        <v>222003260</v>
      </c>
      <c r="K4" s="52">
        <f>SUMIFS('2022'!$H:$H,'2022'!$E:$E,'S1 - S2  2022'!$B4,'2022'!$N:$N,'S1 - S2  2022'!K$1)</f>
        <v>222326290</v>
      </c>
      <c r="L4" s="52">
        <f>SUMIFS('2022'!$H:$H,'2022'!$E:$E,'S1 - S2  2022'!$B4,'2022'!$N:$N,'S1 - S2  2022'!L$1)</f>
        <v>222003770</v>
      </c>
      <c r="M4" s="52">
        <f>SUMIFS('2022'!$H:$H,'2022'!$E:$E,'S1 - S2  2022'!$B4,'2022'!$N:$N,'S1 - S2  2022'!M$1)</f>
        <v>221250820</v>
      </c>
      <c r="N4" s="52">
        <f>SUMIFS('2022'!$H:$H,'2022'!$E:$E,'S1 - S2  2022'!$B4,'2022'!$N:$N,'S1 - S2  2022'!N$1)</f>
        <v>220439420.47</v>
      </c>
      <c r="O4" s="291">
        <f t="shared" si="0"/>
        <v>2624226223.4699998</v>
      </c>
      <c r="P4" s="477">
        <f>+Category!AM26</f>
        <v>2395</v>
      </c>
      <c r="Q4" s="292" t="s">
        <v>180</v>
      </c>
      <c r="R4" s="195"/>
      <c r="S4" s="474">
        <v>16146666.666666666</v>
      </c>
      <c r="T4" s="473">
        <f t="shared" si="1"/>
        <v>28.941886870355081</v>
      </c>
    </row>
    <row r="5" spans="2:20" x14ac:dyDescent="0.2">
      <c r="B5" s="53" t="s">
        <v>107</v>
      </c>
      <c r="C5" s="52">
        <f>SUMIFS('2022'!$H:$H,'2022'!$E:$E,'S1 - S2  2022'!$B5,'2022'!$N:$N,'S1 - S2  2022'!C$1)</f>
        <v>35000000</v>
      </c>
      <c r="D5" s="52">
        <f>SUMIFS('2022'!$H:$H,'2022'!$E:$E,'S1 - S2  2022'!$B5,'2022'!$N:$N,'S1 - S2  2022'!D$1)</f>
        <v>0</v>
      </c>
      <c r="E5" s="52">
        <f>SUMIFS('2022'!$H:$H,'2022'!$E:$E,'S1 - S2  2022'!$B5,'2022'!$N:$N,'S1 - S2  2022'!E$1)</f>
        <v>35000000</v>
      </c>
      <c r="F5" s="52">
        <f>SUMIFS('2022'!$H:$H,'2022'!$E:$E,'S1 - S2  2022'!$B5,'2022'!$N:$N,'S1 - S2  2022'!F$1)</f>
        <v>0</v>
      </c>
      <c r="G5" s="52">
        <f>SUMIFS('2022'!$H:$H,'2022'!$E:$E,'S1 - S2  2022'!$B5,'2022'!$N:$N,'S1 - S2  2022'!G$1)</f>
        <v>70000000</v>
      </c>
      <c r="H5" s="52">
        <f>SUMIFS('2022'!$H:$H,'2022'!$E:$E,'S1 - S2  2022'!$B5,'2022'!$N:$N,'S1 - S2  2022'!H$1)</f>
        <v>0</v>
      </c>
      <c r="I5" s="52">
        <f>SUMIFS('2022'!$H:$H,'2022'!$E:$E,'S1 - S2  2022'!$B5,'2022'!$N:$N,'S1 - S2  2022'!I$1)</f>
        <v>0</v>
      </c>
      <c r="J5" s="52">
        <f>SUMIFS('2022'!$H:$H,'2022'!$E:$E,'S1 - S2  2022'!$B5,'2022'!$N:$N,'S1 - S2  2022'!J$1)</f>
        <v>215000000</v>
      </c>
      <c r="K5" s="52">
        <f>SUMIFS('2022'!$H:$H,'2022'!$E:$E,'S1 - S2  2022'!$B5,'2022'!$N:$N,'S1 - S2  2022'!K$1)</f>
        <v>45000000</v>
      </c>
      <c r="L5" s="52">
        <f>SUMIFS('2022'!$H:$H,'2022'!$E:$E,'S1 - S2  2022'!$B5,'2022'!$N:$N,'S1 - S2  2022'!L$1)</f>
        <v>30000000</v>
      </c>
      <c r="M5" s="52">
        <f>SUMIFS('2022'!$H:$H,'2022'!$E:$E,'S1 - S2  2022'!$B5,'2022'!$N:$N,'S1 - S2  2022'!M$1)</f>
        <v>22315000</v>
      </c>
      <c r="N5" s="52">
        <f>SUMIFS('2022'!$H:$H,'2022'!$E:$E,'S1 - S2  2022'!$B5,'2022'!$N:$N,'S1 - S2  2022'!N$1)</f>
        <v>15000000</v>
      </c>
      <c r="O5" s="291">
        <f t="shared" si="0"/>
        <v>467315000</v>
      </c>
      <c r="P5" s="478">
        <f>+Category!AM74</f>
        <v>7</v>
      </c>
      <c r="Q5" s="292" t="s">
        <v>181</v>
      </c>
      <c r="R5" s="195"/>
      <c r="S5" s="474">
        <v>1000000</v>
      </c>
      <c r="T5" s="473">
        <f t="shared" si="1"/>
        <v>2.3250000000000002</v>
      </c>
    </row>
    <row r="6" spans="2:20" x14ac:dyDescent="0.2">
      <c r="B6" s="53" t="s">
        <v>71</v>
      </c>
      <c r="C6" s="52">
        <f>SUMIFS('2022'!$H:$H,'2022'!$E:$E,'S1 - S2  2022'!$B6,'2022'!$N:$N,'S1 - S2  2022'!C$1)</f>
        <v>0</v>
      </c>
      <c r="D6" s="52">
        <f>SUMIFS('2022'!$H:$H,'2022'!$E:$E,'S1 - S2  2022'!$B6,'2022'!$N:$N,'S1 - S2  2022'!D$1)</f>
        <v>660000</v>
      </c>
      <c r="E6" s="52">
        <f>SUMIFS('2022'!$H:$H,'2022'!$E:$E,'S1 - S2  2022'!$B6,'2022'!$N:$N,'S1 - S2  2022'!E$1)</f>
        <v>0</v>
      </c>
      <c r="F6" s="52">
        <f>SUMIFS('2022'!$H:$H,'2022'!$E:$E,'S1 - S2  2022'!$B6,'2022'!$N:$N,'S1 - S2  2022'!F$1)</f>
        <v>0</v>
      </c>
      <c r="G6" s="52">
        <f>SUMIFS('2022'!$H:$H,'2022'!$E:$E,'S1 - S2  2022'!$B6,'2022'!$N:$N,'S1 - S2  2022'!G$1)</f>
        <v>777000</v>
      </c>
      <c r="H6" s="52">
        <f>SUMIFS('2022'!$H:$H,'2022'!$E:$E,'S1 - S2  2022'!$B6,'2022'!$N:$N,'S1 - S2  2022'!H$1)</f>
        <v>0</v>
      </c>
      <c r="I6" s="52">
        <f>SUMIFS('2022'!$H:$H,'2022'!$E:$E,'S1 - S2  2022'!$B6,'2022'!$N:$N,'S1 - S2  2022'!I$1)</f>
        <v>0</v>
      </c>
      <c r="J6" s="52">
        <f>SUMIFS('2022'!$H:$H,'2022'!$E:$E,'S1 - S2  2022'!$B6,'2022'!$N:$N,'S1 - S2  2022'!J$1)</f>
        <v>0</v>
      </c>
      <c r="K6" s="52">
        <f>SUMIFS('2022'!$H:$H,'2022'!$E:$E,'S1 - S2  2022'!$B6,'2022'!$N:$N,'S1 - S2  2022'!K$1)</f>
        <v>0</v>
      </c>
      <c r="L6" s="52">
        <f>SUMIFS('2022'!$H:$H,'2022'!$E:$E,'S1 - S2  2022'!$B6,'2022'!$N:$N,'S1 - S2  2022'!L$1)</f>
        <v>0</v>
      </c>
      <c r="M6" s="52">
        <f>SUMIFS('2022'!$H:$H,'2022'!$E:$E,'S1 - S2  2022'!$B6,'2022'!$N:$N,'S1 - S2  2022'!M$1)</f>
        <v>0</v>
      </c>
      <c r="N6" s="52">
        <f>SUMIFS('2022'!$H:$H,'2022'!$E:$E,'S1 - S2  2022'!$B6,'2022'!$N:$N,'S1 - S2  2022'!N$1)</f>
        <v>888000</v>
      </c>
      <c r="O6" s="291">
        <f t="shared" si="0"/>
        <v>2325000</v>
      </c>
      <c r="P6" s="478">
        <f>+Category!AM103</f>
        <v>2</v>
      </c>
      <c r="Q6" s="292" t="s">
        <v>180</v>
      </c>
      <c r="R6" s="195"/>
      <c r="S6" s="474">
        <v>5000000</v>
      </c>
      <c r="T6" s="473">
        <f t="shared" si="1"/>
        <v>176.62280000000001</v>
      </c>
    </row>
    <row r="7" spans="2:20" x14ac:dyDescent="0.2">
      <c r="B7" s="53" t="s">
        <v>57</v>
      </c>
      <c r="C7" s="52">
        <f>SUMIFS('2022'!$H:$H,'2022'!$E:$E,'S1 - S2  2022'!$B7,'2022'!$N:$N,'S1 - S2  2022'!C$1)</f>
        <v>50000000</v>
      </c>
      <c r="D7" s="52">
        <f>SUMIFS('2022'!$H:$H,'2022'!$E:$E,'S1 - S2  2022'!$B7,'2022'!$N:$N,'S1 - S2  2022'!D$1)</f>
        <v>60000000</v>
      </c>
      <c r="E7" s="52">
        <f>SUMIFS('2022'!$H:$H,'2022'!$E:$E,'S1 - S2  2022'!$B7,'2022'!$N:$N,'S1 - S2  2022'!E$1)</f>
        <v>70000000</v>
      </c>
      <c r="F7" s="52">
        <f>SUMIFS('2022'!$H:$H,'2022'!$E:$E,'S1 - S2  2022'!$B7,'2022'!$N:$N,'S1 - S2  2022'!F$1)</f>
        <v>75000000</v>
      </c>
      <c r="G7" s="52">
        <f>SUMIFS('2022'!$H:$H,'2022'!$E:$E,'S1 - S2  2022'!$B7,'2022'!$N:$N,'S1 - S2  2022'!G$1)</f>
        <v>90000000</v>
      </c>
      <c r="H7" s="52">
        <f>SUMIFS('2022'!$H:$H,'2022'!$E:$E,'S1 - S2  2022'!$B7,'2022'!$N:$N,'S1 - S2  2022'!H$1)</f>
        <v>65000000</v>
      </c>
      <c r="I7" s="52">
        <f>SUMIFS('2022'!$H:$H,'2022'!$E:$E,'S1 - S2  2022'!$B7,'2022'!$N:$N,'S1 - S2  2022'!I$1)</f>
        <v>60000000</v>
      </c>
      <c r="J7" s="52">
        <f>SUMIFS('2022'!$H:$H,'2022'!$E:$E,'S1 - S2  2022'!$B7,'2022'!$N:$N,'S1 - S2  2022'!J$1)</f>
        <v>81000000</v>
      </c>
      <c r="K7" s="52">
        <f>SUMIFS('2022'!$H:$H,'2022'!$E:$E,'S1 - S2  2022'!$B7,'2022'!$N:$N,'S1 - S2  2022'!K$1)</f>
        <v>65481000</v>
      </c>
      <c r="L7" s="52">
        <f>SUMIFS('2022'!$H:$H,'2022'!$E:$E,'S1 - S2  2022'!$B7,'2022'!$N:$N,'S1 - S2  2022'!L$1)</f>
        <v>98690000</v>
      </c>
      <c r="M7" s="52">
        <f>SUMIFS('2022'!$H:$H,'2022'!$E:$E,'S1 - S2  2022'!$B7,'2022'!$N:$N,'S1 - S2  2022'!M$1)</f>
        <v>82462000</v>
      </c>
      <c r="N7" s="52">
        <f>SUMIFS('2022'!$H:$H,'2022'!$E:$E,'S1 - S2  2022'!$B7,'2022'!$N:$N,'S1 - S2  2022'!N$1)</f>
        <v>85481000</v>
      </c>
      <c r="O7" s="291">
        <f t="shared" si="0"/>
        <v>883114000</v>
      </c>
      <c r="P7" s="478">
        <f>+Category!AM121</f>
        <v>391</v>
      </c>
      <c r="Q7" s="292" t="s">
        <v>180</v>
      </c>
      <c r="R7" s="195"/>
      <c r="S7" s="474">
        <v>21023833.333333332</v>
      </c>
      <c r="T7" s="473">
        <f t="shared" si="1"/>
        <v>24.633867467873763</v>
      </c>
    </row>
    <row r="8" spans="2:20" ht="27.75" x14ac:dyDescent="0.2">
      <c r="B8" s="55" t="s">
        <v>26</v>
      </c>
      <c r="C8" s="288">
        <f>SUMIFS('2022'!$H:$H,'2022'!$E:$E,'S1 - S2  2022'!$B8,'2022'!$N:$N,'S1 - S2  2022'!C$1)</f>
        <v>82150000</v>
      </c>
      <c r="D8" s="288">
        <f>SUMIFS('2022'!$H:$H,'2022'!$E:$E,'S1 - S2  2022'!$B8,'2022'!$N:$N,'S1 - S2  2022'!D$1)</f>
        <v>24000000</v>
      </c>
      <c r="E8" s="288">
        <f>SUMIFS('2022'!$H:$H,'2022'!$E:$E,'S1 - S2  2022'!$B8,'2022'!$N:$N,'S1 - S2  2022'!E$1)</f>
        <v>57633324</v>
      </c>
      <c r="F8" s="288">
        <f>SUMIFS('2022'!$H:$H,'2022'!$E:$E,'S1 - S2  2022'!$B8,'2022'!$N:$N,'S1 - S2  2022'!F$1)</f>
        <v>36856300</v>
      </c>
      <c r="G8" s="288">
        <f>SUMIFS('2022'!$H:$H,'2022'!$E:$E,'S1 - S2  2022'!$B8,'2022'!$N:$N,'S1 - S2  2022'!G$1)</f>
        <v>35000000</v>
      </c>
      <c r="H8" s="288">
        <f>SUMIFS('2022'!$H:$H,'2022'!$E:$E,'S1 - S2  2022'!$B8,'2022'!$N:$N,'S1 - S2  2022'!H$1)</f>
        <v>26508700</v>
      </c>
      <c r="I8" s="288">
        <f>SUMIFS('2022'!$H:$H,'2022'!$E:$E,'S1 - S2  2022'!$B8,'2022'!$N:$N,'S1 - S2  2022'!I$1)</f>
        <v>25000000</v>
      </c>
      <c r="J8" s="288">
        <f>SUMIFS('2022'!$H:$H,'2022'!$E:$E,'S1 - S2  2022'!$B8,'2022'!$N:$N,'S1 - S2  2022'!J$1)</f>
        <v>60750000</v>
      </c>
      <c r="K8" s="288">
        <f>SUMIFS('2022'!$H:$H,'2022'!$E:$E,'S1 - S2  2022'!$B8,'2022'!$N:$N,'S1 - S2  2022'!K$1)</f>
        <v>26750000</v>
      </c>
      <c r="L8" s="288">
        <f>SUMIFS('2022'!$H:$H,'2022'!$E:$E,'S1 - S2  2022'!$B8,'2022'!$N:$N,'S1 - S2  2022'!L$1)</f>
        <v>26750000</v>
      </c>
      <c r="M8" s="288">
        <f>SUMIFS('2022'!$H:$H,'2022'!$E:$E,'S1 - S2  2022'!$B8,'2022'!$N:$N,'S1 - S2  2022'!M$1)</f>
        <v>78750000</v>
      </c>
      <c r="N8" s="288">
        <f>SUMIFS('2022'!$H:$H,'2022'!$E:$E,'S1 - S2  2022'!$B8,'2022'!$N:$N,'S1 - S2  2022'!N$1)</f>
        <v>37750000</v>
      </c>
      <c r="O8" s="291">
        <f t="shared" si="0"/>
        <v>517898324</v>
      </c>
      <c r="P8" s="478">
        <f>+Category!AM134</f>
        <v>74</v>
      </c>
      <c r="Q8" s="292" t="s">
        <v>182</v>
      </c>
      <c r="R8" s="195"/>
      <c r="S8" s="474">
        <v>5000000</v>
      </c>
      <c r="T8" s="473">
        <f t="shared" si="1"/>
        <v>46.887569999999997</v>
      </c>
    </row>
    <row r="9" spans="2:20" x14ac:dyDescent="0.2">
      <c r="B9" s="287" t="s">
        <v>1054</v>
      </c>
      <c r="C9" s="288">
        <f>SUMIFS('2022'!$H:$H,'2022'!$E:$E,'S1 - S2  2022'!$B9,'2022'!$N:$N,'S1 - S2  2022'!C$1)</f>
        <v>0</v>
      </c>
      <c r="D9" s="288">
        <f>SUMIFS('2022'!$H:$H,'2022'!$E:$E,'S1 - S2  2022'!$B9,'2022'!$N:$N,'S1 - S2  2022'!D$1)</f>
        <v>0</v>
      </c>
      <c r="E9" s="288">
        <f>SUMIFS('2022'!$H:$H,'2022'!$E:$E,'S1 - S2  2022'!$B9,'2022'!$N:$N,'S1 - S2  2022'!E$1)</f>
        <v>2140000</v>
      </c>
      <c r="F9" s="288">
        <f>SUMIFS('2022'!$H:$H,'2022'!$E:$E,'S1 - S2  2022'!$B9,'2022'!$N:$N,'S1 - S2  2022'!F$1)</f>
        <v>62939000</v>
      </c>
      <c r="G9" s="288">
        <f>SUMIFS('2022'!$H:$H,'2022'!$E:$E,'S1 - S2  2022'!$B9,'2022'!$N:$N,'S1 - S2  2022'!G$1)</f>
        <v>0</v>
      </c>
      <c r="H9" s="288">
        <f>SUMIFS('2022'!$H:$H,'2022'!$E:$E,'S1 - S2  2022'!$B9,'2022'!$N:$N,'S1 - S2  2022'!H$1)</f>
        <v>777000</v>
      </c>
      <c r="I9" s="288">
        <f>SUMIFS('2022'!$H:$H,'2022'!$E:$E,'S1 - S2  2022'!$B9,'2022'!$N:$N,'S1 - S2  2022'!I$1)</f>
        <v>2400000</v>
      </c>
      <c r="J9" s="288">
        <f>SUMIFS('2022'!$H:$H,'2022'!$E:$E,'S1 - S2  2022'!$B9,'2022'!$N:$N,'S1 - S2  2022'!J$1)</f>
        <v>392000</v>
      </c>
      <c r="K9" s="288">
        <f>SUMIFS('2022'!$H:$H,'2022'!$E:$E,'S1 - S2  2022'!$B9,'2022'!$N:$N,'S1 - S2  2022'!K$1)</f>
        <v>73305650</v>
      </c>
      <c r="L9" s="288">
        <f>SUMIFS('2022'!$H:$H,'2022'!$E:$E,'S1 - S2  2022'!$B9,'2022'!$N:$N,'S1 - S2  2022'!L$1)</f>
        <v>1599000</v>
      </c>
      <c r="M9" s="288">
        <f>SUMIFS('2022'!$H:$H,'2022'!$E:$E,'S1 - S2  2022'!$B9,'2022'!$N:$N,'S1 - S2  2022'!M$1)</f>
        <v>85638950</v>
      </c>
      <c r="N9" s="288">
        <f>SUMIFS('2022'!$H:$H,'2022'!$E:$E,'S1 - S2  2022'!$B9,'2022'!$N:$N,'S1 - S2  2022'!N$1)</f>
        <v>5246250</v>
      </c>
      <c r="O9" s="291">
        <f t="shared" si="0"/>
        <v>234437850</v>
      </c>
      <c r="P9" s="478">
        <f>+Category!AM246</f>
        <v>1</v>
      </c>
      <c r="Q9" s="292"/>
      <c r="R9" s="195"/>
      <c r="S9" s="453"/>
      <c r="T9" s="195">
        <f>SUM(T2:T8)</f>
        <v>12083.111937733842</v>
      </c>
    </row>
    <row r="10" spans="2:20" x14ac:dyDescent="0.2">
      <c r="B10" s="287" t="s">
        <v>1055</v>
      </c>
      <c r="C10" s="288">
        <f>SUMIFS('2022'!$H:$H,'2022'!$E:$E,'S1 - S2  2022'!$B10,'2022'!$N:$N,'S1 - S2  2022'!C$1)</f>
        <v>100000000</v>
      </c>
      <c r="D10" s="288">
        <f>SUMIFS('2022'!$H:$H,'2022'!$E:$E,'S1 - S2  2022'!$B10,'2022'!$N:$N,'S1 - S2  2022'!D$1)</f>
        <v>0</v>
      </c>
      <c r="E10" s="288">
        <f>SUMIFS('2022'!$H:$H,'2022'!$E:$E,'S1 - S2  2022'!$B10,'2022'!$N:$N,'S1 - S2  2022'!E$1)</f>
        <v>9080900</v>
      </c>
      <c r="F10" s="288">
        <f>SUMIFS('2022'!$H:$H,'2022'!$E:$E,'S1 - S2  2022'!$B10,'2022'!$N:$N,'S1 - S2  2022'!F$1)</f>
        <v>0</v>
      </c>
      <c r="G10" s="288">
        <f>SUMIFS('2022'!$H:$H,'2022'!$E:$E,'S1 - S2  2022'!$B10,'2022'!$N:$N,'S1 - S2  2022'!G$1)</f>
        <v>8017300</v>
      </c>
      <c r="H10" s="288">
        <f>SUMIFS('2022'!$H:$H,'2022'!$E:$E,'S1 - S2  2022'!$B10,'2022'!$N:$N,'S1 - S2  2022'!H$1)</f>
        <v>3008700</v>
      </c>
      <c r="I10" s="288">
        <f>SUMIFS('2022'!$H:$H,'2022'!$E:$E,'S1 - S2  2022'!$B10,'2022'!$N:$N,'S1 - S2  2022'!I$1)</f>
        <v>0</v>
      </c>
      <c r="J10" s="288">
        <f>SUMIFS('2022'!$H:$H,'2022'!$E:$E,'S1 - S2  2022'!$B10,'2022'!$N:$N,'S1 - S2  2022'!J$1)</f>
        <v>9426600</v>
      </c>
      <c r="K10" s="288">
        <f>SUMIFS('2022'!$H:$H,'2022'!$E:$E,'S1 - S2  2022'!$B10,'2022'!$N:$N,'S1 - S2  2022'!K$1)</f>
        <v>0</v>
      </c>
      <c r="L10" s="288">
        <f>SUMIFS('2022'!$H:$H,'2022'!$E:$E,'S1 - S2  2022'!$B10,'2022'!$N:$N,'S1 - S2  2022'!L$1)</f>
        <v>0</v>
      </c>
      <c r="M10" s="288">
        <f>SUMIFS('2022'!$H:$H,'2022'!$E:$E,'S1 - S2  2022'!$B10,'2022'!$N:$N,'S1 - S2  2022'!M$1)</f>
        <v>0</v>
      </c>
      <c r="N10" s="288">
        <f>SUMIFS('2022'!$H:$H,'2022'!$E:$E,'S1 - S2  2022'!$B10,'2022'!$N:$N,'S1 - S2  2022'!N$1)</f>
        <v>291930000</v>
      </c>
      <c r="O10" s="291">
        <f t="shared" si="0"/>
        <v>421463500</v>
      </c>
      <c r="P10" s="478">
        <f>+Category!K278</f>
        <v>0</v>
      </c>
      <c r="Q10" s="292"/>
      <c r="R10" s="195"/>
      <c r="S10" s="453"/>
    </row>
    <row r="11" spans="2:20" ht="23.25" customHeight="1" thickBot="1" x14ac:dyDescent="0.25">
      <c r="B11" s="432" t="s">
        <v>156</v>
      </c>
      <c r="C11" s="433">
        <f t="shared" ref="C11:O11" si="2">SUM(C3:C10)</f>
        <v>510869600</v>
      </c>
      <c r="D11" s="433">
        <f t="shared" si="2"/>
        <v>224260000</v>
      </c>
      <c r="E11" s="433">
        <f t="shared" si="2"/>
        <v>610246124</v>
      </c>
      <c r="F11" s="433">
        <f t="shared" si="2"/>
        <v>446734403</v>
      </c>
      <c r="G11" s="433">
        <f t="shared" si="2"/>
        <v>472015900</v>
      </c>
      <c r="H11" s="433">
        <f t="shared" si="2"/>
        <v>343177200</v>
      </c>
      <c r="I11" s="433">
        <f t="shared" si="2"/>
        <v>342237610</v>
      </c>
      <c r="J11" s="433">
        <f t="shared" si="2"/>
        <v>592391860</v>
      </c>
      <c r="K11" s="433">
        <f t="shared" si="2"/>
        <v>457082940</v>
      </c>
      <c r="L11" s="433">
        <f t="shared" si="2"/>
        <v>382862770</v>
      </c>
      <c r="M11" s="433">
        <f t="shared" si="2"/>
        <v>514636770</v>
      </c>
      <c r="N11" s="433">
        <f t="shared" si="2"/>
        <v>670754670.47000003</v>
      </c>
      <c r="O11" s="434">
        <f t="shared" si="2"/>
        <v>5567269847.4699993</v>
      </c>
      <c r="P11" s="293">
        <f>SUM(P3:P10)</f>
        <v>3190</v>
      </c>
      <c r="Q11" s="294"/>
    </row>
    <row r="12" spans="2:20" s="175" customFormat="1" ht="5.25" customHeight="1" thickTop="1" x14ac:dyDescent="0.2">
      <c r="B12" s="409"/>
      <c r="C12" s="410"/>
      <c r="D12" s="410"/>
      <c r="E12" s="410"/>
      <c r="F12" s="410"/>
      <c r="G12" s="410"/>
      <c r="H12" s="410"/>
      <c r="I12" s="410"/>
      <c r="J12" s="410"/>
      <c r="K12" s="410"/>
      <c r="L12" s="410"/>
      <c r="M12" s="410"/>
      <c r="N12" s="410"/>
      <c r="O12" s="410"/>
      <c r="P12" s="410"/>
      <c r="Q12" s="411"/>
    </row>
    <row r="13" spans="2:20" x14ac:dyDescent="0.2">
      <c r="C13" s="45">
        <f>+C11-Category!AN338</f>
        <v>0</v>
      </c>
      <c r="D13" s="45">
        <f>+D11-Category!AO338</f>
        <v>0</v>
      </c>
      <c r="E13" s="45">
        <f>+E11-Category!AP338</f>
        <v>0</v>
      </c>
      <c r="F13" s="45">
        <f>+F11-Category!AQ338</f>
        <v>-27000</v>
      </c>
      <c r="G13" s="45">
        <f>+G11-Category!AR338</f>
        <v>0</v>
      </c>
      <c r="H13" s="45">
        <f>+H11-Category!AS338</f>
        <v>0</v>
      </c>
      <c r="I13" s="45">
        <f>+I11-Category!AT338</f>
        <v>0</v>
      </c>
      <c r="J13" s="45">
        <f>+J11-Category!AU338</f>
        <v>0</v>
      </c>
      <c r="K13" s="45">
        <f>+K11-Category!AV338</f>
        <v>0</v>
      </c>
      <c r="L13" s="45">
        <f>+L11-Category!AW338</f>
        <v>0</v>
      </c>
      <c r="M13" s="45">
        <f>+M11-Category!AX338</f>
        <v>0</v>
      </c>
      <c r="N13" s="45">
        <f>+N11-Category!AY338</f>
        <v>0</v>
      </c>
      <c r="O13" s="45">
        <f>+O11-Category!AZ338</f>
        <v>-27000</v>
      </c>
      <c r="P13" s="146">
        <f>+P11-Category!AM338</f>
        <v>0</v>
      </c>
    </row>
    <row r="14" spans="2:20" x14ac:dyDescent="0.2">
      <c r="B14" s="89" t="s">
        <v>178</v>
      </c>
    </row>
    <row r="15" spans="2:20" ht="15.75" x14ac:dyDescent="0.2">
      <c r="B15" s="300" t="s">
        <v>183</v>
      </c>
      <c r="C15" s="481"/>
      <c r="M15" s="92"/>
      <c r="N15" s="92"/>
      <c r="O15" s="92"/>
      <c r="P15" s="93"/>
      <c r="Q15" s="91" t="s">
        <v>184</v>
      </c>
    </row>
    <row r="16" spans="2:20" ht="12" customHeight="1" x14ac:dyDescent="0.2">
      <c r="B16" s="482" t="s">
        <v>1023</v>
      </c>
      <c r="C16" s="481"/>
      <c r="M16" s="92"/>
      <c r="N16" s="92"/>
      <c r="O16" s="92"/>
      <c r="P16" s="93"/>
      <c r="Q16" s="91" t="s">
        <v>186</v>
      </c>
    </row>
    <row r="17" spans="2:17" ht="12" customHeight="1" x14ac:dyDescent="0.2">
      <c r="B17" s="482" t="s">
        <v>1024</v>
      </c>
      <c r="C17" s="481"/>
      <c r="M17" s="92"/>
      <c r="N17" s="92"/>
      <c r="O17" s="92"/>
      <c r="P17" s="93"/>
      <c r="Q17" s="91" t="s">
        <v>188</v>
      </c>
    </row>
    <row r="18" spans="2:17" ht="12" customHeight="1" x14ac:dyDescent="0.2">
      <c r="B18" s="482" t="s">
        <v>1025</v>
      </c>
      <c r="C18" s="481"/>
    </row>
    <row r="19" spans="2:17" ht="12" customHeight="1" x14ac:dyDescent="0.2">
      <c r="B19" s="482" t="s">
        <v>1026</v>
      </c>
      <c r="C19" s="481"/>
    </row>
    <row r="20" spans="2:17" s="44" customFormat="1" ht="12" customHeight="1" x14ac:dyDescent="0.2">
      <c r="B20" s="482" t="s">
        <v>1027</v>
      </c>
      <c r="C20" s="481"/>
      <c r="P20"/>
      <c r="Q20"/>
    </row>
    <row r="21" spans="2:17" s="44" customFormat="1" ht="12" customHeight="1" x14ac:dyDescent="0.2">
      <c r="B21" s="482" t="s">
        <v>1028</v>
      </c>
      <c r="C21" s="481"/>
      <c r="P21"/>
      <c r="Q21"/>
    </row>
    <row r="22" spans="2:17" s="44" customFormat="1" ht="12" customHeight="1" x14ac:dyDescent="0.2">
      <c r="B22" s="482" t="s">
        <v>1029</v>
      </c>
      <c r="C22" s="481"/>
      <c r="P22"/>
      <c r="Q22"/>
    </row>
    <row r="23" spans="2:17" s="44" customFormat="1" ht="12" customHeight="1" x14ac:dyDescent="0.2">
      <c r="B23" s="482" t="s">
        <v>1030</v>
      </c>
      <c r="C23" s="481"/>
      <c r="P23"/>
      <c r="Q23"/>
    </row>
    <row r="24" spans="2:17" ht="12" customHeight="1" x14ac:dyDescent="0.2">
      <c r="B24" s="482" t="s">
        <v>1031</v>
      </c>
      <c r="C24" s="481"/>
    </row>
    <row r="25" spans="2:17" ht="12" customHeight="1" x14ac:dyDescent="0.2">
      <c r="B25" s="482" t="s">
        <v>1032</v>
      </c>
      <c r="C25" s="481"/>
    </row>
    <row r="26" spans="2:17" ht="12" customHeight="1" x14ac:dyDescent="0.2">
      <c r="B26" s="482" t="s">
        <v>1033</v>
      </c>
      <c r="C26" s="481"/>
    </row>
    <row r="27" spans="2:17" ht="12" customHeight="1" x14ac:dyDescent="0.2">
      <c r="B27" s="482" t="s">
        <v>1034</v>
      </c>
      <c r="C27" s="481"/>
    </row>
    <row r="28" spans="2:17" ht="12" customHeight="1" x14ac:dyDescent="0.2">
      <c r="B28" s="482" t="s">
        <v>1035</v>
      </c>
      <c r="C28" s="481"/>
    </row>
    <row r="29" spans="2:17" ht="12" customHeight="1" x14ac:dyDescent="0.2">
      <c r="B29" s="482" t="s">
        <v>1036</v>
      </c>
      <c r="C29" s="481"/>
    </row>
    <row r="30" spans="2:17" ht="12" customHeight="1" x14ac:dyDescent="0.2">
      <c r="B30" s="482" t="s">
        <v>1037</v>
      </c>
      <c r="C30" s="481"/>
    </row>
    <row r="31" spans="2:17" ht="12" customHeight="1" x14ac:dyDescent="0.2">
      <c r="B31" s="482" t="s">
        <v>1038</v>
      </c>
      <c r="C31" s="481"/>
    </row>
    <row r="32" spans="2:17" ht="12" customHeight="1" x14ac:dyDescent="0.2">
      <c r="B32" s="482" t="s">
        <v>1039</v>
      </c>
      <c r="C32" s="481"/>
    </row>
    <row r="33" spans="2:3" ht="12" customHeight="1" x14ac:dyDescent="0.2">
      <c r="B33" s="482" t="s">
        <v>1040</v>
      </c>
      <c r="C33" s="481"/>
    </row>
    <row r="34" spans="2:3" ht="12" customHeight="1" x14ac:dyDescent="0.2">
      <c r="B34" s="482" t="s">
        <v>1041</v>
      </c>
      <c r="C34" s="481"/>
    </row>
    <row r="35" spans="2:3" ht="12" customHeight="1" x14ac:dyDescent="0.2">
      <c r="B35" s="482" t="s">
        <v>1042</v>
      </c>
      <c r="C35" s="481"/>
    </row>
    <row r="36" spans="2:3" ht="12" customHeight="1" x14ac:dyDescent="0.2">
      <c r="B36" s="482" t="s">
        <v>1043</v>
      </c>
      <c r="C36" s="481"/>
    </row>
    <row r="37" spans="2:3" ht="12" customHeight="1" x14ac:dyDescent="0.2">
      <c r="B37" s="482" t="s">
        <v>1044</v>
      </c>
      <c r="C37" s="481"/>
    </row>
    <row r="38" spans="2:3" ht="12" customHeight="1" x14ac:dyDescent="0.2">
      <c r="B38" s="482" t="s">
        <v>1045</v>
      </c>
      <c r="C38" s="481"/>
    </row>
    <row r="39" spans="2:3" ht="12" customHeight="1" x14ac:dyDescent="0.2">
      <c r="B39" s="482" t="s">
        <v>1046</v>
      </c>
      <c r="C39" s="481"/>
    </row>
    <row r="40" spans="2:3" ht="12" customHeight="1" x14ac:dyDescent="0.2">
      <c r="B40" s="482" t="s">
        <v>1047</v>
      </c>
      <c r="C40" s="481"/>
    </row>
    <row r="41" spans="2:3" ht="12" customHeight="1" x14ac:dyDescent="0.2">
      <c r="B41" s="482" t="s">
        <v>1048</v>
      </c>
      <c r="C41" s="481"/>
    </row>
    <row r="42" spans="2:3" ht="12" customHeight="1" x14ac:dyDescent="0.2">
      <c r="B42" s="482" t="s">
        <v>1049</v>
      </c>
      <c r="C42" s="481"/>
    </row>
    <row r="43" spans="2:3" ht="12" customHeight="1" x14ac:dyDescent="0.2">
      <c r="B43" s="482" t="s">
        <v>1050</v>
      </c>
      <c r="C43" s="481"/>
    </row>
    <row r="44" spans="2:3" ht="12" customHeight="1" x14ac:dyDescent="0.2">
      <c r="B44" s="482" t="s">
        <v>1051</v>
      </c>
      <c r="C44" s="481"/>
    </row>
    <row r="45" spans="2:3" ht="12" customHeight="1" x14ac:dyDescent="0.2">
      <c r="B45" s="482" t="s">
        <v>1052</v>
      </c>
      <c r="C45" s="481"/>
    </row>
    <row r="46" spans="2:3" ht="12" customHeight="1" x14ac:dyDescent="0.2">
      <c r="B46" s="482" t="s">
        <v>1053</v>
      </c>
      <c r="C46" s="481"/>
    </row>
    <row r="47" spans="2:3" ht="12" customHeight="1" x14ac:dyDescent="0.2">
      <c r="B47" s="482" t="s">
        <v>1181</v>
      </c>
      <c r="C47" s="481"/>
    </row>
    <row r="48" spans="2:3" ht="12" customHeight="1" x14ac:dyDescent="0.2">
      <c r="B48" s="482" t="s">
        <v>1182</v>
      </c>
      <c r="C48" s="481"/>
    </row>
    <row r="49" spans="2:2" x14ac:dyDescent="0.2">
      <c r="B49" s="483" t="s">
        <v>1285</v>
      </c>
    </row>
    <row r="50" spans="2:2" x14ac:dyDescent="0.2">
      <c r="B50" s="475" t="s">
        <v>1286</v>
      </c>
    </row>
    <row r="51" spans="2:2" x14ac:dyDescent="0.2">
      <c r="B51" s="483" t="s">
        <v>1287</v>
      </c>
    </row>
    <row r="52" spans="2:2" x14ac:dyDescent="0.2">
      <c r="B52" s="475" t="s">
        <v>1288</v>
      </c>
    </row>
    <row r="53" spans="2:2" x14ac:dyDescent="0.2">
      <c r="B53" s="483"/>
    </row>
  </sheetData>
  <printOptions horizontalCentered="1"/>
  <pageMargins left="0.19685039370078741" right="0.19685039370078741" top="0.15748031496062992" bottom="0.19685039370078741" header="0.11811023622047245" footer="0.11811023622047245"/>
  <pageSetup scale="9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53"/>
  <sheetViews>
    <sheetView showGridLines="0" topLeftCell="A17" workbookViewId="0">
      <selection activeCell="E29" sqref="E29"/>
    </sheetView>
  </sheetViews>
  <sheetFormatPr defaultColWidth="9.14453125" defaultRowHeight="15" x14ac:dyDescent="0.2"/>
  <cols>
    <col min="1" max="1" width="2.15234375" style="476" hidden="1" customWidth="1"/>
    <col min="2" max="2" width="30.265625" style="476" bestFit="1" customWidth="1"/>
    <col min="3" max="14" width="14.66015625" style="44" bestFit="1" customWidth="1"/>
    <col min="15" max="15" width="17.75390625" style="44" customWidth="1"/>
    <col min="16" max="16" width="10.22265625" style="476" hidden="1" customWidth="1"/>
    <col min="17" max="17" width="12.64453125" style="476" hidden="1" customWidth="1"/>
    <col min="18" max="18" width="12.9140625" style="476" hidden="1" customWidth="1"/>
    <col min="19" max="19" width="10.625" style="476" hidden="1" customWidth="1"/>
    <col min="20" max="20" width="6.3203125" style="476" hidden="1" customWidth="1"/>
    <col min="21" max="21" width="9.4140625" style="476" hidden="1" customWidth="1"/>
    <col min="22" max="22" width="9.14453125" style="476" hidden="1" customWidth="1"/>
    <col min="23" max="24" width="9.14453125" style="476" customWidth="1"/>
    <col min="25" max="16384" width="9.14453125" style="476"/>
  </cols>
  <sheetData>
    <row r="1" spans="2:20" s="49" customFormat="1" ht="39.75" customHeight="1" x14ac:dyDescent="0.2">
      <c r="B1" s="435" t="s">
        <v>1846</v>
      </c>
      <c r="C1" s="50">
        <v>1</v>
      </c>
      <c r="D1" s="50">
        <v>2</v>
      </c>
      <c r="E1" s="50">
        <v>3</v>
      </c>
      <c r="F1" s="50">
        <v>4</v>
      </c>
      <c r="G1" s="50">
        <v>5</v>
      </c>
      <c r="H1" s="50">
        <v>6</v>
      </c>
      <c r="I1" s="50">
        <v>7</v>
      </c>
      <c r="J1" s="50">
        <v>8</v>
      </c>
      <c r="K1" s="50">
        <v>9</v>
      </c>
      <c r="L1" s="50">
        <v>10</v>
      </c>
      <c r="M1" s="50">
        <v>11</v>
      </c>
      <c r="N1" s="50">
        <v>12</v>
      </c>
      <c r="O1" s="50"/>
    </row>
    <row r="2" spans="2:20" s="54" customFormat="1" ht="21.75" customHeight="1" thickBot="1" x14ac:dyDescent="0.25">
      <c r="B2" s="431" t="s">
        <v>9</v>
      </c>
      <c r="C2" s="429" t="s">
        <v>160</v>
      </c>
      <c r="D2" s="429" t="s">
        <v>161</v>
      </c>
      <c r="E2" s="429" t="s">
        <v>162</v>
      </c>
      <c r="F2" s="429" t="s">
        <v>163</v>
      </c>
      <c r="G2" s="429" t="s">
        <v>164</v>
      </c>
      <c r="H2" s="429" t="s">
        <v>165</v>
      </c>
      <c r="I2" s="429" t="s">
        <v>166</v>
      </c>
      <c r="J2" s="429" t="s">
        <v>174</v>
      </c>
      <c r="K2" s="429" t="s">
        <v>168</v>
      </c>
      <c r="L2" s="429" t="s">
        <v>175</v>
      </c>
      <c r="M2" s="429" t="s">
        <v>170</v>
      </c>
      <c r="N2" s="430" t="s">
        <v>176</v>
      </c>
      <c r="O2" s="429">
        <v>2022</v>
      </c>
      <c r="P2" s="407" t="s">
        <v>177</v>
      </c>
      <c r="Q2" s="296" t="s">
        <v>178</v>
      </c>
      <c r="S2" s="473">
        <v>877536.73469387752</v>
      </c>
      <c r="T2" s="473">
        <f>+O3/S2</f>
        <v>31.95307830592591</v>
      </c>
    </row>
    <row r="3" spans="2:20" x14ac:dyDescent="0.2">
      <c r="B3" s="51" t="s">
        <v>179</v>
      </c>
      <c r="C3" s="52">
        <f>SUMIFS('2023'!$H:$H,'2023'!$E:$E,'S1 - S2  2023'!$B3,'2023'!$N:$N,'S1 - S2  2023'!C$1)</f>
        <v>14020000</v>
      </c>
      <c r="D3" s="52">
        <f>SUMIFS('2023'!$H:$H,'2023'!$E:$E,'S1 - S2  2023'!$B3,'2023'!$N:$N,'S1 - S2  2023'!D$1)</f>
        <v>14020000</v>
      </c>
      <c r="E3" s="52">
        <f>SUMIFS('2023'!$H:$H,'2023'!$E:$E,'S1 - S2  2023'!$B3,'2023'!$N:$N,'S1 - S2  2023'!E$1)</f>
        <v>0</v>
      </c>
      <c r="F3" s="52">
        <f>SUMIFS('2023'!$H:$H,'2023'!$E:$E,'S1 - S2  2023'!$B3,'2023'!$N:$N,'S1 - S2  2023'!F$1)</f>
        <v>0</v>
      </c>
      <c r="G3" s="52">
        <f>SUMIFS('2023'!$H:$H,'2023'!$E:$E,'S1 - S2  2023'!$B3,'2023'!$N:$N,'S1 - S2  2023'!G$1)</f>
        <v>0</v>
      </c>
      <c r="H3" s="52">
        <f>SUMIFS('2023'!$H:$H,'2023'!$E:$E,'S1 - S2  2023'!$B3,'2023'!$N:$N,'S1 - S2  2023'!H$1)</f>
        <v>0</v>
      </c>
      <c r="I3" s="52">
        <f>SUMIFS('2023'!$H:$H,'2023'!$E:$E,'S1 - S2  2023'!$B3,'2023'!$N:$N,'S1 - S2  2023'!I$1)</f>
        <v>0</v>
      </c>
      <c r="J3" s="52">
        <f>SUMIFS('2023'!$H:$H,'2023'!$E:$E,'S1 - S2  2023'!$B3,'2023'!$N:$N,'S1 - S2  2023'!J$1)</f>
        <v>0</v>
      </c>
      <c r="K3" s="52">
        <f>SUMIFS('2023'!$H:$H,'2023'!$E:$E,'S1 - S2  2023'!$B3,'2023'!$N:$N,'S1 - S2  2023'!K$1)</f>
        <v>0</v>
      </c>
      <c r="L3" s="52">
        <f>SUMIFS('2023'!$H:$H,'2023'!$E:$E,'S1 - S2  2023'!$B3,'2023'!$N:$N,'S1 - S2  2023'!L$1)</f>
        <v>0</v>
      </c>
      <c r="M3" s="52">
        <f>SUMIFS('2023'!$H:$H,'2023'!$E:$E,'S1 - S2  2023'!$B3,'2023'!$N:$N,'S1 - S2  2023'!M$1)</f>
        <v>0</v>
      </c>
      <c r="N3" s="52">
        <f>SUMIFS('2023'!$H:$H,'2023'!$E:$E,'S1 - S2  2023'!$B3,'2023'!$N:$N,'S1 - S2  2023'!N$1)</f>
        <v>0</v>
      </c>
      <c r="O3" s="408">
        <f t="shared" ref="O3:O10" si="0">SUM(C3:N3)</f>
        <v>28040000</v>
      </c>
      <c r="P3" s="477">
        <f>+Category!AM4</f>
        <v>320</v>
      </c>
      <c r="Q3" s="292" t="s">
        <v>180</v>
      </c>
      <c r="R3" s="195"/>
      <c r="S3" s="474">
        <v>231636.1355081556</v>
      </c>
      <c r="T3" s="473">
        <f t="shared" ref="T3:T8" si="1">+O4/S3</f>
        <v>2034.4583498001234</v>
      </c>
    </row>
    <row r="4" spans="2:20" x14ac:dyDescent="0.2">
      <c r="B4" s="53" t="s">
        <v>17</v>
      </c>
      <c r="C4" s="52">
        <f>SUMIFS('2023'!$H:$H,'2023'!$E:$E,'S1 - S2  2023'!$B4,'2023'!$N:$N,'S1 - S2  2023'!C$1)</f>
        <v>245374990</v>
      </c>
      <c r="D4" s="52">
        <f>SUMIFS('2023'!$H:$H,'2023'!$E:$E,'S1 - S2  2023'!$B4,'2023'!$N:$N,'S1 - S2  2023'!D$1)</f>
        <v>225879080</v>
      </c>
      <c r="E4" s="52">
        <f>SUMIFS('2023'!$H:$H,'2023'!$E:$E,'S1 - S2  2023'!$B4,'2023'!$N:$N,'S1 - S2  2023'!E$1)</f>
        <v>0</v>
      </c>
      <c r="F4" s="52">
        <f>SUMIFS('2023'!$H:$H,'2023'!$E:$E,'S1 - S2  2023'!$B4,'2023'!$N:$N,'S1 - S2  2023'!F$1)</f>
        <v>0</v>
      </c>
      <c r="G4" s="52">
        <f>SUMIFS('2023'!$H:$H,'2023'!$E:$E,'S1 - S2  2023'!$B4,'2023'!$N:$N,'S1 - S2  2023'!G$1)</f>
        <v>0</v>
      </c>
      <c r="H4" s="52">
        <f>SUMIFS('2023'!$H:$H,'2023'!$E:$E,'S1 - S2  2023'!$B4,'2023'!$N:$N,'S1 - S2  2023'!H$1)</f>
        <v>0</v>
      </c>
      <c r="I4" s="52">
        <f>SUMIFS('2023'!$H:$H,'2023'!$E:$E,'S1 - S2  2023'!$B4,'2023'!$N:$N,'S1 - S2  2023'!I$1)</f>
        <v>0</v>
      </c>
      <c r="J4" s="52">
        <f>SUMIFS('2023'!$H:$H,'2023'!$E:$E,'S1 - S2  2023'!$B4,'2023'!$N:$N,'S1 - S2  2023'!J$1)</f>
        <v>0</v>
      </c>
      <c r="K4" s="52">
        <f>SUMIFS('2023'!$H:$H,'2023'!$E:$E,'S1 - S2  2023'!$B4,'2023'!$N:$N,'S1 - S2  2023'!K$1)</f>
        <v>0</v>
      </c>
      <c r="L4" s="52">
        <f>SUMIFS('2023'!$H:$H,'2023'!$E:$E,'S1 - S2  2023'!$B4,'2023'!$N:$N,'S1 - S2  2023'!L$1)</f>
        <v>0</v>
      </c>
      <c r="M4" s="52">
        <f>SUMIFS('2023'!$H:$H,'2023'!$E:$E,'S1 - S2  2023'!$B4,'2023'!$N:$N,'S1 - S2  2023'!M$1)</f>
        <v>0</v>
      </c>
      <c r="N4" s="52">
        <f>SUMIFS('2023'!$H:$H,'2023'!$E:$E,'S1 - S2  2023'!$B4,'2023'!$N:$N,'S1 - S2  2023'!N$1)</f>
        <v>0</v>
      </c>
      <c r="O4" s="291">
        <f t="shared" si="0"/>
        <v>471254070</v>
      </c>
      <c r="P4" s="477">
        <f>+Category!AM26</f>
        <v>2395</v>
      </c>
      <c r="Q4" s="292" t="s">
        <v>180</v>
      </c>
      <c r="R4" s="195"/>
      <c r="S4" s="474">
        <v>16146666.666666666</v>
      </c>
      <c r="T4" s="473">
        <f t="shared" si="1"/>
        <v>3.4062758051197357</v>
      </c>
    </row>
    <row r="5" spans="2:20" x14ac:dyDescent="0.2">
      <c r="B5" s="53" t="s">
        <v>107</v>
      </c>
      <c r="C5" s="52">
        <f>SUMIFS('2023'!$H:$H,'2023'!$E:$E,'S1 - S2  2023'!$B5,'2023'!$N:$N,'S1 - S2  2023'!C$1)</f>
        <v>40000000</v>
      </c>
      <c r="D5" s="52">
        <f>SUMIFS('2023'!$H:$H,'2023'!$E:$E,'S1 - S2  2023'!$B5,'2023'!$N:$N,'S1 - S2  2023'!D$1)</f>
        <v>15000000</v>
      </c>
      <c r="E5" s="52">
        <f>SUMIFS('2023'!$H:$H,'2023'!$E:$E,'S1 - S2  2023'!$B5,'2023'!$N:$N,'S1 - S2  2023'!E$1)</f>
        <v>0</v>
      </c>
      <c r="F5" s="52">
        <f>SUMIFS('2023'!$H:$H,'2023'!$E:$E,'S1 - S2  2023'!$B5,'2023'!$N:$N,'S1 - S2  2023'!F$1)</f>
        <v>0</v>
      </c>
      <c r="G5" s="52">
        <f>SUMIFS('2023'!$H:$H,'2023'!$E:$E,'S1 - S2  2023'!$B5,'2023'!$N:$N,'S1 - S2  2023'!G$1)</f>
        <v>0</v>
      </c>
      <c r="H5" s="52">
        <f>SUMIFS('2023'!$H:$H,'2023'!$E:$E,'S1 - S2  2023'!$B5,'2023'!$N:$N,'S1 - S2  2023'!H$1)</f>
        <v>0</v>
      </c>
      <c r="I5" s="52">
        <f>SUMIFS('2023'!$H:$H,'2023'!$E:$E,'S1 - S2  2023'!$B5,'2023'!$N:$N,'S1 - S2  2023'!I$1)</f>
        <v>0</v>
      </c>
      <c r="J5" s="52">
        <f>SUMIFS('2023'!$H:$H,'2023'!$E:$E,'S1 - S2  2023'!$B5,'2023'!$N:$N,'S1 - S2  2023'!J$1)</f>
        <v>0</v>
      </c>
      <c r="K5" s="52">
        <f>SUMIFS('2023'!$H:$H,'2023'!$E:$E,'S1 - S2  2023'!$B5,'2023'!$N:$N,'S1 - S2  2023'!K$1)</f>
        <v>0</v>
      </c>
      <c r="L5" s="52">
        <f>SUMIFS('2023'!$H:$H,'2023'!$E:$E,'S1 - S2  2023'!$B5,'2023'!$N:$N,'S1 - S2  2023'!L$1)</f>
        <v>0</v>
      </c>
      <c r="M5" s="52">
        <f>SUMIFS('2023'!$H:$H,'2023'!$E:$E,'S1 - S2  2023'!$B5,'2023'!$N:$N,'S1 - S2  2023'!M$1)</f>
        <v>0</v>
      </c>
      <c r="N5" s="52">
        <f>SUMIFS('2023'!$H:$H,'2023'!$E:$E,'S1 - S2  2023'!$B5,'2023'!$N:$N,'S1 - S2  2023'!N$1)</f>
        <v>0</v>
      </c>
      <c r="O5" s="291">
        <f t="shared" si="0"/>
        <v>55000000</v>
      </c>
      <c r="P5" s="478">
        <f>+Category!AM74</f>
        <v>7</v>
      </c>
      <c r="Q5" s="292" t="s">
        <v>181</v>
      </c>
      <c r="R5" s="195"/>
      <c r="S5" s="474">
        <v>1000000</v>
      </c>
      <c r="T5" s="473">
        <f t="shared" si="1"/>
        <v>5</v>
      </c>
    </row>
    <row r="6" spans="2:20" x14ac:dyDescent="0.2">
      <c r="B6" s="53" t="s">
        <v>71</v>
      </c>
      <c r="C6" s="52">
        <f>SUMIFS('2023'!$H:$H,'2023'!$E:$E,'S1 - S2  2023'!$B6,'2023'!$N:$N,'S1 - S2  2023'!C$1)</f>
        <v>5000000</v>
      </c>
      <c r="D6" s="52">
        <f>SUMIFS('2023'!$H:$H,'2023'!$E:$E,'S1 - S2  2023'!$B6,'2023'!$N:$N,'S1 - S2  2023'!D$1)</f>
        <v>0</v>
      </c>
      <c r="E6" s="52">
        <f>SUMIFS('2023'!$H:$H,'2023'!$E:$E,'S1 - S2  2023'!$B6,'2023'!$N:$N,'S1 - S2  2023'!E$1)</f>
        <v>0</v>
      </c>
      <c r="F6" s="52">
        <f>SUMIFS('2023'!$H:$H,'2023'!$E:$E,'S1 - S2  2023'!$B6,'2023'!$N:$N,'S1 - S2  2023'!F$1)</f>
        <v>0</v>
      </c>
      <c r="G6" s="52">
        <f>SUMIFS('2023'!$H:$H,'2023'!$E:$E,'S1 - S2  2023'!$B6,'2023'!$N:$N,'S1 - S2  2023'!G$1)</f>
        <v>0</v>
      </c>
      <c r="H6" s="52">
        <f>SUMIFS('2023'!$H:$H,'2023'!$E:$E,'S1 - S2  2023'!$B6,'2023'!$N:$N,'S1 - S2  2023'!H$1)</f>
        <v>0</v>
      </c>
      <c r="I6" s="52">
        <f>SUMIFS('2023'!$H:$H,'2023'!$E:$E,'S1 - S2  2023'!$B6,'2023'!$N:$N,'S1 - S2  2023'!I$1)</f>
        <v>0</v>
      </c>
      <c r="J6" s="52">
        <f>SUMIFS('2023'!$H:$H,'2023'!$E:$E,'S1 - S2  2023'!$B6,'2023'!$N:$N,'S1 - S2  2023'!J$1)</f>
        <v>0</v>
      </c>
      <c r="K6" s="52">
        <f>SUMIFS('2023'!$H:$H,'2023'!$E:$E,'S1 - S2  2023'!$B6,'2023'!$N:$N,'S1 - S2  2023'!K$1)</f>
        <v>0</v>
      </c>
      <c r="L6" s="52">
        <f>SUMIFS('2023'!$H:$H,'2023'!$E:$E,'S1 - S2  2023'!$B6,'2023'!$N:$N,'S1 - S2  2023'!L$1)</f>
        <v>0</v>
      </c>
      <c r="M6" s="52">
        <f>SUMIFS('2023'!$H:$H,'2023'!$E:$E,'S1 - S2  2023'!$B6,'2023'!$N:$N,'S1 - S2  2023'!M$1)</f>
        <v>0</v>
      </c>
      <c r="N6" s="52">
        <f>SUMIFS('2023'!$H:$H,'2023'!$E:$E,'S1 - S2  2023'!$B6,'2023'!$N:$N,'S1 - S2  2023'!N$1)</f>
        <v>0</v>
      </c>
      <c r="O6" s="291">
        <f t="shared" si="0"/>
        <v>5000000</v>
      </c>
      <c r="P6" s="478">
        <f>+Category!AM103</f>
        <v>2</v>
      </c>
      <c r="Q6" s="292" t="s">
        <v>180</v>
      </c>
      <c r="R6" s="195"/>
      <c r="S6" s="474">
        <v>5000000</v>
      </c>
      <c r="T6" s="473">
        <f t="shared" si="1"/>
        <v>26.192399999999999</v>
      </c>
    </row>
    <row r="7" spans="2:20" x14ac:dyDescent="0.2">
      <c r="B7" s="53" t="s">
        <v>57</v>
      </c>
      <c r="C7" s="52">
        <f>SUMIFS('2023'!$H:$H,'2023'!$E:$E,'S1 - S2  2023'!$B7,'2023'!$N:$N,'S1 - S2  2023'!C$1)</f>
        <v>55481000</v>
      </c>
      <c r="D7" s="52">
        <f>SUMIFS('2023'!$H:$H,'2023'!$E:$E,'S1 - S2  2023'!$B7,'2023'!$N:$N,'S1 - S2  2023'!D$1)</f>
        <v>75481000</v>
      </c>
      <c r="E7" s="52">
        <f>SUMIFS('2023'!$H:$H,'2023'!$E:$E,'S1 - S2  2023'!$B7,'2023'!$N:$N,'S1 - S2  2023'!E$1)</f>
        <v>0</v>
      </c>
      <c r="F7" s="52">
        <f>SUMIFS('2023'!$H:$H,'2023'!$E:$E,'S1 - S2  2023'!$B7,'2023'!$N:$N,'S1 - S2  2023'!F$1)</f>
        <v>0</v>
      </c>
      <c r="G7" s="52">
        <f>SUMIFS('2023'!$H:$H,'2023'!$E:$E,'S1 - S2  2023'!$B7,'2023'!$N:$N,'S1 - S2  2023'!G$1)</f>
        <v>0</v>
      </c>
      <c r="H7" s="52">
        <f>SUMIFS('2023'!$H:$H,'2023'!$E:$E,'S1 - S2  2023'!$B7,'2023'!$N:$N,'S1 - S2  2023'!H$1)</f>
        <v>0</v>
      </c>
      <c r="I7" s="52">
        <f>SUMIFS('2023'!$H:$H,'2023'!$E:$E,'S1 - S2  2023'!$B7,'2023'!$N:$N,'S1 - S2  2023'!I$1)</f>
        <v>0</v>
      </c>
      <c r="J7" s="52">
        <f>SUMIFS('2023'!$H:$H,'2023'!$E:$E,'S1 - S2  2023'!$B7,'2023'!$N:$N,'S1 - S2  2023'!J$1)</f>
        <v>0</v>
      </c>
      <c r="K7" s="52">
        <f>SUMIFS('2023'!$H:$H,'2023'!$E:$E,'S1 - S2  2023'!$B7,'2023'!$N:$N,'S1 - S2  2023'!K$1)</f>
        <v>0</v>
      </c>
      <c r="L7" s="52">
        <f>SUMIFS('2023'!$H:$H,'2023'!$E:$E,'S1 - S2  2023'!$B7,'2023'!$N:$N,'S1 - S2  2023'!L$1)</f>
        <v>0</v>
      </c>
      <c r="M7" s="52">
        <f>SUMIFS('2023'!$H:$H,'2023'!$E:$E,'S1 - S2  2023'!$B7,'2023'!$N:$N,'S1 - S2  2023'!M$1)</f>
        <v>0</v>
      </c>
      <c r="N7" s="52">
        <f>SUMIFS('2023'!$H:$H,'2023'!$E:$E,'S1 - S2  2023'!$B7,'2023'!$N:$N,'S1 - S2  2023'!N$1)</f>
        <v>0</v>
      </c>
      <c r="O7" s="291">
        <f t="shared" si="0"/>
        <v>130962000</v>
      </c>
      <c r="P7" s="478">
        <f>+Category!AM121</f>
        <v>391</v>
      </c>
      <c r="Q7" s="292" t="s">
        <v>180</v>
      </c>
      <c r="R7" s="195"/>
      <c r="S7" s="474">
        <v>21023833.333333332</v>
      </c>
      <c r="T7" s="473">
        <f t="shared" si="1"/>
        <v>7.4986530524880495</v>
      </c>
    </row>
    <row r="8" spans="2:20" ht="18" customHeight="1" x14ac:dyDescent="0.2">
      <c r="B8" s="973" t="s">
        <v>26</v>
      </c>
      <c r="C8" s="974">
        <f>SUMIFS('2023'!$H:$H,'2023'!$E:$E,'S1 - S2  2023'!$B8,'2023'!$N:$N,'S1 - S2  2023'!C$1)</f>
        <v>28750000</v>
      </c>
      <c r="D8" s="974">
        <f>SUMIFS('2023'!$H:$H,'2023'!$E:$E,'S1 - S2  2023'!$B8,'2023'!$N:$N,'S1 - S2  2023'!D$1)</f>
        <v>128900432</v>
      </c>
      <c r="E8" s="974">
        <f>SUMIFS('2023'!$H:$H,'2023'!$E:$E,'S1 - S2  2023'!$B8,'2023'!$N:$N,'S1 - S2  2023'!E$1)</f>
        <v>0</v>
      </c>
      <c r="F8" s="974">
        <f>SUMIFS('2023'!$H:$H,'2023'!$E:$E,'S1 - S2  2023'!$B8,'2023'!$N:$N,'S1 - S2  2023'!F$1)</f>
        <v>0</v>
      </c>
      <c r="G8" s="974">
        <f>SUMIFS('2023'!$H:$H,'2023'!$E:$E,'S1 - S2  2023'!$B8,'2023'!$N:$N,'S1 - S2  2023'!G$1)</f>
        <v>0</v>
      </c>
      <c r="H8" s="974">
        <f>SUMIFS('2023'!$H:$H,'2023'!$E:$E,'S1 - S2  2023'!$B8,'2023'!$N:$N,'S1 - S2  2023'!H$1)</f>
        <v>0</v>
      </c>
      <c r="I8" s="974">
        <f>SUMIFS('2023'!$H:$H,'2023'!$E:$E,'S1 - S2  2023'!$B8,'2023'!$N:$N,'S1 - S2  2023'!I$1)</f>
        <v>0</v>
      </c>
      <c r="J8" s="974">
        <f>SUMIFS('2023'!$H:$H,'2023'!$E:$E,'S1 - S2  2023'!$B8,'2023'!$N:$N,'S1 - S2  2023'!J$1)</f>
        <v>0</v>
      </c>
      <c r="K8" s="974">
        <f>SUMIFS('2023'!$H:$H,'2023'!$E:$E,'S1 - S2  2023'!$B8,'2023'!$N:$N,'S1 - S2  2023'!K$1)</f>
        <v>0</v>
      </c>
      <c r="L8" s="974">
        <f>SUMIFS('2023'!$H:$H,'2023'!$E:$E,'S1 - S2  2023'!$B8,'2023'!$N:$N,'S1 - S2  2023'!L$1)</f>
        <v>0</v>
      </c>
      <c r="M8" s="974">
        <f>SUMIFS('2023'!$H:$H,'2023'!$E:$E,'S1 - S2  2023'!$B8,'2023'!$N:$N,'S1 - S2  2023'!M$1)</f>
        <v>0</v>
      </c>
      <c r="N8" s="974">
        <f>SUMIFS('2023'!$H:$H,'2023'!$E:$E,'S1 - S2  2023'!$B8,'2023'!$N:$N,'S1 - S2  2023'!N$1)</f>
        <v>0</v>
      </c>
      <c r="O8" s="975">
        <f t="shared" si="0"/>
        <v>157650432</v>
      </c>
      <c r="P8" s="478">
        <f>+Category!AM134</f>
        <v>74</v>
      </c>
      <c r="Q8" s="292" t="s">
        <v>182</v>
      </c>
      <c r="R8" s="195"/>
      <c r="S8" s="474">
        <v>5000000</v>
      </c>
      <c r="T8" s="473">
        <f t="shared" si="1"/>
        <v>0.6</v>
      </c>
    </row>
    <row r="9" spans="2:20" x14ac:dyDescent="0.2">
      <c r="B9" s="287" t="s">
        <v>1054</v>
      </c>
      <c r="C9" s="288">
        <f>SUMIFS('2023'!$H:$H,'2023'!$E:$E,'S1 - S2  2023'!$B9,'2023'!$N:$N,'S1 - S2  2023'!C$1)</f>
        <v>3000000</v>
      </c>
      <c r="D9" s="288">
        <f>SUMIFS('2023'!$H:$H,'2023'!$E:$E,'S1 - S2  2023'!$B9,'2023'!$N:$N,'S1 - S2  2023'!D$1)</f>
        <v>0</v>
      </c>
      <c r="E9" s="288">
        <f>SUMIFS('2023'!$H:$H,'2023'!$E:$E,'S1 - S2  2023'!$B9,'2023'!$N:$N,'S1 - S2  2023'!E$1)</f>
        <v>0</v>
      </c>
      <c r="F9" s="288">
        <f>SUMIFS('2023'!$H:$H,'2023'!$E:$E,'S1 - S2  2023'!$B9,'2023'!$N:$N,'S1 - S2  2023'!F$1)</f>
        <v>0</v>
      </c>
      <c r="G9" s="288">
        <f>SUMIFS('2023'!$H:$H,'2023'!$E:$E,'S1 - S2  2023'!$B9,'2023'!$N:$N,'S1 - S2  2023'!G$1)</f>
        <v>0</v>
      </c>
      <c r="H9" s="288">
        <f>SUMIFS('2023'!$H:$H,'2023'!$E:$E,'S1 - S2  2023'!$B9,'2023'!$N:$N,'S1 - S2  2023'!H$1)</f>
        <v>0</v>
      </c>
      <c r="I9" s="288">
        <f>SUMIFS('2023'!$H:$H,'2023'!$E:$E,'S1 - S2  2023'!$B9,'2023'!$N:$N,'S1 - S2  2023'!I$1)</f>
        <v>0</v>
      </c>
      <c r="J9" s="288">
        <f>SUMIFS('2023'!$H:$H,'2023'!$E:$E,'S1 - S2  2023'!$B9,'2023'!$N:$N,'S1 - S2  2023'!J$1)</f>
        <v>0</v>
      </c>
      <c r="K9" s="288">
        <f>SUMIFS('2023'!$H:$H,'2023'!$E:$E,'S1 - S2  2023'!$B9,'2023'!$N:$N,'S1 - S2  2023'!K$1)</f>
        <v>0</v>
      </c>
      <c r="L9" s="288">
        <f>SUMIFS('2023'!$H:$H,'2023'!$E:$E,'S1 - S2  2023'!$B9,'2023'!$N:$N,'S1 - S2  2023'!L$1)</f>
        <v>0</v>
      </c>
      <c r="M9" s="288">
        <f>SUMIFS('2023'!$H:$H,'2023'!$E:$E,'S1 - S2  2023'!$B9,'2023'!$N:$N,'S1 - S2  2023'!M$1)</f>
        <v>0</v>
      </c>
      <c r="N9" s="288">
        <f>SUMIFS('2023'!$H:$H,'2023'!$E:$E,'S1 - S2  2023'!$B9,'2023'!$N:$N,'S1 - S2  2023'!N$1)</f>
        <v>0</v>
      </c>
      <c r="O9" s="291">
        <f t="shared" si="0"/>
        <v>3000000</v>
      </c>
      <c r="P9" s="478">
        <f>+Category!AM246</f>
        <v>1</v>
      </c>
      <c r="Q9" s="292"/>
      <c r="R9" s="195"/>
      <c r="S9" s="453"/>
      <c r="T9" s="195">
        <f>SUM(T2:T8)</f>
        <v>2109.1087569636566</v>
      </c>
    </row>
    <row r="10" spans="2:20" x14ac:dyDescent="0.2">
      <c r="B10" s="287" t="s">
        <v>1055</v>
      </c>
      <c r="C10" s="288">
        <f>SUMIFS('2023'!$H:$H,'2023'!$E:$E,'S1 - S2  2023'!$B10,'2023'!$N:$N,'S1 - S2  2023'!C$1)</f>
        <v>0</v>
      </c>
      <c r="D10" s="288">
        <f>SUMIFS('2023'!$H:$H,'2023'!$E:$E,'S1 - S2  2023'!$B10,'2023'!$N:$N,'S1 - S2  2023'!D$1)</f>
        <v>0</v>
      </c>
      <c r="E10" s="288">
        <f>SUMIFS('2023'!$H:$H,'2023'!$E:$E,'S1 - S2  2023'!$B10,'2023'!$N:$N,'S1 - S2  2023'!E$1)</f>
        <v>0</v>
      </c>
      <c r="F10" s="288">
        <f>SUMIFS('2023'!$H:$H,'2023'!$E:$E,'S1 - S2  2023'!$B10,'2023'!$N:$N,'S1 - S2  2023'!F$1)</f>
        <v>0</v>
      </c>
      <c r="G10" s="288">
        <f>SUMIFS('2023'!$H:$H,'2023'!$E:$E,'S1 - S2  2023'!$B10,'2023'!$N:$N,'S1 - S2  2023'!G$1)</f>
        <v>0</v>
      </c>
      <c r="H10" s="288">
        <f>SUMIFS('2023'!$H:$H,'2023'!$E:$E,'S1 - S2  2023'!$B10,'2023'!$N:$N,'S1 - S2  2023'!H$1)</f>
        <v>0</v>
      </c>
      <c r="I10" s="288">
        <f>SUMIFS('2023'!$H:$H,'2023'!$E:$E,'S1 - S2  2023'!$B10,'2023'!$N:$N,'S1 - S2  2023'!I$1)</f>
        <v>0</v>
      </c>
      <c r="J10" s="288">
        <f>SUMIFS('2023'!$H:$H,'2023'!$E:$E,'S1 - S2  2023'!$B10,'2023'!$N:$N,'S1 - S2  2023'!J$1)</f>
        <v>0</v>
      </c>
      <c r="K10" s="288">
        <f>SUMIFS('2023'!$H:$H,'2023'!$E:$E,'S1 - S2  2023'!$B10,'2023'!$N:$N,'S1 - S2  2023'!K$1)</f>
        <v>0</v>
      </c>
      <c r="L10" s="288">
        <f>SUMIFS('2023'!$H:$H,'2023'!$E:$E,'S1 - S2  2023'!$B10,'2023'!$N:$N,'S1 - S2  2023'!L$1)</f>
        <v>0</v>
      </c>
      <c r="M10" s="288">
        <f>SUMIFS('2023'!$H:$H,'2023'!$E:$E,'S1 - S2  2023'!$B10,'2023'!$N:$N,'S1 - S2  2023'!M$1)</f>
        <v>0</v>
      </c>
      <c r="N10" s="288">
        <f>SUMIFS('2023'!$H:$H,'2023'!$E:$E,'S1 - S2  2023'!$B10,'2023'!$N:$N,'S1 - S2  2023'!N$1)</f>
        <v>0</v>
      </c>
      <c r="O10" s="291">
        <f t="shared" si="0"/>
        <v>0</v>
      </c>
      <c r="P10" s="478">
        <f>+Category!K278</f>
        <v>0</v>
      </c>
      <c r="Q10" s="292"/>
      <c r="R10" s="195"/>
      <c r="S10" s="453"/>
    </row>
    <row r="11" spans="2:20" ht="23.25" customHeight="1" thickBot="1" x14ac:dyDescent="0.25">
      <c r="B11" s="432" t="s">
        <v>156</v>
      </c>
      <c r="C11" s="433">
        <f t="shared" ref="C11:O11" si="2">SUM(C3:C10)</f>
        <v>391625990</v>
      </c>
      <c r="D11" s="433">
        <f t="shared" si="2"/>
        <v>459280512</v>
      </c>
      <c r="E11" s="433">
        <f t="shared" si="2"/>
        <v>0</v>
      </c>
      <c r="F11" s="433">
        <f t="shared" si="2"/>
        <v>0</v>
      </c>
      <c r="G11" s="433">
        <f t="shared" si="2"/>
        <v>0</v>
      </c>
      <c r="H11" s="433">
        <f t="shared" si="2"/>
        <v>0</v>
      </c>
      <c r="I11" s="433">
        <f t="shared" si="2"/>
        <v>0</v>
      </c>
      <c r="J11" s="433">
        <f t="shared" si="2"/>
        <v>0</v>
      </c>
      <c r="K11" s="433">
        <f t="shared" si="2"/>
        <v>0</v>
      </c>
      <c r="L11" s="433">
        <f t="shared" si="2"/>
        <v>0</v>
      </c>
      <c r="M11" s="433">
        <f t="shared" si="2"/>
        <v>0</v>
      </c>
      <c r="N11" s="433">
        <f t="shared" si="2"/>
        <v>0</v>
      </c>
      <c r="O11" s="434">
        <f t="shared" si="2"/>
        <v>850906502</v>
      </c>
      <c r="P11" s="293">
        <f>SUM(P3:P10)</f>
        <v>3190</v>
      </c>
      <c r="Q11" s="294"/>
    </row>
    <row r="12" spans="2:20" s="175" customFormat="1" ht="5.25" customHeight="1" thickTop="1" x14ac:dyDescent="0.2">
      <c r="B12" s="409"/>
      <c r="C12" s="410"/>
      <c r="D12" s="410"/>
      <c r="E12" s="410"/>
      <c r="F12" s="410"/>
      <c r="G12" s="410"/>
      <c r="H12" s="410"/>
      <c r="I12" s="410"/>
      <c r="J12" s="410"/>
      <c r="K12" s="410"/>
      <c r="L12" s="410"/>
      <c r="M12" s="410"/>
      <c r="N12" s="410"/>
      <c r="O12" s="410"/>
      <c r="P12" s="410"/>
      <c r="Q12" s="411"/>
    </row>
    <row r="13" spans="2:20" x14ac:dyDescent="0.2">
      <c r="C13" s="45">
        <f>+C11-Category!BB338</f>
        <v>0</v>
      </c>
      <c r="D13" s="45">
        <f>+D11-Category!BC338</f>
        <v>0</v>
      </c>
      <c r="E13" s="45">
        <f>+E11-Category!BDP338</f>
        <v>0</v>
      </c>
      <c r="F13" s="45">
        <f>+F11-Category!BE338</f>
        <v>0</v>
      </c>
      <c r="G13" s="45">
        <f>+G11-Category!BF338</f>
        <v>0</v>
      </c>
      <c r="H13" s="45">
        <f>+H11-Category!BG338</f>
        <v>0</v>
      </c>
      <c r="I13" s="45">
        <f>+I11-Category!BH338</f>
        <v>0</v>
      </c>
      <c r="J13" s="45">
        <f>+J11-Category!BI338</f>
        <v>0</v>
      </c>
      <c r="K13" s="45">
        <f>+K11-Category!BJ338</f>
        <v>0</v>
      </c>
      <c r="L13" s="45">
        <f>+L11-Category!BK338</f>
        <v>0</v>
      </c>
      <c r="M13" s="45">
        <f>+M11-Category!BL338</f>
        <v>0</v>
      </c>
      <c r="N13" s="45">
        <f>+N11-Category!BM338</f>
        <v>0</v>
      </c>
      <c r="O13" s="45">
        <f>+O11-Category!BN338</f>
        <v>0</v>
      </c>
      <c r="P13" s="146">
        <f>+P11-Category!AM338</f>
        <v>0</v>
      </c>
    </row>
    <row r="14" spans="2:20" x14ac:dyDescent="0.2">
      <c r="B14" s="89" t="s">
        <v>178</v>
      </c>
    </row>
    <row r="15" spans="2:20" ht="15.75" x14ac:dyDescent="0.2">
      <c r="B15" s="300" t="s">
        <v>183</v>
      </c>
      <c r="C15" s="481"/>
      <c r="M15" s="92"/>
      <c r="N15" s="92"/>
      <c r="O15" s="92"/>
      <c r="P15" s="475"/>
      <c r="Q15" s="91" t="s">
        <v>184</v>
      </c>
    </row>
    <row r="16" spans="2:20" ht="12" customHeight="1" x14ac:dyDescent="0.2">
      <c r="B16" s="482" t="s">
        <v>1023</v>
      </c>
      <c r="C16" s="481"/>
      <c r="M16" s="92"/>
      <c r="N16" s="92"/>
      <c r="O16" s="92"/>
      <c r="P16" s="475"/>
      <c r="Q16" s="91" t="s">
        <v>186</v>
      </c>
    </row>
    <row r="17" spans="2:17" ht="12" customHeight="1" x14ac:dyDescent="0.2">
      <c r="B17" s="482" t="s">
        <v>1024</v>
      </c>
      <c r="C17" s="481"/>
      <c r="M17" s="92"/>
      <c r="N17" s="92"/>
      <c r="O17" s="92"/>
      <c r="P17" s="475"/>
      <c r="Q17" s="91" t="s">
        <v>188</v>
      </c>
    </row>
    <row r="18" spans="2:17" ht="12" customHeight="1" x14ac:dyDescent="0.2">
      <c r="B18" s="482" t="s">
        <v>1025</v>
      </c>
      <c r="C18" s="481"/>
    </row>
    <row r="19" spans="2:17" ht="12" customHeight="1" x14ac:dyDescent="0.2">
      <c r="B19" s="482" t="s">
        <v>1026</v>
      </c>
      <c r="C19" s="481"/>
    </row>
    <row r="20" spans="2:17" s="44" customFormat="1" ht="12" customHeight="1" x14ac:dyDescent="0.2">
      <c r="B20" s="482" t="s">
        <v>1027</v>
      </c>
      <c r="C20" s="481"/>
      <c r="P20" s="476"/>
      <c r="Q20" s="476"/>
    </row>
    <row r="21" spans="2:17" s="44" customFormat="1" ht="12" customHeight="1" x14ac:dyDescent="0.2">
      <c r="B21" s="482" t="s">
        <v>1028</v>
      </c>
      <c r="C21" s="481"/>
      <c r="P21" s="476"/>
      <c r="Q21" s="476"/>
    </row>
    <row r="22" spans="2:17" s="44" customFormat="1" ht="12" customHeight="1" x14ac:dyDescent="0.2">
      <c r="B22" s="482" t="s">
        <v>1029</v>
      </c>
      <c r="C22" s="481"/>
      <c r="P22" s="476"/>
      <c r="Q22" s="476"/>
    </row>
    <row r="23" spans="2:17" s="44" customFormat="1" ht="12" customHeight="1" x14ac:dyDescent="0.2">
      <c r="B23" s="482" t="s">
        <v>1030</v>
      </c>
      <c r="C23" s="481"/>
      <c r="P23" s="476"/>
      <c r="Q23" s="476"/>
    </row>
    <row r="24" spans="2:17" ht="12" customHeight="1" x14ac:dyDescent="0.2">
      <c r="B24" s="482" t="s">
        <v>1031</v>
      </c>
      <c r="C24" s="481"/>
    </row>
    <row r="25" spans="2:17" ht="12" customHeight="1" x14ac:dyDescent="0.2">
      <c r="B25" s="482" t="s">
        <v>1032</v>
      </c>
      <c r="C25" s="481"/>
    </row>
    <row r="26" spans="2:17" ht="12" customHeight="1" x14ac:dyDescent="0.2">
      <c r="B26" s="482" t="s">
        <v>1033</v>
      </c>
      <c r="C26" s="481"/>
    </row>
    <row r="27" spans="2:17" ht="12" customHeight="1" x14ac:dyDescent="0.2">
      <c r="B27" s="482" t="s">
        <v>1034</v>
      </c>
      <c r="C27" s="481"/>
    </row>
    <row r="28" spans="2:17" ht="12" customHeight="1" x14ac:dyDescent="0.2">
      <c r="B28" s="482" t="s">
        <v>1035</v>
      </c>
      <c r="C28" s="481"/>
    </row>
    <row r="29" spans="2:17" ht="12" customHeight="1" x14ac:dyDescent="0.2">
      <c r="B29" s="482" t="s">
        <v>1036</v>
      </c>
      <c r="C29" s="481"/>
    </row>
    <row r="30" spans="2:17" ht="12" customHeight="1" x14ac:dyDescent="0.2">
      <c r="B30" s="482" t="s">
        <v>1037</v>
      </c>
      <c r="C30" s="481"/>
    </row>
    <row r="31" spans="2:17" ht="12" customHeight="1" x14ac:dyDescent="0.2">
      <c r="B31" s="482" t="s">
        <v>1038</v>
      </c>
      <c r="C31" s="481"/>
    </row>
    <row r="32" spans="2:17" ht="12" customHeight="1" x14ac:dyDescent="0.2">
      <c r="B32" s="482" t="s">
        <v>1039</v>
      </c>
      <c r="C32" s="481"/>
    </row>
    <row r="33" spans="2:3" ht="12" customHeight="1" x14ac:dyDescent="0.2">
      <c r="B33" s="482" t="s">
        <v>1040</v>
      </c>
      <c r="C33" s="481"/>
    </row>
    <row r="34" spans="2:3" ht="12" customHeight="1" x14ac:dyDescent="0.2">
      <c r="B34" s="482" t="s">
        <v>1041</v>
      </c>
      <c r="C34" s="481"/>
    </row>
    <row r="35" spans="2:3" ht="12" customHeight="1" x14ac:dyDescent="0.2">
      <c r="B35" s="482" t="s">
        <v>1042</v>
      </c>
      <c r="C35" s="481"/>
    </row>
    <row r="36" spans="2:3" ht="12" customHeight="1" x14ac:dyDescent="0.2">
      <c r="B36" s="482" t="s">
        <v>1043</v>
      </c>
      <c r="C36" s="481"/>
    </row>
    <row r="37" spans="2:3" ht="12" customHeight="1" x14ac:dyDescent="0.2">
      <c r="B37" s="482" t="s">
        <v>1044</v>
      </c>
      <c r="C37" s="481"/>
    </row>
    <row r="38" spans="2:3" ht="12" customHeight="1" x14ac:dyDescent="0.2">
      <c r="B38" s="482" t="s">
        <v>1045</v>
      </c>
      <c r="C38" s="481"/>
    </row>
    <row r="39" spans="2:3" ht="12" customHeight="1" x14ac:dyDescent="0.2">
      <c r="B39" s="482" t="s">
        <v>1046</v>
      </c>
      <c r="C39" s="481"/>
    </row>
    <row r="40" spans="2:3" ht="12" customHeight="1" x14ac:dyDescent="0.2">
      <c r="B40" s="482" t="s">
        <v>1047</v>
      </c>
      <c r="C40" s="481"/>
    </row>
    <row r="41" spans="2:3" ht="12" customHeight="1" x14ac:dyDescent="0.2">
      <c r="B41" s="482" t="s">
        <v>1048</v>
      </c>
      <c r="C41" s="481"/>
    </row>
    <row r="42" spans="2:3" ht="12" customHeight="1" x14ac:dyDescent="0.2">
      <c r="B42" s="482" t="s">
        <v>1049</v>
      </c>
      <c r="C42" s="481"/>
    </row>
    <row r="43" spans="2:3" ht="12" customHeight="1" x14ac:dyDescent="0.2">
      <c r="B43" s="482" t="s">
        <v>1050</v>
      </c>
      <c r="C43" s="481"/>
    </row>
    <row r="44" spans="2:3" ht="12" customHeight="1" x14ac:dyDescent="0.2">
      <c r="B44" s="482" t="s">
        <v>1051</v>
      </c>
      <c r="C44" s="481"/>
    </row>
    <row r="45" spans="2:3" ht="12" customHeight="1" x14ac:dyDescent="0.2">
      <c r="B45" s="482" t="s">
        <v>1052</v>
      </c>
      <c r="C45" s="481"/>
    </row>
    <row r="46" spans="2:3" ht="12" customHeight="1" x14ac:dyDescent="0.2">
      <c r="B46" s="482" t="s">
        <v>1053</v>
      </c>
      <c r="C46" s="481"/>
    </row>
    <row r="47" spans="2:3" ht="12" customHeight="1" x14ac:dyDescent="0.2">
      <c r="B47" s="482" t="s">
        <v>1181</v>
      </c>
      <c r="C47" s="481"/>
    </row>
    <row r="48" spans="2:3" ht="12" customHeight="1" x14ac:dyDescent="0.2">
      <c r="B48" s="482" t="s">
        <v>1182</v>
      </c>
      <c r="C48" s="481"/>
    </row>
    <row r="49" spans="2:2" x14ac:dyDescent="0.2">
      <c r="B49" s="483" t="s">
        <v>1285</v>
      </c>
    </row>
    <row r="50" spans="2:2" x14ac:dyDescent="0.2">
      <c r="B50" s="475" t="s">
        <v>1286</v>
      </c>
    </row>
    <row r="51" spans="2:2" x14ac:dyDescent="0.2">
      <c r="B51" s="483" t="s">
        <v>1287</v>
      </c>
    </row>
    <row r="52" spans="2:2" x14ac:dyDescent="0.2">
      <c r="B52" s="475" t="s">
        <v>1288</v>
      </c>
    </row>
    <row r="53" spans="2:2" x14ac:dyDescent="0.2">
      <c r="B53" s="483"/>
    </row>
  </sheetData>
  <printOptions horizontalCentered="1"/>
  <pageMargins left="0.19685039370078741" right="0.19685039370078741" top="0.15748031496062992" bottom="0.19685039370078741" header="0.11811023622047245" footer="0.11811023622047245"/>
  <pageSetup scale="90"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L188"/>
  <sheetViews>
    <sheetView workbookViewId="0">
      <selection activeCell="B2" sqref="B2:I3"/>
    </sheetView>
  </sheetViews>
  <sheetFormatPr defaultRowHeight="15" x14ac:dyDescent="0.2"/>
  <cols>
    <col min="1" max="1" width="4.16796875" style="11" bestFit="1" customWidth="1"/>
    <col min="2" max="2" width="34.16796875" style="11" customWidth="1"/>
    <col min="3" max="3" width="9.953125" style="11" customWidth="1"/>
    <col min="4" max="4" width="16.8125" style="11" bestFit="1" customWidth="1"/>
    <col min="5" max="5" width="30.265625" style="11" customWidth="1"/>
    <col min="6" max="6" width="19.7734375" style="11" customWidth="1"/>
    <col min="7" max="7" width="15.19921875" style="11" customWidth="1"/>
    <col min="8" max="8" width="9.68359375" style="11" customWidth="1"/>
    <col min="9" max="9" width="8.33984375" style="11" customWidth="1"/>
    <col min="10" max="10" width="14.796875" style="11" bestFit="1" customWidth="1"/>
    <col min="11" max="11" width="18.0234375" style="976" bestFit="1" customWidth="1"/>
    <col min="12" max="12" width="12.9140625" style="11" customWidth="1"/>
  </cols>
  <sheetData>
    <row r="2" spans="1:12" ht="18.75" customHeight="1" x14ac:dyDescent="0.2">
      <c r="A2" s="1077" t="s">
        <v>1127</v>
      </c>
      <c r="B2" s="1077" t="s">
        <v>1876</v>
      </c>
      <c r="C2" s="1077"/>
      <c r="D2" s="1077" t="s">
        <v>1847</v>
      </c>
      <c r="E2" s="1077" t="s">
        <v>314</v>
      </c>
      <c r="F2" s="1077" t="s">
        <v>11</v>
      </c>
      <c r="G2" s="1077" t="s">
        <v>1880</v>
      </c>
      <c r="H2" s="1077" t="s">
        <v>1848</v>
      </c>
      <c r="I2" s="1077"/>
      <c r="J2" s="1079" t="s">
        <v>1869</v>
      </c>
      <c r="K2" s="1081" t="s">
        <v>1870</v>
      </c>
      <c r="L2" s="1077" t="s">
        <v>1871</v>
      </c>
    </row>
    <row r="3" spans="1:12" ht="33.75" customHeight="1" thickBot="1" x14ac:dyDescent="0.25">
      <c r="A3" s="1078"/>
      <c r="B3" s="983" t="s">
        <v>1877</v>
      </c>
      <c r="C3" s="983" t="s">
        <v>1878</v>
      </c>
      <c r="D3" s="1078"/>
      <c r="E3" s="1078"/>
      <c r="F3" s="1078"/>
      <c r="G3" s="1078"/>
      <c r="H3" s="984" t="s">
        <v>1849</v>
      </c>
      <c r="I3" s="984" t="s">
        <v>1879</v>
      </c>
      <c r="J3" s="1080"/>
      <c r="K3" s="1082"/>
      <c r="L3" s="1078"/>
    </row>
    <row r="4" spans="1:12" ht="55.5" thickTop="1" x14ac:dyDescent="0.2">
      <c r="A4" s="980">
        <v>1</v>
      </c>
      <c r="B4" s="981" t="s">
        <v>857</v>
      </c>
      <c r="C4" s="980" t="s">
        <v>1957</v>
      </c>
      <c r="D4" s="980" t="s">
        <v>1431</v>
      </c>
      <c r="E4" s="981" t="s">
        <v>1433</v>
      </c>
      <c r="F4" s="980" t="s">
        <v>1881</v>
      </c>
      <c r="G4" s="980" t="s">
        <v>1882</v>
      </c>
      <c r="H4" s="980">
        <v>38</v>
      </c>
      <c r="I4" s="980"/>
      <c r="J4" s="980" t="s">
        <v>1873</v>
      </c>
      <c r="K4" s="982">
        <v>44282</v>
      </c>
      <c r="L4" s="980" t="s">
        <v>1872</v>
      </c>
    </row>
    <row r="5" spans="1:12" ht="27.75" x14ac:dyDescent="0.2">
      <c r="A5" s="414">
        <v>2</v>
      </c>
      <c r="B5" s="382" t="s">
        <v>856</v>
      </c>
      <c r="C5" s="414" t="s">
        <v>1957</v>
      </c>
      <c r="D5" s="414" t="s">
        <v>1402</v>
      </c>
      <c r="E5" s="382" t="s">
        <v>1412</v>
      </c>
      <c r="F5" s="414" t="s">
        <v>1883</v>
      </c>
      <c r="G5" s="414" t="s">
        <v>1884</v>
      </c>
      <c r="H5" s="414">
        <v>32</v>
      </c>
      <c r="I5" s="414"/>
      <c r="J5" s="414" t="s">
        <v>1873</v>
      </c>
      <c r="K5" s="977">
        <v>44202</v>
      </c>
      <c r="L5" s="414" t="s">
        <v>1872</v>
      </c>
    </row>
    <row r="6" spans="1:12" ht="41.25" x14ac:dyDescent="0.2">
      <c r="A6" s="414">
        <v>3</v>
      </c>
      <c r="B6" s="382" t="s">
        <v>852</v>
      </c>
      <c r="C6" s="414" t="s">
        <v>1958</v>
      </c>
      <c r="D6" s="414" t="s">
        <v>1850</v>
      </c>
      <c r="E6" s="382" t="s">
        <v>1425</v>
      </c>
      <c r="F6" s="414" t="s">
        <v>1885</v>
      </c>
      <c r="G6" s="414" t="s">
        <v>1886</v>
      </c>
      <c r="H6" s="414"/>
      <c r="I6" s="414">
        <v>47</v>
      </c>
      <c r="J6" s="414" t="s">
        <v>1873</v>
      </c>
      <c r="K6" s="977">
        <v>44233</v>
      </c>
      <c r="L6" s="414" t="s">
        <v>1872</v>
      </c>
    </row>
    <row r="7" spans="1:12" ht="41.25" x14ac:dyDescent="0.2">
      <c r="A7" s="414">
        <v>4</v>
      </c>
      <c r="B7" s="382" t="s">
        <v>866</v>
      </c>
      <c r="C7" s="414" t="s">
        <v>1957</v>
      </c>
      <c r="D7" s="414" t="s">
        <v>1415</v>
      </c>
      <c r="E7" s="382" t="s">
        <v>1416</v>
      </c>
      <c r="F7" s="414" t="s">
        <v>1887</v>
      </c>
      <c r="G7" s="414" t="s">
        <v>1888</v>
      </c>
      <c r="H7" s="414">
        <v>63</v>
      </c>
      <c r="I7" s="414"/>
      <c r="J7" s="414" t="s">
        <v>1873</v>
      </c>
      <c r="K7" s="977">
        <v>44449</v>
      </c>
      <c r="L7" s="414" t="s">
        <v>1872</v>
      </c>
    </row>
    <row r="8" spans="1:12" ht="41.25" x14ac:dyDescent="0.2">
      <c r="A8" s="414">
        <v>5</v>
      </c>
      <c r="B8" s="382" t="s">
        <v>867</v>
      </c>
      <c r="C8" s="414" t="s">
        <v>1957</v>
      </c>
      <c r="D8" s="414" t="s">
        <v>1851</v>
      </c>
      <c r="E8" s="382" t="s">
        <v>1417</v>
      </c>
      <c r="F8" s="414" t="s">
        <v>1889</v>
      </c>
      <c r="G8" s="414" t="s">
        <v>1890</v>
      </c>
      <c r="H8" s="414">
        <v>129</v>
      </c>
      <c r="I8" s="414"/>
      <c r="J8" s="414" t="s">
        <v>1873</v>
      </c>
      <c r="K8" s="977">
        <v>44224</v>
      </c>
      <c r="L8" s="414" t="s">
        <v>1872</v>
      </c>
    </row>
    <row r="9" spans="1:12" ht="41.25" x14ac:dyDescent="0.2">
      <c r="A9" s="414">
        <v>6</v>
      </c>
      <c r="B9" s="382" t="s">
        <v>861</v>
      </c>
      <c r="C9" s="414" t="s">
        <v>1957</v>
      </c>
      <c r="D9" s="414" t="s">
        <v>1852</v>
      </c>
      <c r="E9" s="382" t="s">
        <v>1406</v>
      </c>
      <c r="F9" s="414" t="s">
        <v>1891</v>
      </c>
      <c r="G9" s="414">
        <v>82141515655</v>
      </c>
      <c r="H9" s="414">
        <v>65</v>
      </c>
      <c r="I9" s="414"/>
      <c r="J9" s="414" t="s">
        <v>1873</v>
      </c>
      <c r="K9" s="977">
        <v>44449</v>
      </c>
      <c r="L9" s="414" t="s">
        <v>1872</v>
      </c>
    </row>
    <row r="10" spans="1:12" ht="41.25" x14ac:dyDescent="0.2">
      <c r="A10" s="414">
        <v>7</v>
      </c>
      <c r="B10" s="382" t="s">
        <v>228</v>
      </c>
      <c r="C10" s="414" t="s">
        <v>1957</v>
      </c>
      <c r="D10" s="414" t="s">
        <v>1853</v>
      </c>
      <c r="E10" s="382" t="s">
        <v>1407</v>
      </c>
      <c r="F10" s="414" t="s">
        <v>1892</v>
      </c>
      <c r="G10" s="414" t="s">
        <v>1893</v>
      </c>
      <c r="H10" s="414">
        <v>3</v>
      </c>
      <c r="I10" s="414"/>
      <c r="J10" s="414" t="s">
        <v>1873</v>
      </c>
      <c r="K10" s="977">
        <v>44169</v>
      </c>
      <c r="L10" s="414" t="s">
        <v>1872</v>
      </c>
    </row>
    <row r="11" spans="1:12" ht="41.25" x14ac:dyDescent="0.2">
      <c r="A11" s="414">
        <v>8</v>
      </c>
      <c r="B11" s="382" t="s">
        <v>871</v>
      </c>
      <c r="C11" s="414" t="s">
        <v>1960</v>
      </c>
      <c r="D11" s="414" t="s">
        <v>1402</v>
      </c>
      <c r="E11" s="382" t="s">
        <v>1410</v>
      </c>
      <c r="F11" s="414" t="s">
        <v>1894</v>
      </c>
      <c r="G11" s="414" t="s">
        <v>1895</v>
      </c>
      <c r="H11" s="414"/>
      <c r="I11" s="414">
        <v>68</v>
      </c>
      <c r="J11" s="414" t="s">
        <v>1873</v>
      </c>
      <c r="K11" s="977">
        <v>44096</v>
      </c>
      <c r="L11" s="414" t="s">
        <v>1872</v>
      </c>
    </row>
    <row r="12" spans="1:12" ht="41.25" x14ac:dyDescent="0.2">
      <c r="A12" s="414">
        <v>9</v>
      </c>
      <c r="B12" s="382" t="s">
        <v>862</v>
      </c>
      <c r="C12" s="414" t="s">
        <v>1957</v>
      </c>
      <c r="D12" s="414" t="s">
        <v>1402</v>
      </c>
      <c r="E12" s="382" t="s">
        <v>1403</v>
      </c>
      <c r="F12" s="414" t="s">
        <v>1896</v>
      </c>
      <c r="G12" s="414" t="s">
        <v>1897</v>
      </c>
      <c r="H12" s="414">
        <v>46</v>
      </c>
      <c r="I12" s="414"/>
      <c r="J12" s="414" t="s">
        <v>1873</v>
      </c>
      <c r="K12" s="977">
        <v>44449</v>
      </c>
      <c r="L12" s="414" t="s">
        <v>1872</v>
      </c>
    </row>
    <row r="13" spans="1:12" ht="41.25" x14ac:dyDescent="0.2">
      <c r="A13" s="414">
        <v>10</v>
      </c>
      <c r="B13" s="382" t="s">
        <v>848</v>
      </c>
      <c r="C13" s="414" t="s">
        <v>1957</v>
      </c>
      <c r="D13" s="414" t="s">
        <v>1854</v>
      </c>
      <c r="E13" s="382" t="s">
        <v>1420</v>
      </c>
      <c r="F13" s="414" t="s">
        <v>1898</v>
      </c>
      <c r="G13" s="414" t="s">
        <v>1899</v>
      </c>
      <c r="H13" s="414">
        <v>36</v>
      </c>
      <c r="I13" s="414"/>
      <c r="J13" s="414" t="s">
        <v>1873</v>
      </c>
      <c r="K13" s="977">
        <v>44218</v>
      </c>
      <c r="L13" s="414" t="s">
        <v>1872</v>
      </c>
    </row>
    <row r="14" spans="1:12" ht="41.25" x14ac:dyDescent="0.2">
      <c r="A14" s="414">
        <v>11</v>
      </c>
      <c r="B14" s="382" t="s">
        <v>865</v>
      </c>
      <c r="C14" s="414" t="s">
        <v>1957</v>
      </c>
      <c r="D14" s="414" t="s">
        <v>1855</v>
      </c>
      <c r="E14" s="382" t="s">
        <v>1423</v>
      </c>
      <c r="F14" s="414" t="s">
        <v>1900</v>
      </c>
      <c r="G14" s="414" t="s">
        <v>1901</v>
      </c>
      <c r="H14" s="414">
        <v>96</v>
      </c>
      <c r="I14" s="414"/>
      <c r="J14" s="414" t="s">
        <v>1873</v>
      </c>
      <c r="K14" s="977">
        <v>44449</v>
      </c>
      <c r="L14" s="414" t="s">
        <v>1872</v>
      </c>
    </row>
    <row r="15" spans="1:12" ht="41.25" x14ac:dyDescent="0.2">
      <c r="A15" s="414">
        <v>12</v>
      </c>
      <c r="B15" s="382" t="s">
        <v>328</v>
      </c>
      <c r="C15" s="414" t="s">
        <v>1958</v>
      </c>
      <c r="D15" s="414" t="s">
        <v>1431</v>
      </c>
      <c r="E15" s="382" t="s">
        <v>1432</v>
      </c>
      <c r="F15" s="414" t="s">
        <v>1902</v>
      </c>
      <c r="G15" s="414" t="s">
        <v>1903</v>
      </c>
      <c r="H15" s="414"/>
      <c r="I15" s="414">
        <v>10</v>
      </c>
      <c r="J15" s="414" t="s">
        <v>1873</v>
      </c>
      <c r="K15" s="977">
        <v>44163</v>
      </c>
      <c r="L15" s="414" t="s">
        <v>1872</v>
      </c>
    </row>
    <row r="16" spans="1:12" ht="27.75" x14ac:dyDescent="0.2">
      <c r="A16" s="414">
        <v>13</v>
      </c>
      <c r="B16" s="382" t="s">
        <v>362</v>
      </c>
      <c r="C16" s="414" t="s">
        <v>1960</v>
      </c>
      <c r="D16" s="414" t="s">
        <v>1850</v>
      </c>
      <c r="E16" s="382" t="s">
        <v>1430</v>
      </c>
      <c r="F16" s="414" t="s">
        <v>1904</v>
      </c>
      <c r="G16" s="414" t="s">
        <v>1905</v>
      </c>
      <c r="H16" s="414">
        <v>137</v>
      </c>
      <c r="I16" s="414"/>
      <c r="J16" s="414" t="s">
        <v>1873</v>
      </c>
      <c r="K16" s="977">
        <v>44338</v>
      </c>
      <c r="L16" s="414" t="s">
        <v>1872</v>
      </c>
    </row>
    <row r="17" spans="1:12" ht="41.25" x14ac:dyDescent="0.2">
      <c r="A17" s="414">
        <v>14</v>
      </c>
      <c r="B17" s="382" t="s">
        <v>391</v>
      </c>
      <c r="C17" s="414" t="s">
        <v>1960</v>
      </c>
      <c r="D17" s="414" t="s">
        <v>1856</v>
      </c>
      <c r="E17" s="382" t="s">
        <v>1429</v>
      </c>
      <c r="F17" s="414" t="s">
        <v>1906</v>
      </c>
      <c r="G17" s="414" t="s">
        <v>1907</v>
      </c>
      <c r="H17" s="414">
        <v>40</v>
      </c>
      <c r="I17" s="414"/>
      <c r="J17" s="414" t="s">
        <v>1873</v>
      </c>
      <c r="K17" s="977">
        <v>44403</v>
      </c>
      <c r="L17" s="414" t="s">
        <v>1872</v>
      </c>
    </row>
    <row r="18" spans="1:12" ht="68.25" x14ac:dyDescent="0.2">
      <c r="A18" s="414">
        <v>15</v>
      </c>
      <c r="B18" s="382" t="s">
        <v>1115</v>
      </c>
      <c r="C18" s="414" t="s">
        <v>1957</v>
      </c>
      <c r="D18" s="414" t="s">
        <v>1857</v>
      </c>
      <c r="E18" s="382" t="s">
        <v>1436</v>
      </c>
      <c r="F18" s="414" t="s">
        <v>1908</v>
      </c>
      <c r="G18" s="414" t="s">
        <v>1909</v>
      </c>
      <c r="H18" s="414">
        <v>35</v>
      </c>
      <c r="I18" s="414"/>
      <c r="J18" s="414" t="s">
        <v>1873</v>
      </c>
      <c r="K18" s="977">
        <v>44744</v>
      </c>
      <c r="L18" s="414" t="s">
        <v>1872</v>
      </c>
    </row>
    <row r="19" spans="1:12" ht="41.25" x14ac:dyDescent="0.2">
      <c r="A19" s="414">
        <v>16</v>
      </c>
      <c r="B19" s="382" t="s">
        <v>124</v>
      </c>
      <c r="C19" s="414" t="s">
        <v>1957</v>
      </c>
      <c r="D19" s="414" t="s">
        <v>1858</v>
      </c>
      <c r="E19" s="382" t="s">
        <v>1418</v>
      </c>
      <c r="F19" s="414" t="s">
        <v>1910</v>
      </c>
      <c r="G19" s="414" t="s">
        <v>1911</v>
      </c>
      <c r="H19" s="414">
        <v>75</v>
      </c>
      <c r="I19" s="414"/>
      <c r="J19" s="414" t="s">
        <v>1873</v>
      </c>
      <c r="K19" s="977">
        <v>44166</v>
      </c>
      <c r="L19" s="414" t="s">
        <v>1872</v>
      </c>
    </row>
    <row r="20" spans="1:12" ht="41.25" x14ac:dyDescent="0.2">
      <c r="A20" s="414">
        <v>17</v>
      </c>
      <c r="B20" s="382" t="s">
        <v>853</v>
      </c>
      <c r="C20" s="414" t="s">
        <v>1957</v>
      </c>
      <c r="D20" s="414" t="s">
        <v>1402</v>
      </c>
      <c r="E20" s="382" t="s">
        <v>1408</v>
      </c>
      <c r="F20" s="414" t="s">
        <v>1912</v>
      </c>
      <c r="G20" s="414" t="s">
        <v>1913</v>
      </c>
      <c r="H20" s="414">
        <v>25</v>
      </c>
      <c r="I20" s="414"/>
      <c r="J20" s="414" t="s">
        <v>1873</v>
      </c>
      <c r="K20" s="977">
        <v>44249</v>
      </c>
      <c r="L20" s="414" t="s">
        <v>1872</v>
      </c>
    </row>
    <row r="21" spans="1:12" ht="41.25" x14ac:dyDescent="0.2">
      <c r="A21" s="414">
        <v>18</v>
      </c>
      <c r="B21" s="382" t="s">
        <v>872</v>
      </c>
      <c r="C21" s="414" t="s">
        <v>1957</v>
      </c>
      <c r="D21" s="414" t="s">
        <v>1859</v>
      </c>
      <c r="E21" s="382" t="s">
        <v>1434</v>
      </c>
      <c r="F21" s="414" t="s">
        <v>1914</v>
      </c>
      <c r="G21" s="414" t="s">
        <v>1915</v>
      </c>
      <c r="H21" s="414">
        <v>59</v>
      </c>
      <c r="I21" s="414"/>
      <c r="J21" s="414" t="s">
        <v>1873</v>
      </c>
      <c r="K21" s="977">
        <v>44048</v>
      </c>
      <c r="L21" s="414" t="s">
        <v>1872</v>
      </c>
    </row>
    <row r="22" spans="1:12" ht="41.25" x14ac:dyDescent="0.2">
      <c r="A22" s="414">
        <v>19</v>
      </c>
      <c r="B22" s="382" t="s">
        <v>238</v>
      </c>
      <c r="C22" s="414" t="s">
        <v>1960</v>
      </c>
      <c r="D22" s="414" t="s">
        <v>1856</v>
      </c>
      <c r="E22" s="382" t="s">
        <v>1426</v>
      </c>
      <c r="F22" s="414" t="s">
        <v>1922</v>
      </c>
      <c r="G22" s="414" t="s">
        <v>1923</v>
      </c>
      <c r="H22" s="414">
        <v>46</v>
      </c>
      <c r="I22" s="414"/>
      <c r="J22" s="414" t="s">
        <v>1873</v>
      </c>
      <c r="K22" s="977">
        <v>44229</v>
      </c>
      <c r="L22" s="414" t="s">
        <v>1872</v>
      </c>
    </row>
    <row r="23" spans="1:12" ht="41.25" x14ac:dyDescent="0.2">
      <c r="A23" s="414">
        <v>20</v>
      </c>
      <c r="B23" s="382" t="s">
        <v>870</v>
      </c>
      <c r="C23" s="414" t="s">
        <v>1958</v>
      </c>
      <c r="D23" s="414" t="s">
        <v>1860</v>
      </c>
      <c r="E23" s="382" t="s">
        <v>1435</v>
      </c>
      <c r="F23" s="414" t="s">
        <v>1918</v>
      </c>
      <c r="G23" s="414" t="s">
        <v>1919</v>
      </c>
      <c r="H23" s="414"/>
      <c r="I23" s="414">
        <v>26</v>
      </c>
      <c r="J23" s="414" t="s">
        <v>1873</v>
      </c>
      <c r="K23" s="977">
        <v>44108</v>
      </c>
      <c r="L23" s="414" t="s">
        <v>1872</v>
      </c>
    </row>
    <row r="24" spans="1:12" ht="41.25" x14ac:dyDescent="0.2">
      <c r="A24" s="414">
        <v>21</v>
      </c>
      <c r="B24" s="382" t="s">
        <v>849</v>
      </c>
      <c r="C24" s="414" t="s">
        <v>1957</v>
      </c>
      <c r="D24" s="414" t="s">
        <v>1861</v>
      </c>
      <c r="E24" s="382" t="s">
        <v>1404</v>
      </c>
      <c r="F24" s="414" t="s">
        <v>1920</v>
      </c>
      <c r="G24" s="414" t="s">
        <v>1921</v>
      </c>
      <c r="H24" s="414">
        <v>53</v>
      </c>
      <c r="I24" s="414"/>
      <c r="J24" s="414" t="s">
        <v>1873</v>
      </c>
      <c r="K24" s="977">
        <v>44225</v>
      </c>
      <c r="L24" s="414" t="s">
        <v>1872</v>
      </c>
    </row>
    <row r="25" spans="1:12" ht="41.25" x14ac:dyDescent="0.2">
      <c r="A25" s="414">
        <v>22</v>
      </c>
      <c r="B25" s="382" t="s">
        <v>869</v>
      </c>
      <c r="C25" s="414" t="s">
        <v>1957</v>
      </c>
      <c r="D25" s="414" t="s">
        <v>1862</v>
      </c>
      <c r="E25" s="382" t="s">
        <v>1427</v>
      </c>
      <c r="F25" s="414" t="s">
        <v>1916</v>
      </c>
      <c r="G25" s="414" t="s">
        <v>1917</v>
      </c>
      <c r="H25" s="414">
        <v>78</v>
      </c>
      <c r="I25" s="414"/>
      <c r="J25" s="414" t="s">
        <v>1873</v>
      </c>
      <c r="K25" s="977">
        <v>44163</v>
      </c>
      <c r="L25" s="414" t="s">
        <v>1872</v>
      </c>
    </row>
    <row r="26" spans="1:12" ht="41.25" x14ac:dyDescent="0.2">
      <c r="A26" s="414">
        <v>23</v>
      </c>
      <c r="B26" s="382" t="s">
        <v>860</v>
      </c>
      <c r="C26" s="414" t="s">
        <v>1957</v>
      </c>
      <c r="D26" s="414" t="s">
        <v>1863</v>
      </c>
      <c r="E26" s="382" t="s">
        <v>1422</v>
      </c>
      <c r="F26" s="414" t="s">
        <v>1924</v>
      </c>
      <c r="G26" s="414" t="s">
        <v>1925</v>
      </c>
      <c r="H26" s="414">
        <v>45</v>
      </c>
      <c r="I26" s="414"/>
      <c r="J26" s="414" t="s">
        <v>1873</v>
      </c>
      <c r="K26" s="977">
        <v>44449</v>
      </c>
      <c r="L26" s="414" t="s">
        <v>1872</v>
      </c>
    </row>
    <row r="27" spans="1:12" ht="27.75" x14ac:dyDescent="0.2">
      <c r="A27" s="414">
        <v>24</v>
      </c>
      <c r="B27" s="382" t="s">
        <v>855</v>
      </c>
      <c r="C27" s="414" t="s">
        <v>1957</v>
      </c>
      <c r="D27" s="414" t="s">
        <v>1864</v>
      </c>
      <c r="E27" s="382" t="s">
        <v>1419</v>
      </c>
      <c r="F27" s="414" t="s">
        <v>1926</v>
      </c>
      <c r="G27" s="414" t="s">
        <v>1927</v>
      </c>
      <c r="H27" s="414">
        <v>91</v>
      </c>
      <c r="I27" s="414"/>
      <c r="J27" s="414" t="s">
        <v>1873</v>
      </c>
      <c r="K27" s="977">
        <v>44231</v>
      </c>
      <c r="L27" s="414" t="s">
        <v>1872</v>
      </c>
    </row>
    <row r="28" spans="1:12" ht="41.25" x14ac:dyDescent="0.2">
      <c r="A28" s="414">
        <v>25</v>
      </c>
      <c r="B28" s="382" t="s">
        <v>858</v>
      </c>
      <c r="C28" s="414" t="s">
        <v>1957</v>
      </c>
      <c r="D28" s="414" t="s">
        <v>1850</v>
      </c>
      <c r="E28" s="382" t="s">
        <v>1428</v>
      </c>
      <c r="F28" s="414" t="s">
        <v>1928</v>
      </c>
      <c r="G28" s="414" t="s">
        <v>1929</v>
      </c>
      <c r="H28" s="414">
        <v>320</v>
      </c>
      <c r="I28" s="414"/>
      <c r="J28" s="414" t="s">
        <v>1873</v>
      </c>
      <c r="K28" s="977">
        <v>44338</v>
      </c>
      <c r="L28" s="414" t="s">
        <v>1872</v>
      </c>
    </row>
    <row r="29" spans="1:12" ht="41.25" x14ac:dyDescent="0.2">
      <c r="A29" s="414">
        <v>26</v>
      </c>
      <c r="B29" s="382" t="s">
        <v>854</v>
      </c>
      <c r="C29" s="414" t="s">
        <v>1957</v>
      </c>
      <c r="D29" s="414" t="s">
        <v>1402</v>
      </c>
      <c r="E29" s="382" t="s">
        <v>1411</v>
      </c>
      <c r="F29" s="414" t="s">
        <v>1930</v>
      </c>
      <c r="G29" s="414" t="s">
        <v>1931</v>
      </c>
      <c r="H29" s="414">
        <v>118</v>
      </c>
      <c r="I29" s="414"/>
      <c r="J29" s="414" t="s">
        <v>1873</v>
      </c>
      <c r="K29" s="977">
        <v>44261</v>
      </c>
      <c r="L29" s="414" t="s">
        <v>1872</v>
      </c>
    </row>
    <row r="30" spans="1:12" ht="41.25" x14ac:dyDescent="0.2">
      <c r="A30" s="414">
        <v>27</v>
      </c>
      <c r="B30" s="382" t="s">
        <v>229</v>
      </c>
      <c r="C30" s="414" t="s">
        <v>1960</v>
      </c>
      <c r="D30" s="414" t="s">
        <v>1865</v>
      </c>
      <c r="E30" s="382" t="s">
        <v>1413</v>
      </c>
      <c r="F30" s="414" t="s">
        <v>1932</v>
      </c>
      <c r="G30" s="414" t="s">
        <v>1933</v>
      </c>
      <c r="H30" s="414">
        <v>48</v>
      </c>
      <c r="I30" s="414"/>
      <c r="J30" s="414" t="s">
        <v>1873</v>
      </c>
      <c r="K30" s="977">
        <v>44183</v>
      </c>
      <c r="L30" s="414" t="s">
        <v>1872</v>
      </c>
    </row>
    <row r="31" spans="1:12" ht="41.25" x14ac:dyDescent="0.2">
      <c r="A31" s="414">
        <v>28</v>
      </c>
      <c r="B31" s="382" t="s">
        <v>850</v>
      </c>
      <c r="C31" s="414" t="s">
        <v>1957</v>
      </c>
      <c r="D31" s="414" t="s">
        <v>1852</v>
      </c>
      <c r="E31" s="382" t="s">
        <v>1405</v>
      </c>
      <c r="F31" s="414" t="s">
        <v>1934</v>
      </c>
      <c r="G31" s="414" t="s">
        <v>1935</v>
      </c>
      <c r="H31" s="414">
        <v>61</v>
      </c>
      <c r="I31" s="414"/>
      <c r="J31" s="414" t="s">
        <v>1873</v>
      </c>
      <c r="K31" s="977">
        <v>44227</v>
      </c>
      <c r="L31" s="414" t="s">
        <v>1872</v>
      </c>
    </row>
    <row r="32" spans="1:12" ht="68.25" x14ac:dyDescent="0.2">
      <c r="A32" s="414">
        <v>29</v>
      </c>
      <c r="B32" s="382" t="s">
        <v>1099</v>
      </c>
      <c r="C32" s="414" t="s">
        <v>1960</v>
      </c>
      <c r="D32" s="414" t="s">
        <v>1853</v>
      </c>
      <c r="E32" s="382" t="s">
        <v>1101</v>
      </c>
      <c r="F32" s="414" t="s">
        <v>1936</v>
      </c>
      <c r="G32" s="414" t="s">
        <v>1937</v>
      </c>
      <c r="H32" s="414">
        <v>60</v>
      </c>
      <c r="I32" s="414"/>
      <c r="J32" s="414" t="s">
        <v>1873</v>
      </c>
      <c r="K32" s="977">
        <v>44673</v>
      </c>
      <c r="L32" s="414" t="s">
        <v>1872</v>
      </c>
    </row>
    <row r="33" spans="1:12" ht="27.75" x14ac:dyDescent="0.2">
      <c r="A33" s="414">
        <v>30</v>
      </c>
      <c r="B33" s="382" t="s">
        <v>868</v>
      </c>
      <c r="C33" s="414" t="s">
        <v>1957</v>
      </c>
      <c r="D33" s="414" t="s">
        <v>1851</v>
      </c>
      <c r="E33" s="382" t="s">
        <v>1414</v>
      </c>
      <c r="F33" s="414" t="s">
        <v>1938</v>
      </c>
      <c r="G33" s="414" t="s">
        <v>1939</v>
      </c>
      <c r="H33" s="414">
        <v>27</v>
      </c>
      <c r="I33" s="414"/>
      <c r="J33" s="414" t="s">
        <v>1873</v>
      </c>
      <c r="K33" s="977">
        <v>43861</v>
      </c>
      <c r="L33" s="414" t="s">
        <v>1872</v>
      </c>
    </row>
    <row r="34" spans="1:12" ht="41.25" x14ac:dyDescent="0.2">
      <c r="A34" s="414">
        <v>31</v>
      </c>
      <c r="B34" s="382" t="s">
        <v>864</v>
      </c>
      <c r="C34" s="414" t="s">
        <v>1957</v>
      </c>
      <c r="D34" s="414" t="s">
        <v>1866</v>
      </c>
      <c r="E34" s="382" t="s">
        <v>1421</v>
      </c>
      <c r="F34" s="414" t="s">
        <v>1940</v>
      </c>
      <c r="G34" s="414" t="s">
        <v>1941</v>
      </c>
      <c r="H34" s="414">
        <v>141</v>
      </c>
      <c r="I34" s="414"/>
      <c r="J34" s="414" t="s">
        <v>1873</v>
      </c>
      <c r="K34" s="977">
        <v>44449</v>
      </c>
      <c r="L34" s="414" t="s">
        <v>1872</v>
      </c>
    </row>
    <row r="35" spans="1:12" ht="41.25" x14ac:dyDescent="0.2">
      <c r="A35" s="414">
        <v>32</v>
      </c>
      <c r="B35" s="382" t="s">
        <v>863</v>
      </c>
      <c r="C35" s="414" t="s">
        <v>1957</v>
      </c>
      <c r="D35" s="414" t="s">
        <v>1857</v>
      </c>
      <c r="E35" s="382" t="s">
        <v>1424</v>
      </c>
      <c r="F35" s="414" t="s">
        <v>1942</v>
      </c>
      <c r="G35" s="414" t="s">
        <v>1943</v>
      </c>
      <c r="H35" s="414">
        <v>142</v>
      </c>
      <c r="I35" s="414"/>
      <c r="J35" s="414" t="s">
        <v>1873</v>
      </c>
      <c r="K35" s="977">
        <v>44449</v>
      </c>
      <c r="L35" s="414" t="s">
        <v>1872</v>
      </c>
    </row>
    <row r="36" spans="1:12" ht="41.25" x14ac:dyDescent="0.2">
      <c r="A36" s="414">
        <v>33</v>
      </c>
      <c r="B36" s="382" t="s">
        <v>851</v>
      </c>
      <c r="C36" s="414" t="s">
        <v>1957</v>
      </c>
      <c r="D36" s="414" t="s">
        <v>1402</v>
      </c>
      <c r="E36" s="382" t="s">
        <v>1409</v>
      </c>
      <c r="F36" s="414" t="s">
        <v>1944</v>
      </c>
      <c r="G36" s="414" t="s">
        <v>1945</v>
      </c>
      <c r="H36" s="414">
        <v>27</v>
      </c>
      <c r="I36" s="414"/>
      <c r="J36" s="414" t="s">
        <v>1873</v>
      </c>
      <c r="K36" s="977">
        <v>44233</v>
      </c>
      <c r="L36" s="414" t="s">
        <v>1872</v>
      </c>
    </row>
    <row r="37" spans="1:12" ht="54.75" x14ac:dyDescent="0.2">
      <c r="A37" s="414">
        <v>34</v>
      </c>
      <c r="B37" s="382" t="s">
        <v>859</v>
      </c>
      <c r="C37" s="414" t="s">
        <v>1957</v>
      </c>
      <c r="D37" s="414" t="s">
        <v>1867</v>
      </c>
      <c r="E37" s="382" t="s">
        <v>1946</v>
      </c>
      <c r="F37" s="414" t="s">
        <v>381</v>
      </c>
      <c r="G37" s="414" t="s">
        <v>1947</v>
      </c>
      <c r="H37" s="414">
        <v>25</v>
      </c>
      <c r="I37" s="414"/>
      <c r="J37" s="978" t="s">
        <v>1875</v>
      </c>
      <c r="K37" s="977">
        <v>44169</v>
      </c>
      <c r="L37" s="414" t="s">
        <v>1872</v>
      </c>
    </row>
    <row r="38" spans="1:12" ht="68.25" x14ac:dyDescent="0.2">
      <c r="A38" s="414">
        <v>35</v>
      </c>
      <c r="B38" s="382" t="s">
        <v>256</v>
      </c>
      <c r="C38" s="414" t="s">
        <v>1960</v>
      </c>
      <c r="D38" s="414" t="s">
        <v>1868</v>
      </c>
      <c r="E38" s="382" t="s">
        <v>1948</v>
      </c>
      <c r="F38" s="414" t="s">
        <v>1954</v>
      </c>
      <c r="G38" s="414" t="s">
        <v>1949</v>
      </c>
      <c r="H38" s="414"/>
      <c r="I38" s="414">
        <f>90+20</f>
        <v>110</v>
      </c>
      <c r="J38" s="978" t="s">
        <v>1875</v>
      </c>
      <c r="K38" s="977">
        <v>43737</v>
      </c>
      <c r="L38" s="414" t="s">
        <v>1872</v>
      </c>
    </row>
    <row r="39" spans="1:12" ht="54.75" x14ac:dyDescent="0.2">
      <c r="A39" s="414">
        <v>36</v>
      </c>
      <c r="B39" s="382" t="s">
        <v>257</v>
      </c>
      <c r="C39" s="414" t="s">
        <v>1957</v>
      </c>
      <c r="D39" s="414" t="s">
        <v>1868</v>
      </c>
      <c r="E39" s="382" t="s">
        <v>1950</v>
      </c>
      <c r="F39" s="414" t="s">
        <v>1954</v>
      </c>
      <c r="G39" s="979" t="s">
        <v>1951</v>
      </c>
      <c r="H39" s="414"/>
      <c r="I39" s="414">
        <f>140+5</f>
        <v>145</v>
      </c>
      <c r="J39" s="978" t="s">
        <v>1875</v>
      </c>
      <c r="K39" s="977">
        <v>43737</v>
      </c>
      <c r="L39" s="414" t="s">
        <v>1872</v>
      </c>
    </row>
    <row r="40" spans="1:12" ht="68.25" x14ac:dyDescent="0.2">
      <c r="A40" s="414">
        <v>37</v>
      </c>
      <c r="B40" s="382" t="s">
        <v>222</v>
      </c>
      <c r="C40" s="414" t="s">
        <v>1959</v>
      </c>
      <c r="D40" s="414" t="s">
        <v>1868</v>
      </c>
      <c r="E40" s="382" t="s">
        <v>1952</v>
      </c>
      <c r="F40" s="414" t="s">
        <v>1954</v>
      </c>
      <c r="G40" s="979" t="s">
        <v>1953</v>
      </c>
      <c r="H40" s="414">
        <f>32+8</f>
        <v>40</v>
      </c>
      <c r="I40" s="414">
        <v>17</v>
      </c>
      <c r="J40" s="978" t="s">
        <v>1875</v>
      </c>
      <c r="K40" s="977">
        <v>43737</v>
      </c>
      <c r="L40" s="414" t="s">
        <v>1872</v>
      </c>
    </row>
    <row r="49" spans="1:11" s="476" customFormat="1" ht="16.5" customHeight="1" x14ac:dyDescent="0.2">
      <c r="A49" s="1085" t="s">
        <v>1127</v>
      </c>
      <c r="B49" s="1087" t="s">
        <v>33</v>
      </c>
      <c r="C49" s="1088"/>
      <c r="D49" s="1085" t="s">
        <v>1847</v>
      </c>
      <c r="E49" s="1085" t="s">
        <v>314</v>
      </c>
      <c r="F49" s="1085" t="s">
        <v>11</v>
      </c>
      <c r="G49" s="1085" t="s">
        <v>1880</v>
      </c>
      <c r="H49" s="1085" t="s">
        <v>1956</v>
      </c>
      <c r="I49" s="1083" t="s">
        <v>1870</v>
      </c>
      <c r="J49" s="1083" t="s">
        <v>1965</v>
      </c>
      <c r="K49" s="1085" t="s">
        <v>1871</v>
      </c>
    </row>
    <row r="50" spans="1:11" s="476" customFormat="1" ht="15.75" thickBot="1" x14ac:dyDescent="0.25">
      <c r="A50" s="1086"/>
      <c r="B50" s="1034" t="s">
        <v>1877</v>
      </c>
      <c r="C50" s="1034" t="s">
        <v>1878</v>
      </c>
      <c r="D50" s="1086"/>
      <c r="E50" s="1086"/>
      <c r="F50" s="1086"/>
      <c r="G50" s="1086"/>
      <c r="H50" s="1086"/>
      <c r="I50" s="1084"/>
      <c r="J50" s="1084"/>
      <c r="K50" s="1086"/>
    </row>
    <row r="51" spans="1:11" s="476" customFormat="1" ht="42" thickTop="1" x14ac:dyDescent="0.2">
      <c r="A51" s="980">
        <v>1</v>
      </c>
      <c r="B51" s="981" t="s">
        <v>32</v>
      </c>
      <c r="C51" s="980" t="s">
        <v>179</v>
      </c>
      <c r="D51" s="980" t="s">
        <v>1961</v>
      </c>
      <c r="E51" s="981"/>
      <c r="F51" s="980" t="s">
        <v>1962</v>
      </c>
      <c r="G51" s="998" t="s">
        <v>2016</v>
      </c>
      <c r="H51" s="1014">
        <v>8</v>
      </c>
      <c r="I51" s="982">
        <v>43992</v>
      </c>
      <c r="J51" s="982"/>
      <c r="K51" s="980" t="s">
        <v>1963</v>
      </c>
    </row>
    <row r="52" spans="1:11" s="476" customFormat="1" ht="27.75" x14ac:dyDescent="0.2">
      <c r="A52" s="414">
        <v>2</v>
      </c>
      <c r="B52" s="382" t="s">
        <v>35</v>
      </c>
      <c r="C52" s="980" t="s">
        <v>179</v>
      </c>
      <c r="D52" s="414" t="s">
        <v>1966</v>
      </c>
      <c r="E52" s="382"/>
      <c r="F52" s="414" t="s">
        <v>136</v>
      </c>
      <c r="G52" s="997" t="s">
        <v>2017</v>
      </c>
      <c r="H52" s="930">
        <v>312</v>
      </c>
      <c r="I52" s="982">
        <v>43743</v>
      </c>
      <c r="J52" s="982"/>
      <c r="K52" s="414" t="s">
        <v>1964</v>
      </c>
    </row>
    <row r="53" spans="1:11" s="476" customFormat="1" ht="27.75" x14ac:dyDescent="0.2">
      <c r="A53" s="414">
        <v>3</v>
      </c>
      <c r="B53" s="382" t="s">
        <v>25</v>
      </c>
      <c r="C53" s="980" t="s">
        <v>179</v>
      </c>
      <c r="D53" s="414" t="s">
        <v>2060</v>
      </c>
      <c r="E53" s="382"/>
      <c r="F53" s="414" t="s">
        <v>2040</v>
      </c>
      <c r="G53" s="997" t="s">
        <v>2041</v>
      </c>
      <c r="H53" s="930">
        <v>0</v>
      </c>
      <c r="I53" s="977"/>
      <c r="J53" s="977"/>
      <c r="K53" s="414"/>
    </row>
    <row r="54" spans="1:11" s="476" customFormat="1" ht="41.25" x14ac:dyDescent="0.2">
      <c r="A54" s="414">
        <v>4</v>
      </c>
      <c r="B54" s="999" t="s">
        <v>2066</v>
      </c>
      <c r="C54" s="980" t="s">
        <v>179</v>
      </c>
      <c r="D54" s="414" t="s">
        <v>2067</v>
      </c>
      <c r="E54" s="382"/>
      <c r="F54" s="414" t="s">
        <v>1245</v>
      </c>
      <c r="G54" s="997" t="s">
        <v>2018</v>
      </c>
      <c r="H54" s="930">
        <v>47</v>
      </c>
      <c r="I54" s="977">
        <v>43722</v>
      </c>
      <c r="J54" s="977"/>
      <c r="K54" s="414"/>
    </row>
    <row r="55" spans="1:11" s="476" customFormat="1" ht="27.75" x14ac:dyDescent="0.2">
      <c r="A55" s="414">
        <v>5</v>
      </c>
      <c r="B55" s="382" t="s">
        <v>53</v>
      </c>
      <c r="C55" s="980" t="s">
        <v>179</v>
      </c>
      <c r="D55" s="414" t="s">
        <v>2061</v>
      </c>
      <c r="E55" s="382"/>
      <c r="F55" s="414" t="s">
        <v>2019</v>
      </c>
      <c r="G55" s="997" t="s">
        <v>2020</v>
      </c>
      <c r="H55" s="930">
        <v>47</v>
      </c>
      <c r="I55" s="977">
        <v>43797</v>
      </c>
      <c r="J55" s="977"/>
      <c r="K55" s="414"/>
    </row>
    <row r="56" spans="1:11" s="476" customFormat="1" ht="27.75" x14ac:dyDescent="0.2">
      <c r="A56" s="414">
        <v>6</v>
      </c>
      <c r="B56" s="382" t="s">
        <v>60</v>
      </c>
      <c r="C56" s="980" t="s">
        <v>179</v>
      </c>
      <c r="D56" s="414" t="s">
        <v>2062</v>
      </c>
      <c r="E56" s="382"/>
      <c r="F56" s="414" t="s">
        <v>2022</v>
      </c>
      <c r="G56" s="414" t="s">
        <v>2021</v>
      </c>
      <c r="H56" s="930">
        <v>37</v>
      </c>
      <c r="I56" s="977">
        <v>43797</v>
      </c>
      <c r="J56" s="977"/>
      <c r="K56" s="414"/>
    </row>
    <row r="57" spans="1:11" s="476" customFormat="1" ht="27.75" x14ac:dyDescent="0.2">
      <c r="A57" s="414">
        <v>7</v>
      </c>
      <c r="B57" s="382" t="s">
        <v>64</v>
      </c>
      <c r="C57" s="980" t="s">
        <v>179</v>
      </c>
      <c r="D57" s="414" t="s">
        <v>2063</v>
      </c>
      <c r="E57" s="382"/>
      <c r="F57" s="414" t="s">
        <v>2023</v>
      </c>
      <c r="G57" s="997" t="s">
        <v>2024</v>
      </c>
      <c r="H57" s="930">
        <v>0</v>
      </c>
      <c r="I57" s="977">
        <v>43798</v>
      </c>
      <c r="J57" s="977"/>
      <c r="K57" s="414"/>
    </row>
    <row r="58" spans="1:11" s="476" customFormat="1" ht="27.75" x14ac:dyDescent="0.2">
      <c r="A58" s="414">
        <v>8</v>
      </c>
      <c r="B58" s="382" t="s">
        <v>75</v>
      </c>
      <c r="C58" s="980" t="s">
        <v>179</v>
      </c>
      <c r="D58" s="414" t="s">
        <v>2065</v>
      </c>
      <c r="E58" s="382"/>
      <c r="F58" s="414" t="s">
        <v>2064</v>
      </c>
      <c r="G58" s="997" t="s">
        <v>2025</v>
      </c>
      <c r="H58" s="930">
        <v>0</v>
      </c>
      <c r="I58" s="977">
        <v>44098</v>
      </c>
      <c r="J58" s="977"/>
      <c r="K58" s="414"/>
    </row>
    <row r="59" spans="1:11" s="476" customFormat="1" ht="27.75" x14ac:dyDescent="0.2">
      <c r="A59" s="414">
        <v>9</v>
      </c>
      <c r="B59" s="382" t="s">
        <v>79</v>
      </c>
      <c r="C59" s="980" t="s">
        <v>179</v>
      </c>
      <c r="D59" s="414" t="s">
        <v>2093</v>
      </c>
      <c r="E59" s="382"/>
      <c r="F59" s="414" t="s">
        <v>2026</v>
      </c>
      <c r="G59" s="997" t="s">
        <v>2027</v>
      </c>
      <c r="H59" s="930">
        <v>0</v>
      </c>
      <c r="I59" s="977">
        <v>45191</v>
      </c>
      <c r="J59" s="977"/>
      <c r="K59" s="414"/>
    </row>
    <row r="60" spans="1:11" s="476" customFormat="1" ht="27.75" x14ac:dyDescent="0.2">
      <c r="A60" s="414">
        <v>10</v>
      </c>
      <c r="B60" s="382" t="s">
        <v>83</v>
      </c>
      <c r="C60" s="980" t="s">
        <v>179</v>
      </c>
      <c r="D60" s="414"/>
      <c r="E60" s="382"/>
      <c r="F60" s="414" t="s">
        <v>2028</v>
      </c>
      <c r="G60" s="414"/>
      <c r="H60" s="930">
        <v>0</v>
      </c>
      <c r="I60" s="977">
        <v>44098</v>
      </c>
      <c r="J60" s="977"/>
      <c r="K60" s="414"/>
    </row>
    <row r="61" spans="1:11" s="476" customFormat="1" ht="27.75" x14ac:dyDescent="0.2">
      <c r="A61" s="414">
        <v>11</v>
      </c>
      <c r="B61" s="382" t="s">
        <v>87</v>
      </c>
      <c r="C61" s="980" t="s">
        <v>179</v>
      </c>
      <c r="D61" s="414"/>
      <c r="E61" s="382"/>
      <c r="F61" s="414" t="s">
        <v>493</v>
      </c>
      <c r="G61" s="997" t="s">
        <v>2029</v>
      </c>
      <c r="H61" s="930">
        <v>24</v>
      </c>
      <c r="I61" s="977">
        <v>43896</v>
      </c>
      <c r="J61" s="977"/>
      <c r="K61" s="414"/>
    </row>
    <row r="62" spans="1:11" s="476" customFormat="1" ht="27.75" x14ac:dyDescent="0.2">
      <c r="A62" s="414">
        <v>12</v>
      </c>
      <c r="B62" s="382" t="s">
        <v>90</v>
      </c>
      <c r="C62" s="980" t="s">
        <v>179</v>
      </c>
      <c r="D62" s="414"/>
      <c r="E62" s="382"/>
      <c r="F62" s="414" t="s">
        <v>2031</v>
      </c>
      <c r="G62" s="997" t="s">
        <v>2030</v>
      </c>
      <c r="H62" s="930">
        <v>0</v>
      </c>
      <c r="I62" s="977">
        <v>44160</v>
      </c>
      <c r="J62" s="977"/>
      <c r="K62" s="414"/>
    </row>
    <row r="63" spans="1:11" s="476" customFormat="1" ht="27.75" x14ac:dyDescent="0.2">
      <c r="A63" s="414">
        <v>13</v>
      </c>
      <c r="B63" s="382" t="s">
        <v>114</v>
      </c>
      <c r="C63" s="980" t="s">
        <v>179</v>
      </c>
      <c r="D63" s="414"/>
      <c r="E63" s="382"/>
      <c r="F63" s="414" t="s">
        <v>2033</v>
      </c>
      <c r="G63" s="997" t="s">
        <v>2032</v>
      </c>
      <c r="H63" s="930">
        <v>0</v>
      </c>
      <c r="I63" s="977">
        <v>43798</v>
      </c>
      <c r="J63" s="977"/>
      <c r="K63" s="414"/>
    </row>
    <row r="64" spans="1:11" s="476" customFormat="1" ht="27.75" x14ac:dyDescent="0.2">
      <c r="A64" s="414">
        <v>14</v>
      </c>
      <c r="B64" s="382" t="s">
        <v>129</v>
      </c>
      <c r="C64" s="980" t="s">
        <v>179</v>
      </c>
      <c r="D64" s="414"/>
      <c r="E64" s="382"/>
      <c r="F64" s="414" t="s">
        <v>2035</v>
      </c>
      <c r="G64" s="997" t="s">
        <v>2034</v>
      </c>
      <c r="H64" s="930">
        <v>40</v>
      </c>
      <c r="I64" s="977">
        <v>44141</v>
      </c>
      <c r="J64" s="977"/>
      <c r="K64" s="414"/>
    </row>
    <row r="65" spans="1:11" s="476" customFormat="1" ht="27.75" x14ac:dyDescent="0.2">
      <c r="A65" s="414">
        <v>15</v>
      </c>
      <c r="B65" s="382" t="s">
        <v>106</v>
      </c>
      <c r="C65" s="980" t="s">
        <v>179</v>
      </c>
      <c r="D65" s="414"/>
      <c r="E65" s="382"/>
      <c r="F65" s="414" t="s">
        <v>2036</v>
      </c>
      <c r="G65" s="997" t="s">
        <v>2037</v>
      </c>
      <c r="H65" s="930">
        <v>85</v>
      </c>
      <c r="I65" s="977">
        <v>43740</v>
      </c>
      <c r="J65" s="977"/>
      <c r="K65" s="414"/>
    </row>
    <row r="66" spans="1:11" s="476" customFormat="1" ht="27.75" x14ac:dyDescent="0.2">
      <c r="A66" s="414">
        <v>16</v>
      </c>
      <c r="B66" s="382" t="s">
        <v>1231</v>
      </c>
      <c r="C66" s="980" t="s">
        <v>179</v>
      </c>
      <c r="D66" s="414"/>
      <c r="E66" s="382"/>
      <c r="F66" s="414" t="s">
        <v>2038</v>
      </c>
      <c r="G66" s="997" t="s">
        <v>2039</v>
      </c>
      <c r="H66" s="930">
        <v>0</v>
      </c>
      <c r="I66" s="977">
        <v>43797</v>
      </c>
      <c r="J66" s="977"/>
      <c r="K66" s="414"/>
    </row>
    <row r="67" spans="1:11" s="476" customFormat="1" ht="54.75" x14ac:dyDescent="0.2">
      <c r="A67" s="414">
        <v>17</v>
      </c>
      <c r="B67" s="382" t="s">
        <v>486</v>
      </c>
      <c r="C67" s="980" t="s">
        <v>179</v>
      </c>
      <c r="D67" s="414" t="s">
        <v>2096</v>
      </c>
      <c r="E67" s="382" t="s">
        <v>2095</v>
      </c>
      <c r="F67" s="414" t="s">
        <v>2094</v>
      </c>
      <c r="G67" s="997" t="s">
        <v>2097</v>
      </c>
      <c r="H67" s="930">
        <v>44</v>
      </c>
      <c r="I67" s="977">
        <v>44454</v>
      </c>
      <c r="J67" s="977"/>
      <c r="K67" s="414"/>
    </row>
    <row r="68" spans="1:11" s="476" customFormat="1" ht="27.75" x14ac:dyDescent="0.2">
      <c r="A68" s="414">
        <v>18</v>
      </c>
      <c r="B68" s="382" t="s">
        <v>618</v>
      </c>
      <c r="C68" s="980" t="s">
        <v>179</v>
      </c>
      <c r="D68" s="414" t="s">
        <v>2084</v>
      </c>
      <c r="E68" s="382" t="s">
        <v>2076</v>
      </c>
      <c r="F68" s="414" t="s">
        <v>2078</v>
      </c>
      <c r="G68" s="414" t="s">
        <v>2079</v>
      </c>
      <c r="H68" s="930">
        <v>0</v>
      </c>
      <c r="I68" s="977"/>
      <c r="J68" s="977"/>
      <c r="K68" s="414"/>
    </row>
    <row r="69" spans="1:11" s="476" customFormat="1" ht="27.75" x14ac:dyDescent="0.2">
      <c r="A69" s="414">
        <v>19</v>
      </c>
      <c r="B69" s="382" t="s">
        <v>619</v>
      </c>
      <c r="C69" s="980" t="s">
        <v>179</v>
      </c>
      <c r="D69" s="414" t="s">
        <v>2084</v>
      </c>
      <c r="E69" s="382" t="s">
        <v>2076</v>
      </c>
      <c r="F69" s="414" t="s">
        <v>2078</v>
      </c>
      <c r="G69" s="414" t="s">
        <v>2079</v>
      </c>
      <c r="H69" s="930">
        <v>0</v>
      </c>
      <c r="I69" s="977"/>
      <c r="J69" s="977"/>
      <c r="K69" s="414"/>
    </row>
    <row r="70" spans="1:11" s="476" customFormat="1" ht="27.75" x14ac:dyDescent="0.2">
      <c r="A70" s="414">
        <v>20</v>
      </c>
      <c r="B70" s="382" t="s">
        <v>620</v>
      </c>
      <c r="C70" s="980" t="s">
        <v>179</v>
      </c>
      <c r="D70" s="414" t="s">
        <v>2084</v>
      </c>
      <c r="E70" s="382" t="s">
        <v>2076</v>
      </c>
      <c r="F70" s="414" t="s">
        <v>2078</v>
      </c>
      <c r="G70" s="414" t="s">
        <v>2079</v>
      </c>
      <c r="H70" s="930">
        <v>0</v>
      </c>
      <c r="I70" s="977"/>
      <c r="J70" s="977"/>
      <c r="K70" s="414"/>
    </row>
    <row r="71" spans="1:11" s="476" customFormat="1" x14ac:dyDescent="0.2">
      <c r="A71" s="11"/>
      <c r="B71" s="11"/>
      <c r="C71" s="11"/>
      <c r="D71" s="11"/>
      <c r="E71" s="11"/>
      <c r="F71" s="11"/>
      <c r="G71" s="11"/>
      <c r="H71" s="54"/>
      <c r="I71" s="1022"/>
      <c r="J71" s="976"/>
      <c r="K71" s="11"/>
    </row>
    <row r="72" spans="1:11" s="476" customFormat="1" x14ac:dyDescent="0.2">
      <c r="A72" s="11"/>
      <c r="B72" s="11"/>
      <c r="C72" s="11"/>
      <c r="D72" s="11"/>
      <c r="E72" s="11"/>
      <c r="F72" s="11"/>
      <c r="G72" s="11"/>
      <c r="H72" s="54"/>
      <c r="I72" s="1022"/>
      <c r="J72" s="976"/>
      <c r="K72" s="11"/>
    </row>
    <row r="73" spans="1:11" s="476" customFormat="1" x14ac:dyDescent="0.2">
      <c r="A73" s="11"/>
      <c r="B73" s="11"/>
      <c r="C73" s="11"/>
      <c r="D73" s="11"/>
      <c r="E73" s="11"/>
      <c r="F73" s="11"/>
      <c r="G73" s="11"/>
      <c r="H73" s="54"/>
      <c r="I73" s="1022"/>
      <c r="J73" s="976"/>
      <c r="K73" s="11"/>
    </row>
    <row r="74" spans="1:11" s="476" customFormat="1" x14ac:dyDescent="0.2">
      <c r="A74" s="11"/>
      <c r="B74" s="11"/>
      <c r="C74" s="11"/>
      <c r="D74" s="11"/>
      <c r="E74" s="11"/>
      <c r="F74" s="11"/>
      <c r="G74" s="11"/>
      <c r="H74" s="54"/>
      <c r="I74" s="1022"/>
      <c r="J74" s="976"/>
      <c r="K74" s="11"/>
    </row>
    <row r="75" spans="1:11" s="476" customFormat="1" x14ac:dyDescent="0.2">
      <c r="A75" s="11"/>
      <c r="B75" s="11"/>
      <c r="C75" s="11"/>
      <c r="D75" s="11"/>
      <c r="E75" s="11"/>
      <c r="F75" s="11"/>
      <c r="G75" s="11"/>
      <c r="H75" s="54"/>
      <c r="I75" s="1022"/>
      <c r="J75" s="976"/>
      <c r="K75" s="11"/>
    </row>
    <row r="76" spans="1:11" s="476" customFormat="1" x14ac:dyDescent="0.2">
      <c r="A76" s="11"/>
      <c r="B76" s="11"/>
      <c r="C76" s="11"/>
      <c r="D76" s="11"/>
      <c r="E76" s="11"/>
      <c r="F76" s="11"/>
      <c r="G76" s="11"/>
      <c r="H76" s="54"/>
      <c r="I76" s="1022"/>
      <c r="J76" s="976"/>
      <c r="K76" s="11"/>
    </row>
    <row r="77" spans="1:11" s="476" customFormat="1" x14ac:dyDescent="0.2">
      <c r="A77" s="11"/>
      <c r="B77" s="11"/>
      <c r="C77" s="11"/>
      <c r="D77" s="11"/>
      <c r="E77" s="11"/>
      <c r="F77" s="11"/>
      <c r="G77" s="11"/>
      <c r="H77" s="54"/>
      <c r="I77" s="1022"/>
      <c r="J77" s="976"/>
      <c r="K77" s="11"/>
    </row>
    <row r="78" spans="1:11" s="476" customFormat="1" ht="30" customHeight="1" x14ac:dyDescent="0.2">
      <c r="A78" s="1085" t="s">
        <v>1127</v>
      </c>
      <c r="B78" s="1087" t="s">
        <v>1955</v>
      </c>
      <c r="C78" s="1088"/>
      <c r="D78" s="1085" t="s">
        <v>1847</v>
      </c>
      <c r="E78" s="1085" t="s">
        <v>314</v>
      </c>
      <c r="F78" s="1085" t="s">
        <v>11</v>
      </c>
      <c r="G78" s="1085" t="s">
        <v>1880</v>
      </c>
      <c r="H78" s="1033" t="s">
        <v>1848</v>
      </c>
      <c r="I78" s="1083" t="s">
        <v>1870</v>
      </c>
      <c r="J78" s="1083" t="s">
        <v>1965</v>
      </c>
      <c r="K78" s="1085" t="s">
        <v>1871</v>
      </c>
    </row>
    <row r="79" spans="1:11" s="476" customFormat="1" ht="15.75" thickBot="1" x14ac:dyDescent="0.25">
      <c r="A79" s="1086"/>
      <c r="B79" s="1034" t="s">
        <v>1877</v>
      </c>
      <c r="C79" s="1034" t="s">
        <v>1878</v>
      </c>
      <c r="D79" s="1086"/>
      <c r="E79" s="1086"/>
      <c r="F79" s="1086"/>
      <c r="G79" s="1086"/>
      <c r="H79" s="1034" t="s">
        <v>1849</v>
      </c>
      <c r="I79" s="1084"/>
      <c r="J79" s="1084"/>
      <c r="K79" s="1086"/>
    </row>
    <row r="80" spans="1:11" s="476" customFormat="1" ht="42" thickTop="1" x14ac:dyDescent="0.2">
      <c r="A80" s="414">
        <v>1</v>
      </c>
      <c r="B80" s="382" t="s">
        <v>392</v>
      </c>
      <c r="C80" s="414" t="s">
        <v>57</v>
      </c>
      <c r="D80" s="414" t="s">
        <v>2090</v>
      </c>
      <c r="E80" s="382" t="s">
        <v>2155</v>
      </c>
      <c r="F80" s="414" t="s">
        <v>2014</v>
      </c>
      <c r="G80" s="997" t="s">
        <v>2015</v>
      </c>
      <c r="H80" s="930">
        <v>85</v>
      </c>
      <c r="I80" s="977"/>
      <c r="J80" s="977"/>
      <c r="K80" s="414"/>
    </row>
    <row r="81" spans="1:11" s="476" customFormat="1" ht="41.25" x14ac:dyDescent="0.2">
      <c r="A81" s="414">
        <v>2</v>
      </c>
      <c r="B81" s="382" t="s">
        <v>407</v>
      </c>
      <c r="C81" s="414" t="s">
        <v>57</v>
      </c>
      <c r="D81" s="414" t="s">
        <v>2088</v>
      </c>
      <c r="E81" s="382" t="s">
        <v>2089</v>
      </c>
      <c r="F81" s="414" t="s">
        <v>2007</v>
      </c>
      <c r="G81" s="997" t="s">
        <v>2008</v>
      </c>
      <c r="H81" s="930">
        <v>64</v>
      </c>
      <c r="I81" s="977"/>
      <c r="J81" s="977"/>
      <c r="K81" s="414"/>
    </row>
    <row r="82" spans="1:11" s="476" customFormat="1" ht="41.25" x14ac:dyDescent="0.2">
      <c r="A82" s="414">
        <v>3</v>
      </c>
      <c r="B82" s="382" t="s">
        <v>410</v>
      </c>
      <c r="C82" s="414" t="s">
        <v>57</v>
      </c>
      <c r="D82" s="414" t="s">
        <v>2086</v>
      </c>
      <c r="E82" s="382" t="s">
        <v>2087</v>
      </c>
      <c r="F82" s="414" t="s">
        <v>2042</v>
      </c>
      <c r="G82" s="997" t="s">
        <v>2043</v>
      </c>
      <c r="H82" s="930">
        <v>78</v>
      </c>
      <c r="I82" s="977"/>
      <c r="J82" s="977"/>
      <c r="K82" s="414"/>
    </row>
    <row r="83" spans="1:11" s="476" customFormat="1" ht="41.25" x14ac:dyDescent="0.2">
      <c r="A83" s="414">
        <v>4</v>
      </c>
      <c r="B83" s="382" t="s">
        <v>413</v>
      </c>
      <c r="C83" s="414" t="s">
        <v>57</v>
      </c>
      <c r="D83" s="414" t="s">
        <v>2084</v>
      </c>
      <c r="E83" s="382" t="s">
        <v>2085</v>
      </c>
      <c r="F83" s="414" t="s">
        <v>2009</v>
      </c>
      <c r="G83" s="997" t="s">
        <v>2010</v>
      </c>
      <c r="H83" s="930">
        <v>22</v>
      </c>
      <c r="I83" s="977"/>
      <c r="J83" s="977"/>
      <c r="K83" s="414"/>
    </row>
    <row r="84" spans="1:11" s="476" customFormat="1" ht="41.25" x14ac:dyDescent="0.2">
      <c r="A84" s="414">
        <v>5</v>
      </c>
      <c r="B84" s="382" t="s">
        <v>420</v>
      </c>
      <c r="C84" s="414" t="s">
        <v>57</v>
      </c>
      <c r="D84" s="414" t="s">
        <v>2199</v>
      </c>
      <c r="E84" s="382" t="s">
        <v>2083</v>
      </c>
      <c r="F84" s="414" t="s">
        <v>2003</v>
      </c>
      <c r="G84" s="997" t="s">
        <v>2004</v>
      </c>
      <c r="H84" s="930">
        <v>29</v>
      </c>
      <c r="I84" s="977"/>
      <c r="J84" s="977"/>
      <c r="K84" s="414"/>
    </row>
    <row r="85" spans="1:11" s="476" customFormat="1" ht="41.25" x14ac:dyDescent="0.2">
      <c r="A85" s="414">
        <v>6</v>
      </c>
      <c r="B85" s="382" t="s">
        <v>423</v>
      </c>
      <c r="C85" s="414" t="s">
        <v>57</v>
      </c>
      <c r="D85" s="414" t="s">
        <v>2012</v>
      </c>
      <c r="E85" s="382" t="s">
        <v>2082</v>
      </c>
      <c r="F85" s="414" t="s">
        <v>2011</v>
      </c>
      <c r="G85" s="997" t="s">
        <v>2013</v>
      </c>
      <c r="H85" s="930">
        <v>35</v>
      </c>
      <c r="I85" s="977"/>
      <c r="J85" s="977"/>
      <c r="K85" s="414"/>
    </row>
    <row r="86" spans="1:11" s="476" customFormat="1" ht="54.75" x14ac:dyDescent="0.2">
      <c r="A86" s="414">
        <v>7</v>
      </c>
      <c r="B86" s="382" t="s">
        <v>426</v>
      </c>
      <c r="C86" s="414" t="s">
        <v>57</v>
      </c>
      <c r="D86" s="414" t="s">
        <v>2081</v>
      </c>
      <c r="E86" s="382" t="s">
        <v>2080</v>
      </c>
      <c r="F86" s="414" t="s">
        <v>2005</v>
      </c>
      <c r="G86" s="997" t="s">
        <v>2006</v>
      </c>
      <c r="H86" s="930">
        <v>31</v>
      </c>
      <c r="I86" s="977"/>
      <c r="J86" s="977"/>
      <c r="K86" s="414"/>
    </row>
    <row r="87" spans="1:11" s="476" customFormat="1" ht="41.25" x14ac:dyDescent="0.2">
      <c r="A87" s="414">
        <v>8</v>
      </c>
      <c r="B87" s="382" t="s">
        <v>429</v>
      </c>
      <c r="C87" s="414" t="s">
        <v>57</v>
      </c>
      <c r="D87" s="414" t="s">
        <v>2075</v>
      </c>
      <c r="E87" s="382" t="s">
        <v>2072</v>
      </c>
      <c r="F87" s="414" t="s">
        <v>2073</v>
      </c>
      <c r="G87" s="1002" t="s">
        <v>2074</v>
      </c>
      <c r="H87" s="930">
        <v>38</v>
      </c>
      <c r="I87" s="977">
        <v>44405</v>
      </c>
      <c r="J87" s="977"/>
      <c r="K87" s="414"/>
    </row>
    <row r="88" spans="1:11" s="476" customFormat="1" ht="41.25" x14ac:dyDescent="0.2">
      <c r="A88" s="414">
        <v>9</v>
      </c>
      <c r="B88" s="382" t="s">
        <v>558</v>
      </c>
      <c r="C88" s="414" t="s">
        <v>57</v>
      </c>
      <c r="D88" s="414" t="s">
        <v>2077</v>
      </c>
      <c r="E88" s="382" t="s">
        <v>2076</v>
      </c>
      <c r="F88" s="414" t="s">
        <v>2078</v>
      </c>
      <c r="G88" s="414" t="s">
        <v>2079</v>
      </c>
      <c r="H88" s="930">
        <v>25</v>
      </c>
      <c r="I88" s="977">
        <v>44804</v>
      </c>
      <c r="J88" s="977"/>
      <c r="K88" s="414"/>
    </row>
    <row r="89" spans="1:11" s="476" customFormat="1" x14ac:dyDescent="0.2">
      <c r="A89" s="11"/>
      <c r="B89" s="11"/>
      <c r="C89" s="11"/>
      <c r="D89" s="11"/>
      <c r="E89" s="11"/>
      <c r="F89" s="11"/>
      <c r="G89" s="11"/>
      <c r="H89" s="54"/>
      <c r="I89" s="1022"/>
      <c r="J89" s="976"/>
      <c r="K89" s="11"/>
    </row>
    <row r="90" spans="1:11" s="476" customFormat="1" x14ac:dyDescent="0.2">
      <c r="A90" s="11"/>
      <c r="B90" s="11"/>
      <c r="C90" s="11"/>
      <c r="D90" s="11"/>
      <c r="E90" s="11"/>
      <c r="F90" s="11"/>
      <c r="G90" s="11"/>
      <c r="H90" s="54"/>
      <c r="I90" s="1022"/>
      <c r="J90" s="976"/>
      <c r="K90" s="11"/>
    </row>
    <row r="91" spans="1:11" s="476" customFormat="1" x14ac:dyDescent="0.2">
      <c r="A91" s="11"/>
      <c r="B91" s="11"/>
      <c r="C91" s="11"/>
      <c r="D91" s="11"/>
      <c r="E91" s="11"/>
      <c r="F91" s="11"/>
      <c r="G91" s="11"/>
      <c r="H91" s="54"/>
      <c r="I91" s="1022"/>
      <c r="J91" s="976"/>
      <c r="K91" s="11"/>
    </row>
    <row r="92" spans="1:11" s="476" customFormat="1" x14ac:dyDescent="0.2">
      <c r="A92" s="11"/>
      <c r="B92" s="11"/>
      <c r="C92" s="11"/>
      <c r="D92" s="11"/>
      <c r="E92" s="11"/>
      <c r="F92" s="11"/>
      <c r="G92" s="11"/>
      <c r="H92" s="54"/>
      <c r="I92" s="1022"/>
      <c r="J92" s="976"/>
      <c r="K92" s="11"/>
    </row>
    <row r="93" spans="1:11" s="476" customFormat="1" x14ac:dyDescent="0.2">
      <c r="A93" s="11"/>
      <c r="B93" s="11"/>
      <c r="C93" s="11"/>
      <c r="D93" s="11"/>
      <c r="E93" s="11"/>
      <c r="F93" s="11"/>
      <c r="G93" s="11"/>
      <c r="H93" s="54"/>
      <c r="I93" s="1022"/>
      <c r="J93" s="976"/>
      <c r="K93" s="11"/>
    </row>
    <row r="94" spans="1:11" s="476" customFormat="1" x14ac:dyDescent="0.2">
      <c r="A94" s="11"/>
      <c r="B94" s="11"/>
      <c r="C94" s="11"/>
      <c r="D94" s="11"/>
      <c r="E94" s="11"/>
      <c r="F94" s="11"/>
      <c r="G94" s="11"/>
      <c r="H94" s="54"/>
      <c r="I94" s="1022"/>
      <c r="J94" s="976"/>
      <c r="K94" s="11"/>
    </row>
    <row r="95" spans="1:11" s="476" customFormat="1" x14ac:dyDescent="0.2">
      <c r="A95" s="11"/>
      <c r="B95" s="11"/>
      <c r="C95" s="11"/>
      <c r="D95" s="11"/>
      <c r="E95" s="11"/>
      <c r="F95" s="11"/>
      <c r="G95" s="11"/>
      <c r="H95" s="54"/>
      <c r="I95" s="1022"/>
      <c r="J95" s="976"/>
      <c r="K95" s="11"/>
    </row>
    <row r="96" spans="1:11" s="476" customFormat="1" ht="30" customHeight="1" x14ac:dyDescent="0.2">
      <c r="A96" s="1085" t="s">
        <v>1127</v>
      </c>
      <c r="B96" s="1087" t="s">
        <v>2108</v>
      </c>
      <c r="C96" s="1088"/>
      <c r="D96" s="1085" t="s">
        <v>1847</v>
      </c>
      <c r="E96" s="1085" t="s">
        <v>314</v>
      </c>
      <c r="F96" s="1085" t="s">
        <v>11</v>
      </c>
      <c r="G96" s="1085" t="s">
        <v>1880</v>
      </c>
      <c r="H96" s="1033" t="s">
        <v>1848</v>
      </c>
      <c r="I96" s="1083" t="s">
        <v>1870</v>
      </c>
      <c r="J96" s="1083" t="s">
        <v>1965</v>
      </c>
      <c r="K96" s="1085" t="s">
        <v>1871</v>
      </c>
    </row>
    <row r="97" spans="1:11" s="476" customFormat="1" ht="15.75" thickBot="1" x14ac:dyDescent="0.25">
      <c r="A97" s="1086"/>
      <c r="B97" s="1034" t="s">
        <v>1877</v>
      </c>
      <c r="C97" s="1034" t="s">
        <v>1878</v>
      </c>
      <c r="D97" s="1086"/>
      <c r="E97" s="1086"/>
      <c r="F97" s="1086"/>
      <c r="G97" s="1086"/>
      <c r="H97" s="1034" t="s">
        <v>1849</v>
      </c>
      <c r="I97" s="1084"/>
      <c r="J97" s="1084"/>
      <c r="K97" s="1086"/>
    </row>
    <row r="98" spans="1:11" s="476" customFormat="1" ht="42" thickTop="1" x14ac:dyDescent="0.2">
      <c r="A98" s="414">
        <v>1</v>
      </c>
      <c r="B98" s="382" t="s">
        <v>106</v>
      </c>
      <c r="C98" s="414" t="s">
        <v>107</v>
      </c>
      <c r="D98" s="414" t="s">
        <v>2059</v>
      </c>
      <c r="E98" s="382"/>
      <c r="F98" s="414" t="s">
        <v>108</v>
      </c>
      <c r="G98" s="414"/>
      <c r="H98" s="930">
        <v>1</v>
      </c>
      <c r="I98" s="977">
        <v>44133</v>
      </c>
      <c r="J98" s="977"/>
      <c r="K98" s="980" t="s">
        <v>1963</v>
      </c>
    </row>
    <row r="99" spans="1:11" s="476" customFormat="1" ht="41.25" x14ac:dyDescent="0.2">
      <c r="A99" s="414">
        <v>2</v>
      </c>
      <c r="B99" s="382" t="s">
        <v>64</v>
      </c>
      <c r="C99" s="414" t="s">
        <v>107</v>
      </c>
      <c r="D99" s="414" t="s">
        <v>2063</v>
      </c>
      <c r="E99" s="382"/>
      <c r="F99" s="414" t="s">
        <v>65</v>
      </c>
      <c r="G99" s="414"/>
      <c r="H99" s="930">
        <v>0</v>
      </c>
      <c r="I99" s="977">
        <v>44236</v>
      </c>
      <c r="J99" s="977"/>
      <c r="K99" s="980" t="s">
        <v>1963</v>
      </c>
    </row>
    <row r="100" spans="1:11" s="476" customFormat="1" ht="41.25" x14ac:dyDescent="0.2">
      <c r="A100" s="414">
        <v>3</v>
      </c>
      <c r="B100" s="382" t="s">
        <v>633</v>
      </c>
      <c r="C100" s="414" t="s">
        <v>107</v>
      </c>
      <c r="D100" s="414" t="s">
        <v>2092</v>
      </c>
      <c r="E100" s="382"/>
      <c r="F100" s="414" t="s">
        <v>1990</v>
      </c>
      <c r="G100" s="979" t="s">
        <v>1983</v>
      </c>
      <c r="H100" s="930">
        <v>0</v>
      </c>
      <c r="I100" s="977">
        <v>44515</v>
      </c>
      <c r="J100" s="977"/>
      <c r="K100" s="980" t="s">
        <v>1963</v>
      </c>
    </row>
    <row r="101" spans="1:11" s="476" customFormat="1" ht="41.25" x14ac:dyDescent="0.2">
      <c r="A101" s="414">
        <v>4</v>
      </c>
      <c r="B101" s="382" t="s">
        <v>1076</v>
      </c>
      <c r="C101" s="414" t="s">
        <v>107</v>
      </c>
      <c r="D101" s="414" t="s">
        <v>2091</v>
      </c>
      <c r="E101" s="382"/>
      <c r="F101" s="414" t="s">
        <v>1990</v>
      </c>
      <c r="G101" s="979" t="s">
        <v>1983</v>
      </c>
      <c r="H101" s="930">
        <v>0</v>
      </c>
      <c r="I101" s="977">
        <v>44628</v>
      </c>
      <c r="J101" s="977"/>
      <c r="K101" s="980" t="s">
        <v>1963</v>
      </c>
    </row>
    <row r="102" spans="1:11" s="476" customFormat="1" ht="41.25" x14ac:dyDescent="0.2">
      <c r="A102" s="414">
        <v>5</v>
      </c>
      <c r="B102" s="382" t="s">
        <v>592</v>
      </c>
      <c r="C102" s="414" t="s">
        <v>107</v>
      </c>
      <c r="D102" s="414"/>
      <c r="E102" s="382"/>
      <c r="F102" s="414" t="s">
        <v>2058</v>
      </c>
      <c r="G102" s="979"/>
      <c r="H102" s="930">
        <v>0</v>
      </c>
      <c r="I102" s="977">
        <v>44560</v>
      </c>
      <c r="J102" s="977"/>
      <c r="K102" s="980" t="s">
        <v>1963</v>
      </c>
    </row>
    <row r="103" spans="1:11" s="476" customFormat="1" ht="41.25" x14ac:dyDescent="0.2">
      <c r="A103" s="414">
        <v>6</v>
      </c>
      <c r="B103" s="382" t="s">
        <v>605</v>
      </c>
      <c r="C103" s="414" t="s">
        <v>107</v>
      </c>
      <c r="D103" s="414" t="s">
        <v>2057</v>
      </c>
      <c r="E103" s="382" t="s">
        <v>2055</v>
      </c>
      <c r="F103" s="414" t="s">
        <v>2054</v>
      </c>
      <c r="G103" s="979" t="s">
        <v>2056</v>
      </c>
      <c r="H103" s="930">
        <v>0</v>
      </c>
      <c r="I103" s="977">
        <v>44543</v>
      </c>
      <c r="J103" s="977"/>
      <c r="K103" s="980" t="s">
        <v>1963</v>
      </c>
    </row>
    <row r="104" spans="1:11" s="476" customFormat="1" ht="41.25" x14ac:dyDescent="0.2">
      <c r="A104" s="414">
        <v>7</v>
      </c>
      <c r="B104" s="382" t="s">
        <v>607</v>
      </c>
      <c r="C104" s="414" t="s">
        <v>107</v>
      </c>
      <c r="D104" s="414"/>
      <c r="E104" s="382"/>
      <c r="F104" s="414" t="s">
        <v>2052</v>
      </c>
      <c r="G104" s="979" t="s">
        <v>2053</v>
      </c>
      <c r="H104" s="930">
        <v>0</v>
      </c>
      <c r="I104" s="977">
        <v>44466</v>
      </c>
      <c r="J104" s="977"/>
      <c r="K104" s="980" t="s">
        <v>1963</v>
      </c>
    </row>
    <row r="105" spans="1:11" s="476" customFormat="1" ht="41.25" x14ac:dyDescent="0.2">
      <c r="A105" s="414">
        <v>8</v>
      </c>
      <c r="B105" s="382" t="s">
        <v>634</v>
      </c>
      <c r="C105" s="414" t="s">
        <v>107</v>
      </c>
      <c r="D105" s="414"/>
      <c r="E105" s="382"/>
      <c r="F105" s="414" t="s">
        <v>2045</v>
      </c>
      <c r="G105" s="979"/>
      <c r="H105" s="930">
        <v>0</v>
      </c>
      <c r="I105" s="977">
        <v>44571</v>
      </c>
      <c r="J105" s="977"/>
      <c r="K105" s="980" t="s">
        <v>1963</v>
      </c>
    </row>
    <row r="106" spans="1:11" s="476" customFormat="1" ht="68.25" x14ac:dyDescent="0.2">
      <c r="A106" s="414">
        <v>9</v>
      </c>
      <c r="B106" s="382" t="s">
        <v>1065</v>
      </c>
      <c r="C106" s="414" t="s">
        <v>107</v>
      </c>
      <c r="D106" s="414" t="s">
        <v>2000</v>
      </c>
      <c r="E106" s="382"/>
      <c r="F106" s="414" t="s">
        <v>1990</v>
      </c>
      <c r="G106" s="979" t="s">
        <v>1983</v>
      </c>
      <c r="H106" s="930">
        <v>0</v>
      </c>
      <c r="I106" s="977">
        <v>44692</v>
      </c>
      <c r="J106" s="977"/>
      <c r="K106" s="980" t="s">
        <v>1963</v>
      </c>
    </row>
    <row r="107" spans="1:11" s="476" customFormat="1" ht="41.25" x14ac:dyDescent="0.2">
      <c r="A107" s="414">
        <v>10</v>
      </c>
      <c r="B107" s="382" t="s">
        <v>1004</v>
      </c>
      <c r="C107" s="414" t="s">
        <v>107</v>
      </c>
      <c r="D107" s="414"/>
      <c r="E107" s="382"/>
      <c r="F107" s="414" t="s">
        <v>2044</v>
      </c>
      <c r="G107" s="979"/>
      <c r="H107" s="930">
        <v>0</v>
      </c>
      <c r="I107" s="977">
        <v>44641</v>
      </c>
      <c r="J107" s="977"/>
      <c r="K107" s="980" t="s">
        <v>1963</v>
      </c>
    </row>
    <row r="108" spans="1:11" s="476" customFormat="1" ht="41.25" x14ac:dyDescent="0.2">
      <c r="A108" s="414">
        <v>11</v>
      </c>
      <c r="B108" s="382" t="s">
        <v>1276</v>
      </c>
      <c r="C108" s="414" t="s">
        <v>107</v>
      </c>
      <c r="D108" s="414" t="s">
        <v>1981</v>
      </c>
      <c r="E108" s="382"/>
      <c r="F108" s="414" t="s">
        <v>1990</v>
      </c>
      <c r="G108" s="979" t="s">
        <v>1983</v>
      </c>
      <c r="H108" s="930">
        <v>0</v>
      </c>
      <c r="I108" s="977">
        <v>44788</v>
      </c>
      <c r="J108" s="977" t="s">
        <v>960</v>
      </c>
      <c r="K108" s="980" t="s">
        <v>1963</v>
      </c>
    </row>
    <row r="109" spans="1:11" s="476" customFormat="1" ht="41.25" x14ac:dyDescent="0.2">
      <c r="A109" s="414">
        <v>12</v>
      </c>
      <c r="B109" s="382" t="s">
        <v>1280</v>
      </c>
      <c r="C109" s="414" t="s">
        <v>107</v>
      </c>
      <c r="D109" s="996" t="s">
        <v>1978</v>
      </c>
      <c r="E109" s="382"/>
      <c r="F109" s="414" t="s">
        <v>1991</v>
      </c>
      <c r="G109" s="979" t="s">
        <v>1984</v>
      </c>
      <c r="H109" s="930">
        <v>1</v>
      </c>
      <c r="I109" s="977">
        <v>44788</v>
      </c>
      <c r="J109" s="977" t="s">
        <v>960</v>
      </c>
      <c r="K109" s="980" t="s">
        <v>1963</v>
      </c>
    </row>
    <row r="110" spans="1:11" s="476" customFormat="1" ht="81" x14ac:dyDescent="0.2">
      <c r="A110" s="414">
        <v>13</v>
      </c>
      <c r="B110" s="382" t="s">
        <v>1277</v>
      </c>
      <c r="C110" s="414" t="s">
        <v>107</v>
      </c>
      <c r="D110" s="414" t="s">
        <v>1977</v>
      </c>
      <c r="E110" s="382"/>
      <c r="F110" s="414" t="s">
        <v>1995</v>
      </c>
      <c r="G110" s="979" t="s">
        <v>1989</v>
      </c>
      <c r="H110" s="930">
        <v>1</v>
      </c>
      <c r="I110" s="977">
        <v>44788</v>
      </c>
      <c r="J110" s="977" t="s">
        <v>960</v>
      </c>
      <c r="K110" s="980" t="s">
        <v>1963</v>
      </c>
    </row>
    <row r="111" spans="1:11" s="476" customFormat="1" ht="41.25" x14ac:dyDescent="0.2">
      <c r="A111" s="414">
        <v>14</v>
      </c>
      <c r="B111" s="382" t="s">
        <v>1278</v>
      </c>
      <c r="C111" s="414" t="s">
        <v>107</v>
      </c>
      <c r="D111" s="414" t="s">
        <v>1976</v>
      </c>
      <c r="E111" s="382"/>
      <c r="F111" s="414" t="s">
        <v>1992</v>
      </c>
      <c r="G111" s="979" t="s">
        <v>1985</v>
      </c>
      <c r="H111" s="930">
        <v>1</v>
      </c>
      <c r="I111" s="977">
        <v>44788</v>
      </c>
      <c r="J111" s="977" t="s">
        <v>960</v>
      </c>
      <c r="K111" s="980" t="s">
        <v>1963</v>
      </c>
    </row>
    <row r="112" spans="1:11" s="476" customFormat="1" ht="41.25" x14ac:dyDescent="0.2">
      <c r="A112" s="414">
        <v>15</v>
      </c>
      <c r="B112" s="382" t="s">
        <v>1293</v>
      </c>
      <c r="C112" s="414" t="s">
        <v>107</v>
      </c>
      <c r="D112" s="414" t="s">
        <v>1982</v>
      </c>
      <c r="E112" s="382"/>
      <c r="F112" s="414" t="s">
        <v>1994</v>
      </c>
      <c r="G112" s="979" t="s">
        <v>1986</v>
      </c>
      <c r="H112" s="930">
        <v>1</v>
      </c>
      <c r="I112" s="977">
        <v>44788</v>
      </c>
      <c r="J112" s="977" t="s">
        <v>960</v>
      </c>
      <c r="K112" s="980" t="s">
        <v>1963</v>
      </c>
    </row>
    <row r="113" spans="1:11" s="476" customFormat="1" ht="54.75" x14ac:dyDescent="0.2">
      <c r="A113" s="414">
        <v>16</v>
      </c>
      <c r="B113" s="382" t="s">
        <v>1302</v>
      </c>
      <c r="C113" s="414" t="s">
        <v>107</v>
      </c>
      <c r="D113" s="414" t="s">
        <v>1979</v>
      </c>
      <c r="E113" s="382"/>
      <c r="F113" s="414" t="s">
        <v>1306</v>
      </c>
      <c r="G113" s="979" t="s">
        <v>1987</v>
      </c>
      <c r="H113" s="930">
        <v>1</v>
      </c>
      <c r="I113" s="977">
        <v>44788</v>
      </c>
      <c r="J113" s="977" t="s">
        <v>960</v>
      </c>
      <c r="K113" s="980" t="s">
        <v>1963</v>
      </c>
    </row>
    <row r="114" spans="1:11" s="476" customFormat="1" ht="41.25" x14ac:dyDescent="0.2">
      <c r="A114" s="414">
        <v>17</v>
      </c>
      <c r="B114" s="382" t="s">
        <v>1303</v>
      </c>
      <c r="C114" s="414" t="s">
        <v>107</v>
      </c>
      <c r="D114" s="414" t="s">
        <v>1980</v>
      </c>
      <c r="E114" s="382"/>
      <c r="F114" s="414" t="s">
        <v>1993</v>
      </c>
      <c r="G114" s="979" t="s">
        <v>1988</v>
      </c>
      <c r="H114" s="930">
        <v>1</v>
      </c>
      <c r="I114" s="977">
        <v>44788</v>
      </c>
      <c r="J114" s="977" t="s">
        <v>960</v>
      </c>
      <c r="K114" s="980" t="s">
        <v>1963</v>
      </c>
    </row>
    <row r="115" spans="1:11" s="476" customFormat="1" ht="41.25" x14ac:dyDescent="0.2">
      <c r="A115" s="414">
        <v>18</v>
      </c>
      <c r="B115" s="382" t="s">
        <v>1398</v>
      </c>
      <c r="C115" s="414" t="s">
        <v>107</v>
      </c>
      <c r="D115" s="414" t="s">
        <v>2060</v>
      </c>
      <c r="E115" s="382" t="s">
        <v>2046</v>
      </c>
      <c r="F115" s="414"/>
      <c r="G115" s="979" t="s">
        <v>2047</v>
      </c>
      <c r="H115" s="930">
        <v>1</v>
      </c>
      <c r="I115" s="977">
        <v>44371</v>
      </c>
      <c r="J115" s="977"/>
      <c r="K115" s="980" t="s">
        <v>1963</v>
      </c>
    </row>
    <row r="116" spans="1:11" s="476" customFormat="1" ht="41.25" x14ac:dyDescent="0.2">
      <c r="A116" s="414">
        <v>19</v>
      </c>
      <c r="B116" s="382" t="s">
        <v>964</v>
      </c>
      <c r="C116" s="414" t="s">
        <v>107</v>
      </c>
      <c r="D116" s="414"/>
      <c r="E116" s="382"/>
      <c r="F116" s="414" t="s">
        <v>2048</v>
      </c>
      <c r="G116" s="979"/>
      <c r="H116" s="930">
        <v>1</v>
      </c>
      <c r="I116" s="977">
        <v>44592</v>
      </c>
      <c r="J116" s="977"/>
      <c r="K116" s="980" t="s">
        <v>1963</v>
      </c>
    </row>
    <row r="117" spans="1:11" s="476" customFormat="1" ht="68.25" x14ac:dyDescent="0.2">
      <c r="A117" s="414">
        <v>20</v>
      </c>
      <c r="B117" s="382" t="s">
        <v>1556</v>
      </c>
      <c r="C117" s="414" t="s">
        <v>107</v>
      </c>
      <c r="D117" s="414"/>
      <c r="E117" s="382" t="s">
        <v>2049</v>
      </c>
      <c r="F117" s="414" t="s">
        <v>2001</v>
      </c>
      <c r="G117" s="979" t="s">
        <v>2002</v>
      </c>
      <c r="H117" s="930">
        <v>1</v>
      </c>
      <c r="I117" s="977">
        <v>44783</v>
      </c>
      <c r="J117" s="977"/>
      <c r="K117" s="980" t="s">
        <v>1963</v>
      </c>
    </row>
    <row r="118" spans="1:11" s="476" customFormat="1" ht="54.75" x14ac:dyDescent="0.2">
      <c r="A118" s="414">
        <v>21</v>
      </c>
      <c r="B118" s="382" t="s">
        <v>1562</v>
      </c>
      <c r="C118" s="414" t="s">
        <v>107</v>
      </c>
      <c r="D118" s="414"/>
      <c r="E118" s="382" t="s">
        <v>2050</v>
      </c>
      <c r="F118" s="414" t="s">
        <v>2051</v>
      </c>
      <c r="G118" s="979">
        <v>81338711705</v>
      </c>
      <c r="H118" s="930">
        <v>1</v>
      </c>
      <c r="I118" s="977">
        <v>44783</v>
      </c>
      <c r="J118" s="977"/>
      <c r="K118" s="980" t="s">
        <v>1963</v>
      </c>
    </row>
    <row r="119" spans="1:11" s="476" customFormat="1" ht="148.5" x14ac:dyDescent="0.2">
      <c r="A119" s="414">
        <v>22</v>
      </c>
      <c r="B119" s="382" t="s">
        <v>1622</v>
      </c>
      <c r="C119" s="414" t="s">
        <v>107</v>
      </c>
      <c r="D119" s="414"/>
      <c r="E119" s="382" t="s">
        <v>1975</v>
      </c>
      <c r="F119" s="414" t="s">
        <v>1996</v>
      </c>
      <c r="G119" s="979" t="s">
        <v>1997</v>
      </c>
      <c r="H119" s="930">
        <v>1</v>
      </c>
      <c r="I119" s="977">
        <v>44813</v>
      </c>
      <c r="J119" s="977"/>
      <c r="K119" s="980" t="s">
        <v>1963</v>
      </c>
    </row>
    <row r="120" spans="1:11" s="476" customFormat="1" ht="41.25" x14ac:dyDescent="0.2">
      <c r="A120" s="414">
        <v>23</v>
      </c>
      <c r="B120" s="382" t="s">
        <v>1705</v>
      </c>
      <c r="C120" s="414" t="s">
        <v>107</v>
      </c>
      <c r="D120" s="414"/>
      <c r="E120" s="382"/>
      <c r="F120" s="414" t="s">
        <v>1998</v>
      </c>
      <c r="G120" s="979" t="s">
        <v>1999</v>
      </c>
      <c r="H120" s="930">
        <v>1</v>
      </c>
      <c r="I120" s="977">
        <v>44830</v>
      </c>
      <c r="J120" s="977"/>
      <c r="K120" s="980" t="s">
        <v>1963</v>
      </c>
    </row>
    <row r="121" spans="1:11" s="476" customFormat="1" x14ac:dyDescent="0.2">
      <c r="A121" s="414">
        <v>24</v>
      </c>
      <c r="B121" s="382"/>
      <c r="C121" s="414"/>
      <c r="D121" s="414"/>
      <c r="E121" s="382"/>
      <c r="F121" s="414"/>
      <c r="G121" s="979"/>
      <c r="H121" s="414"/>
      <c r="I121" s="977"/>
      <c r="J121" s="977"/>
      <c r="K121" s="980"/>
    </row>
    <row r="122" spans="1:11" s="476" customFormat="1" x14ac:dyDescent="0.2">
      <c r="A122" s="414">
        <v>25</v>
      </c>
      <c r="B122" s="382"/>
      <c r="C122" s="414"/>
      <c r="D122" s="414"/>
      <c r="E122" s="382"/>
      <c r="F122" s="414"/>
      <c r="G122" s="979"/>
      <c r="H122" s="414"/>
      <c r="I122" s="977"/>
      <c r="J122" s="977"/>
      <c r="K122" s="980"/>
    </row>
    <row r="123" spans="1:11" s="476" customFormat="1" x14ac:dyDescent="0.2">
      <c r="A123" s="414"/>
      <c r="B123" s="382"/>
      <c r="C123" s="414"/>
      <c r="D123" s="414"/>
      <c r="E123" s="382"/>
      <c r="F123" s="414"/>
      <c r="G123" s="979"/>
      <c r="H123" s="414"/>
      <c r="I123" s="977"/>
      <c r="J123" s="977"/>
      <c r="K123" s="414"/>
    </row>
    <row r="124" spans="1:11" s="476" customFormat="1" x14ac:dyDescent="0.2">
      <c r="A124" s="414"/>
      <c r="B124" s="382"/>
      <c r="C124" s="414"/>
      <c r="D124" s="414"/>
      <c r="E124" s="382"/>
      <c r="F124" s="414"/>
      <c r="G124" s="979"/>
      <c r="H124" s="414"/>
      <c r="I124" s="977"/>
      <c r="J124" s="977"/>
      <c r="K124" s="414"/>
    </row>
    <row r="125" spans="1:11" s="476" customFormat="1" x14ac:dyDescent="0.2">
      <c r="A125" s="414"/>
      <c r="B125" s="382"/>
      <c r="C125" s="414"/>
      <c r="D125" s="414"/>
      <c r="E125" s="382"/>
      <c r="F125" s="414"/>
      <c r="G125" s="979"/>
      <c r="H125" s="414"/>
      <c r="I125" s="977"/>
      <c r="J125" s="977"/>
      <c r="K125" s="414"/>
    </row>
    <row r="126" spans="1:11" s="476" customFormat="1" x14ac:dyDescent="0.2">
      <c r="A126" s="414"/>
      <c r="B126" s="382"/>
      <c r="C126" s="414"/>
      <c r="D126" s="414"/>
      <c r="E126" s="382"/>
      <c r="F126" s="414"/>
      <c r="G126" s="979"/>
      <c r="H126" s="414"/>
      <c r="I126" s="977"/>
      <c r="J126" s="977"/>
      <c r="K126" s="414"/>
    </row>
    <row r="127" spans="1:11" s="476" customFormat="1" x14ac:dyDescent="0.2">
      <c r="A127" s="414"/>
      <c r="B127" s="382"/>
      <c r="C127" s="414"/>
      <c r="D127" s="414"/>
      <c r="E127" s="382"/>
      <c r="F127" s="414"/>
      <c r="G127" s="979"/>
      <c r="H127" s="414"/>
      <c r="I127" s="977"/>
      <c r="J127" s="977"/>
      <c r="K127" s="414"/>
    </row>
    <row r="128" spans="1:11" s="476" customFormat="1" x14ac:dyDescent="0.2">
      <c r="A128" s="11"/>
      <c r="B128" s="11"/>
      <c r="C128" s="11"/>
      <c r="D128" s="11"/>
      <c r="E128" s="11"/>
      <c r="F128" s="11"/>
      <c r="G128" s="11"/>
      <c r="H128" s="54"/>
      <c r="I128" s="1022"/>
      <c r="J128" s="976"/>
      <c r="K128" s="11"/>
    </row>
    <row r="129" spans="1:11" s="476" customFormat="1" x14ac:dyDescent="0.2">
      <c r="A129" s="11"/>
      <c r="B129" s="11"/>
      <c r="C129" s="11"/>
      <c r="D129" s="11"/>
      <c r="E129" s="11"/>
      <c r="F129" s="11"/>
      <c r="G129" s="11"/>
      <c r="H129" s="54"/>
      <c r="I129" s="1022"/>
      <c r="J129" s="976"/>
      <c r="K129" s="11"/>
    </row>
    <row r="130" spans="1:11" s="476" customFormat="1" ht="30" customHeight="1" x14ac:dyDescent="0.2">
      <c r="A130" s="1085" t="s">
        <v>1127</v>
      </c>
      <c r="B130" s="1087" t="s">
        <v>2110</v>
      </c>
      <c r="C130" s="1088"/>
      <c r="D130" s="1085" t="s">
        <v>1847</v>
      </c>
      <c r="E130" s="1085" t="s">
        <v>314</v>
      </c>
      <c r="F130" s="1085" t="s">
        <v>11</v>
      </c>
      <c r="G130" s="1085" t="s">
        <v>1880</v>
      </c>
      <c r="H130" s="1033" t="s">
        <v>1848</v>
      </c>
      <c r="I130" s="1083" t="s">
        <v>1870</v>
      </c>
      <c r="J130" s="1083" t="s">
        <v>1965</v>
      </c>
      <c r="K130" s="1085" t="s">
        <v>1871</v>
      </c>
    </row>
    <row r="131" spans="1:11" s="476" customFormat="1" ht="15.75" thickBot="1" x14ac:dyDescent="0.25">
      <c r="A131" s="1089"/>
      <c r="B131" s="1035" t="s">
        <v>1877</v>
      </c>
      <c r="C131" s="1035" t="s">
        <v>1878</v>
      </c>
      <c r="D131" s="1089"/>
      <c r="E131" s="1089"/>
      <c r="F131" s="1089"/>
      <c r="G131" s="1089"/>
      <c r="H131" s="1035" t="s">
        <v>1849</v>
      </c>
      <c r="I131" s="1090"/>
      <c r="J131" s="1090"/>
      <c r="K131" s="1089"/>
    </row>
    <row r="132" spans="1:11" s="476" customFormat="1" ht="41.25" x14ac:dyDescent="0.2">
      <c r="A132" s="1018">
        <v>1</v>
      </c>
      <c r="B132" s="981" t="s">
        <v>876</v>
      </c>
      <c r="C132" s="981" t="s">
        <v>26</v>
      </c>
      <c r="D132" s="382" t="s">
        <v>2112</v>
      </c>
      <c r="E132" s="981"/>
      <c r="F132" s="981" t="s">
        <v>2116</v>
      </c>
      <c r="G132" s="1020" t="s">
        <v>2134</v>
      </c>
      <c r="H132" s="980">
        <v>1</v>
      </c>
      <c r="I132" s="977">
        <v>44452</v>
      </c>
      <c r="J132" s="1016"/>
      <c r="K132" s="981"/>
    </row>
    <row r="133" spans="1:11" s="476" customFormat="1" ht="41.25" x14ac:dyDescent="0.2">
      <c r="A133" s="382">
        <v>2</v>
      </c>
      <c r="B133" s="382" t="s">
        <v>875</v>
      </c>
      <c r="C133" s="981" t="s">
        <v>26</v>
      </c>
      <c r="D133" s="382" t="s">
        <v>2115</v>
      </c>
      <c r="E133" s="382"/>
      <c r="F133" s="981" t="s">
        <v>2116</v>
      </c>
      <c r="G133" s="999" t="s">
        <v>2133</v>
      </c>
      <c r="H133" s="414">
        <v>1</v>
      </c>
      <c r="I133" s="977">
        <v>44452</v>
      </c>
      <c r="J133" s="1015"/>
      <c r="K133" s="382"/>
    </row>
    <row r="134" spans="1:11" s="476" customFormat="1" ht="41.25" x14ac:dyDescent="0.2">
      <c r="A134" s="382">
        <v>3</v>
      </c>
      <c r="B134" s="382" t="s">
        <v>877</v>
      </c>
      <c r="C134" s="981" t="s">
        <v>26</v>
      </c>
      <c r="D134" s="382" t="s">
        <v>2112</v>
      </c>
      <c r="E134" s="382"/>
      <c r="F134" s="981" t="s">
        <v>2116</v>
      </c>
      <c r="G134" s="382" t="s">
        <v>2132</v>
      </c>
      <c r="H134" s="414">
        <v>1</v>
      </c>
      <c r="I134" s="977">
        <v>44452</v>
      </c>
      <c r="J134" s="1015"/>
      <c r="K134" s="382"/>
    </row>
    <row r="135" spans="1:11" s="476" customFormat="1" ht="41.25" x14ac:dyDescent="0.2">
      <c r="A135" s="382">
        <v>4</v>
      </c>
      <c r="B135" s="382" t="s">
        <v>878</v>
      </c>
      <c r="C135" s="981" t="s">
        <v>26</v>
      </c>
      <c r="D135" s="382" t="s">
        <v>2115</v>
      </c>
      <c r="E135" s="382"/>
      <c r="F135" s="981" t="s">
        <v>2116</v>
      </c>
      <c r="G135" s="999" t="s">
        <v>2135</v>
      </c>
      <c r="H135" s="414">
        <v>1</v>
      </c>
      <c r="I135" s="977">
        <v>44452</v>
      </c>
      <c r="J135" s="1015"/>
      <c r="K135" s="382"/>
    </row>
    <row r="136" spans="1:11" s="476" customFormat="1" ht="41.25" x14ac:dyDescent="0.2">
      <c r="A136" s="382">
        <v>5</v>
      </c>
      <c r="B136" s="382" t="s">
        <v>879</v>
      </c>
      <c r="C136" s="981" t="s">
        <v>26</v>
      </c>
      <c r="D136" s="382" t="s">
        <v>2112</v>
      </c>
      <c r="E136" s="382"/>
      <c r="F136" s="981" t="s">
        <v>2116</v>
      </c>
      <c r="G136" s="999" t="s">
        <v>2136</v>
      </c>
      <c r="H136" s="414">
        <v>1</v>
      </c>
      <c r="I136" s="977">
        <v>44452</v>
      </c>
      <c r="J136" s="1015"/>
      <c r="K136" s="382"/>
    </row>
    <row r="137" spans="1:11" s="476" customFormat="1" ht="41.25" x14ac:dyDescent="0.2">
      <c r="A137" s="382">
        <v>6</v>
      </c>
      <c r="B137" s="382" t="s">
        <v>951</v>
      </c>
      <c r="C137" s="981" t="s">
        <v>26</v>
      </c>
      <c r="D137" s="382" t="s">
        <v>2112</v>
      </c>
      <c r="E137" s="382"/>
      <c r="F137" s="981" t="s">
        <v>2116</v>
      </c>
      <c r="G137" s="999" t="s">
        <v>2137</v>
      </c>
      <c r="H137" s="414">
        <v>1</v>
      </c>
      <c r="I137" s="977">
        <v>44452</v>
      </c>
      <c r="J137" s="1015"/>
      <c r="K137" s="382"/>
    </row>
    <row r="138" spans="1:11" s="476" customFormat="1" ht="41.25" x14ac:dyDescent="0.2">
      <c r="A138" s="382">
        <v>7</v>
      </c>
      <c r="B138" s="382" t="s">
        <v>880</v>
      </c>
      <c r="C138" s="981" t="s">
        <v>26</v>
      </c>
      <c r="D138" s="382" t="s">
        <v>2112</v>
      </c>
      <c r="E138" s="382"/>
      <c r="F138" s="981" t="s">
        <v>2116</v>
      </c>
      <c r="G138" s="999" t="s">
        <v>2138</v>
      </c>
      <c r="H138" s="414">
        <v>1</v>
      </c>
      <c r="I138" s="977">
        <v>44452</v>
      </c>
      <c r="J138" s="1015"/>
      <c r="K138" s="382"/>
    </row>
    <row r="139" spans="1:11" s="476" customFormat="1" ht="54.75" x14ac:dyDescent="0.2">
      <c r="A139" s="382">
        <v>8</v>
      </c>
      <c r="B139" s="382" t="s">
        <v>952</v>
      </c>
      <c r="C139" s="981" t="s">
        <v>26</v>
      </c>
      <c r="D139" s="382" t="s">
        <v>2114</v>
      </c>
      <c r="E139" s="382"/>
      <c r="F139" s="981" t="s">
        <v>2116</v>
      </c>
      <c r="G139" s="999" t="s">
        <v>2139</v>
      </c>
      <c r="H139" s="414">
        <v>1</v>
      </c>
      <c r="I139" s="977">
        <v>44452</v>
      </c>
      <c r="J139" s="1015"/>
      <c r="K139" s="382"/>
    </row>
    <row r="140" spans="1:11" s="476" customFormat="1" ht="54.75" x14ac:dyDescent="0.2">
      <c r="A140" s="382">
        <v>9</v>
      </c>
      <c r="B140" s="382" t="s">
        <v>881</v>
      </c>
      <c r="C140" s="981" t="s">
        <v>26</v>
      </c>
      <c r="D140" s="382" t="s">
        <v>2114</v>
      </c>
      <c r="E140" s="382"/>
      <c r="F140" s="981" t="s">
        <v>2116</v>
      </c>
      <c r="G140" s="999" t="s">
        <v>2140</v>
      </c>
      <c r="H140" s="414">
        <v>1</v>
      </c>
      <c r="I140" s="977">
        <v>44452</v>
      </c>
      <c r="J140" s="1015"/>
      <c r="K140" s="382"/>
    </row>
    <row r="141" spans="1:11" s="476" customFormat="1" ht="41.25" x14ac:dyDescent="0.2">
      <c r="A141" s="382">
        <v>10</v>
      </c>
      <c r="B141" s="382" t="s">
        <v>882</v>
      </c>
      <c r="C141" s="981" t="s">
        <v>26</v>
      </c>
      <c r="D141" s="382" t="s">
        <v>2112</v>
      </c>
      <c r="E141" s="382"/>
      <c r="F141" s="981" t="s">
        <v>2116</v>
      </c>
      <c r="G141" s="999" t="s">
        <v>2141</v>
      </c>
      <c r="H141" s="414">
        <v>1</v>
      </c>
      <c r="I141" s="977">
        <v>44452</v>
      </c>
      <c r="J141" s="1015"/>
      <c r="K141" s="382"/>
    </row>
    <row r="142" spans="1:11" s="476" customFormat="1" ht="41.25" x14ac:dyDescent="0.2">
      <c r="A142" s="382">
        <v>11</v>
      </c>
      <c r="B142" s="382" t="s">
        <v>883</v>
      </c>
      <c r="C142" s="981" t="s">
        <v>26</v>
      </c>
      <c r="D142" s="382" t="s">
        <v>2111</v>
      </c>
      <c r="E142" s="382"/>
      <c r="F142" s="981" t="s">
        <v>2116</v>
      </c>
      <c r="G142" s="999" t="s">
        <v>2142</v>
      </c>
      <c r="H142" s="414">
        <v>1</v>
      </c>
      <c r="I142" s="977">
        <v>44452</v>
      </c>
      <c r="J142" s="1015"/>
      <c r="K142" s="382"/>
    </row>
    <row r="143" spans="1:11" s="476" customFormat="1" ht="54.75" x14ac:dyDescent="0.2">
      <c r="A143" s="382">
        <v>12</v>
      </c>
      <c r="B143" s="382" t="s">
        <v>956</v>
      </c>
      <c r="C143" s="981" t="s">
        <v>26</v>
      </c>
      <c r="D143" s="382" t="s">
        <v>2114</v>
      </c>
      <c r="E143" s="382"/>
      <c r="F143" s="981" t="s">
        <v>2116</v>
      </c>
      <c r="G143" s="999" t="s">
        <v>2143</v>
      </c>
      <c r="H143" s="414">
        <v>1</v>
      </c>
      <c r="I143" s="977">
        <v>44441</v>
      </c>
      <c r="J143" s="1015"/>
      <c r="K143" s="382"/>
    </row>
    <row r="144" spans="1:11" s="476" customFormat="1" ht="41.25" x14ac:dyDescent="0.2">
      <c r="A144" s="382">
        <v>13</v>
      </c>
      <c r="B144" s="382" t="s">
        <v>884</v>
      </c>
      <c r="C144" s="981" t="s">
        <v>26</v>
      </c>
      <c r="D144" s="382" t="s">
        <v>2115</v>
      </c>
      <c r="E144" s="382"/>
      <c r="F144" s="981" t="s">
        <v>2116</v>
      </c>
      <c r="G144" s="999" t="s">
        <v>2144</v>
      </c>
      <c r="H144" s="414">
        <v>1</v>
      </c>
      <c r="I144" s="977">
        <v>44508</v>
      </c>
      <c r="J144" s="1015"/>
      <c r="K144" s="382"/>
    </row>
    <row r="145" spans="1:11" s="476" customFormat="1" ht="27.75" x14ac:dyDescent="0.2">
      <c r="A145" s="382">
        <v>14</v>
      </c>
      <c r="B145" s="382" t="s">
        <v>908</v>
      </c>
      <c r="C145" s="981" t="s">
        <v>26</v>
      </c>
      <c r="D145" s="382" t="s">
        <v>2124</v>
      </c>
      <c r="E145" s="382"/>
      <c r="F145" s="981" t="s">
        <v>2116</v>
      </c>
      <c r="G145" s="999" t="s">
        <v>2145</v>
      </c>
      <c r="H145" s="414">
        <v>1</v>
      </c>
      <c r="I145" s="977">
        <v>44624</v>
      </c>
      <c r="J145" s="1015"/>
      <c r="K145" s="382"/>
    </row>
    <row r="146" spans="1:11" s="476" customFormat="1" ht="27.75" x14ac:dyDescent="0.2">
      <c r="A146" s="382">
        <v>15</v>
      </c>
      <c r="B146" s="382" t="s">
        <v>909</v>
      </c>
      <c r="C146" s="981" t="s">
        <v>26</v>
      </c>
      <c r="D146" s="382"/>
      <c r="E146" s="382"/>
      <c r="F146" s="981" t="s">
        <v>2116</v>
      </c>
      <c r="G146" s="382" t="s">
        <v>2131</v>
      </c>
      <c r="H146" s="414">
        <v>1</v>
      </c>
      <c r="I146" s="977">
        <v>44452</v>
      </c>
      <c r="J146" s="1019">
        <v>44470</v>
      </c>
      <c r="K146" s="382"/>
    </row>
    <row r="147" spans="1:11" s="476" customFormat="1" ht="41.25" x14ac:dyDescent="0.2">
      <c r="A147" s="382">
        <v>16</v>
      </c>
      <c r="B147" s="382" t="s">
        <v>1214</v>
      </c>
      <c r="C147" s="981" t="s">
        <v>26</v>
      </c>
      <c r="D147" s="382" t="s">
        <v>2112</v>
      </c>
      <c r="E147" s="382"/>
      <c r="F147" s="981" t="s">
        <v>2116</v>
      </c>
      <c r="G147" s="999" t="s">
        <v>2146</v>
      </c>
      <c r="H147" s="414">
        <v>1</v>
      </c>
      <c r="I147" s="977" t="s">
        <v>2149</v>
      </c>
      <c r="J147" s="1015"/>
      <c r="K147" s="382"/>
    </row>
    <row r="148" spans="1:11" s="476" customFormat="1" ht="41.25" x14ac:dyDescent="0.2">
      <c r="A148" s="382">
        <v>17</v>
      </c>
      <c r="B148" s="382" t="s">
        <v>1215</v>
      </c>
      <c r="C148" s="981" t="s">
        <v>26</v>
      </c>
      <c r="D148" s="382" t="s">
        <v>2111</v>
      </c>
      <c r="E148" s="382"/>
      <c r="F148" s="981" t="s">
        <v>2116</v>
      </c>
      <c r="G148" s="999" t="s">
        <v>2147</v>
      </c>
      <c r="H148" s="414">
        <v>1</v>
      </c>
      <c r="I148" s="977" t="s">
        <v>2149</v>
      </c>
      <c r="J148" s="1015"/>
      <c r="K148" s="382"/>
    </row>
    <row r="149" spans="1:11" s="476" customFormat="1" ht="27.75" x14ac:dyDescent="0.2">
      <c r="A149" s="382">
        <v>18</v>
      </c>
      <c r="B149" s="382" t="s">
        <v>1216</v>
      </c>
      <c r="C149" s="981" t="s">
        <v>26</v>
      </c>
      <c r="D149" s="382" t="s">
        <v>2113</v>
      </c>
      <c r="E149" s="382"/>
      <c r="F149" s="981" t="s">
        <v>2116</v>
      </c>
      <c r="G149" s="999" t="s">
        <v>2148</v>
      </c>
      <c r="H149" s="414">
        <v>1</v>
      </c>
      <c r="I149" s="977" t="s">
        <v>2149</v>
      </c>
      <c r="J149" s="1015"/>
      <c r="K149" s="382"/>
    </row>
    <row r="150" spans="1:11" s="476" customFormat="1" ht="27.75" x14ac:dyDescent="0.2">
      <c r="A150" s="382">
        <v>19</v>
      </c>
      <c r="B150" s="382" t="s">
        <v>916</v>
      </c>
      <c r="C150" s="981" t="s">
        <v>26</v>
      </c>
      <c r="D150" s="382" t="s">
        <v>2120</v>
      </c>
      <c r="E150" s="382"/>
      <c r="F150" s="382" t="s">
        <v>681</v>
      </c>
      <c r="G150" s="999" t="s">
        <v>2130</v>
      </c>
      <c r="H150" s="414">
        <v>1</v>
      </c>
      <c r="I150" s="977">
        <v>44526</v>
      </c>
      <c r="J150" s="1015"/>
      <c r="K150" s="382"/>
    </row>
    <row r="151" spans="1:11" s="476" customFormat="1" ht="27.75" x14ac:dyDescent="0.2">
      <c r="A151" s="382">
        <v>20</v>
      </c>
      <c r="B151" s="382" t="s">
        <v>917</v>
      </c>
      <c r="C151" s="981" t="s">
        <v>26</v>
      </c>
      <c r="D151" s="382" t="s">
        <v>2120</v>
      </c>
      <c r="E151" s="382"/>
      <c r="F151" s="382" t="s">
        <v>681</v>
      </c>
      <c r="G151" s="999" t="s">
        <v>2130</v>
      </c>
      <c r="H151" s="414">
        <v>1</v>
      </c>
      <c r="I151" s="977">
        <v>44526</v>
      </c>
      <c r="J151" s="1015"/>
      <c r="K151" s="382"/>
    </row>
    <row r="152" spans="1:11" s="476" customFormat="1" ht="27.75" x14ac:dyDescent="0.2">
      <c r="A152" s="382">
        <v>21</v>
      </c>
      <c r="B152" s="382" t="s">
        <v>918</v>
      </c>
      <c r="C152" s="981" t="s">
        <v>26</v>
      </c>
      <c r="D152" s="382" t="s">
        <v>2119</v>
      </c>
      <c r="E152" s="382"/>
      <c r="F152" s="382" t="s">
        <v>681</v>
      </c>
      <c r="G152" s="999" t="s">
        <v>2130</v>
      </c>
      <c r="H152" s="414">
        <v>1</v>
      </c>
      <c r="I152" s="977">
        <v>44526</v>
      </c>
      <c r="J152" s="1015"/>
      <c r="K152" s="382"/>
    </row>
    <row r="153" spans="1:11" s="476" customFormat="1" ht="27.75" x14ac:dyDescent="0.2">
      <c r="A153" s="382">
        <v>22</v>
      </c>
      <c r="B153" s="382" t="s">
        <v>919</v>
      </c>
      <c r="C153" s="981" t="s">
        <v>26</v>
      </c>
      <c r="D153" s="382" t="s">
        <v>2119</v>
      </c>
      <c r="E153" s="382"/>
      <c r="F153" s="382" t="s">
        <v>681</v>
      </c>
      <c r="G153" s="999" t="s">
        <v>2130</v>
      </c>
      <c r="H153" s="414">
        <v>1</v>
      </c>
      <c r="I153" s="977">
        <v>44526</v>
      </c>
      <c r="J153" s="1015"/>
      <c r="K153" s="382"/>
    </row>
    <row r="154" spans="1:11" s="476" customFormat="1" ht="27.75" x14ac:dyDescent="0.2">
      <c r="A154" s="382">
        <v>23</v>
      </c>
      <c r="B154" s="382" t="s">
        <v>920</v>
      </c>
      <c r="C154" s="981" t="s">
        <v>26</v>
      </c>
      <c r="D154" s="382" t="s">
        <v>2122</v>
      </c>
      <c r="E154" s="382"/>
      <c r="F154" s="382" t="s">
        <v>681</v>
      </c>
      <c r="G154" s="999" t="s">
        <v>2130</v>
      </c>
      <c r="H154" s="414">
        <v>1</v>
      </c>
      <c r="I154" s="977">
        <v>44526</v>
      </c>
      <c r="J154" s="1015"/>
      <c r="K154" s="382"/>
    </row>
    <row r="155" spans="1:11" s="476" customFormat="1" ht="27.75" x14ac:dyDescent="0.2">
      <c r="A155" s="382">
        <v>24</v>
      </c>
      <c r="B155" s="382" t="s">
        <v>921</v>
      </c>
      <c r="C155" s="981" t="s">
        <v>26</v>
      </c>
      <c r="D155" s="382" t="s">
        <v>2117</v>
      </c>
      <c r="E155" s="382"/>
      <c r="F155" s="382" t="s">
        <v>681</v>
      </c>
      <c r="G155" s="999" t="s">
        <v>2130</v>
      </c>
      <c r="H155" s="414">
        <v>1</v>
      </c>
      <c r="I155" s="977">
        <v>44526</v>
      </c>
      <c r="J155" s="1015"/>
      <c r="K155" s="382"/>
    </row>
    <row r="156" spans="1:11" s="476" customFormat="1" ht="27.75" x14ac:dyDescent="0.2">
      <c r="A156" s="382">
        <v>25</v>
      </c>
      <c r="B156" s="382" t="s">
        <v>922</v>
      </c>
      <c r="C156" s="981" t="s">
        <v>26</v>
      </c>
      <c r="D156" s="382" t="s">
        <v>2117</v>
      </c>
      <c r="E156" s="382"/>
      <c r="F156" s="382" t="s">
        <v>681</v>
      </c>
      <c r="G156" s="999" t="s">
        <v>2130</v>
      </c>
      <c r="H156" s="414">
        <v>1</v>
      </c>
      <c r="I156" s="977">
        <v>44526</v>
      </c>
      <c r="J156" s="1015"/>
      <c r="K156" s="382"/>
    </row>
    <row r="157" spans="1:11" s="476" customFormat="1" ht="27.75" x14ac:dyDescent="0.2">
      <c r="A157" s="382">
        <v>26</v>
      </c>
      <c r="B157" s="382" t="s">
        <v>923</v>
      </c>
      <c r="C157" s="981" t="s">
        <v>26</v>
      </c>
      <c r="D157" s="382" t="s">
        <v>2118</v>
      </c>
      <c r="E157" s="382"/>
      <c r="F157" s="382" t="s">
        <v>681</v>
      </c>
      <c r="G157" s="999" t="s">
        <v>2130</v>
      </c>
      <c r="H157" s="414">
        <v>1</v>
      </c>
      <c r="I157" s="977">
        <v>44526</v>
      </c>
      <c r="J157" s="1015"/>
      <c r="K157" s="382"/>
    </row>
    <row r="158" spans="1:11" s="476" customFormat="1" ht="27.75" x14ac:dyDescent="0.2">
      <c r="A158" s="382">
        <v>27</v>
      </c>
      <c r="B158" s="382" t="s">
        <v>924</v>
      </c>
      <c r="C158" s="981" t="s">
        <v>26</v>
      </c>
      <c r="D158" s="382" t="s">
        <v>2118</v>
      </c>
      <c r="E158" s="382"/>
      <c r="F158" s="382" t="s">
        <v>681</v>
      </c>
      <c r="G158" s="999" t="s">
        <v>2130</v>
      </c>
      <c r="H158" s="414">
        <v>1</v>
      </c>
      <c r="I158" s="977">
        <v>44526</v>
      </c>
      <c r="J158" s="1015"/>
      <c r="K158" s="382"/>
    </row>
    <row r="159" spans="1:11" s="476" customFormat="1" ht="27.75" x14ac:dyDescent="0.2">
      <c r="A159" s="382">
        <v>28</v>
      </c>
      <c r="B159" s="382" t="s">
        <v>925</v>
      </c>
      <c r="C159" s="981" t="s">
        <v>26</v>
      </c>
      <c r="D159" s="382" t="s">
        <v>2122</v>
      </c>
      <c r="E159" s="382"/>
      <c r="F159" s="382" t="s">
        <v>681</v>
      </c>
      <c r="G159" s="999" t="s">
        <v>2130</v>
      </c>
      <c r="H159" s="414">
        <v>1</v>
      </c>
      <c r="I159" s="977">
        <v>44526</v>
      </c>
      <c r="J159" s="1015"/>
      <c r="K159" s="382"/>
    </row>
    <row r="160" spans="1:11" s="476" customFormat="1" ht="27.75" x14ac:dyDescent="0.2">
      <c r="A160" s="382">
        <v>29</v>
      </c>
      <c r="B160" s="382" t="s">
        <v>926</v>
      </c>
      <c r="C160" s="981" t="s">
        <v>26</v>
      </c>
      <c r="D160" s="382" t="s">
        <v>2121</v>
      </c>
      <c r="E160" s="382"/>
      <c r="F160" s="382" t="s">
        <v>681</v>
      </c>
      <c r="G160" s="999" t="s">
        <v>2130</v>
      </c>
      <c r="H160" s="414">
        <v>1</v>
      </c>
      <c r="I160" s="977">
        <v>44526</v>
      </c>
      <c r="J160" s="1015"/>
      <c r="K160" s="382"/>
    </row>
    <row r="161" spans="1:11" s="476" customFormat="1" ht="27.75" x14ac:dyDescent="0.2">
      <c r="A161" s="382">
        <v>30</v>
      </c>
      <c r="B161" s="382" t="s">
        <v>927</v>
      </c>
      <c r="C161" s="981" t="s">
        <v>26</v>
      </c>
      <c r="D161" s="382" t="s">
        <v>2121</v>
      </c>
      <c r="E161" s="382"/>
      <c r="F161" s="382" t="s">
        <v>681</v>
      </c>
      <c r="G161" s="999" t="s">
        <v>2130</v>
      </c>
      <c r="H161" s="414">
        <v>1</v>
      </c>
      <c r="I161" s="977">
        <v>44526</v>
      </c>
      <c r="J161" s="1015"/>
      <c r="K161" s="382"/>
    </row>
    <row r="162" spans="1:11" s="476" customFormat="1" ht="27.75" x14ac:dyDescent="0.2">
      <c r="A162" s="382">
        <v>31</v>
      </c>
      <c r="B162" s="382" t="s">
        <v>928</v>
      </c>
      <c r="C162" s="981" t="s">
        <v>26</v>
      </c>
      <c r="D162" s="382" t="s">
        <v>2120</v>
      </c>
      <c r="E162" s="382"/>
      <c r="F162" s="382" t="s">
        <v>681</v>
      </c>
      <c r="G162" s="999" t="s">
        <v>2130</v>
      </c>
      <c r="H162" s="414">
        <v>1</v>
      </c>
      <c r="I162" s="977">
        <v>44526</v>
      </c>
      <c r="J162" s="1015"/>
      <c r="K162" s="382"/>
    </row>
    <row r="163" spans="1:11" s="476" customFormat="1" ht="27.75" x14ac:dyDescent="0.2">
      <c r="A163" s="382">
        <v>32</v>
      </c>
      <c r="B163" s="382" t="s">
        <v>929</v>
      </c>
      <c r="C163" s="981" t="s">
        <v>26</v>
      </c>
      <c r="D163" s="382" t="s">
        <v>2125</v>
      </c>
      <c r="E163" s="382"/>
      <c r="F163" s="382" t="s">
        <v>681</v>
      </c>
      <c r="G163" s="999" t="s">
        <v>2130</v>
      </c>
      <c r="H163" s="414">
        <v>1</v>
      </c>
      <c r="I163" s="977">
        <v>44526</v>
      </c>
      <c r="J163" s="1015"/>
      <c r="K163" s="382"/>
    </row>
    <row r="164" spans="1:11" s="476" customFormat="1" ht="27.75" x14ac:dyDescent="0.2">
      <c r="A164" s="382">
        <v>33</v>
      </c>
      <c r="B164" s="382" t="s">
        <v>930</v>
      </c>
      <c r="C164" s="981" t="s">
        <v>26</v>
      </c>
      <c r="D164" s="382" t="s">
        <v>2125</v>
      </c>
      <c r="E164" s="382"/>
      <c r="F164" s="382" t="s">
        <v>681</v>
      </c>
      <c r="G164" s="999" t="s">
        <v>2130</v>
      </c>
      <c r="H164" s="414">
        <v>1</v>
      </c>
      <c r="I164" s="977">
        <v>44526</v>
      </c>
      <c r="J164" s="1015"/>
      <c r="K164" s="382"/>
    </row>
    <row r="165" spans="1:11" s="476" customFormat="1" ht="27.75" x14ac:dyDescent="0.2">
      <c r="A165" s="382">
        <v>34</v>
      </c>
      <c r="B165" s="382" t="s">
        <v>1220</v>
      </c>
      <c r="C165" s="981" t="s">
        <v>26</v>
      </c>
      <c r="D165" s="382" t="s">
        <v>2123</v>
      </c>
      <c r="E165" s="382"/>
      <c r="F165" s="382" t="s">
        <v>681</v>
      </c>
      <c r="G165" s="999" t="s">
        <v>2130</v>
      </c>
      <c r="H165" s="414">
        <v>1</v>
      </c>
      <c r="I165" s="977">
        <v>44526</v>
      </c>
      <c r="J165" s="1015"/>
      <c r="K165" s="382"/>
    </row>
    <row r="166" spans="1:11" s="476" customFormat="1" ht="27.75" x14ac:dyDescent="0.2">
      <c r="A166" s="382">
        <v>35</v>
      </c>
      <c r="B166" s="382" t="s">
        <v>1535</v>
      </c>
      <c r="C166" s="981" t="s">
        <v>26</v>
      </c>
      <c r="D166" s="382" t="s">
        <v>2123</v>
      </c>
      <c r="E166" s="382"/>
      <c r="F166" s="382" t="s">
        <v>681</v>
      </c>
      <c r="G166" s="999" t="s">
        <v>2130</v>
      </c>
      <c r="H166" s="414">
        <v>1</v>
      </c>
      <c r="I166" s="977" t="s">
        <v>2129</v>
      </c>
      <c r="J166" s="1015"/>
      <c r="K166" s="382"/>
    </row>
    <row r="167" spans="1:11" s="476" customFormat="1" ht="27.75" x14ac:dyDescent="0.2">
      <c r="A167" s="382">
        <v>36</v>
      </c>
      <c r="B167" s="382" t="s">
        <v>1543</v>
      </c>
      <c r="C167" s="981" t="s">
        <v>26</v>
      </c>
      <c r="D167" s="382" t="s">
        <v>2120</v>
      </c>
      <c r="E167" s="382"/>
      <c r="F167" s="382" t="s">
        <v>681</v>
      </c>
      <c r="G167" s="999" t="s">
        <v>2130</v>
      </c>
      <c r="H167" s="414">
        <v>1</v>
      </c>
      <c r="I167" s="977" t="s">
        <v>2129</v>
      </c>
      <c r="J167" s="1015"/>
      <c r="K167" s="382"/>
    </row>
    <row r="168" spans="1:11" s="476" customFormat="1" ht="27.75" x14ac:dyDescent="0.2">
      <c r="A168" s="382">
        <v>37</v>
      </c>
      <c r="B168" s="382" t="s">
        <v>1545</v>
      </c>
      <c r="C168" s="981" t="s">
        <v>26</v>
      </c>
      <c r="D168" s="382" t="s">
        <v>2119</v>
      </c>
      <c r="E168" s="382"/>
      <c r="F168" s="382" t="s">
        <v>681</v>
      </c>
      <c r="G168" s="999" t="s">
        <v>2130</v>
      </c>
      <c r="H168" s="414">
        <v>1</v>
      </c>
      <c r="I168" s="977" t="s">
        <v>2129</v>
      </c>
      <c r="J168" s="1015"/>
      <c r="K168" s="382"/>
    </row>
    <row r="169" spans="1:11" s="476" customFormat="1" ht="27.75" x14ac:dyDescent="0.2">
      <c r="A169" s="382">
        <v>38</v>
      </c>
      <c r="B169" s="382" t="s">
        <v>1537</v>
      </c>
      <c r="C169" s="981" t="s">
        <v>26</v>
      </c>
      <c r="D169" s="382" t="s">
        <v>2123</v>
      </c>
      <c r="E169" s="382"/>
      <c r="F169" s="382" t="s">
        <v>681</v>
      </c>
      <c r="G169" s="999" t="s">
        <v>2130</v>
      </c>
      <c r="H169" s="414">
        <v>1</v>
      </c>
      <c r="I169" s="977" t="s">
        <v>2129</v>
      </c>
      <c r="J169" s="1015"/>
      <c r="K169" s="382"/>
    </row>
    <row r="170" spans="1:11" s="476" customFormat="1" ht="27.75" x14ac:dyDescent="0.2">
      <c r="A170" s="382">
        <v>39</v>
      </c>
      <c r="B170" s="382" t="s">
        <v>1974</v>
      </c>
      <c r="C170" s="981" t="s">
        <v>26</v>
      </c>
      <c r="D170" s="382" t="s">
        <v>2120</v>
      </c>
      <c r="E170" s="382"/>
      <c r="F170" s="382" t="s">
        <v>681</v>
      </c>
      <c r="G170" s="999" t="s">
        <v>2130</v>
      </c>
      <c r="H170" s="414">
        <v>1</v>
      </c>
      <c r="I170" s="977">
        <v>44936</v>
      </c>
      <c r="J170" s="1015"/>
      <c r="K170" s="382"/>
    </row>
    <row r="171" spans="1:11" s="476" customFormat="1" ht="27.75" x14ac:dyDescent="0.2">
      <c r="A171" s="382">
        <v>40</v>
      </c>
      <c r="B171" s="382" t="s">
        <v>1727</v>
      </c>
      <c r="C171" s="981" t="s">
        <v>26</v>
      </c>
      <c r="D171" s="382" t="s">
        <v>2152</v>
      </c>
      <c r="E171" s="382" t="s">
        <v>2126</v>
      </c>
      <c r="F171" s="382" t="s">
        <v>2150</v>
      </c>
      <c r="G171" s="999" t="s">
        <v>2151</v>
      </c>
      <c r="H171" s="414">
        <v>1</v>
      </c>
      <c r="I171" s="977" t="s">
        <v>2128</v>
      </c>
      <c r="J171" s="1015"/>
      <c r="K171" s="382"/>
    </row>
    <row r="172" spans="1:11" s="476" customFormat="1" ht="27.75" x14ac:dyDescent="0.2">
      <c r="A172" s="382">
        <v>41</v>
      </c>
      <c r="B172" s="382" t="s">
        <v>1728</v>
      </c>
      <c r="C172" s="981" t="s">
        <v>26</v>
      </c>
      <c r="D172" s="382" t="s">
        <v>2152</v>
      </c>
      <c r="E172" s="382" t="s">
        <v>2127</v>
      </c>
      <c r="F172" s="382" t="s">
        <v>2150</v>
      </c>
      <c r="G172" s="999" t="s">
        <v>2151</v>
      </c>
      <c r="H172" s="414">
        <v>1</v>
      </c>
      <c r="I172" s="977" t="s">
        <v>2128</v>
      </c>
      <c r="J172" s="1015"/>
      <c r="K172" s="382"/>
    </row>
    <row r="173" spans="1:11" s="476" customFormat="1" ht="27.75" x14ac:dyDescent="0.2">
      <c r="A173" s="382">
        <v>42</v>
      </c>
      <c r="B173" s="382" t="s">
        <v>1729</v>
      </c>
      <c r="C173" s="981" t="s">
        <v>26</v>
      </c>
      <c r="D173" s="382" t="s">
        <v>2152</v>
      </c>
      <c r="E173" s="382" t="s">
        <v>2127</v>
      </c>
      <c r="F173" s="382" t="s">
        <v>2150</v>
      </c>
      <c r="G173" s="999" t="s">
        <v>2151</v>
      </c>
      <c r="H173" s="414">
        <v>1</v>
      </c>
      <c r="I173" s="977" t="s">
        <v>2128</v>
      </c>
      <c r="J173" s="1015"/>
      <c r="K173" s="382"/>
    </row>
    <row r="174" spans="1:11" s="476" customFormat="1" ht="27.75" x14ac:dyDescent="0.2">
      <c r="A174" s="382">
        <v>43</v>
      </c>
      <c r="B174" s="382" t="s">
        <v>1730</v>
      </c>
      <c r="C174" s="981" t="s">
        <v>26</v>
      </c>
      <c r="D174" s="382" t="s">
        <v>2152</v>
      </c>
      <c r="E174" s="382" t="s">
        <v>2127</v>
      </c>
      <c r="F174" s="382" t="s">
        <v>2150</v>
      </c>
      <c r="G174" s="999" t="s">
        <v>2151</v>
      </c>
      <c r="H174" s="414">
        <v>1</v>
      </c>
      <c r="I174" s="977" t="s">
        <v>2128</v>
      </c>
      <c r="J174" s="1015"/>
      <c r="K174" s="382"/>
    </row>
    <row r="175" spans="1:11" s="476" customFormat="1" x14ac:dyDescent="0.2">
      <c r="A175" s="382">
        <v>44</v>
      </c>
      <c r="B175" s="382"/>
      <c r="C175" s="382"/>
      <c r="D175" s="382"/>
      <c r="E175" s="382"/>
      <c r="F175" s="382"/>
      <c r="G175" s="382"/>
      <c r="H175" s="414"/>
      <c r="I175" s="977"/>
      <c r="J175" s="1015"/>
      <c r="K175" s="382"/>
    </row>
    <row r="176" spans="1:11" s="476" customFormat="1" x14ac:dyDescent="0.2">
      <c r="A176" s="382">
        <v>45</v>
      </c>
      <c r="B176" s="382"/>
      <c r="C176" s="382"/>
      <c r="D176" s="382"/>
      <c r="E176" s="382"/>
      <c r="F176" s="382"/>
      <c r="G176" s="382"/>
      <c r="H176" s="414"/>
      <c r="I176" s="977"/>
      <c r="J176" s="1015"/>
      <c r="K176" s="382"/>
    </row>
    <row r="177" spans="1:11" s="476" customFormat="1" x14ac:dyDescent="0.2">
      <c r="A177" s="382"/>
      <c r="B177" s="382"/>
      <c r="C177" s="382"/>
      <c r="D177" s="382"/>
      <c r="E177" s="382"/>
      <c r="F177" s="382"/>
      <c r="G177" s="382"/>
      <c r="H177" s="414"/>
      <c r="I177" s="977"/>
      <c r="J177" s="1015"/>
      <c r="K177" s="382"/>
    </row>
    <row r="178" spans="1:11" s="476" customFormat="1" x14ac:dyDescent="0.2">
      <c r="A178" s="382"/>
      <c r="B178" s="382"/>
      <c r="C178" s="382"/>
      <c r="D178" s="382"/>
      <c r="E178" s="382"/>
      <c r="F178" s="382"/>
      <c r="G178" s="382"/>
      <c r="H178" s="414"/>
      <c r="I178" s="977"/>
      <c r="J178" s="1015"/>
      <c r="K178" s="382"/>
    </row>
    <row r="179" spans="1:11" s="476" customFormat="1" x14ac:dyDescent="0.2">
      <c r="A179" s="382"/>
      <c r="B179" s="382"/>
      <c r="C179" s="382"/>
      <c r="D179" s="382"/>
      <c r="E179" s="382"/>
      <c r="F179" s="382"/>
      <c r="G179" s="382"/>
      <c r="H179" s="414"/>
      <c r="I179" s="977"/>
      <c r="J179" s="1015"/>
      <c r="K179" s="382"/>
    </row>
    <row r="180" spans="1:11" s="476" customFormat="1" x14ac:dyDescent="0.2">
      <c r="A180" s="382"/>
      <c r="B180" s="382"/>
      <c r="C180" s="382"/>
      <c r="D180" s="382"/>
      <c r="E180" s="382"/>
      <c r="F180" s="382"/>
      <c r="G180" s="382"/>
      <c r="H180" s="414"/>
      <c r="I180" s="977"/>
      <c r="J180" s="1015"/>
      <c r="K180" s="382"/>
    </row>
    <row r="181" spans="1:11" s="476" customFormat="1" x14ac:dyDescent="0.2">
      <c r="A181" s="382"/>
      <c r="B181" s="382"/>
      <c r="C181" s="382"/>
      <c r="D181" s="382"/>
      <c r="E181" s="382"/>
      <c r="F181" s="382"/>
      <c r="G181" s="382"/>
      <c r="H181" s="414"/>
      <c r="I181" s="977"/>
      <c r="J181" s="1015"/>
      <c r="K181" s="382"/>
    </row>
    <row r="182" spans="1:11" s="476" customFormat="1" x14ac:dyDescent="0.2">
      <c r="A182" s="382"/>
      <c r="B182" s="382"/>
      <c r="C182" s="382"/>
      <c r="D182" s="382"/>
      <c r="E182" s="382"/>
      <c r="F182" s="382"/>
      <c r="G182" s="382"/>
      <c r="H182" s="414"/>
      <c r="I182" s="977"/>
      <c r="J182" s="1015"/>
      <c r="K182" s="382"/>
    </row>
    <row r="183" spans="1:11" s="476" customFormat="1" x14ac:dyDescent="0.2">
      <c r="A183" s="382"/>
      <c r="B183" s="382"/>
      <c r="C183" s="382"/>
      <c r="D183" s="382"/>
      <c r="E183" s="382"/>
      <c r="F183" s="382"/>
      <c r="G183" s="382"/>
      <c r="H183" s="414"/>
      <c r="I183" s="977"/>
      <c r="J183" s="1015"/>
      <c r="K183" s="382"/>
    </row>
    <row r="184" spans="1:11" s="476" customFormat="1" x14ac:dyDescent="0.2">
      <c r="A184" s="382"/>
      <c r="B184" s="382"/>
      <c r="C184" s="382"/>
      <c r="D184" s="382"/>
      <c r="E184" s="382"/>
      <c r="F184" s="382"/>
      <c r="G184" s="382"/>
      <c r="H184" s="414"/>
      <c r="I184" s="977"/>
      <c r="J184" s="1015"/>
      <c r="K184" s="382"/>
    </row>
    <row r="185" spans="1:11" s="476" customFormat="1" x14ac:dyDescent="0.2">
      <c r="A185" s="382"/>
      <c r="B185" s="382"/>
      <c r="C185" s="382"/>
      <c r="D185" s="382"/>
      <c r="E185" s="382"/>
      <c r="F185" s="382"/>
      <c r="G185" s="382"/>
      <c r="H185" s="414"/>
      <c r="I185" s="977"/>
      <c r="J185" s="1015"/>
      <c r="K185" s="382"/>
    </row>
    <row r="186" spans="1:11" s="476" customFormat="1" x14ac:dyDescent="0.2">
      <c r="A186" s="382"/>
      <c r="B186" s="382"/>
      <c r="C186" s="382"/>
      <c r="D186" s="382"/>
      <c r="E186" s="382"/>
      <c r="F186" s="382"/>
      <c r="G186" s="382"/>
      <c r="H186" s="414"/>
      <c r="I186" s="977"/>
      <c r="J186" s="1015"/>
      <c r="K186" s="382"/>
    </row>
    <row r="187" spans="1:11" s="476" customFormat="1" x14ac:dyDescent="0.2">
      <c r="A187" s="11"/>
      <c r="B187" s="11"/>
      <c r="C187" s="11"/>
      <c r="D187" s="11"/>
      <c r="E187" s="11"/>
      <c r="F187" s="11"/>
      <c r="G187" s="11"/>
      <c r="H187" s="54"/>
      <c r="I187" s="1022"/>
      <c r="J187" s="976"/>
      <c r="K187" s="11"/>
    </row>
    <row r="188" spans="1:11" s="476" customFormat="1" x14ac:dyDescent="0.2">
      <c r="A188" s="11"/>
      <c r="B188" s="11"/>
      <c r="C188" s="11"/>
      <c r="D188" s="11"/>
      <c r="E188" s="11"/>
      <c r="F188" s="11"/>
      <c r="G188" s="11"/>
      <c r="H188" s="54"/>
      <c r="I188" s="1022"/>
      <c r="J188" s="976"/>
      <c r="K188" s="11"/>
    </row>
  </sheetData>
  <mergeCells count="47">
    <mergeCell ref="K130:K131"/>
    <mergeCell ref="A130:A131"/>
    <mergeCell ref="B130:C130"/>
    <mergeCell ref="D130:D131"/>
    <mergeCell ref="E130:E131"/>
    <mergeCell ref="F130:F131"/>
    <mergeCell ref="G130:G131"/>
    <mergeCell ref="I130:I131"/>
    <mergeCell ref="J130:J131"/>
    <mergeCell ref="G96:G97"/>
    <mergeCell ref="I96:I97"/>
    <mergeCell ref="J96:J97"/>
    <mergeCell ref="K96:K97"/>
    <mergeCell ref="A78:A79"/>
    <mergeCell ref="B78:C78"/>
    <mergeCell ref="D78:D79"/>
    <mergeCell ref="A96:A97"/>
    <mergeCell ref="B96:C96"/>
    <mergeCell ref="D96:D97"/>
    <mergeCell ref="E96:E97"/>
    <mergeCell ref="F96:F97"/>
    <mergeCell ref="E78:E79"/>
    <mergeCell ref="F78:F79"/>
    <mergeCell ref="G78:G79"/>
    <mergeCell ref="I78:I79"/>
    <mergeCell ref="A49:A50"/>
    <mergeCell ref="B49:C49"/>
    <mergeCell ref="D49:D50"/>
    <mergeCell ref="E49:E50"/>
    <mergeCell ref="F49:F50"/>
    <mergeCell ref="J78:J79"/>
    <mergeCell ref="K78:K79"/>
    <mergeCell ref="L2:L3"/>
    <mergeCell ref="B2:C2"/>
    <mergeCell ref="E2:E3"/>
    <mergeCell ref="F2:F3"/>
    <mergeCell ref="G2:G3"/>
    <mergeCell ref="J49:J50"/>
    <mergeCell ref="K49:K50"/>
    <mergeCell ref="G49:G50"/>
    <mergeCell ref="H49:H50"/>
    <mergeCell ref="I49:I50"/>
    <mergeCell ref="A2:A3"/>
    <mergeCell ref="D2:D3"/>
    <mergeCell ref="H2:I2"/>
    <mergeCell ref="J2:J3"/>
    <mergeCell ref="K2:K3"/>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K373"/>
  <sheetViews>
    <sheetView workbookViewId="0">
      <pane xSplit="1" ySplit="3" topLeftCell="B4" activePane="bottomRight" state="frozen"/>
      <selection activeCell="B2" sqref="B2:I3"/>
      <selection pane="bottomLeft" activeCell="B2" sqref="B2:I3"/>
      <selection pane="topRight" activeCell="B2" sqref="B2:I3"/>
      <selection pane="bottomRight" activeCell="B2" sqref="B2:I3"/>
    </sheetView>
  </sheetViews>
  <sheetFormatPr defaultColWidth="9.14453125" defaultRowHeight="15" x14ac:dyDescent="0.2"/>
  <cols>
    <col min="1" max="1" width="4.16796875" style="11" bestFit="1" customWidth="1"/>
    <col min="2" max="2" width="34.16796875" style="11" customWidth="1"/>
    <col min="3" max="3" width="10.76171875" style="11" customWidth="1"/>
    <col min="4" max="4" width="20.84765625" style="11" customWidth="1"/>
    <col min="5" max="5" width="30.265625" style="11" customWidth="1"/>
    <col min="6" max="6" width="20.4453125" style="11" customWidth="1"/>
    <col min="7" max="7" width="15.19921875" style="11" customWidth="1"/>
    <col min="8" max="8" width="8.875" style="54" customWidth="1"/>
    <col min="9" max="9" width="18.0234375" style="1022" bestFit="1" customWidth="1"/>
    <col min="10" max="10" width="18.0234375" style="976" bestFit="1" customWidth="1"/>
    <col min="11" max="11" width="12.9140625" style="11" customWidth="1"/>
    <col min="12" max="16384" width="9.14453125" style="476"/>
  </cols>
  <sheetData>
    <row r="2" spans="1:11" ht="16.5" customHeight="1" x14ac:dyDescent="0.2">
      <c r="A2" s="1077" t="s">
        <v>1127</v>
      </c>
      <c r="B2" s="1077" t="s">
        <v>33</v>
      </c>
      <c r="C2" s="1077"/>
      <c r="D2" s="1077" t="s">
        <v>1847</v>
      </c>
      <c r="E2" s="1077" t="s">
        <v>314</v>
      </c>
      <c r="F2" s="1077" t="s">
        <v>11</v>
      </c>
      <c r="G2" s="1077" t="s">
        <v>1880</v>
      </c>
      <c r="H2" s="1085" t="s">
        <v>1956</v>
      </c>
      <c r="I2" s="1081" t="s">
        <v>1870</v>
      </c>
      <c r="J2" s="1081" t="s">
        <v>1965</v>
      </c>
      <c r="K2" s="1077" t="s">
        <v>1871</v>
      </c>
    </row>
    <row r="3" spans="1:11" ht="15.75" thickBot="1" x14ac:dyDescent="0.25">
      <c r="A3" s="1078"/>
      <c r="B3" s="983" t="s">
        <v>1877</v>
      </c>
      <c r="C3" s="983" t="s">
        <v>1878</v>
      </c>
      <c r="D3" s="1078"/>
      <c r="E3" s="1078"/>
      <c r="F3" s="1078"/>
      <c r="G3" s="1078"/>
      <c r="H3" s="1086"/>
      <c r="I3" s="1082"/>
      <c r="J3" s="1082"/>
      <c r="K3" s="1078"/>
    </row>
    <row r="4" spans="1:11" ht="28.5" thickTop="1" x14ac:dyDescent="0.2">
      <c r="A4" s="980">
        <v>1</v>
      </c>
      <c r="B4" s="981" t="s">
        <v>32</v>
      </c>
      <c r="C4" s="980" t="s">
        <v>179</v>
      </c>
      <c r="D4" s="980" t="s">
        <v>1961</v>
      </c>
      <c r="E4" s="981"/>
      <c r="F4" s="980" t="s">
        <v>1962</v>
      </c>
      <c r="G4" s="998" t="s">
        <v>2016</v>
      </c>
      <c r="H4" s="1014">
        <v>8</v>
      </c>
      <c r="I4" s="982">
        <v>43992</v>
      </c>
      <c r="J4" s="982"/>
      <c r="K4" s="980" t="s">
        <v>1963</v>
      </c>
    </row>
    <row r="5" spans="1:11" ht="27.75" x14ac:dyDescent="0.2">
      <c r="A5" s="414">
        <v>2</v>
      </c>
      <c r="B5" s="382" t="s">
        <v>35</v>
      </c>
      <c r="C5" s="980" t="s">
        <v>179</v>
      </c>
      <c r="D5" s="414" t="s">
        <v>1966</v>
      </c>
      <c r="E5" s="382"/>
      <c r="F5" s="414" t="s">
        <v>136</v>
      </c>
      <c r="G5" s="997" t="s">
        <v>2017</v>
      </c>
      <c r="H5" s="930">
        <f>SUM('Data Base P.Asuhan &amp; Jompo'!H38:I40)</f>
        <v>312</v>
      </c>
      <c r="I5" s="982">
        <v>43743</v>
      </c>
      <c r="J5" s="982"/>
      <c r="K5" s="414" t="s">
        <v>1964</v>
      </c>
    </row>
    <row r="6" spans="1:11" ht="27.75" x14ac:dyDescent="0.2">
      <c r="A6" s="414">
        <v>3</v>
      </c>
      <c r="B6" s="382" t="s">
        <v>25</v>
      </c>
      <c r="C6" s="980" t="s">
        <v>179</v>
      </c>
      <c r="D6" s="414" t="s">
        <v>2060</v>
      </c>
      <c r="E6" s="382"/>
      <c r="F6" s="414" t="s">
        <v>2040</v>
      </c>
      <c r="G6" s="997" t="s">
        <v>2041</v>
      </c>
      <c r="H6" s="930">
        <v>0</v>
      </c>
      <c r="I6" s="977"/>
      <c r="J6" s="977"/>
      <c r="K6" s="414"/>
    </row>
    <row r="7" spans="1:11" ht="27.75" x14ac:dyDescent="0.2">
      <c r="A7" s="414">
        <v>4</v>
      </c>
      <c r="B7" s="999" t="s">
        <v>2066</v>
      </c>
      <c r="C7" s="980" t="s">
        <v>179</v>
      </c>
      <c r="D7" s="414" t="s">
        <v>2067</v>
      </c>
      <c r="E7" s="382"/>
      <c r="F7" s="414" t="s">
        <v>1245</v>
      </c>
      <c r="G7" s="997" t="s">
        <v>2018</v>
      </c>
      <c r="H7" s="930">
        <v>47</v>
      </c>
      <c r="I7" s="977">
        <v>43722</v>
      </c>
      <c r="J7" s="977"/>
      <c r="K7" s="414"/>
    </row>
    <row r="8" spans="1:11" ht="27.75" x14ac:dyDescent="0.2">
      <c r="A8" s="414">
        <v>5</v>
      </c>
      <c r="B8" s="382" t="s">
        <v>53</v>
      </c>
      <c r="C8" s="980" t="s">
        <v>179</v>
      </c>
      <c r="D8" s="414" t="s">
        <v>2061</v>
      </c>
      <c r="E8" s="382"/>
      <c r="F8" s="414" t="s">
        <v>2019</v>
      </c>
      <c r="G8" s="997" t="s">
        <v>2020</v>
      </c>
      <c r="H8" s="930">
        <f>+'Per anak'!G33</f>
        <v>47</v>
      </c>
      <c r="I8" s="977">
        <v>43797</v>
      </c>
      <c r="J8" s="977"/>
      <c r="K8" s="414"/>
    </row>
    <row r="9" spans="1:11" ht="27.75" x14ac:dyDescent="0.2">
      <c r="A9" s="414">
        <v>6</v>
      </c>
      <c r="B9" s="382" t="s">
        <v>60</v>
      </c>
      <c r="C9" s="980" t="s">
        <v>179</v>
      </c>
      <c r="D9" s="414" t="s">
        <v>2062</v>
      </c>
      <c r="E9" s="382"/>
      <c r="F9" s="414" t="s">
        <v>2022</v>
      </c>
      <c r="G9" s="414" t="s">
        <v>2021</v>
      </c>
      <c r="H9" s="930">
        <f>+'Per anak'!G34</f>
        <v>37</v>
      </c>
      <c r="I9" s="977">
        <v>43797</v>
      </c>
      <c r="J9" s="977"/>
      <c r="K9" s="414"/>
    </row>
    <row r="10" spans="1:11" ht="27.75" x14ac:dyDescent="0.2">
      <c r="A10" s="414">
        <v>7</v>
      </c>
      <c r="B10" s="382" t="s">
        <v>64</v>
      </c>
      <c r="C10" s="980" t="s">
        <v>179</v>
      </c>
      <c r="D10" s="414" t="s">
        <v>2063</v>
      </c>
      <c r="E10" s="382"/>
      <c r="F10" s="414" t="s">
        <v>2023</v>
      </c>
      <c r="G10" s="997" t="s">
        <v>2024</v>
      </c>
      <c r="H10" s="930">
        <f>+'Per anak'!G35</f>
        <v>0</v>
      </c>
      <c r="I10" s="977">
        <v>43798</v>
      </c>
      <c r="J10" s="977"/>
      <c r="K10" s="414"/>
    </row>
    <row r="11" spans="1:11" ht="27.75" x14ac:dyDescent="0.2">
      <c r="A11" s="414">
        <v>8</v>
      </c>
      <c r="B11" s="382" t="s">
        <v>75</v>
      </c>
      <c r="C11" s="980" t="s">
        <v>179</v>
      </c>
      <c r="D11" s="414" t="s">
        <v>2065</v>
      </c>
      <c r="E11" s="382"/>
      <c r="F11" s="414" t="s">
        <v>2064</v>
      </c>
      <c r="G11" s="997" t="s">
        <v>2025</v>
      </c>
      <c r="H11" s="930">
        <f>+'Per anak'!G36</f>
        <v>0</v>
      </c>
      <c r="I11" s="977">
        <v>44098</v>
      </c>
      <c r="J11" s="977"/>
      <c r="K11" s="414"/>
    </row>
    <row r="12" spans="1:11" ht="27.75" x14ac:dyDescent="0.2">
      <c r="A12" s="414">
        <v>9</v>
      </c>
      <c r="B12" s="382" t="s">
        <v>79</v>
      </c>
      <c r="C12" s="980" t="s">
        <v>179</v>
      </c>
      <c r="D12" s="414" t="s">
        <v>2093</v>
      </c>
      <c r="E12" s="382"/>
      <c r="F12" s="414" t="s">
        <v>2026</v>
      </c>
      <c r="G12" s="997" t="s">
        <v>2027</v>
      </c>
      <c r="H12" s="930">
        <f>+'Per anak'!G37</f>
        <v>0</v>
      </c>
      <c r="I12" s="977">
        <v>45191</v>
      </c>
      <c r="J12" s="977"/>
      <c r="K12" s="414"/>
    </row>
    <row r="13" spans="1:11" ht="27.75" x14ac:dyDescent="0.2">
      <c r="A13" s="414">
        <v>10</v>
      </c>
      <c r="B13" s="382" t="s">
        <v>83</v>
      </c>
      <c r="C13" s="980" t="s">
        <v>179</v>
      </c>
      <c r="D13" s="414"/>
      <c r="E13" s="382"/>
      <c r="F13" s="414" t="s">
        <v>2028</v>
      </c>
      <c r="G13" s="414"/>
      <c r="H13" s="930">
        <f>+'Per anak'!G38</f>
        <v>0</v>
      </c>
      <c r="I13" s="977">
        <v>44098</v>
      </c>
      <c r="J13" s="977"/>
      <c r="K13" s="414"/>
    </row>
    <row r="14" spans="1:11" ht="27.75" x14ac:dyDescent="0.2">
      <c r="A14" s="414">
        <v>11</v>
      </c>
      <c r="B14" s="382" t="s">
        <v>87</v>
      </c>
      <c r="C14" s="980" t="s">
        <v>179</v>
      </c>
      <c r="D14" s="414"/>
      <c r="E14" s="382"/>
      <c r="F14" s="414" t="s">
        <v>493</v>
      </c>
      <c r="G14" s="997" t="s">
        <v>2029</v>
      </c>
      <c r="H14" s="930">
        <f>+'Per anak'!G39</f>
        <v>24</v>
      </c>
      <c r="I14" s="977">
        <v>43896</v>
      </c>
      <c r="J14" s="977"/>
      <c r="K14" s="414"/>
    </row>
    <row r="15" spans="1:11" ht="27.75" x14ac:dyDescent="0.2">
      <c r="A15" s="414">
        <v>12</v>
      </c>
      <c r="B15" s="382" t="s">
        <v>90</v>
      </c>
      <c r="C15" s="980" t="s">
        <v>179</v>
      </c>
      <c r="D15" s="414"/>
      <c r="E15" s="382"/>
      <c r="F15" s="414" t="s">
        <v>2031</v>
      </c>
      <c r="G15" s="997" t="s">
        <v>2030</v>
      </c>
      <c r="H15" s="930">
        <f>+'Per anak'!G40</f>
        <v>0</v>
      </c>
      <c r="I15" s="977">
        <v>44160</v>
      </c>
      <c r="J15" s="977"/>
      <c r="K15" s="414"/>
    </row>
    <row r="16" spans="1:11" ht="27.75" x14ac:dyDescent="0.2">
      <c r="A16" s="414">
        <v>13</v>
      </c>
      <c r="B16" s="382" t="s">
        <v>114</v>
      </c>
      <c r="C16" s="980" t="s">
        <v>179</v>
      </c>
      <c r="D16" s="414"/>
      <c r="E16" s="382"/>
      <c r="F16" s="414" t="s">
        <v>2033</v>
      </c>
      <c r="G16" s="997" t="s">
        <v>2032</v>
      </c>
      <c r="H16" s="930">
        <f>+'Per anak'!G41</f>
        <v>0</v>
      </c>
      <c r="I16" s="977">
        <v>43798</v>
      </c>
      <c r="J16" s="977"/>
      <c r="K16" s="414"/>
    </row>
    <row r="17" spans="1:11" ht="27.75" x14ac:dyDescent="0.2">
      <c r="A17" s="414">
        <v>14</v>
      </c>
      <c r="B17" s="382" t="s">
        <v>129</v>
      </c>
      <c r="C17" s="980" t="s">
        <v>179</v>
      </c>
      <c r="D17" s="414"/>
      <c r="E17" s="382"/>
      <c r="F17" s="414" t="s">
        <v>2035</v>
      </c>
      <c r="G17" s="997" t="s">
        <v>2034</v>
      </c>
      <c r="H17" s="930">
        <v>40</v>
      </c>
      <c r="I17" s="977">
        <v>44141</v>
      </c>
      <c r="J17" s="977"/>
      <c r="K17" s="414"/>
    </row>
    <row r="18" spans="1:11" ht="27.75" x14ac:dyDescent="0.2">
      <c r="A18" s="414">
        <v>15</v>
      </c>
      <c r="B18" s="382" t="s">
        <v>106</v>
      </c>
      <c r="C18" s="980" t="s">
        <v>179</v>
      </c>
      <c r="D18" s="414"/>
      <c r="E18" s="382"/>
      <c r="F18" s="414" t="s">
        <v>2036</v>
      </c>
      <c r="G18" s="997" t="s">
        <v>2037</v>
      </c>
      <c r="H18" s="930">
        <f>+'Per anak'!G43</f>
        <v>85</v>
      </c>
      <c r="I18" s="977">
        <v>43740</v>
      </c>
      <c r="J18" s="977"/>
      <c r="K18" s="414"/>
    </row>
    <row r="19" spans="1:11" ht="27.75" x14ac:dyDescent="0.2">
      <c r="A19" s="414">
        <v>16</v>
      </c>
      <c r="B19" s="382" t="s">
        <v>1231</v>
      </c>
      <c r="C19" s="980" t="s">
        <v>179</v>
      </c>
      <c r="D19" s="414"/>
      <c r="E19" s="382"/>
      <c r="F19" s="414" t="s">
        <v>2038</v>
      </c>
      <c r="G19" s="997" t="s">
        <v>2039</v>
      </c>
      <c r="H19" s="930">
        <f>+'Per anak'!G49</f>
        <v>0</v>
      </c>
      <c r="I19" s="977">
        <v>43797</v>
      </c>
      <c r="J19" s="977"/>
      <c r="K19" s="414"/>
    </row>
    <row r="20" spans="1:11" ht="54.75" x14ac:dyDescent="0.2">
      <c r="A20" s="414">
        <v>17</v>
      </c>
      <c r="B20" s="382" t="s">
        <v>486</v>
      </c>
      <c r="C20" s="980" t="s">
        <v>179</v>
      </c>
      <c r="D20" s="414" t="s">
        <v>2096</v>
      </c>
      <c r="E20" s="382" t="s">
        <v>2095</v>
      </c>
      <c r="F20" s="414" t="s">
        <v>2094</v>
      </c>
      <c r="G20" s="997" t="s">
        <v>2097</v>
      </c>
      <c r="H20" s="930">
        <f>+'Per anak'!G44</f>
        <v>44</v>
      </c>
      <c r="I20" s="977">
        <v>44454</v>
      </c>
      <c r="J20" s="977"/>
      <c r="K20" s="414"/>
    </row>
    <row r="21" spans="1:11" ht="27.75" x14ac:dyDescent="0.2">
      <c r="A21" s="414">
        <v>18</v>
      </c>
      <c r="B21" s="382" t="s">
        <v>618</v>
      </c>
      <c r="C21" s="980" t="s">
        <v>179</v>
      </c>
      <c r="D21" s="414" t="s">
        <v>2084</v>
      </c>
      <c r="E21" s="382" t="s">
        <v>2076</v>
      </c>
      <c r="F21" s="414" t="s">
        <v>2078</v>
      </c>
      <c r="G21" s="414" t="s">
        <v>2079</v>
      </c>
      <c r="H21" s="930">
        <f>+'Per anak'!G46</f>
        <v>0</v>
      </c>
      <c r="I21" s="977"/>
      <c r="J21" s="977"/>
      <c r="K21" s="414"/>
    </row>
    <row r="22" spans="1:11" ht="27.75" x14ac:dyDescent="0.2">
      <c r="A22" s="414">
        <v>19</v>
      </c>
      <c r="B22" s="382" t="s">
        <v>619</v>
      </c>
      <c r="C22" s="980" t="s">
        <v>179</v>
      </c>
      <c r="D22" s="414" t="s">
        <v>2084</v>
      </c>
      <c r="E22" s="382" t="s">
        <v>2076</v>
      </c>
      <c r="F22" s="414" t="s">
        <v>2078</v>
      </c>
      <c r="G22" s="414" t="s">
        <v>2079</v>
      </c>
      <c r="H22" s="930">
        <f>+'Per anak'!G47</f>
        <v>0</v>
      </c>
      <c r="I22" s="977"/>
      <c r="J22" s="977"/>
      <c r="K22" s="414"/>
    </row>
    <row r="23" spans="1:11" ht="27.75" x14ac:dyDescent="0.2">
      <c r="A23" s="414">
        <v>20</v>
      </c>
      <c r="B23" s="382" t="s">
        <v>620</v>
      </c>
      <c r="C23" s="980" t="s">
        <v>179</v>
      </c>
      <c r="D23" s="414" t="s">
        <v>2084</v>
      </c>
      <c r="E23" s="382" t="s">
        <v>2076</v>
      </c>
      <c r="F23" s="414" t="s">
        <v>2078</v>
      </c>
      <c r="G23" s="414" t="s">
        <v>2079</v>
      </c>
      <c r="H23" s="930">
        <f>+'Per anak'!G48</f>
        <v>0</v>
      </c>
      <c r="I23" s="977"/>
      <c r="J23" s="977"/>
      <c r="K23" s="414"/>
    </row>
    <row r="31" spans="1:11" ht="30" customHeight="1" x14ac:dyDescent="0.2">
      <c r="A31" s="1077" t="s">
        <v>1127</v>
      </c>
      <c r="B31" s="1077" t="s">
        <v>1955</v>
      </c>
      <c r="C31" s="1077"/>
      <c r="D31" s="1077" t="s">
        <v>1847</v>
      </c>
      <c r="E31" s="1077" t="s">
        <v>314</v>
      </c>
      <c r="F31" s="1077" t="s">
        <v>11</v>
      </c>
      <c r="G31" s="1077" t="s">
        <v>1880</v>
      </c>
      <c r="H31" s="1000" t="s">
        <v>1848</v>
      </c>
      <c r="I31" s="1081" t="s">
        <v>1870</v>
      </c>
      <c r="J31" s="1081" t="s">
        <v>1965</v>
      </c>
      <c r="K31" s="1077" t="s">
        <v>1871</v>
      </c>
    </row>
    <row r="32" spans="1:11" ht="15.75" thickBot="1" x14ac:dyDescent="0.25">
      <c r="A32" s="1078"/>
      <c r="B32" s="983" t="s">
        <v>1877</v>
      </c>
      <c r="C32" s="983" t="s">
        <v>1878</v>
      </c>
      <c r="D32" s="1078"/>
      <c r="E32" s="1078"/>
      <c r="F32" s="1078"/>
      <c r="G32" s="1078"/>
      <c r="H32" s="1001" t="s">
        <v>1849</v>
      </c>
      <c r="I32" s="1082"/>
      <c r="J32" s="1082"/>
      <c r="K32" s="1078"/>
    </row>
    <row r="33" spans="1:11" ht="42" thickTop="1" x14ac:dyDescent="0.2">
      <c r="A33" s="414">
        <v>1</v>
      </c>
      <c r="B33" s="382" t="s">
        <v>392</v>
      </c>
      <c r="C33" s="414" t="s">
        <v>57</v>
      </c>
      <c r="D33" s="414" t="s">
        <v>2090</v>
      </c>
      <c r="E33" s="382" t="s">
        <v>2155</v>
      </c>
      <c r="F33" s="414" t="s">
        <v>2014</v>
      </c>
      <c r="G33" s="997" t="s">
        <v>2015</v>
      </c>
      <c r="H33" s="930">
        <v>85</v>
      </c>
      <c r="I33" s="977"/>
      <c r="J33" s="977"/>
      <c r="K33" s="414"/>
    </row>
    <row r="34" spans="1:11" ht="41.25" x14ac:dyDescent="0.2">
      <c r="A34" s="414">
        <v>2</v>
      </c>
      <c r="B34" s="382" t="s">
        <v>407</v>
      </c>
      <c r="C34" s="414" t="s">
        <v>57</v>
      </c>
      <c r="D34" s="414" t="s">
        <v>2088</v>
      </c>
      <c r="E34" s="382" t="s">
        <v>2089</v>
      </c>
      <c r="F34" s="414" t="s">
        <v>2007</v>
      </c>
      <c r="G34" s="997" t="s">
        <v>2008</v>
      </c>
      <c r="H34" s="930">
        <f>+'Per anak'!G130</f>
        <v>64</v>
      </c>
      <c r="I34" s="977"/>
      <c r="J34" s="977"/>
      <c r="K34" s="414"/>
    </row>
    <row r="35" spans="1:11" ht="41.25" x14ac:dyDescent="0.2">
      <c r="A35" s="414">
        <v>3</v>
      </c>
      <c r="B35" s="382" t="s">
        <v>410</v>
      </c>
      <c r="C35" s="414" t="s">
        <v>57</v>
      </c>
      <c r="D35" s="414" t="s">
        <v>2086</v>
      </c>
      <c r="E35" s="382" t="s">
        <v>2087</v>
      </c>
      <c r="F35" s="414" t="s">
        <v>2042</v>
      </c>
      <c r="G35" s="997" t="s">
        <v>2043</v>
      </c>
      <c r="H35" s="930">
        <f>+'Per anak'!G131</f>
        <v>78</v>
      </c>
      <c r="I35" s="977"/>
      <c r="J35" s="977"/>
      <c r="K35" s="414"/>
    </row>
    <row r="36" spans="1:11" ht="41.25" x14ac:dyDescent="0.2">
      <c r="A36" s="414">
        <v>4</v>
      </c>
      <c r="B36" s="382" t="s">
        <v>413</v>
      </c>
      <c r="C36" s="414" t="s">
        <v>57</v>
      </c>
      <c r="D36" s="414" t="s">
        <v>2084</v>
      </c>
      <c r="E36" s="382" t="s">
        <v>2085</v>
      </c>
      <c r="F36" s="414" t="s">
        <v>2009</v>
      </c>
      <c r="G36" s="997" t="s">
        <v>2010</v>
      </c>
      <c r="H36" s="930">
        <v>22</v>
      </c>
      <c r="I36" s="977"/>
      <c r="J36" s="977"/>
      <c r="K36" s="414"/>
    </row>
    <row r="37" spans="1:11" ht="41.25" x14ac:dyDescent="0.2">
      <c r="A37" s="414">
        <v>5</v>
      </c>
      <c r="B37" s="382" t="s">
        <v>420</v>
      </c>
      <c r="C37" s="414" t="s">
        <v>57</v>
      </c>
      <c r="D37" s="414"/>
      <c r="E37" s="382" t="s">
        <v>2083</v>
      </c>
      <c r="F37" s="414" t="s">
        <v>2003</v>
      </c>
      <c r="G37" s="997" t="s">
        <v>2004</v>
      </c>
      <c r="H37" s="930">
        <f>+'Per anak'!G133</f>
        <v>29</v>
      </c>
      <c r="I37" s="977"/>
      <c r="J37" s="977"/>
      <c r="K37" s="414"/>
    </row>
    <row r="38" spans="1:11" ht="41.25" x14ac:dyDescent="0.2">
      <c r="A38" s="414">
        <v>6</v>
      </c>
      <c r="B38" s="382" t="s">
        <v>423</v>
      </c>
      <c r="C38" s="414" t="s">
        <v>57</v>
      </c>
      <c r="D38" s="414" t="s">
        <v>2012</v>
      </c>
      <c r="E38" s="382" t="s">
        <v>2082</v>
      </c>
      <c r="F38" s="414" t="s">
        <v>2011</v>
      </c>
      <c r="G38" s="997" t="s">
        <v>2013</v>
      </c>
      <c r="H38" s="930">
        <f>+'Per anak'!G134</f>
        <v>35</v>
      </c>
      <c r="I38" s="977"/>
      <c r="J38" s="977"/>
      <c r="K38" s="414"/>
    </row>
    <row r="39" spans="1:11" ht="54.75" x14ac:dyDescent="0.2">
      <c r="A39" s="414">
        <v>7</v>
      </c>
      <c r="B39" s="382" t="s">
        <v>426</v>
      </c>
      <c r="C39" s="414" t="s">
        <v>57</v>
      </c>
      <c r="D39" s="414" t="s">
        <v>2081</v>
      </c>
      <c r="E39" s="382" t="s">
        <v>2080</v>
      </c>
      <c r="F39" s="414" t="s">
        <v>2005</v>
      </c>
      <c r="G39" s="997" t="s">
        <v>2006</v>
      </c>
      <c r="H39" s="930">
        <f>+'Per anak'!G135</f>
        <v>31</v>
      </c>
      <c r="I39" s="977"/>
      <c r="J39" s="977"/>
      <c r="K39" s="414"/>
    </row>
    <row r="40" spans="1:11" ht="41.25" x14ac:dyDescent="0.2">
      <c r="A40" s="414">
        <v>8</v>
      </c>
      <c r="B40" s="382" t="s">
        <v>429</v>
      </c>
      <c r="C40" s="414" t="s">
        <v>57</v>
      </c>
      <c r="D40" s="414" t="s">
        <v>2075</v>
      </c>
      <c r="E40" s="382" t="s">
        <v>2072</v>
      </c>
      <c r="F40" s="414" t="s">
        <v>2073</v>
      </c>
      <c r="G40" s="1002" t="s">
        <v>2074</v>
      </c>
      <c r="H40" s="930">
        <f>+'Per anak'!G136</f>
        <v>38</v>
      </c>
      <c r="I40" s="977">
        <v>44405</v>
      </c>
      <c r="J40" s="977"/>
      <c r="K40" s="414"/>
    </row>
    <row r="41" spans="1:11" ht="41.25" x14ac:dyDescent="0.2">
      <c r="A41" s="414">
        <v>9</v>
      </c>
      <c r="B41" s="382" t="s">
        <v>558</v>
      </c>
      <c r="C41" s="414" t="s">
        <v>57</v>
      </c>
      <c r="D41" s="414" t="s">
        <v>2077</v>
      </c>
      <c r="E41" s="382" t="s">
        <v>2076</v>
      </c>
      <c r="F41" s="414" t="s">
        <v>2078</v>
      </c>
      <c r="G41" s="414" t="s">
        <v>2079</v>
      </c>
      <c r="H41" s="930">
        <f>+'Per anak'!G137</f>
        <v>25</v>
      </c>
      <c r="I41" s="977">
        <v>44804</v>
      </c>
      <c r="J41" s="977"/>
      <c r="K41" s="414"/>
    </row>
    <row r="49" spans="1:11" ht="30" customHeight="1" x14ac:dyDescent="0.2">
      <c r="A49" s="1077" t="s">
        <v>1127</v>
      </c>
      <c r="B49" s="1077" t="s">
        <v>2108</v>
      </c>
      <c r="C49" s="1077"/>
      <c r="D49" s="1077" t="s">
        <v>1847</v>
      </c>
      <c r="E49" s="1077" t="s">
        <v>314</v>
      </c>
      <c r="F49" s="1077" t="s">
        <v>11</v>
      </c>
      <c r="G49" s="1077" t="s">
        <v>1880</v>
      </c>
      <c r="H49" s="1000" t="s">
        <v>1848</v>
      </c>
      <c r="I49" s="1081" t="s">
        <v>1870</v>
      </c>
      <c r="J49" s="1081" t="s">
        <v>1965</v>
      </c>
      <c r="K49" s="1077" t="s">
        <v>1871</v>
      </c>
    </row>
    <row r="50" spans="1:11" ht="15.75" thickBot="1" x14ac:dyDescent="0.25">
      <c r="A50" s="1078"/>
      <c r="B50" s="983" t="s">
        <v>1877</v>
      </c>
      <c r="C50" s="983" t="s">
        <v>1878</v>
      </c>
      <c r="D50" s="1078"/>
      <c r="E50" s="1078"/>
      <c r="F50" s="1078"/>
      <c r="G50" s="1078"/>
      <c r="H50" s="1001" t="s">
        <v>1849</v>
      </c>
      <c r="I50" s="1082"/>
      <c r="J50" s="1082"/>
      <c r="K50" s="1078"/>
    </row>
    <row r="51" spans="1:11" ht="42" thickTop="1" x14ac:dyDescent="0.2">
      <c r="A51" s="414">
        <v>1</v>
      </c>
      <c r="B51" s="382" t="s">
        <v>106</v>
      </c>
      <c r="C51" s="414" t="s">
        <v>107</v>
      </c>
      <c r="D51" s="414" t="s">
        <v>2059</v>
      </c>
      <c r="E51" s="382"/>
      <c r="F51" s="414" t="s">
        <v>108</v>
      </c>
      <c r="G51" s="414"/>
      <c r="H51" s="930">
        <f>+'Per anak'!G152</f>
        <v>1</v>
      </c>
      <c r="I51" s="977">
        <v>44133</v>
      </c>
      <c r="J51" s="977"/>
      <c r="K51" s="980" t="s">
        <v>1963</v>
      </c>
    </row>
    <row r="52" spans="1:11" ht="41.25" x14ac:dyDescent="0.2">
      <c r="A52" s="414">
        <v>2</v>
      </c>
      <c r="B52" s="382" t="s">
        <v>64</v>
      </c>
      <c r="C52" s="414" t="s">
        <v>107</v>
      </c>
      <c r="D52" s="414" t="s">
        <v>2063</v>
      </c>
      <c r="E52" s="382"/>
      <c r="F52" s="414" t="s">
        <v>65</v>
      </c>
      <c r="G52" s="414"/>
      <c r="H52" s="930">
        <f>+'Per anak'!G153</f>
        <v>0</v>
      </c>
      <c r="I52" s="977">
        <v>44236</v>
      </c>
      <c r="J52" s="977"/>
      <c r="K52" s="980" t="s">
        <v>1963</v>
      </c>
    </row>
    <row r="53" spans="1:11" ht="41.25" x14ac:dyDescent="0.2">
      <c r="A53" s="414">
        <v>3</v>
      </c>
      <c r="B53" s="382" t="s">
        <v>633</v>
      </c>
      <c r="C53" s="414" t="s">
        <v>107</v>
      </c>
      <c r="D53" s="414" t="s">
        <v>2092</v>
      </c>
      <c r="E53" s="382"/>
      <c r="F53" s="414" t="s">
        <v>1990</v>
      </c>
      <c r="G53" s="979" t="s">
        <v>1983</v>
      </c>
      <c r="H53" s="930">
        <f>+'Per anak'!G154</f>
        <v>0</v>
      </c>
      <c r="I53" s="977">
        <v>44515</v>
      </c>
      <c r="J53" s="977"/>
      <c r="K53" s="980" t="s">
        <v>1963</v>
      </c>
    </row>
    <row r="54" spans="1:11" ht="41.25" x14ac:dyDescent="0.2">
      <c r="A54" s="414">
        <v>4</v>
      </c>
      <c r="B54" s="382" t="s">
        <v>1076</v>
      </c>
      <c r="C54" s="414" t="s">
        <v>107</v>
      </c>
      <c r="D54" s="414" t="s">
        <v>2091</v>
      </c>
      <c r="E54" s="382"/>
      <c r="F54" s="414" t="s">
        <v>1990</v>
      </c>
      <c r="G54" s="979" t="s">
        <v>1983</v>
      </c>
      <c r="H54" s="930">
        <f>+'Per anak'!G155</f>
        <v>0</v>
      </c>
      <c r="I54" s="977">
        <v>44628</v>
      </c>
      <c r="J54" s="977"/>
      <c r="K54" s="980" t="s">
        <v>1963</v>
      </c>
    </row>
    <row r="55" spans="1:11" ht="41.25" x14ac:dyDescent="0.2">
      <c r="A55" s="414">
        <v>5</v>
      </c>
      <c r="B55" s="382" t="s">
        <v>592</v>
      </c>
      <c r="C55" s="414" t="s">
        <v>107</v>
      </c>
      <c r="D55" s="414"/>
      <c r="E55" s="382"/>
      <c r="F55" s="414" t="s">
        <v>2058</v>
      </c>
      <c r="G55" s="979"/>
      <c r="H55" s="930">
        <f>+'Per anak'!G156</f>
        <v>0</v>
      </c>
      <c r="I55" s="977">
        <v>44560</v>
      </c>
      <c r="J55" s="977"/>
      <c r="K55" s="980" t="s">
        <v>1963</v>
      </c>
    </row>
    <row r="56" spans="1:11" ht="41.25" x14ac:dyDescent="0.2">
      <c r="A56" s="414">
        <v>6</v>
      </c>
      <c r="B56" s="382" t="s">
        <v>605</v>
      </c>
      <c r="C56" s="414" t="s">
        <v>107</v>
      </c>
      <c r="D56" s="414" t="s">
        <v>2057</v>
      </c>
      <c r="E56" s="382" t="s">
        <v>2055</v>
      </c>
      <c r="F56" s="414" t="s">
        <v>2054</v>
      </c>
      <c r="G56" s="979" t="s">
        <v>2056</v>
      </c>
      <c r="H56" s="930">
        <f>+'Per anak'!G157</f>
        <v>0</v>
      </c>
      <c r="I56" s="977">
        <v>44543</v>
      </c>
      <c r="J56" s="977"/>
      <c r="K56" s="980" t="s">
        <v>1963</v>
      </c>
    </row>
    <row r="57" spans="1:11" ht="41.25" x14ac:dyDescent="0.2">
      <c r="A57" s="414">
        <v>7</v>
      </c>
      <c r="B57" s="382" t="s">
        <v>607</v>
      </c>
      <c r="C57" s="414" t="s">
        <v>107</v>
      </c>
      <c r="D57" s="414"/>
      <c r="E57" s="382"/>
      <c r="F57" s="414" t="s">
        <v>2052</v>
      </c>
      <c r="G57" s="979" t="s">
        <v>2053</v>
      </c>
      <c r="H57" s="930">
        <f>+'Per anak'!G158</f>
        <v>0</v>
      </c>
      <c r="I57" s="977">
        <v>44466</v>
      </c>
      <c r="J57" s="977"/>
      <c r="K57" s="980" t="s">
        <v>1963</v>
      </c>
    </row>
    <row r="58" spans="1:11" ht="41.25" x14ac:dyDescent="0.2">
      <c r="A58" s="414">
        <v>8</v>
      </c>
      <c r="B58" s="382" t="s">
        <v>634</v>
      </c>
      <c r="C58" s="414" t="s">
        <v>107</v>
      </c>
      <c r="D58" s="414"/>
      <c r="E58" s="382"/>
      <c r="F58" s="414" t="s">
        <v>2045</v>
      </c>
      <c r="G58" s="979"/>
      <c r="H58" s="930">
        <f>+'Per anak'!G159</f>
        <v>0</v>
      </c>
      <c r="I58" s="977">
        <v>44571</v>
      </c>
      <c r="J58" s="977"/>
      <c r="K58" s="980" t="s">
        <v>1963</v>
      </c>
    </row>
    <row r="59" spans="1:11" ht="54.75" x14ac:dyDescent="0.2">
      <c r="A59" s="414">
        <v>9</v>
      </c>
      <c r="B59" s="382" t="s">
        <v>1065</v>
      </c>
      <c r="C59" s="414" t="s">
        <v>107</v>
      </c>
      <c r="D59" s="414" t="s">
        <v>2000</v>
      </c>
      <c r="E59" s="382"/>
      <c r="F59" s="414" t="s">
        <v>1990</v>
      </c>
      <c r="G59" s="979" t="s">
        <v>1983</v>
      </c>
      <c r="H59" s="930">
        <f>+'Per anak'!G160</f>
        <v>0</v>
      </c>
      <c r="I59" s="977">
        <v>44692</v>
      </c>
      <c r="J59" s="977"/>
      <c r="K59" s="980" t="s">
        <v>1963</v>
      </c>
    </row>
    <row r="60" spans="1:11" ht="41.25" x14ac:dyDescent="0.2">
      <c r="A60" s="414">
        <v>10</v>
      </c>
      <c r="B60" s="382" t="s">
        <v>1004</v>
      </c>
      <c r="C60" s="414" t="s">
        <v>107</v>
      </c>
      <c r="D60" s="414"/>
      <c r="E60" s="382"/>
      <c r="F60" s="414" t="s">
        <v>2044</v>
      </c>
      <c r="G60" s="979"/>
      <c r="H60" s="930">
        <f>+'Per anak'!G161</f>
        <v>0</v>
      </c>
      <c r="I60" s="977">
        <v>44641</v>
      </c>
      <c r="J60" s="977"/>
      <c r="K60" s="980" t="s">
        <v>1963</v>
      </c>
    </row>
    <row r="61" spans="1:11" ht="41.25" x14ac:dyDescent="0.2">
      <c r="A61" s="414">
        <v>11</v>
      </c>
      <c r="B61" s="382" t="s">
        <v>1276</v>
      </c>
      <c r="C61" s="414" t="s">
        <v>107</v>
      </c>
      <c r="D61" s="414" t="s">
        <v>1981</v>
      </c>
      <c r="E61" s="382"/>
      <c r="F61" s="414" t="s">
        <v>1990</v>
      </c>
      <c r="G61" s="979" t="s">
        <v>1983</v>
      </c>
      <c r="H61" s="930">
        <f>+'Per anak'!G162</f>
        <v>0</v>
      </c>
      <c r="I61" s="977">
        <v>44788</v>
      </c>
      <c r="J61" s="977" t="s">
        <v>960</v>
      </c>
      <c r="K61" s="980" t="s">
        <v>1963</v>
      </c>
    </row>
    <row r="62" spans="1:11" ht="41.25" x14ac:dyDescent="0.2">
      <c r="A62" s="414">
        <v>12</v>
      </c>
      <c r="B62" s="382" t="s">
        <v>1280</v>
      </c>
      <c r="C62" s="414" t="s">
        <v>107</v>
      </c>
      <c r="D62" s="996" t="s">
        <v>1978</v>
      </c>
      <c r="E62" s="382"/>
      <c r="F62" s="414" t="s">
        <v>1991</v>
      </c>
      <c r="G62" s="979" t="s">
        <v>1984</v>
      </c>
      <c r="H62" s="930">
        <f>+'Per anak'!G163</f>
        <v>1</v>
      </c>
      <c r="I62" s="977">
        <v>44788</v>
      </c>
      <c r="J62" s="977" t="s">
        <v>960</v>
      </c>
      <c r="K62" s="980" t="s">
        <v>1963</v>
      </c>
    </row>
    <row r="63" spans="1:11" ht="81" x14ac:dyDescent="0.2">
      <c r="A63" s="414">
        <v>13</v>
      </c>
      <c r="B63" s="382" t="s">
        <v>1277</v>
      </c>
      <c r="C63" s="414" t="s">
        <v>107</v>
      </c>
      <c r="D63" s="414" t="s">
        <v>1977</v>
      </c>
      <c r="E63" s="382"/>
      <c r="F63" s="414" t="s">
        <v>1995</v>
      </c>
      <c r="G63" s="979" t="s">
        <v>1989</v>
      </c>
      <c r="H63" s="930">
        <f>+'Per anak'!G164</f>
        <v>1</v>
      </c>
      <c r="I63" s="977">
        <v>44788</v>
      </c>
      <c r="J63" s="977" t="s">
        <v>960</v>
      </c>
      <c r="K63" s="980" t="s">
        <v>1963</v>
      </c>
    </row>
    <row r="64" spans="1:11" ht="41.25" x14ac:dyDescent="0.2">
      <c r="A64" s="414">
        <v>14</v>
      </c>
      <c r="B64" s="382" t="s">
        <v>1278</v>
      </c>
      <c r="C64" s="414" t="s">
        <v>107</v>
      </c>
      <c r="D64" s="414" t="s">
        <v>1976</v>
      </c>
      <c r="E64" s="382"/>
      <c r="F64" s="414" t="s">
        <v>1992</v>
      </c>
      <c r="G64" s="979" t="s">
        <v>1985</v>
      </c>
      <c r="H64" s="930">
        <f>+'Per anak'!G165</f>
        <v>1</v>
      </c>
      <c r="I64" s="977">
        <v>44788</v>
      </c>
      <c r="J64" s="977" t="s">
        <v>960</v>
      </c>
      <c r="K64" s="980" t="s">
        <v>1963</v>
      </c>
    </row>
    <row r="65" spans="1:11" ht="41.25" x14ac:dyDescent="0.2">
      <c r="A65" s="414">
        <v>15</v>
      </c>
      <c r="B65" s="382" t="s">
        <v>1293</v>
      </c>
      <c r="C65" s="414" t="s">
        <v>107</v>
      </c>
      <c r="D65" s="414" t="s">
        <v>1982</v>
      </c>
      <c r="E65" s="382"/>
      <c r="F65" s="414" t="s">
        <v>1994</v>
      </c>
      <c r="G65" s="979" t="s">
        <v>1986</v>
      </c>
      <c r="H65" s="930">
        <f>+'Per anak'!G166</f>
        <v>1</v>
      </c>
      <c r="I65" s="977">
        <v>44788</v>
      </c>
      <c r="J65" s="977" t="s">
        <v>960</v>
      </c>
      <c r="K65" s="980" t="s">
        <v>1963</v>
      </c>
    </row>
    <row r="66" spans="1:11" ht="54.75" x14ac:dyDescent="0.2">
      <c r="A66" s="414">
        <v>16</v>
      </c>
      <c r="B66" s="382" t="s">
        <v>1302</v>
      </c>
      <c r="C66" s="414" t="s">
        <v>107</v>
      </c>
      <c r="D66" s="414" t="s">
        <v>1979</v>
      </c>
      <c r="E66" s="382"/>
      <c r="F66" s="414" t="s">
        <v>1306</v>
      </c>
      <c r="G66" s="979" t="s">
        <v>1987</v>
      </c>
      <c r="H66" s="930">
        <f>+'Per anak'!G167</f>
        <v>1</v>
      </c>
      <c r="I66" s="977">
        <v>44788</v>
      </c>
      <c r="J66" s="977" t="s">
        <v>960</v>
      </c>
      <c r="K66" s="980" t="s">
        <v>1963</v>
      </c>
    </row>
    <row r="67" spans="1:11" ht="41.25" x14ac:dyDescent="0.2">
      <c r="A67" s="414">
        <v>17</v>
      </c>
      <c r="B67" s="382" t="s">
        <v>1303</v>
      </c>
      <c r="C67" s="414" t="s">
        <v>107</v>
      </c>
      <c r="D67" s="414" t="s">
        <v>1980</v>
      </c>
      <c r="E67" s="382"/>
      <c r="F67" s="414" t="s">
        <v>1993</v>
      </c>
      <c r="G67" s="979" t="s">
        <v>1988</v>
      </c>
      <c r="H67" s="930">
        <f>+'Per anak'!G168</f>
        <v>1</v>
      </c>
      <c r="I67" s="977">
        <v>44788</v>
      </c>
      <c r="J67" s="977" t="s">
        <v>960</v>
      </c>
      <c r="K67" s="980" t="s">
        <v>1963</v>
      </c>
    </row>
    <row r="68" spans="1:11" ht="41.25" x14ac:dyDescent="0.2">
      <c r="A68" s="414">
        <v>18</v>
      </c>
      <c r="B68" s="382" t="s">
        <v>1398</v>
      </c>
      <c r="C68" s="414" t="s">
        <v>107</v>
      </c>
      <c r="D68" s="414" t="s">
        <v>2060</v>
      </c>
      <c r="E68" s="382" t="s">
        <v>2046</v>
      </c>
      <c r="F68" s="414"/>
      <c r="G68" s="979" t="s">
        <v>2047</v>
      </c>
      <c r="H68" s="930">
        <f>+'Per anak'!G169</f>
        <v>1</v>
      </c>
      <c r="I68" s="977">
        <v>44371</v>
      </c>
      <c r="J68" s="977"/>
      <c r="K68" s="980" t="s">
        <v>1963</v>
      </c>
    </row>
    <row r="69" spans="1:11" ht="41.25" x14ac:dyDescent="0.2">
      <c r="A69" s="414">
        <v>19</v>
      </c>
      <c r="B69" s="382" t="s">
        <v>964</v>
      </c>
      <c r="C69" s="414" t="s">
        <v>107</v>
      </c>
      <c r="D69" s="414"/>
      <c r="E69" s="382"/>
      <c r="F69" s="414" t="s">
        <v>2048</v>
      </c>
      <c r="G69" s="979"/>
      <c r="H69" s="930">
        <f>+'Per anak'!G170</f>
        <v>1</v>
      </c>
      <c r="I69" s="977">
        <v>44592</v>
      </c>
      <c r="J69" s="977"/>
      <c r="K69" s="980" t="s">
        <v>1963</v>
      </c>
    </row>
    <row r="70" spans="1:11" ht="68.25" x14ac:dyDescent="0.2">
      <c r="A70" s="414">
        <v>20</v>
      </c>
      <c r="B70" s="382" t="s">
        <v>1556</v>
      </c>
      <c r="C70" s="414" t="s">
        <v>107</v>
      </c>
      <c r="D70" s="414"/>
      <c r="E70" s="382" t="s">
        <v>2049</v>
      </c>
      <c r="F70" s="414" t="s">
        <v>2001</v>
      </c>
      <c r="G70" s="979" t="s">
        <v>2002</v>
      </c>
      <c r="H70" s="930">
        <f>+'Per anak'!G171</f>
        <v>1</v>
      </c>
      <c r="I70" s="977">
        <v>44783</v>
      </c>
      <c r="J70" s="977"/>
      <c r="K70" s="980" t="s">
        <v>1963</v>
      </c>
    </row>
    <row r="71" spans="1:11" ht="54.75" x14ac:dyDescent="0.2">
      <c r="A71" s="414">
        <v>21</v>
      </c>
      <c r="B71" s="382" t="s">
        <v>1562</v>
      </c>
      <c r="C71" s="414" t="s">
        <v>107</v>
      </c>
      <c r="D71" s="414"/>
      <c r="E71" s="382" t="s">
        <v>2050</v>
      </c>
      <c r="F71" s="414" t="s">
        <v>2051</v>
      </c>
      <c r="G71" s="979">
        <v>81338711705</v>
      </c>
      <c r="H71" s="930">
        <f>+'Per anak'!G172</f>
        <v>1</v>
      </c>
      <c r="I71" s="977">
        <v>44783</v>
      </c>
      <c r="J71" s="977"/>
      <c r="K71" s="980" t="s">
        <v>1963</v>
      </c>
    </row>
    <row r="72" spans="1:11" ht="135" x14ac:dyDescent="0.2">
      <c r="A72" s="414">
        <v>22</v>
      </c>
      <c r="B72" s="382" t="s">
        <v>1622</v>
      </c>
      <c r="C72" s="414" t="s">
        <v>107</v>
      </c>
      <c r="D72" s="414"/>
      <c r="E72" s="382" t="s">
        <v>1975</v>
      </c>
      <c r="F72" s="414" t="s">
        <v>1996</v>
      </c>
      <c r="G72" s="979" t="s">
        <v>1997</v>
      </c>
      <c r="H72" s="930">
        <f>+'Per anak'!G173</f>
        <v>1</v>
      </c>
      <c r="I72" s="977">
        <v>44813</v>
      </c>
      <c r="J72" s="977"/>
      <c r="K72" s="980" t="s">
        <v>1963</v>
      </c>
    </row>
    <row r="73" spans="1:11" ht="41.25" x14ac:dyDescent="0.2">
      <c r="A73" s="414">
        <v>23</v>
      </c>
      <c r="B73" s="382" t="s">
        <v>1705</v>
      </c>
      <c r="C73" s="414" t="s">
        <v>107</v>
      </c>
      <c r="D73" s="414"/>
      <c r="E73" s="382"/>
      <c r="F73" s="414" t="s">
        <v>1998</v>
      </c>
      <c r="G73" s="979" t="s">
        <v>1999</v>
      </c>
      <c r="H73" s="930">
        <f>+'Per anak'!G174</f>
        <v>1</v>
      </c>
      <c r="I73" s="977">
        <v>44830</v>
      </c>
      <c r="J73" s="977"/>
      <c r="K73" s="980" t="s">
        <v>1963</v>
      </c>
    </row>
    <row r="74" spans="1:11" x14ac:dyDescent="0.2">
      <c r="A74" s="414">
        <v>24</v>
      </c>
      <c r="B74" s="382"/>
      <c r="C74" s="414"/>
      <c r="D74" s="414"/>
      <c r="E74" s="382"/>
      <c r="F74" s="414"/>
      <c r="G74" s="979"/>
      <c r="H74" s="414"/>
      <c r="I74" s="977"/>
      <c r="J74" s="977"/>
      <c r="K74" s="980"/>
    </row>
    <row r="75" spans="1:11" x14ac:dyDescent="0.2">
      <c r="A75" s="414">
        <v>25</v>
      </c>
      <c r="B75" s="382"/>
      <c r="C75" s="414"/>
      <c r="D75" s="414"/>
      <c r="E75" s="382"/>
      <c r="F75" s="414"/>
      <c r="G75" s="979"/>
      <c r="H75" s="414"/>
      <c r="I75" s="977"/>
      <c r="J75" s="977"/>
      <c r="K75" s="980"/>
    </row>
    <row r="76" spans="1:11" x14ac:dyDescent="0.2">
      <c r="A76" s="414"/>
      <c r="B76" s="382"/>
      <c r="C76" s="414"/>
      <c r="D76" s="414"/>
      <c r="E76" s="382"/>
      <c r="F76" s="414"/>
      <c r="G76" s="979"/>
      <c r="H76" s="414"/>
      <c r="I76" s="977"/>
      <c r="J76" s="977"/>
      <c r="K76" s="414"/>
    </row>
    <row r="77" spans="1:11" x14ac:dyDescent="0.2">
      <c r="A77" s="414"/>
      <c r="B77" s="382"/>
      <c r="C77" s="414"/>
      <c r="D77" s="414"/>
      <c r="E77" s="382"/>
      <c r="F77" s="414"/>
      <c r="G77" s="979"/>
      <c r="H77" s="414"/>
      <c r="I77" s="977"/>
      <c r="J77" s="977"/>
      <c r="K77" s="414"/>
    </row>
    <row r="78" spans="1:11" x14ac:dyDescent="0.2">
      <c r="A78" s="414"/>
      <c r="B78" s="382"/>
      <c r="C78" s="414"/>
      <c r="D78" s="414"/>
      <c r="E78" s="382"/>
      <c r="F78" s="414"/>
      <c r="G78" s="979"/>
      <c r="H78" s="414"/>
      <c r="I78" s="977"/>
      <c r="J78" s="977"/>
      <c r="K78" s="414"/>
    </row>
    <row r="79" spans="1:11" x14ac:dyDescent="0.2">
      <c r="A79" s="414"/>
      <c r="B79" s="382"/>
      <c r="C79" s="414"/>
      <c r="D79" s="414"/>
      <c r="E79" s="382"/>
      <c r="F79" s="414"/>
      <c r="G79" s="979"/>
      <c r="H79" s="414"/>
      <c r="I79" s="977"/>
      <c r="J79" s="977"/>
      <c r="K79" s="414"/>
    </row>
    <row r="80" spans="1:11" x14ac:dyDescent="0.2">
      <c r="A80" s="414"/>
      <c r="B80" s="382"/>
      <c r="C80" s="414"/>
      <c r="D80" s="414"/>
      <c r="E80" s="382"/>
      <c r="F80" s="414"/>
      <c r="G80" s="979"/>
      <c r="H80" s="414"/>
      <c r="I80" s="977"/>
      <c r="J80" s="977"/>
      <c r="K80" s="414"/>
    </row>
    <row r="83" spans="1:11" ht="30" customHeight="1" x14ac:dyDescent="0.2">
      <c r="A83" s="1077" t="s">
        <v>1127</v>
      </c>
      <c r="B83" s="1077" t="s">
        <v>2110</v>
      </c>
      <c r="C83" s="1077"/>
      <c r="D83" s="1077" t="s">
        <v>1847</v>
      </c>
      <c r="E83" s="1077" t="s">
        <v>314</v>
      </c>
      <c r="F83" s="1077" t="s">
        <v>11</v>
      </c>
      <c r="G83" s="1077" t="s">
        <v>1880</v>
      </c>
      <c r="H83" s="1000" t="s">
        <v>1848</v>
      </c>
      <c r="I83" s="1081" t="s">
        <v>1870</v>
      </c>
      <c r="J83" s="1081" t="s">
        <v>1965</v>
      </c>
      <c r="K83" s="1077" t="s">
        <v>1871</v>
      </c>
    </row>
    <row r="84" spans="1:11" ht="15.75" thickBot="1" x14ac:dyDescent="0.25">
      <c r="A84" s="1091"/>
      <c r="B84" s="1017" t="s">
        <v>1877</v>
      </c>
      <c r="C84" s="1017" t="s">
        <v>1878</v>
      </c>
      <c r="D84" s="1091"/>
      <c r="E84" s="1091"/>
      <c r="F84" s="1091"/>
      <c r="G84" s="1091"/>
      <c r="H84" s="1017" t="s">
        <v>1849</v>
      </c>
      <c r="I84" s="1092"/>
      <c r="J84" s="1092"/>
      <c r="K84" s="1091"/>
    </row>
    <row r="85" spans="1:11" ht="41.25" x14ac:dyDescent="0.2">
      <c r="A85" s="1018">
        <v>1</v>
      </c>
      <c r="B85" s="981" t="s">
        <v>876</v>
      </c>
      <c r="C85" s="981" t="s">
        <v>26</v>
      </c>
      <c r="D85" s="382" t="s">
        <v>2112</v>
      </c>
      <c r="E85" s="981"/>
      <c r="F85" s="981" t="s">
        <v>2116</v>
      </c>
      <c r="G85" s="1020" t="s">
        <v>2134</v>
      </c>
      <c r="H85" s="980"/>
      <c r="I85" s="977">
        <v>44452</v>
      </c>
      <c r="J85" s="1016"/>
      <c r="K85" s="981"/>
    </row>
    <row r="86" spans="1:11" ht="27.75" x14ac:dyDescent="0.2">
      <c r="A86" s="382">
        <v>2</v>
      </c>
      <c r="B86" s="382" t="s">
        <v>875</v>
      </c>
      <c r="C86" s="981" t="s">
        <v>26</v>
      </c>
      <c r="D86" s="382" t="s">
        <v>2115</v>
      </c>
      <c r="E86" s="382"/>
      <c r="F86" s="981" t="s">
        <v>2116</v>
      </c>
      <c r="G86" s="999" t="s">
        <v>2133</v>
      </c>
      <c r="H86" s="414"/>
      <c r="I86" s="977">
        <v>44452</v>
      </c>
      <c r="J86" s="1015"/>
      <c r="K86" s="382"/>
    </row>
    <row r="87" spans="1:11" ht="41.25" x14ac:dyDescent="0.2">
      <c r="A87" s="382">
        <v>3</v>
      </c>
      <c r="B87" s="382" t="s">
        <v>877</v>
      </c>
      <c r="C87" s="981" t="s">
        <v>26</v>
      </c>
      <c r="D87" s="382" t="s">
        <v>2112</v>
      </c>
      <c r="E87" s="382"/>
      <c r="F87" s="981" t="s">
        <v>2116</v>
      </c>
      <c r="G87" s="382" t="s">
        <v>2132</v>
      </c>
      <c r="H87" s="414"/>
      <c r="I87" s="977">
        <v>44452</v>
      </c>
      <c r="J87" s="1015"/>
      <c r="K87" s="382"/>
    </row>
    <row r="88" spans="1:11" ht="27.75" x14ac:dyDescent="0.2">
      <c r="A88" s="382">
        <v>4</v>
      </c>
      <c r="B88" s="382" t="s">
        <v>878</v>
      </c>
      <c r="C88" s="981" t="s">
        <v>26</v>
      </c>
      <c r="D88" s="382" t="s">
        <v>2115</v>
      </c>
      <c r="E88" s="382"/>
      <c r="F88" s="981" t="s">
        <v>2116</v>
      </c>
      <c r="G88" s="999" t="s">
        <v>2135</v>
      </c>
      <c r="H88" s="414"/>
      <c r="I88" s="977">
        <v>44452</v>
      </c>
      <c r="J88" s="1015"/>
      <c r="K88" s="382"/>
    </row>
    <row r="89" spans="1:11" ht="41.25" x14ac:dyDescent="0.2">
      <c r="A89" s="382">
        <v>5</v>
      </c>
      <c r="B89" s="382" t="s">
        <v>879</v>
      </c>
      <c r="C89" s="981" t="s">
        <v>26</v>
      </c>
      <c r="D89" s="382" t="s">
        <v>2112</v>
      </c>
      <c r="E89" s="382"/>
      <c r="F89" s="981" t="s">
        <v>2116</v>
      </c>
      <c r="G89" s="999" t="s">
        <v>2136</v>
      </c>
      <c r="H89" s="414"/>
      <c r="I89" s="977">
        <v>44452</v>
      </c>
      <c r="J89" s="1015"/>
      <c r="K89" s="382"/>
    </row>
    <row r="90" spans="1:11" ht="41.25" x14ac:dyDescent="0.2">
      <c r="A90" s="382">
        <v>6</v>
      </c>
      <c r="B90" s="382" t="s">
        <v>951</v>
      </c>
      <c r="C90" s="981" t="s">
        <v>26</v>
      </c>
      <c r="D90" s="382" t="s">
        <v>2112</v>
      </c>
      <c r="E90" s="382"/>
      <c r="F90" s="981" t="s">
        <v>2116</v>
      </c>
      <c r="G90" s="999" t="s">
        <v>2137</v>
      </c>
      <c r="H90" s="414"/>
      <c r="I90" s="977">
        <v>44452</v>
      </c>
      <c r="J90" s="1015"/>
      <c r="K90" s="382"/>
    </row>
    <row r="91" spans="1:11" ht="41.25" x14ac:dyDescent="0.2">
      <c r="A91" s="382">
        <v>7</v>
      </c>
      <c r="B91" s="382" t="s">
        <v>880</v>
      </c>
      <c r="C91" s="981" t="s">
        <v>26</v>
      </c>
      <c r="D91" s="382" t="s">
        <v>2112</v>
      </c>
      <c r="E91" s="382"/>
      <c r="F91" s="981" t="s">
        <v>2116</v>
      </c>
      <c r="G91" s="999" t="s">
        <v>2138</v>
      </c>
      <c r="H91" s="414"/>
      <c r="I91" s="977">
        <v>44452</v>
      </c>
      <c r="J91" s="1015"/>
      <c r="K91" s="382"/>
    </row>
    <row r="92" spans="1:11" ht="41.25" x14ac:dyDescent="0.2">
      <c r="A92" s="382">
        <v>8</v>
      </c>
      <c r="B92" s="382" t="s">
        <v>952</v>
      </c>
      <c r="C92" s="981" t="s">
        <v>26</v>
      </c>
      <c r="D92" s="382" t="s">
        <v>2114</v>
      </c>
      <c r="E92" s="382"/>
      <c r="F92" s="981" t="s">
        <v>2116</v>
      </c>
      <c r="G92" s="999" t="s">
        <v>2139</v>
      </c>
      <c r="H92" s="414"/>
      <c r="I92" s="977">
        <v>44452</v>
      </c>
      <c r="J92" s="1015"/>
      <c r="K92" s="382"/>
    </row>
    <row r="93" spans="1:11" ht="41.25" x14ac:dyDescent="0.2">
      <c r="A93" s="382">
        <v>9</v>
      </c>
      <c r="B93" s="382" t="s">
        <v>881</v>
      </c>
      <c r="C93" s="981" t="s">
        <v>26</v>
      </c>
      <c r="D93" s="382" t="s">
        <v>2114</v>
      </c>
      <c r="E93" s="382"/>
      <c r="F93" s="981" t="s">
        <v>2116</v>
      </c>
      <c r="G93" s="999" t="s">
        <v>2140</v>
      </c>
      <c r="H93" s="414"/>
      <c r="I93" s="977">
        <v>44452</v>
      </c>
      <c r="J93" s="1015"/>
      <c r="K93" s="382"/>
    </row>
    <row r="94" spans="1:11" ht="41.25" x14ac:dyDescent="0.2">
      <c r="A94" s="382">
        <v>10</v>
      </c>
      <c r="B94" s="382" t="s">
        <v>882</v>
      </c>
      <c r="C94" s="981" t="s">
        <v>26</v>
      </c>
      <c r="D94" s="382" t="s">
        <v>2112</v>
      </c>
      <c r="E94" s="382"/>
      <c r="F94" s="981" t="s">
        <v>2116</v>
      </c>
      <c r="G94" s="999" t="s">
        <v>2141</v>
      </c>
      <c r="H94" s="414"/>
      <c r="I94" s="977">
        <v>44452</v>
      </c>
      <c r="J94" s="1015"/>
      <c r="K94" s="382"/>
    </row>
    <row r="95" spans="1:11" ht="27.75" x14ac:dyDescent="0.2">
      <c r="A95" s="382">
        <v>11</v>
      </c>
      <c r="B95" s="382" t="s">
        <v>883</v>
      </c>
      <c r="C95" s="981" t="s">
        <v>26</v>
      </c>
      <c r="D95" s="382" t="s">
        <v>2111</v>
      </c>
      <c r="E95" s="382"/>
      <c r="F95" s="981" t="s">
        <v>2116</v>
      </c>
      <c r="G95" s="999" t="s">
        <v>2142</v>
      </c>
      <c r="H95" s="414"/>
      <c r="I95" s="977">
        <v>44452</v>
      </c>
      <c r="J95" s="1015"/>
      <c r="K95" s="382"/>
    </row>
    <row r="96" spans="1:11" ht="41.25" x14ac:dyDescent="0.2">
      <c r="A96" s="382">
        <v>12</v>
      </c>
      <c r="B96" s="382" t="s">
        <v>956</v>
      </c>
      <c r="C96" s="981" t="s">
        <v>26</v>
      </c>
      <c r="D96" s="382" t="s">
        <v>2114</v>
      </c>
      <c r="E96" s="382"/>
      <c r="F96" s="981" t="s">
        <v>2116</v>
      </c>
      <c r="G96" s="999" t="s">
        <v>2143</v>
      </c>
      <c r="H96" s="414"/>
      <c r="I96" s="977">
        <v>44441</v>
      </c>
      <c r="J96" s="1015"/>
      <c r="K96" s="382"/>
    </row>
    <row r="97" spans="1:11" ht="27.75" x14ac:dyDescent="0.2">
      <c r="A97" s="382">
        <v>13</v>
      </c>
      <c r="B97" s="382" t="s">
        <v>884</v>
      </c>
      <c r="C97" s="981" t="s">
        <v>26</v>
      </c>
      <c r="D97" s="382" t="s">
        <v>2115</v>
      </c>
      <c r="E97" s="382"/>
      <c r="F97" s="981" t="s">
        <v>2116</v>
      </c>
      <c r="G97" s="999" t="s">
        <v>2144</v>
      </c>
      <c r="H97" s="414"/>
      <c r="I97" s="977">
        <v>44508</v>
      </c>
      <c r="J97" s="1015"/>
      <c r="K97" s="382"/>
    </row>
    <row r="98" spans="1:11" ht="27.75" x14ac:dyDescent="0.2">
      <c r="A98" s="382">
        <v>14</v>
      </c>
      <c r="B98" s="382" t="s">
        <v>908</v>
      </c>
      <c r="C98" s="981" t="s">
        <v>26</v>
      </c>
      <c r="D98" s="382" t="s">
        <v>2124</v>
      </c>
      <c r="E98" s="382"/>
      <c r="F98" s="981" t="s">
        <v>2116</v>
      </c>
      <c r="G98" s="999" t="s">
        <v>2145</v>
      </c>
      <c r="H98" s="414"/>
      <c r="I98" s="977">
        <v>44624</v>
      </c>
      <c r="J98" s="1015"/>
      <c r="K98" s="382"/>
    </row>
    <row r="99" spans="1:11" ht="27.75" x14ac:dyDescent="0.2">
      <c r="A99" s="382">
        <v>15</v>
      </c>
      <c r="B99" s="382" t="s">
        <v>909</v>
      </c>
      <c r="C99" s="981" t="s">
        <v>26</v>
      </c>
      <c r="D99" s="382"/>
      <c r="E99" s="382"/>
      <c r="F99" s="981" t="s">
        <v>2116</v>
      </c>
      <c r="G99" s="382" t="s">
        <v>2131</v>
      </c>
      <c r="H99" s="414"/>
      <c r="I99" s="977">
        <v>44452</v>
      </c>
      <c r="J99" s="1019">
        <v>44470</v>
      </c>
      <c r="K99" s="382"/>
    </row>
    <row r="100" spans="1:11" ht="41.25" x14ac:dyDescent="0.2">
      <c r="A100" s="382">
        <v>16</v>
      </c>
      <c r="B100" s="382" t="s">
        <v>1214</v>
      </c>
      <c r="C100" s="981" t="s">
        <v>26</v>
      </c>
      <c r="D100" s="382" t="s">
        <v>2112</v>
      </c>
      <c r="E100" s="382"/>
      <c r="F100" s="981" t="s">
        <v>2116</v>
      </c>
      <c r="G100" s="999" t="s">
        <v>2146</v>
      </c>
      <c r="H100" s="414"/>
      <c r="I100" s="977" t="s">
        <v>2149</v>
      </c>
      <c r="J100" s="1015"/>
      <c r="K100" s="382"/>
    </row>
    <row r="101" spans="1:11" ht="27.75" x14ac:dyDescent="0.2">
      <c r="A101" s="382">
        <v>17</v>
      </c>
      <c r="B101" s="382" t="s">
        <v>1215</v>
      </c>
      <c r="C101" s="981" t="s">
        <v>26</v>
      </c>
      <c r="D101" s="382" t="s">
        <v>2111</v>
      </c>
      <c r="E101" s="382"/>
      <c r="F101" s="981" t="s">
        <v>2116</v>
      </c>
      <c r="G101" s="999" t="s">
        <v>2147</v>
      </c>
      <c r="H101" s="414"/>
      <c r="I101" s="977" t="s">
        <v>2149</v>
      </c>
      <c r="J101" s="1015"/>
      <c r="K101" s="382"/>
    </row>
    <row r="102" spans="1:11" ht="27.75" x14ac:dyDescent="0.2">
      <c r="A102" s="382">
        <v>18</v>
      </c>
      <c r="B102" s="382" t="s">
        <v>1216</v>
      </c>
      <c r="C102" s="981" t="s">
        <v>26</v>
      </c>
      <c r="D102" s="382" t="s">
        <v>2113</v>
      </c>
      <c r="E102" s="382"/>
      <c r="F102" s="981" t="s">
        <v>2116</v>
      </c>
      <c r="G102" s="999" t="s">
        <v>2148</v>
      </c>
      <c r="H102" s="414"/>
      <c r="I102" s="977" t="s">
        <v>2149</v>
      </c>
      <c r="J102" s="1015"/>
      <c r="K102" s="382"/>
    </row>
    <row r="103" spans="1:11" ht="27.75" x14ac:dyDescent="0.2">
      <c r="A103" s="382">
        <v>19</v>
      </c>
      <c r="B103" s="382" t="s">
        <v>916</v>
      </c>
      <c r="C103" s="981" t="s">
        <v>26</v>
      </c>
      <c r="D103" s="382" t="s">
        <v>2120</v>
      </c>
      <c r="E103" s="382"/>
      <c r="F103" s="382" t="s">
        <v>681</v>
      </c>
      <c r="G103" s="999" t="s">
        <v>2130</v>
      </c>
      <c r="H103" s="414"/>
      <c r="I103" s="977">
        <v>44526</v>
      </c>
      <c r="J103" s="1015"/>
      <c r="K103" s="382"/>
    </row>
    <row r="104" spans="1:11" ht="27.75" x14ac:dyDescent="0.2">
      <c r="A104" s="382">
        <v>20</v>
      </c>
      <c r="B104" s="382" t="s">
        <v>917</v>
      </c>
      <c r="C104" s="981" t="s">
        <v>26</v>
      </c>
      <c r="D104" s="382" t="s">
        <v>2120</v>
      </c>
      <c r="E104" s="382"/>
      <c r="F104" s="382" t="s">
        <v>681</v>
      </c>
      <c r="G104" s="999" t="s">
        <v>2130</v>
      </c>
      <c r="H104" s="414"/>
      <c r="I104" s="977">
        <v>44526</v>
      </c>
      <c r="J104" s="1015"/>
      <c r="K104" s="382"/>
    </row>
    <row r="105" spans="1:11" ht="27.75" x14ac:dyDescent="0.2">
      <c r="A105" s="382">
        <v>21</v>
      </c>
      <c r="B105" s="382" t="s">
        <v>918</v>
      </c>
      <c r="C105" s="981" t="s">
        <v>26</v>
      </c>
      <c r="D105" s="382" t="s">
        <v>2119</v>
      </c>
      <c r="E105" s="382"/>
      <c r="F105" s="382" t="s">
        <v>681</v>
      </c>
      <c r="G105" s="999" t="s">
        <v>2130</v>
      </c>
      <c r="H105" s="414"/>
      <c r="I105" s="977">
        <v>44526</v>
      </c>
      <c r="J105" s="1015"/>
      <c r="K105" s="382"/>
    </row>
    <row r="106" spans="1:11" ht="27.75" x14ac:dyDescent="0.2">
      <c r="A106" s="382">
        <v>22</v>
      </c>
      <c r="B106" s="382" t="s">
        <v>919</v>
      </c>
      <c r="C106" s="981" t="s">
        <v>26</v>
      </c>
      <c r="D106" s="382" t="s">
        <v>2119</v>
      </c>
      <c r="E106" s="382"/>
      <c r="F106" s="382" t="s">
        <v>681</v>
      </c>
      <c r="G106" s="999" t="s">
        <v>2130</v>
      </c>
      <c r="H106" s="414"/>
      <c r="I106" s="977">
        <v>44526</v>
      </c>
      <c r="J106" s="1015"/>
      <c r="K106" s="382"/>
    </row>
    <row r="107" spans="1:11" ht="27.75" x14ac:dyDescent="0.2">
      <c r="A107" s="382">
        <v>23</v>
      </c>
      <c r="B107" s="382" t="s">
        <v>920</v>
      </c>
      <c r="C107" s="981" t="s">
        <v>26</v>
      </c>
      <c r="D107" s="382" t="s">
        <v>2122</v>
      </c>
      <c r="E107" s="382"/>
      <c r="F107" s="382" t="s">
        <v>681</v>
      </c>
      <c r="G107" s="999" t="s">
        <v>2130</v>
      </c>
      <c r="H107" s="414"/>
      <c r="I107" s="977">
        <v>44526</v>
      </c>
      <c r="J107" s="1015"/>
      <c r="K107" s="382"/>
    </row>
    <row r="108" spans="1:11" ht="27.75" x14ac:dyDescent="0.2">
      <c r="A108" s="382">
        <v>24</v>
      </c>
      <c r="B108" s="382" t="s">
        <v>921</v>
      </c>
      <c r="C108" s="981" t="s">
        <v>26</v>
      </c>
      <c r="D108" s="382" t="s">
        <v>2117</v>
      </c>
      <c r="E108" s="382"/>
      <c r="F108" s="382" t="s">
        <v>681</v>
      </c>
      <c r="G108" s="999" t="s">
        <v>2130</v>
      </c>
      <c r="H108" s="414"/>
      <c r="I108" s="977">
        <v>44526</v>
      </c>
      <c r="J108" s="1015"/>
      <c r="K108" s="382"/>
    </row>
    <row r="109" spans="1:11" ht="27.75" x14ac:dyDescent="0.2">
      <c r="A109" s="382">
        <v>25</v>
      </c>
      <c r="B109" s="382" t="s">
        <v>922</v>
      </c>
      <c r="C109" s="981" t="s">
        <v>26</v>
      </c>
      <c r="D109" s="382" t="s">
        <v>2117</v>
      </c>
      <c r="E109" s="382"/>
      <c r="F109" s="382" t="s">
        <v>681</v>
      </c>
      <c r="G109" s="999" t="s">
        <v>2130</v>
      </c>
      <c r="H109" s="414"/>
      <c r="I109" s="977">
        <v>44526</v>
      </c>
      <c r="J109" s="1015"/>
      <c r="K109" s="382"/>
    </row>
    <row r="110" spans="1:11" ht="27.75" x14ac:dyDescent="0.2">
      <c r="A110" s="382">
        <v>26</v>
      </c>
      <c r="B110" s="382" t="s">
        <v>923</v>
      </c>
      <c r="C110" s="981" t="s">
        <v>26</v>
      </c>
      <c r="D110" s="382" t="s">
        <v>2118</v>
      </c>
      <c r="E110" s="382"/>
      <c r="F110" s="382" t="s">
        <v>681</v>
      </c>
      <c r="G110" s="999" t="s">
        <v>2130</v>
      </c>
      <c r="H110" s="414"/>
      <c r="I110" s="977">
        <v>44526</v>
      </c>
      <c r="J110" s="1015"/>
      <c r="K110" s="382"/>
    </row>
    <row r="111" spans="1:11" ht="27.75" x14ac:dyDescent="0.2">
      <c r="A111" s="382">
        <v>27</v>
      </c>
      <c r="B111" s="382" t="s">
        <v>924</v>
      </c>
      <c r="C111" s="981" t="s">
        <v>26</v>
      </c>
      <c r="D111" s="382" t="s">
        <v>2118</v>
      </c>
      <c r="E111" s="382"/>
      <c r="F111" s="382" t="s">
        <v>681</v>
      </c>
      <c r="G111" s="999" t="s">
        <v>2130</v>
      </c>
      <c r="H111" s="414"/>
      <c r="I111" s="977">
        <v>44526</v>
      </c>
      <c r="J111" s="1015"/>
      <c r="K111" s="382"/>
    </row>
    <row r="112" spans="1:11" ht="27.75" x14ac:dyDescent="0.2">
      <c r="A112" s="382">
        <v>28</v>
      </c>
      <c r="B112" s="382" t="s">
        <v>925</v>
      </c>
      <c r="C112" s="981" t="s">
        <v>26</v>
      </c>
      <c r="D112" s="382" t="s">
        <v>2122</v>
      </c>
      <c r="E112" s="382"/>
      <c r="F112" s="382" t="s">
        <v>681</v>
      </c>
      <c r="G112" s="999" t="s">
        <v>2130</v>
      </c>
      <c r="H112" s="414"/>
      <c r="I112" s="977">
        <v>44526</v>
      </c>
      <c r="J112" s="1015"/>
      <c r="K112" s="382"/>
    </row>
    <row r="113" spans="1:11" ht="27.75" x14ac:dyDescent="0.2">
      <c r="A113" s="382">
        <v>29</v>
      </c>
      <c r="B113" s="382" t="s">
        <v>926</v>
      </c>
      <c r="C113" s="981" t="s">
        <v>26</v>
      </c>
      <c r="D113" s="382" t="s">
        <v>2121</v>
      </c>
      <c r="E113" s="382"/>
      <c r="F113" s="382" t="s">
        <v>681</v>
      </c>
      <c r="G113" s="999" t="s">
        <v>2130</v>
      </c>
      <c r="H113" s="414"/>
      <c r="I113" s="977">
        <v>44526</v>
      </c>
      <c r="J113" s="1015"/>
      <c r="K113" s="382"/>
    </row>
    <row r="114" spans="1:11" ht="27.75" x14ac:dyDescent="0.2">
      <c r="A114" s="382">
        <v>30</v>
      </c>
      <c r="B114" s="382" t="s">
        <v>927</v>
      </c>
      <c r="C114" s="981" t="s">
        <v>26</v>
      </c>
      <c r="D114" s="382" t="s">
        <v>2121</v>
      </c>
      <c r="E114" s="382"/>
      <c r="F114" s="382" t="s">
        <v>681</v>
      </c>
      <c r="G114" s="999" t="s">
        <v>2130</v>
      </c>
      <c r="H114" s="414"/>
      <c r="I114" s="977">
        <v>44526</v>
      </c>
      <c r="J114" s="1015"/>
      <c r="K114" s="382"/>
    </row>
    <row r="115" spans="1:11" ht="27.75" x14ac:dyDescent="0.2">
      <c r="A115" s="382">
        <v>31</v>
      </c>
      <c r="B115" s="382" t="s">
        <v>928</v>
      </c>
      <c r="C115" s="981" t="s">
        <v>26</v>
      </c>
      <c r="D115" s="382" t="s">
        <v>2120</v>
      </c>
      <c r="E115" s="382"/>
      <c r="F115" s="382" t="s">
        <v>681</v>
      </c>
      <c r="G115" s="999" t="s">
        <v>2130</v>
      </c>
      <c r="H115" s="414"/>
      <c r="I115" s="977">
        <v>44526</v>
      </c>
      <c r="J115" s="1015"/>
      <c r="K115" s="382"/>
    </row>
    <row r="116" spans="1:11" ht="27.75" x14ac:dyDescent="0.2">
      <c r="A116" s="382">
        <v>32</v>
      </c>
      <c r="B116" s="382" t="s">
        <v>929</v>
      </c>
      <c r="C116" s="981" t="s">
        <v>26</v>
      </c>
      <c r="D116" s="382" t="s">
        <v>2125</v>
      </c>
      <c r="E116" s="382"/>
      <c r="F116" s="382" t="s">
        <v>681</v>
      </c>
      <c r="G116" s="999" t="s">
        <v>2130</v>
      </c>
      <c r="H116" s="414"/>
      <c r="I116" s="977">
        <v>44526</v>
      </c>
      <c r="J116" s="1015"/>
      <c r="K116" s="382"/>
    </row>
    <row r="117" spans="1:11" ht="27.75" x14ac:dyDescent="0.2">
      <c r="A117" s="382">
        <v>33</v>
      </c>
      <c r="B117" s="382" t="s">
        <v>930</v>
      </c>
      <c r="C117" s="981" t="s">
        <v>26</v>
      </c>
      <c r="D117" s="382" t="s">
        <v>2125</v>
      </c>
      <c r="E117" s="382"/>
      <c r="F117" s="382" t="s">
        <v>681</v>
      </c>
      <c r="G117" s="999" t="s">
        <v>2130</v>
      </c>
      <c r="H117" s="414"/>
      <c r="I117" s="977">
        <v>44526</v>
      </c>
      <c r="J117" s="1015"/>
      <c r="K117" s="382"/>
    </row>
    <row r="118" spans="1:11" ht="27.75" x14ac:dyDescent="0.2">
      <c r="A118" s="382">
        <v>34</v>
      </c>
      <c r="B118" s="382" t="s">
        <v>1220</v>
      </c>
      <c r="C118" s="981" t="s">
        <v>26</v>
      </c>
      <c r="D118" s="382" t="s">
        <v>2123</v>
      </c>
      <c r="E118" s="382"/>
      <c r="F118" s="382" t="s">
        <v>681</v>
      </c>
      <c r="G118" s="999" t="s">
        <v>2130</v>
      </c>
      <c r="H118" s="414"/>
      <c r="I118" s="977">
        <v>44526</v>
      </c>
      <c r="J118" s="1015"/>
      <c r="K118" s="382"/>
    </row>
    <row r="119" spans="1:11" ht="27.75" x14ac:dyDescent="0.2">
      <c r="A119" s="382">
        <v>35</v>
      </c>
      <c r="B119" s="382" t="s">
        <v>1535</v>
      </c>
      <c r="C119" s="981" t="s">
        <v>26</v>
      </c>
      <c r="D119" s="382" t="s">
        <v>2123</v>
      </c>
      <c r="E119" s="382"/>
      <c r="F119" s="382" t="s">
        <v>681</v>
      </c>
      <c r="G119" s="999" t="s">
        <v>2130</v>
      </c>
      <c r="H119" s="414"/>
      <c r="I119" s="977" t="s">
        <v>2129</v>
      </c>
      <c r="J119" s="1015"/>
      <c r="K119" s="382"/>
    </row>
    <row r="120" spans="1:11" ht="27.75" x14ac:dyDescent="0.2">
      <c r="A120" s="382">
        <v>36</v>
      </c>
      <c r="B120" s="382" t="s">
        <v>1543</v>
      </c>
      <c r="C120" s="981" t="s">
        <v>26</v>
      </c>
      <c r="D120" s="382" t="s">
        <v>2120</v>
      </c>
      <c r="E120" s="382"/>
      <c r="F120" s="382" t="s">
        <v>681</v>
      </c>
      <c r="G120" s="999" t="s">
        <v>2130</v>
      </c>
      <c r="H120" s="414"/>
      <c r="I120" s="977" t="s">
        <v>2129</v>
      </c>
      <c r="J120" s="1015"/>
      <c r="K120" s="382"/>
    </row>
    <row r="121" spans="1:11" ht="27.75" x14ac:dyDescent="0.2">
      <c r="A121" s="382">
        <v>37</v>
      </c>
      <c r="B121" s="382" t="s">
        <v>1545</v>
      </c>
      <c r="C121" s="981" t="s">
        <v>26</v>
      </c>
      <c r="D121" s="382" t="s">
        <v>2119</v>
      </c>
      <c r="E121" s="382"/>
      <c r="F121" s="382" t="s">
        <v>681</v>
      </c>
      <c r="G121" s="999" t="s">
        <v>2130</v>
      </c>
      <c r="H121" s="414"/>
      <c r="I121" s="977" t="s">
        <v>2129</v>
      </c>
      <c r="J121" s="1015"/>
      <c r="K121" s="382"/>
    </row>
    <row r="122" spans="1:11" ht="27.75" x14ac:dyDescent="0.2">
      <c r="A122" s="382">
        <v>38</v>
      </c>
      <c r="B122" s="382" t="s">
        <v>1537</v>
      </c>
      <c r="C122" s="981" t="s">
        <v>26</v>
      </c>
      <c r="D122" s="382" t="s">
        <v>2123</v>
      </c>
      <c r="E122" s="382"/>
      <c r="F122" s="382" t="s">
        <v>681</v>
      </c>
      <c r="G122" s="999" t="s">
        <v>2130</v>
      </c>
      <c r="H122" s="414"/>
      <c r="I122" s="977" t="s">
        <v>2129</v>
      </c>
      <c r="J122" s="1015"/>
      <c r="K122" s="382"/>
    </row>
    <row r="123" spans="1:11" ht="27.75" x14ac:dyDescent="0.2">
      <c r="A123" s="382">
        <v>39</v>
      </c>
      <c r="B123" s="382" t="s">
        <v>1974</v>
      </c>
      <c r="C123" s="981" t="s">
        <v>26</v>
      </c>
      <c r="D123" s="382" t="s">
        <v>2120</v>
      </c>
      <c r="E123" s="382"/>
      <c r="F123" s="382" t="s">
        <v>681</v>
      </c>
      <c r="G123" s="999" t="s">
        <v>2130</v>
      </c>
      <c r="H123" s="414"/>
      <c r="I123" s="977">
        <v>44936</v>
      </c>
      <c r="J123" s="1015"/>
      <c r="K123" s="382"/>
    </row>
    <row r="124" spans="1:11" ht="27.75" x14ac:dyDescent="0.2">
      <c r="A124" s="382">
        <v>40</v>
      </c>
      <c r="B124" s="382" t="s">
        <v>1727</v>
      </c>
      <c r="C124" s="981" t="s">
        <v>26</v>
      </c>
      <c r="D124" s="382" t="s">
        <v>2152</v>
      </c>
      <c r="E124" s="382" t="s">
        <v>2126</v>
      </c>
      <c r="F124" s="382" t="s">
        <v>2150</v>
      </c>
      <c r="G124" s="999" t="s">
        <v>2151</v>
      </c>
      <c r="H124" s="414"/>
      <c r="I124" s="977" t="s">
        <v>2128</v>
      </c>
      <c r="J124" s="1015"/>
      <c r="K124" s="382"/>
    </row>
    <row r="125" spans="1:11" ht="27.75" x14ac:dyDescent="0.2">
      <c r="A125" s="382">
        <v>41</v>
      </c>
      <c r="B125" s="382" t="s">
        <v>1728</v>
      </c>
      <c r="C125" s="981" t="s">
        <v>26</v>
      </c>
      <c r="D125" s="382" t="s">
        <v>2152</v>
      </c>
      <c r="E125" s="382" t="s">
        <v>2127</v>
      </c>
      <c r="F125" s="382" t="s">
        <v>2150</v>
      </c>
      <c r="G125" s="999" t="s">
        <v>2151</v>
      </c>
      <c r="H125" s="414"/>
      <c r="I125" s="977" t="s">
        <v>2128</v>
      </c>
      <c r="J125" s="1015"/>
      <c r="K125" s="382"/>
    </row>
    <row r="126" spans="1:11" ht="27.75" x14ac:dyDescent="0.2">
      <c r="A126" s="382">
        <v>42</v>
      </c>
      <c r="B126" s="382" t="s">
        <v>1729</v>
      </c>
      <c r="C126" s="981" t="s">
        <v>26</v>
      </c>
      <c r="D126" s="382" t="s">
        <v>2152</v>
      </c>
      <c r="E126" s="382" t="s">
        <v>2127</v>
      </c>
      <c r="F126" s="382" t="s">
        <v>2150</v>
      </c>
      <c r="G126" s="999" t="s">
        <v>2151</v>
      </c>
      <c r="H126" s="414"/>
      <c r="I126" s="977" t="s">
        <v>2128</v>
      </c>
      <c r="J126" s="1015"/>
      <c r="K126" s="382"/>
    </row>
    <row r="127" spans="1:11" ht="27.75" x14ac:dyDescent="0.2">
      <c r="A127" s="382">
        <v>43</v>
      </c>
      <c r="B127" s="382" t="s">
        <v>1730</v>
      </c>
      <c r="C127" s="981" t="s">
        <v>26</v>
      </c>
      <c r="D127" s="382" t="s">
        <v>2152</v>
      </c>
      <c r="E127" s="382" t="s">
        <v>2127</v>
      </c>
      <c r="F127" s="382" t="s">
        <v>2150</v>
      </c>
      <c r="G127" s="999" t="s">
        <v>2151</v>
      </c>
      <c r="H127" s="414"/>
      <c r="I127" s="977" t="s">
        <v>2128</v>
      </c>
      <c r="J127" s="1015"/>
      <c r="K127" s="382"/>
    </row>
    <row r="128" spans="1:11" x14ac:dyDescent="0.2">
      <c r="A128" s="382">
        <v>44</v>
      </c>
      <c r="B128" s="382"/>
      <c r="C128" s="382"/>
      <c r="D128" s="382"/>
      <c r="E128" s="382"/>
      <c r="F128" s="382"/>
      <c r="G128" s="382"/>
      <c r="H128" s="414"/>
      <c r="I128" s="977"/>
      <c r="J128" s="1015"/>
      <c r="K128" s="382"/>
    </row>
    <row r="129" spans="1:11" x14ac:dyDescent="0.2">
      <c r="A129" s="382">
        <v>45</v>
      </c>
      <c r="B129" s="382"/>
      <c r="C129" s="382"/>
      <c r="D129" s="382"/>
      <c r="E129" s="382"/>
      <c r="F129" s="382"/>
      <c r="G129" s="382"/>
      <c r="H129" s="414"/>
      <c r="I129" s="977"/>
      <c r="J129" s="1015"/>
      <c r="K129" s="382"/>
    </row>
    <row r="130" spans="1:11" x14ac:dyDescent="0.2">
      <c r="A130" s="382"/>
      <c r="B130" s="382"/>
      <c r="C130" s="382"/>
      <c r="D130" s="382"/>
      <c r="E130" s="382"/>
      <c r="F130" s="382"/>
      <c r="G130" s="382"/>
      <c r="H130" s="414"/>
      <c r="I130" s="977"/>
      <c r="J130" s="1015"/>
      <c r="K130" s="382"/>
    </row>
    <row r="131" spans="1:11" x14ac:dyDescent="0.2">
      <c r="A131" s="382"/>
      <c r="B131" s="382"/>
      <c r="C131" s="382"/>
      <c r="D131" s="382"/>
      <c r="E131" s="382"/>
      <c r="F131" s="382"/>
      <c r="G131" s="382"/>
      <c r="H131" s="414"/>
      <c r="I131" s="977"/>
      <c r="J131" s="1015"/>
      <c r="K131" s="382"/>
    </row>
    <row r="132" spans="1:11" x14ac:dyDescent="0.2">
      <c r="A132" s="382"/>
      <c r="B132" s="382"/>
      <c r="C132" s="382"/>
      <c r="D132" s="382"/>
      <c r="E132" s="382"/>
      <c r="F132" s="382"/>
      <c r="G132" s="382"/>
      <c r="H132" s="414"/>
      <c r="I132" s="977"/>
      <c r="J132" s="1015"/>
      <c r="K132" s="382"/>
    </row>
    <row r="133" spans="1:11" x14ac:dyDescent="0.2">
      <c r="A133" s="382"/>
      <c r="B133" s="382"/>
      <c r="C133" s="382"/>
      <c r="D133" s="382"/>
      <c r="E133" s="382"/>
      <c r="F133" s="382"/>
      <c r="G133" s="382"/>
      <c r="H133" s="414"/>
      <c r="I133" s="977"/>
      <c r="J133" s="1015"/>
      <c r="K133" s="382"/>
    </row>
    <row r="134" spans="1:11" x14ac:dyDescent="0.2">
      <c r="A134" s="382"/>
      <c r="B134" s="382"/>
      <c r="C134" s="382"/>
      <c r="D134" s="382"/>
      <c r="E134" s="382"/>
      <c r="F134" s="382"/>
      <c r="G134" s="382"/>
      <c r="H134" s="414"/>
      <c r="I134" s="977"/>
      <c r="J134" s="1015"/>
      <c r="K134" s="382"/>
    </row>
    <row r="135" spans="1:11" x14ac:dyDescent="0.2">
      <c r="A135" s="382"/>
      <c r="B135" s="382"/>
      <c r="C135" s="382"/>
      <c r="D135" s="382"/>
      <c r="E135" s="382"/>
      <c r="F135" s="382"/>
      <c r="G135" s="382"/>
      <c r="H135" s="414"/>
      <c r="I135" s="977"/>
      <c r="J135" s="1015"/>
      <c r="K135" s="382"/>
    </row>
    <row r="136" spans="1:11" x14ac:dyDescent="0.2">
      <c r="A136" s="382"/>
      <c r="B136" s="382"/>
      <c r="C136" s="382"/>
      <c r="D136" s="382"/>
      <c r="E136" s="382"/>
      <c r="F136" s="382"/>
      <c r="G136" s="382"/>
      <c r="H136" s="414"/>
      <c r="I136" s="977"/>
      <c r="J136" s="1015"/>
      <c r="K136" s="382"/>
    </row>
    <row r="137" spans="1:11" x14ac:dyDescent="0.2">
      <c r="A137" s="382"/>
      <c r="B137" s="382"/>
      <c r="C137" s="382"/>
      <c r="D137" s="382"/>
      <c r="E137" s="382"/>
      <c r="F137" s="382"/>
      <c r="G137" s="382"/>
      <c r="H137" s="414"/>
      <c r="I137" s="977"/>
      <c r="J137" s="1015"/>
      <c r="K137" s="382"/>
    </row>
    <row r="138" spans="1:11" x14ac:dyDescent="0.2">
      <c r="A138" s="382"/>
      <c r="B138" s="382"/>
      <c r="C138" s="382"/>
      <c r="D138" s="382"/>
      <c r="E138" s="382"/>
      <c r="F138" s="382"/>
      <c r="G138" s="382"/>
      <c r="H138" s="414"/>
      <c r="I138" s="977"/>
      <c r="J138" s="1015"/>
      <c r="K138" s="382"/>
    </row>
    <row r="139" spans="1:11" x14ac:dyDescent="0.2">
      <c r="A139" s="382"/>
      <c r="B139" s="382"/>
      <c r="C139" s="382"/>
      <c r="D139" s="382"/>
      <c r="E139" s="382"/>
      <c r="F139" s="382"/>
      <c r="G139" s="382"/>
      <c r="H139" s="414"/>
      <c r="I139" s="977"/>
      <c r="J139" s="1015"/>
      <c r="K139" s="382"/>
    </row>
    <row r="356" spans="1:3" x14ac:dyDescent="0.2">
      <c r="A356" s="119" t="s">
        <v>35</v>
      </c>
      <c r="B356" s="119" t="s">
        <v>1225</v>
      </c>
      <c r="C356" s="454" t="s">
        <v>1226</v>
      </c>
    </row>
    <row r="357" spans="1:3" x14ac:dyDescent="0.2">
      <c r="A357" s="119" t="s">
        <v>83</v>
      </c>
      <c r="B357" s="119" t="s">
        <v>1227</v>
      </c>
      <c r="C357" s="454" t="s">
        <v>1228</v>
      </c>
    </row>
    <row r="358" spans="1:3" x14ac:dyDescent="0.2">
      <c r="A358" s="119" t="s">
        <v>79</v>
      </c>
      <c r="B358" s="119" t="s">
        <v>1229</v>
      </c>
      <c r="C358" s="454" t="s">
        <v>1230</v>
      </c>
    </row>
    <row r="359" spans="1:3" x14ac:dyDescent="0.2">
      <c r="A359" s="119" t="s">
        <v>1231</v>
      </c>
      <c r="B359" s="119" t="s">
        <v>1232</v>
      </c>
      <c r="C359" s="454" t="s">
        <v>1233</v>
      </c>
    </row>
    <row r="360" spans="1:3" x14ac:dyDescent="0.2">
      <c r="A360" s="119" t="s">
        <v>87</v>
      </c>
      <c r="B360" s="119" t="s">
        <v>1234</v>
      </c>
      <c r="C360" s="454" t="s">
        <v>1235</v>
      </c>
    </row>
    <row r="361" spans="1:3" x14ac:dyDescent="0.2">
      <c r="A361" s="119" t="s">
        <v>53</v>
      </c>
      <c r="B361" s="119" t="s">
        <v>1236</v>
      </c>
      <c r="C361" s="454" t="s">
        <v>1237</v>
      </c>
    </row>
    <row r="362" spans="1:3" x14ac:dyDescent="0.2">
      <c r="A362" s="119" t="s">
        <v>106</v>
      </c>
      <c r="B362" s="119" t="s">
        <v>1238</v>
      </c>
      <c r="C362" s="454" t="s">
        <v>1239</v>
      </c>
    </row>
    <row r="363" spans="1:3" x14ac:dyDescent="0.2">
      <c r="A363" s="119" t="s">
        <v>90</v>
      </c>
      <c r="B363" s="119" t="s">
        <v>1240</v>
      </c>
      <c r="C363" s="454" t="s">
        <v>1241</v>
      </c>
    </row>
    <row r="364" spans="1:3" x14ac:dyDescent="0.2">
      <c r="A364" s="119" t="s">
        <v>32</v>
      </c>
      <c r="B364" s="119" t="s">
        <v>1242</v>
      </c>
      <c r="C364" s="454" t="s">
        <v>1243</v>
      </c>
    </row>
    <row r="365" spans="1:3" x14ac:dyDescent="0.2">
      <c r="A365" s="119" t="s">
        <v>1244</v>
      </c>
      <c r="B365" s="119"/>
      <c r="C365" s="119"/>
    </row>
    <row r="366" spans="1:3" x14ac:dyDescent="0.2">
      <c r="A366" s="119" t="s">
        <v>48</v>
      </c>
      <c r="B366" s="119" t="s">
        <v>1245</v>
      </c>
      <c r="C366" s="454" t="s">
        <v>1246</v>
      </c>
    </row>
    <row r="367" spans="1:3" x14ac:dyDescent="0.2">
      <c r="A367" s="119" t="s">
        <v>25</v>
      </c>
      <c r="B367" s="119" t="s">
        <v>1247</v>
      </c>
      <c r="C367" s="454" t="s">
        <v>1248</v>
      </c>
    </row>
    <row r="368" spans="1:3" x14ac:dyDescent="0.2">
      <c r="A368" s="119" t="s">
        <v>64</v>
      </c>
      <c r="B368" s="119" t="s">
        <v>1249</v>
      </c>
      <c r="C368" s="454" t="s">
        <v>1250</v>
      </c>
    </row>
    <row r="369" spans="1:3" x14ac:dyDescent="0.2">
      <c r="A369" s="119" t="s">
        <v>1251</v>
      </c>
      <c r="B369" s="119" t="s">
        <v>1252</v>
      </c>
      <c r="C369" s="454" t="s">
        <v>1253</v>
      </c>
    </row>
    <row r="370" spans="1:3" x14ac:dyDescent="0.2">
      <c r="A370" s="119" t="s">
        <v>114</v>
      </c>
      <c r="B370" s="119" t="s">
        <v>695</v>
      </c>
      <c r="C370" s="454" t="s">
        <v>1254</v>
      </c>
    </row>
    <row r="371" spans="1:3" x14ac:dyDescent="0.2">
      <c r="A371" s="119" t="s">
        <v>75</v>
      </c>
      <c r="B371" s="119" t="s">
        <v>1255</v>
      </c>
      <c r="C371" s="454" t="s">
        <v>1256</v>
      </c>
    </row>
    <row r="372" spans="1:3" x14ac:dyDescent="0.2">
      <c r="A372" s="119" t="s">
        <v>60</v>
      </c>
      <c r="B372" s="119" t="s">
        <v>674</v>
      </c>
      <c r="C372" s="454" t="s">
        <v>1257</v>
      </c>
    </row>
    <row r="373" spans="1:3" x14ac:dyDescent="0.2">
      <c r="A373" s="119" t="s">
        <v>129</v>
      </c>
      <c r="B373" s="119" t="s">
        <v>1258</v>
      </c>
      <c r="C373" s="454" t="s">
        <v>1259</v>
      </c>
    </row>
  </sheetData>
  <mergeCells count="37">
    <mergeCell ref="G83:G84"/>
    <mergeCell ref="I83:I84"/>
    <mergeCell ref="J83:J84"/>
    <mergeCell ref="K83:K84"/>
    <mergeCell ref="A83:A84"/>
    <mergeCell ref="B83:C83"/>
    <mergeCell ref="D83:D84"/>
    <mergeCell ref="E83:E84"/>
    <mergeCell ref="F83:F84"/>
    <mergeCell ref="F49:F50"/>
    <mergeCell ref="I49:I50"/>
    <mergeCell ref="G49:G50"/>
    <mergeCell ref="K49:K50"/>
    <mergeCell ref="H2:H3"/>
    <mergeCell ref="I31:I32"/>
    <mergeCell ref="K31:K32"/>
    <mergeCell ref="J2:J3"/>
    <mergeCell ref="J31:J32"/>
    <mergeCell ref="J49:J50"/>
    <mergeCell ref="I2:I3"/>
    <mergeCell ref="K2:K3"/>
    <mergeCell ref="A49:A50"/>
    <mergeCell ref="G31:G32"/>
    <mergeCell ref="A2:A3"/>
    <mergeCell ref="B2:C2"/>
    <mergeCell ref="D2:D3"/>
    <mergeCell ref="E2:E3"/>
    <mergeCell ref="F2:F3"/>
    <mergeCell ref="G2:G3"/>
    <mergeCell ref="A31:A32"/>
    <mergeCell ref="B31:C31"/>
    <mergeCell ref="D31:D32"/>
    <mergeCell ref="E31:E32"/>
    <mergeCell ref="F31:F32"/>
    <mergeCell ref="B49:C49"/>
    <mergeCell ref="D49:D50"/>
    <mergeCell ref="E49:E50"/>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H111"/>
  <sheetViews>
    <sheetView topLeftCell="A34" zoomScale="84" zoomScaleNormal="84" workbookViewId="0">
      <selection activeCell="B2" sqref="B2:H2"/>
    </sheetView>
  </sheetViews>
  <sheetFormatPr defaultRowHeight="15" x14ac:dyDescent="0.2"/>
  <cols>
    <col min="2" max="2" width="5.109375" customWidth="1"/>
    <col min="3" max="3" width="1.74609375" style="5" customWidth="1"/>
    <col min="4" max="4" width="48.96484375" customWidth="1"/>
    <col min="5" max="5" width="15.73828125" customWidth="1"/>
    <col min="6" max="6" width="18.6953125" customWidth="1"/>
    <col min="7" max="7" width="20.3125" customWidth="1"/>
    <col min="8" max="8" width="64.03125" customWidth="1"/>
  </cols>
  <sheetData>
    <row r="2" spans="2:8" ht="31.5" customHeight="1" x14ac:dyDescent="0.2">
      <c r="B2" s="1093" t="s">
        <v>1128</v>
      </c>
      <c r="C2" s="1093"/>
      <c r="D2" s="1093"/>
      <c r="E2" s="1093"/>
      <c r="F2" s="1093"/>
      <c r="G2" s="1093"/>
      <c r="H2" s="1093"/>
    </row>
    <row r="3" spans="2:8" ht="51.75" x14ac:dyDescent="0.25">
      <c r="B3" s="423" t="s">
        <v>1127</v>
      </c>
      <c r="C3" s="1098" t="s">
        <v>1118</v>
      </c>
      <c r="D3" s="1099"/>
      <c r="E3" s="423" t="s">
        <v>1119</v>
      </c>
      <c r="F3" s="423" t="s">
        <v>1120</v>
      </c>
      <c r="G3" s="423" t="s">
        <v>1121</v>
      </c>
      <c r="H3" s="423" t="s">
        <v>9</v>
      </c>
    </row>
    <row r="4" spans="2:8" x14ac:dyDescent="0.2">
      <c r="B4" s="427">
        <v>1</v>
      </c>
      <c r="C4" s="1094" t="s">
        <v>179</v>
      </c>
      <c r="D4" s="1095"/>
      <c r="E4" s="413"/>
      <c r="F4" s="413"/>
      <c r="G4" s="413"/>
      <c r="H4" s="87"/>
    </row>
    <row r="5" spans="2:8" hidden="1" x14ac:dyDescent="0.2">
      <c r="B5" s="414"/>
      <c r="C5" s="421"/>
      <c r="D5" s="420" t="s">
        <v>32</v>
      </c>
      <c r="E5" s="413"/>
      <c r="F5" s="413"/>
      <c r="G5" s="413"/>
      <c r="H5" s="87"/>
    </row>
    <row r="6" spans="2:8" x14ac:dyDescent="0.2">
      <c r="B6" s="414"/>
      <c r="C6" s="422"/>
      <c r="D6" s="426" t="s">
        <v>35</v>
      </c>
      <c r="E6" s="418" t="s">
        <v>960</v>
      </c>
      <c r="F6" s="419" t="s">
        <v>960</v>
      </c>
      <c r="G6" s="419" t="s">
        <v>960</v>
      </c>
      <c r="H6" s="417" t="s">
        <v>1130</v>
      </c>
    </row>
    <row r="7" spans="2:8" x14ac:dyDescent="0.2">
      <c r="B7" s="414"/>
      <c r="C7" s="422"/>
      <c r="D7" s="426" t="s">
        <v>1122</v>
      </c>
      <c r="E7" s="418">
        <v>44713</v>
      </c>
      <c r="F7" s="419"/>
      <c r="G7" s="419"/>
      <c r="H7" s="417" t="s">
        <v>1130</v>
      </c>
    </row>
    <row r="8" spans="2:8" x14ac:dyDescent="0.2">
      <c r="B8" s="414"/>
      <c r="C8" s="422"/>
      <c r="D8" s="425" t="s">
        <v>48</v>
      </c>
      <c r="E8" s="415">
        <v>44713</v>
      </c>
      <c r="F8" s="416" t="s">
        <v>1123</v>
      </c>
      <c r="G8" s="416" t="s">
        <v>960</v>
      </c>
      <c r="H8" s="382"/>
    </row>
    <row r="9" spans="2:8" x14ac:dyDescent="0.2">
      <c r="B9" s="414"/>
      <c r="C9" s="422"/>
      <c r="D9" s="425" t="s">
        <v>53</v>
      </c>
      <c r="E9" s="415">
        <v>44713</v>
      </c>
      <c r="F9" s="416" t="s">
        <v>1131</v>
      </c>
      <c r="G9" s="416" t="s">
        <v>960</v>
      </c>
      <c r="H9" s="436" t="s">
        <v>1132</v>
      </c>
    </row>
    <row r="10" spans="2:8" x14ac:dyDescent="0.2">
      <c r="B10" s="414"/>
      <c r="C10" s="422"/>
      <c r="D10" s="426" t="s">
        <v>60</v>
      </c>
      <c r="E10" s="418">
        <v>44713</v>
      </c>
      <c r="F10" s="419"/>
      <c r="G10" s="419"/>
      <c r="H10" s="417" t="s">
        <v>1130</v>
      </c>
    </row>
    <row r="11" spans="2:8" hidden="1" x14ac:dyDescent="0.2">
      <c r="B11" s="414"/>
      <c r="C11" s="422"/>
      <c r="D11" s="426" t="s">
        <v>64</v>
      </c>
      <c r="E11" s="418">
        <v>44713</v>
      </c>
      <c r="F11" s="419"/>
      <c r="G11" s="419"/>
      <c r="H11" s="417" t="s">
        <v>1124</v>
      </c>
    </row>
    <row r="12" spans="2:8" hidden="1" x14ac:dyDescent="0.2">
      <c r="B12" s="414"/>
      <c r="C12" s="422"/>
      <c r="D12" s="426" t="s">
        <v>75</v>
      </c>
      <c r="E12" s="418">
        <v>44713</v>
      </c>
      <c r="F12" s="419"/>
      <c r="G12" s="419"/>
      <c r="H12" s="417" t="s">
        <v>1124</v>
      </c>
    </row>
    <row r="13" spans="2:8" hidden="1" x14ac:dyDescent="0.2">
      <c r="B13" s="414"/>
      <c r="C13" s="422"/>
      <c r="D13" s="426" t="s">
        <v>79</v>
      </c>
      <c r="E13" s="418">
        <v>44713</v>
      </c>
      <c r="F13" s="419"/>
      <c r="G13" s="419"/>
      <c r="H13" s="417" t="s">
        <v>1124</v>
      </c>
    </row>
    <row r="14" spans="2:8" hidden="1" x14ac:dyDescent="0.2">
      <c r="B14" s="414"/>
      <c r="C14" s="422"/>
      <c r="D14" s="426" t="s">
        <v>83</v>
      </c>
      <c r="E14" s="418">
        <v>44713</v>
      </c>
      <c r="F14" s="419"/>
      <c r="G14" s="419"/>
      <c r="H14" s="417" t="s">
        <v>1124</v>
      </c>
    </row>
    <row r="15" spans="2:8" x14ac:dyDescent="0.2">
      <c r="B15" s="414"/>
      <c r="C15" s="422"/>
      <c r="D15" s="426" t="s">
        <v>87</v>
      </c>
      <c r="E15" s="418" t="s">
        <v>960</v>
      </c>
      <c r="F15" s="419"/>
      <c r="G15" s="428" t="s">
        <v>958</v>
      </c>
      <c r="H15" s="417" t="s">
        <v>1125</v>
      </c>
    </row>
    <row r="16" spans="2:8" hidden="1" x14ac:dyDescent="0.2">
      <c r="B16" s="414"/>
      <c r="C16" s="422"/>
      <c r="D16" s="426" t="s">
        <v>90</v>
      </c>
      <c r="E16" s="418">
        <v>44713</v>
      </c>
      <c r="F16" s="419"/>
      <c r="G16" s="419"/>
      <c r="H16" s="417" t="s">
        <v>1124</v>
      </c>
    </row>
    <row r="17" spans="2:8" x14ac:dyDescent="0.2">
      <c r="B17" s="414"/>
      <c r="C17" s="422"/>
      <c r="D17" s="426" t="s">
        <v>114</v>
      </c>
      <c r="E17" s="418">
        <v>44713</v>
      </c>
      <c r="F17" s="419"/>
      <c r="G17" s="419"/>
      <c r="H17" s="417" t="s">
        <v>1130</v>
      </c>
    </row>
    <row r="18" spans="2:8" x14ac:dyDescent="0.2">
      <c r="B18" s="414"/>
      <c r="C18" s="422"/>
      <c r="D18" s="426" t="s">
        <v>129</v>
      </c>
      <c r="E18" s="418">
        <v>44713</v>
      </c>
      <c r="F18" s="419"/>
      <c r="G18" s="419"/>
      <c r="H18" s="417" t="s">
        <v>1130</v>
      </c>
    </row>
    <row r="19" spans="2:8" x14ac:dyDescent="0.2">
      <c r="B19" s="414"/>
      <c r="C19" s="422"/>
      <c r="D19" s="426" t="s">
        <v>106</v>
      </c>
      <c r="E19" s="418">
        <v>44713</v>
      </c>
      <c r="F19" s="419"/>
      <c r="G19" s="428" t="s">
        <v>958</v>
      </c>
      <c r="H19" s="417" t="s">
        <v>1125</v>
      </c>
    </row>
    <row r="20" spans="2:8" x14ac:dyDescent="0.2">
      <c r="B20" s="414"/>
      <c r="C20" s="422"/>
      <c r="D20" s="426" t="s">
        <v>486</v>
      </c>
      <c r="E20" s="418">
        <v>44531</v>
      </c>
      <c r="F20" s="419" t="s">
        <v>1188</v>
      </c>
      <c r="G20" s="419"/>
      <c r="H20" s="417" t="s">
        <v>1187</v>
      </c>
    </row>
    <row r="21" spans="2:8" hidden="1" x14ac:dyDescent="0.2">
      <c r="B21" s="414"/>
      <c r="C21" s="422"/>
      <c r="D21" s="424" t="s">
        <v>588</v>
      </c>
      <c r="E21" s="414"/>
      <c r="F21" s="414"/>
      <c r="G21" s="414"/>
      <c r="H21" s="382"/>
    </row>
    <row r="22" spans="2:8" hidden="1" x14ac:dyDescent="0.2">
      <c r="B22" s="414"/>
      <c r="C22" s="422"/>
      <c r="D22" s="424" t="s">
        <v>618</v>
      </c>
      <c r="E22" s="414"/>
      <c r="F22" s="414"/>
      <c r="G22" s="414"/>
      <c r="H22" s="382"/>
    </row>
    <row r="23" spans="2:8" hidden="1" x14ac:dyDescent="0.2">
      <c r="B23" s="414"/>
      <c r="C23" s="422"/>
      <c r="D23" s="424" t="s">
        <v>619</v>
      </c>
      <c r="E23" s="414"/>
      <c r="F23" s="414"/>
      <c r="G23" s="414"/>
      <c r="H23" s="382"/>
    </row>
    <row r="24" spans="2:8" hidden="1" x14ac:dyDescent="0.2">
      <c r="B24" s="414"/>
      <c r="C24" s="422"/>
      <c r="D24" s="424" t="s">
        <v>620</v>
      </c>
      <c r="E24" s="414"/>
      <c r="F24" s="414"/>
      <c r="G24" s="414"/>
      <c r="H24" s="382"/>
    </row>
    <row r="25" spans="2:8" ht="9" customHeight="1" x14ac:dyDescent="0.2">
      <c r="B25" s="414"/>
      <c r="C25" s="422"/>
      <c r="D25" s="424"/>
      <c r="E25" s="414"/>
      <c r="F25" s="414"/>
      <c r="G25" s="414"/>
      <c r="H25" s="382"/>
    </row>
    <row r="26" spans="2:8" x14ac:dyDescent="0.2">
      <c r="B26" s="427">
        <v>2</v>
      </c>
      <c r="C26" s="1096" t="s">
        <v>17</v>
      </c>
      <c r="D26" s="1097"/>
      <c r="E26" s="414"/>
      <c r="F26" s="414"/>
      <c r="G26" s="414"/>
      <c r="H26" s="382"/>
    </row>
    <row r="27" spans="2:8" x14ac:dyDescent="0.2">
      <c r="B27" s="414"/>
      <c r="C27" s="422"/>
      <c r="D27" s="425" t="s">
        <v>256</v>
      </c>
      <c r="E27" s="415">
        <v>44531</v>
      </c>
      <c r="F27" s="455" t="s">
        <v>1262</v>
      </c>
      <c r="G27" s="416"/>
      <c r="H27" s="436"/>
    </row>
    <row r="28" spans="2:8" x14ac:dyDescent="0.2">
      <c r="B28" s="414"/>
      <c r="C28" s="422"/>
      <c r="D28" s="425" t="s">
        <v>222</v>
      </c>
      <c r="E28" s="415">
        <v>44531</v>
      </c>
      <c r="F28" s="455" t="s">
        <v>1262</v>
      </c>
      <c r="G28" s="416"/>
      <c r="H28" s="436"/>
    </row>
    <row r="29" spans="2:8" x14ac:dyDescent="0.2">
      <c r="B29" s="414"/>
      <c r="C29" s="422"/>
      <c r="D29" s="425" t="s">
        <v>257</v>
      </c>
      <c r="E29" s="415">
        <v>44531</v>
      </c>
      <c r="F29" s="455" t="s">
        <v>1262</v>
      </c>
      <c r="G29" s="416"/>
      <c r="H29" s="436"/>
    </row>
    <row r="30" spans="2:8" ht="27.75" x14ac:dyDescent="0.2">
      <c r="B30" s="414"/>
      <c r="C30" s="422"/>
      <c r="D30" s="425" t="s">
        <v>859</v>
      </c>
      <c r="E30" s="415">
        <v>44531</v>
      </c>
      <c r="F30" s="451" t="s">
        <v>1186</v>
      </c>
      <c r="G30" s="416"/>
      <c r="H30" s="436" t="s">
        <v>1129</v>
      </c>
    </row>
    <row r="31" spans="2:8" ht="9" customHeight="1" x14ac:dyDescent="0.2">
      <c r="B31" s="414"/>
      <c r="C31" s="422"/>
      <c r="D31" s="424"/>
      <c r="E31" s="414"/>
      <c r="F31" s="414"/>
      <c r="G31" s="414"/>
      <c r="H31" s="382"/>
    </row>
    <row r="32" spans="2:8" x14ac:dyDescent="0.2">
      <c r="B32" s="427">
        <v>3</v>
      </c>
      <c r="C32" s="1096" t="s">
        <v>57</v>
      </c>
      <c r="D32" s="1097"/>
      <c r="E32" s="414"/>
      <c r="F32" s="414"/>
      <c r="G32" s="414"/>
      <c r="H32" s="382"/>
    </row>
    <row r="33" spans="2:8" ht="27.75" x14ac:dyDescent="0.2">
      <c r="B33" s="414"/>
      <c r="C33" s="422"/>
      <c r="D33" s="425" t="s">
        <v>392</v>
      </c>
      <c r="E33" s="415">
        <v>44531</v>
      </c>
      <c r="F33" s="451" t="s">
        <v>1186</v>
      </c>
      <c r="G33" s="416"/>
      <c r="H33" s="436" t="s">
        <v>1129</v>
      </c>
    </row>
    <row r="34" spans="2:8" ht="27.75" x14ac:dyDescent="0.2">
      <c r="B34" s="414"/>
      <c r="C34" s="422"/>
      <c r="D34" s="425" t="s">
        <v>407</v>
      </c>
      <c r="E34" s="415">
        <v>44531</v>
      </c>
      <c r="F34" s="451" t="s">
        <v>1186</v>
      </c>
      <c r="G34" s="416"/>
      <c r="H34" s="436" t="s">
        <v>1129</v>
      </c>
    </row>
    <row r="35" spans="2:8" ht="27.75" x14ac:dyDescent="0.2">
      <c r="B35" s="414"/>
      <c r="C35" s="422"/>
      <c r="D35" s="425" t="s">
        <v>410</v>
      </c>
      <c r="E35" s="415">
        <v>44531</v>
      </c>
      <c r="F35" s="451" t="s">
        <v>1186</v>
      </c>
      <c r="G35" s="416"/>
      <c r="H35" s="436" t="s">
        <v>1129</v>
      </c>
    </row>
    <row r="36" spans="2:8" ht="27.75" x14ac:dyDescent="0.2">
      <c r="B36" s="414"/>
      <c r="C36" s="422"/>
      <c r="D36" s="425" t="s">
        <v>413</v>
      </c>
      <c r="E36" s="415">
        <v>44531</v>
      </c>
      <c r="F36" s="451" t="s">
        <v>1186</v>
      </c>
      <c r="G36" s="416"/>
      <c r="H36" s="436" t="s">
        <v>1129</v>
      </c>
    </row>
    <row r="37" spans="2:8" ht="27.75" x14ac:dyDescent="0.2">
      <c r="B37" s="414"/>
      <c r="C37" s="422"/>
      <c r="D37" s="425" t="s">
        <v>420</v>
      </c>
      <c r="E37" s="415">
        <v>44531</v>
      </c>
      <c r="F37" s="451" t="s">
        <v>1186</v>
      </c>
      <c r="G37" s="416"/>
      <c r="H37" s="436" t="s">
        <v>1129</v>
      </c>
    </row>
    <row r="38" spans="2:8" ht="27.75" x14ac:dyDescent="0.2">
      <c r="B38" s="414"/>
      <c r="C38" s="422"/>
      <c r="D38" s="425" t="s">
        <v>423</v>
      </c>
      <c r="E38" s="415">
        <v>44531</v>
      </c>
      <c r="F38" s="451" t="s">
        <v>1186</v>
      </c>
      <c r="G38" s="416"/>
      <c r="H38" s="436" t="s">
        <v>1129</v>
      </c>
    </row>
    <row r="39" spans="2:8" ht="27.75" x14ac:dyDescent="0.2">
      <c r="B39" s="414"/>
      <c r="C39" s="422"/>
      <c r="D39" s="425" t="s">
        <v>426</v>
      </c>
      <c r="E39" s="415">
        <v>44531</v>
      </c>
      <c r="F39" s="451" t="s">
        <v>1186</v>
      </c>
      <c r="G39" s="416"/>
      <c r="H39" s="436" t="s">
        <v>1129</v>
      </c>
    </row>
    <row r="40" spans="2:8" ht="27.75" x14ac:dyDescent="0.2">
      <c r="B40" s="414"/>
      <c r="C40" s="422"/>
      <c r="D40" s="425" t="s">
        <v>429</v>
      </c>
      <c r="E40" s="415">
        <v>44531</v>
      </c>
      <c r="F40" s="451" t="s">
        <v>1186</v>
      </c>
      <c r="G40" s="416"/>
      <c r="H40" s="436" t="s">
        <v>1129</v>
      </c>
    </row>
    <row r="41" spans="2:8" hidden="1" x14ac:dyDescent="0.2">
      <c r="B41" s="414"/>
      <c r="C41" s="422"/>
      <c r="D41" s="426" t="s">
        <v>558</v>
      </c>
      <c r="E41" s="419"/>
      <c r="F41" s="419"/>
      <c r="G41" s="419"/>
      <c r="H41" s="417" t="s">
        <v>1124</v>
      </c>
    </row>
    <row r="42" spans="2:8" ht="9" customHeight="1" x14ac:dyDescent="0.2">
      <c r="B42" s="414"/>
      <c r="C42" s="422"/>
      <c r="D42" s="424"/>
      <c r="E42" s="414"/>
      <c r="F42" s="414"/>
      <c r="G42" s="414"/>
      <c r="H42" s="382"/>
    </row>
    <row r="43" spans="2:8" x14ac:dyDescent="0.2">
      <c r="B43" s="427">
        <v>4</v>
      </c>
      <c r="C43" s="1096" t="s">
        <v>1126</v>
      </c>
      <c r="D43" s="1097"/>
      <c r="E43" s="414"/>
      <c r="F43" s="414"/>
      <c r="G43" s="414"/>
      <c r="H43" s="382"/>
    </row>
    <row r="44" spans="2:8" ht="27.75" x14ac:dyDescent="0.2">
      <c r="B44" s="414"/>
      <c r="C44" s="422"/>
      <c r="D44" s="425" t="s">
        <v>910</v>
      </c>
      <c r="E44" s="416"/>
      <c r="F44" s="451" t="s">
        <v>1186</v>
      </c>
      <c r="G44" s="419"/>
      <c r="H44" s="417"/>
    </row>
    <row r="45" spans="2:8" hidden="1" x14ac:dyDescent="0.2">
      <c r="B45" s="414"/>
      <c r="C45" s="422"/>
      <c r="D45" s="425" t="s">
        <v>911</v>
      </c>
      <c r="E45" s="416"/>
      <c r="F45" s="416"/>
      <c r="G45" s="419"/>
      <c r="H45" s="417"/>
    </row>
    <row r="46" spans="2:8" hidden="1" x14ac:dyDescent="0.2">
      <c r="B46" s="414"/>
      <c r="C46" s="422"/>
      <c r="D46" s="425" t="s">
        <v>912</v>
      </c>
      <c r="E46" s="416"/>
      <c r="F46" s="416"/>
      <c r="G46" s="419"/>
      <c r="H46" s="417"/>
    </row>
    <row r="47" spans="2:8" hidden="1" x14ac:dyDescent="0.2">
      <c r="B47" s="414"/>
      <c r="C47" s="422"/>
      <c r="D47" s="425" t="s">
        <v>876</v>
      </c>
      <c r="E47" s="416"/>
      <c r="F47" s="416"/>
      <c r="G47" s="419"/>
      <c r="H47" s="417"/>
    </row>
    <row r="48" spans="2:8" hidden="1" x14ac:dyDescent="0.2">
      <c r="B48" s="414"/>
      <c r="C48" s="422"/>
      <c r="D48" s="425" t="s">
        <v>875</v>
      </c>
      <c r="E48" s="416"/>
      <c r="F48" s="416"/>
      <c r="G48" s="419"/>
      <c r="H48" s="417"/>
    </row>
    <row r="49" spans="2:8" hidden="1" x14ac:dyDescent="0.2">
      <c r="B49" s="414"/>
      <c r="C49" s="422"/>
      <c r="D49" s="425" t="s">
        <v>877</v>
      </c>
      <c r="E49" s="416"/>
      <c r="F49" s="416"/>
      <c r="G49" s="419"/>
      <c r="H49" s="417"/>
    </row>
    <row r="50" spans="2:8" hidden="1" x14ac:dyDescent="0.2">
      <c r="B50" s="414"/>
      <c r="C50" s="422"/>
      <c r="D50" s="425" t="s">
        <v>878</v>
      </c>
      <c r="E50" s="416"/>
      <c r="F50" s="416"/>
      <c r="G50" s="419"/>
      <c r="H50" s="417"/>
    </row>
    <row r="51" spans="2:8" hidden="1" x14ac:dyDescent="0.2">
      <c r="B51" s="414"/>
      <c r="C51" s="422"/>
      <c r="D51" s="425" t="s">
        <v>879</v>
      </c>
      <c r="E51" s="416"/>
      <c r="F51" s="416"/>
      <c r="G51" s="419"/>
      <c r="H51" s="417"/>
    </row>
    <row r="52" spans="2:8" hidden="1" x14ac:dyDescent="0.2">
      <c r="B52" s="414"/>
      <c r="C52" s="422"/>
      <c r="D52" s="425" t="s">
        <v>951</v>
      </c>
      <c r="E52" s="416"/>
      <c r="F52" s="416"/>
      <c r="G52" s="419"/>
      <c r="H52" s="417"/>
    </row>
    <row r="53" spans="2:8" hidden="1" x14ac:dyDescent="0.2">
      <c r="B53" s="414"/>
      <c r="C53" s="422"/>
      <c r="D53" s="425" t="s">
        <v>880</v>
      </c>
      <c r="E53" s="416"/>
      <c r="F53" s="416"/>
      <c r="G53" s="419"/>
      <c r="H53" s="417"/>
    </row>
    <row r="54" spans="2:8" hidden="1" x14ac:dyDescent="0.2">
      <c r="B54" s="414"/>
      <c r="C54" s="422"/>
      <c r="D54" s="425" t="s">
        <v>952</v>
      </c>
      <c r="E54" s="416"/>
      <c r="F54" s="416"/>
      <c r="G54" s="419"/>
      <c r="H54" s="417"/>
    </row>
    <row r="55" spans="2:8" hidden="1" x14ac:dyDescent="0.2">
      <c r="B55" s="414"/>
      <c r="C55" s="422"/>
      <c r="D55" s="425" t="s">
        <v>881</v>
      </c>
      <c r="E55" s="416"/>
      <c r="F55" s="416"/>
      <c r="G55" s="419"/>
      <c r="H55" s="417"/>
    </row>
    <row r="56" spans="2:8" hidden="1" x14ac:dyDescent="0.2">
      <c r="B56" s="414"/>
      <c r="C56" s="422"/>
      <c r="D56" s="425" t="s">
        <v>882</v>
      </c>
      <c r="E56" s="416"/>
      <c r="F56" s="416"/>
      <c r="G56" s="419"/>
      <c r="H56" s="417"/>
    </row>
    <row r="57" spans="2:8" hidden="1" x14ac:dyDescent="0.2">
      <c r="B57" s="414"/>
      <c r="C57" s="422"/>
      <c r="D57" s="425" t="s">
        <v>883</v>
      </c>
      <c r="E57" s="416"/>
      <c r="F57" s="416"/>
      <c r="G57" s="419"/>
      <c r="H57" s="417"/>
    </row>
    <row r="58" spans="2:8" hidden="1" x14ac:dyDescent="0.2">
      <c r="B58" s="414"/>
      <c r="C58" s="422"/>
      <c r="D58" s="425" t="s">
        <v>956</v>
      </c>
      <c r="E58" s="416"/>
      <c r="F58" s="416"/>
      <c r="G58" s="419"/>
      <c r="H58" s="417"/>
    </row>
    <row r="59" spans="2:8" hidden="1" x14ac:dyDescent="0.2">
      <c r="B59" s="414"/>
      <c r="C59" s="422"/>
      <c r="D59" s="425" t="s">
        <v>884</v>
      </c>
      <c r="E59" s="416"/>
      <c r="F59" s="416"/>
      <c r="G59" s="419"/>
      <c r="H59" s="417"/>
    </row>
    <row r="60" spans="2:8" hidden="1" x14ac:dyDescent="0.2">
      <c r="B60" s="414"/>
      <c r="C60" s="422"/>
      <c r="D60" s="425" t="s">
        <v>908</v>
      </c>
      <c r="E60" s="416"/>
      <c r="F60" s="416"/>
      <c r="G60" s="419"/>
      <c r="H60" s="417"/>
    </row>
    <row r="61" spans="2:8" hidden="1" x14ac:dyDescent="0.2">
      <c r="B61" s="414"/>
      <c r="C61" s="422"/>
      <c r="D61" s="425" t="s">
        <v>909</v>
      </c>
      <c r="E61" s="416"/>
      <c r="F61" s="416"/>
      <c r="G61" s="419"/>
      <c r="H61" s="417"/>
    </row>
    <row r="62" spans="2:8" ht="9" customHeight="1" x14ac:dyDescent="0.2">
      <c r="B62" s="414"/>
      <c r="C62" s="422"/>
      <c r="D62" s="425"/>
      <c r="E62" s="416"/>
      <c r="F62" s="416"/>
      <c r="G62" s="419"/>
      <c r="H62" s="417"/>
    </row>
    <row r="63" spans="2:8" ht="27.75" x14ac:dyDescent="0.2">
      <c r="B63" s="414"/>
      <c r="C63" s="422"/>
      <c r="D63" s="425" t="s">
        <v>916</v>
      </c>
      <c r="E63" s="416"/>
      <c r="F63" s="451" t="s">
        <v>1186</v>
      </c>
      <c r="G63" s="419"/>
      <c r="H63" s="417"/>
    </row>
    <row r="64" spans="2:8" hidden="1" x14ac:dyDescent="0.2">
      <c r="B64" s="414"/>
      <c r="C64" s="422"/>
      <c r="D64" s="426" t="s">
        <v>917</v>
      </c>
      <c r="E64" s="419"/>
      <c r="F64" s="419"/>
      <c r="G64" s="419"/>
      <c r="H64" s="417"/>
    </row>
    <row r="65" spans="2:8" hidden="1" x14ac:dyDescent="0.2">
      <c r="B65" s="414"/>
      <c r="C65" s="422"/>
      <c r="D65" s="426" t="s">
        <v>918</v>
      </c>
      <c r="E65" s="419"/>
      <c r="F65" s="419"/>
      <c r="G65" s="419"/>
      <c r="H65" s="417"/>
    </row>
    <row r="66" spans="2:8" hidden="1" x14ac:dyDescent="0.2">
      <c r="B66" s="414"/>
      <c r="C66" s="422"/>
      <c r="D66" s="426" t="s">
        <v>919</v>
      </c>
      <c r="E66" s="419"/>
      <c r="F66" s="419"/>
      <c r="G66" s="419"/>
      <c r="H66" s="417"/>
    </row>
    <row r="67" spans="2:8" hidden="1" x14ac:dyDescent="0.2">
      <c r="B67" s="414"/>
      <c r="C67" s="422"/>
      <c r="D67" s="426" t="s">
        <v>920</v>
      </c>
      <c r="E67" s="419"/>
      <c r="F67" s="419"/>
      <c r="G67" s="419"/>
      <c r="H67" s="417"/>
    </row>
    <row r="68" spans="2:8" hidden="1" x14ac:dyDescent="0.2">
      <c r="B68" s="414"/>
      <c r="C68" s="422"/>
      <c r="D68" s="426" t="s">
        <v>921</v>
      </c>
      <c r="E68" s="419"/>
      <c r="F68" s="419"/>
      <c r="G68" s="419"/>
      <c r="H68" s="417"/>
    </row>
    <row r="69" spans="2:8" hidden="1" x14ac:dyDescent="0.2">
      <c r="B69" s="414"/>
      <c r="C69" s="422"/>
      <c r="D69" s="426" t="s">
        <v>922</v>
      </c>
      <c r="E69" s="419"/>
      <c r="F69" s="419"/>
      <c r="G69" s="419"/>
      <c r="H69" s="417"/>
    </row>
    <row r="70" spans="2:8" hidden="1" x14ac:dyDescent="0.2">
      <c r="B70" s="414"/>
      <c r="C70" s="422"/>
      <c r="D70" s="426" t="s">
        <v>923</v>
      </c>
      <c r="E70" s="419"/>
      <c r="F70" s="419"/>
      <c r="G70" s="419"/>
      <c r="H70" s="417"/>
    </row>
    <row r="71" spans="2:8" hidden="1" x14ac:dyDescent="0.2">
      <c r="B71" s="414"/>
      <c r="C71" s="422"/>
      <c r="D71" s="426" t="s">
        <v>924</v>
      </c>
      <c r="E71" s="419"/>
      <c r="F71" s="419"/>
      <c r="G71" s="419"/>
      <c r="H71" s="417"/>
    </row>
    <row r="72" spans="2:8" hidden="1" x14ac:dyDescent="0.2">
      <c r="B72" s="414"/>
      <c r="C72" s="422"/>
      <c r="D72" s="426" t="s">
        <v>925</v>
      </c>
      <c r="E72" s="419"/>
      <c r="F72" s="419"/>
      <c r="G72" s="419"/>
      <c r="H72" s="417"/>
    </row>
    <row r="73" spans="2:8" hidden="1" x14ac:dyDescent="0.2">
      <c r="B73" s="414"/>
      <c r="C73" s="422"/>
      <c r="D73" s="426" t="s">
        <v>926</v>
      </c>
      <c r="E73" s="419"/>
      <c r="F73" s="419"/>
      <c r="G73" s="419"/>
      <c r="H73" s="417"/>
    </row>
    <row r="74" spans="2:8" hidden="1" x14ac:dyDescent="0.2">
      <c r="B74" s="414"/>
      <c r="C74" s="422"/>
      <c r="D74" s="426" t="s">
        <v>927</v>
      </c>
      <c r="E74" s="419"/>
      <c r="F74" s="419"/>
      <c r="G74" s="419"/>
      <c r="H74" s="417"/>
    </row>
    <row r="75" spans="2:8" hidden="1" x14ac:dyDescent="0.2">
      <c r="B75" s="414"/>
      <c r="C75" s="422"/>
      <c r="D75" s="426" t="s">
        <v>928</v>
      </c>
      <c r="E75" s="419"/>
      <c r="F75" s="419"/>
      <c r="G75" s="419"/>
      <c r="H75" s="417"/>
    </row>
    <row r="76" spans="2:8" hidden="1" x14ac:dyDescent="0.2">
      <c r="B76" s="414"/>
      <c r="C76" s="422"/>
      <c r="D76" s="426" t="s">
        <v>929</v>
      </c>
      <c r="E76" s="419"/>
      <c r="F76" s="419"/>
      <c r="G76" s="419"/>
      <c r="H76" s="417"/>
    </row>
    <row r="77" spans="2:8" hidden="1" x14ac:dyDescent="0.2">
      <c r="B77" s="414"/>
      <c r="C77" s="422"/>
      <c r="D77" s="426" t="s">
        <v>930</v>
      </c>
      <c r="E77" s="419"/>
      <c r="F77" s="419"/>
      <c r="G77" s="419"/>
      <c r="H77" s="417"/>
    </row>
    <row r="78" spans="2:8" x14ac:dyDescent="0.2">
      <c r="B78" s="414"/>
      <c r="C78" s="422"/>
      <c r="D78" s="424"/>
      <c r="E78" s="414"/>
      <c r="F78" s="414"/>
      <c r="G78" s="414"/>
      <c r="H78" s="382"/>
    </row>
    <row r="79" spans="2:8" x14ac:dyDescent="0.2">
      <c r="B79" s="414"/>
      <c r="C79" s="422"/>
      <c r="D79" s="424"/>
      <c r="E79" s="414"/>
      <c r="F79" s="414"/>
      <c r="G79" s="414"/>
      <c r="H79" s="382"/>
    </row>
    <row r="84" spans="2:2" x14ac:dyDescent="0.2">
      <c r="B84" s="476"/>
    </row>
    <row r="85" spans="2:2" x14ac:dyDescent="0.2">
      <c r="B85" s="476"/>
    </row>
    <row r="86" spans="2:2" x14ac:dyDescent="0.2">
      <c r="B86" s="476"/>
    </row>
    <row r="87" spans="2:2" x14ac:dyDescent="0.2">
      <c r="B87" s="476"/>
    </row>
    <row r="88" spans="2:2" x14ac:dyDescent="0.2">
      <c r="B88" s="476"/>
    </row>
    <row r="89" spans="2:2" x14ac:dyDescent="0.2">
      <c r="B89" s="476"/>
    </row>
    <row r="90" spans="2:2" x14ac:dyDescent="0.2">
      <c r="B90" s="476"/>
    </row>
    <row r="91" spans="2:2" x14ac:dyDescent="0.2">
      <c r="B91" s="476"/>
    </row>
    <row r="92" spans="2:2" x14ac:dyDescent="0.2">
      <c r="B92" s="476"/>
    </row>
    <row r="93" spans="2:2" x14ac:dyDescent="0.2">
      <c r="B93" s="476"/>
    </row>
    <row r="94" spans="2:2" x14ac:dyDescent="0.2">
      <c r="B94" s="476"/>
    </row>
    <row r="95" spans="2:2" x14ac:dyDescent="0.2">
      <c r="B95" s="476"/>
    </row>
    <row r="96" spans="2:2" x14ac:dyDescent="0.2">
      <c r="B96" s="476"/>
    </row>
    <row r="97" spans="2:2" x14ac:dyDescent="0.2">
      <c r="B97" s="476"/>
    </row>
    <row r="98" spans="2:2" x14ac:dyDescent="0.2">
      <c r="B98" s="476"/>
    </row>
    <row r="99" spans="2:2" x14ac:dyDescent="0.2">
      <c r="B99" s="476"/>
    </row>
    <row r="100" spans="2:2" x14ac:dyDescent="0.2">
      <c r="B100" s="476"/>
    </row>
    <row r="101" spans="2:2" x14ac:dyDescent="0.2">
      <c r="B101" s="476"/>
    </row>
    <row r="102" spans="2:2" x14ac:dyDescent="0.2">
      <c r="B102" s="476"/>
    </row>
    <row r="103" spans="2:2" x14ac:dyDescent="0.2">
      <c r="B103" s="476"/>
    </row>
    <row r="104" spans="2:2" x14ac:dyDescent="0.2">
      <c r="B104" s="476"/>
    </row>
    <row r="105" spans="2:2" x14ac:dyDescent="0.2">
      <c r="B105" s="476"/>
    </row>
    <row r="106" spans="2:2" x14ac:dyDescent="0.2">
      <c r="B106" s="476"/>
    </row>
    <row r="107" spans="2:2" x14ac:dyDescent="0.2">
      <c r="B107" s="476"/>
    </row>
    <row r="108" spans="2:2" x14ac:dyDescent="0.2">
      <c r="B108" s="476"/>
    </row>
    <row r="109" spans="2:2" x14ac:dyDescent="0.2">
      <c r="B109" s="476"/>
    </row>
    <row r="110" spans="2:2" x14ac:dyDescent="0.2">
      <c r="B110" s="476"/>
    </row>
    <row r="111" spans="2:2" x14ac:dyDescent="0.2">
      <c r="B111" s="476"/>
    </row>
  </sheetData>
  <mergeCells count="6">
    <mergeCell ref="B2:H2"/>
    <mergeCell ref="C4:D4"/>
    <mergeCell ref="C43:D43"/>
    <mergeCell ref="C32:D32"/>
    <mergeCell ref="C3:D3"/>
    <mergeCell ref="C26:D26"/>
  </mergeCells>
  <printOptions horizontalCentered="1"/>
  <pageMargins left="0.19685039370078741" right="0.19685039370078741" top="0.19685039370078741" bottom="0.15748031496062992" header="0.11811023622047245" footer="0.11811023622047245"/>
  <pageSetup paperSize="9" scale="7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4"/>
  <dimension ref="A2:B6"/>
  <sheetViews>
    <sheetView workbookViewId="0">
      <selection activeCell="B2" sqref="B2:H2"/>
    </sheetView>
  </sheetViews>
  <sheetFormatPr defaultRowHeight="15" x14ac:dyDescent="0.2"/>
  <cols>
    <col min="1" max="1" width="8.7421875" style="108"/>
    <col min="2" max="2" width="8.47265625" style="108" bestFit="1" customWidth="1"/>
  </cols>
  <sheetData>
    <row r="2" spans="1:2" x14ac:dyDescent="0.2">
      <c r="B2" s="108" t="s">
        <v>231</v>
      </c>
    </row>
    <row r="4" spans="1:2" x14ac:dyDescent="0.2">
      <c r="A4" s="108">
        <v>1</v>
      </c>
      <c r="B4" s="109" t="s">
        <v>232</v>
      </c>
    </row>
    <row r="5" spans="1:2" x14ac:dyDescent="0.2">
      <c r="A5" s="108">
        <v>2</v>
      </c>
      <c r="B5" s="109" t="s">
        <v>233</v>
      </c>
    </row>
    <row r="6" spans="1:2" x14ac:dyDescent="0.2">
      <c r="A6" s="108">
        <v>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B2:R57"/>
  <sheetViews>
    <sheetView topLeftCell="A19" zoomScale="77" zoomScaleNormal="77" workbookViewId="0">
      <selection activeCell="D41" sqref="D41"/>
    </sheetView>
  </sheetViews>
  <sheetFormatPr defaultRowHeight="15" x14ac:dyDescent="0.2"/>
  <cols>
    <col min="1" max="1" width="2.28515625" customWidth="1"/>
    <col min="2" max="2" width="21.1171875" bestFit="1" customWidth="1"/>
    <col min="3" max="3" width="23.40625" customWidth="1"/>
    <col min="4" max="4" width="73.98828125" bestFit="1" customWidth="1"/>
    <col min="5" max="5" width="20.984375" customWidth="1"/>
    <col min="8" max="8" width="18.16015625" bestFit="1" customWidth="1"/>
    <col min="9" max="9" width="15.33203125" bestFit="1" customWidth="1"/>
    <col min="10" max="10" width="0" hidden="1" customWidth="1"/>
    <col min="11" max="11" width="32.8203125" hidden="1" customWidth="1"/>
    <col min="12" max="17" width="0" hidden="1" customWidth="1"/>
    <col min="18" max="18" width="18.16015625" style="195" bestFit="1" customWidth="1"/>
  </cols>
  <sheetData>
    <row r="2" spans="2:18" s="4" customFormat="1" ht="42.75" x14ac:dyDescent="0.2">
      <c r="B2" s="19">
        <v>43797</v>
      </c>
      <c r="C2" s="69" t="s">
        <v>1358</v>
      </c>
      <c r="D2" s="823" t="s">
        <v>35</v>
      </c>
      <c r="E2" s="18" t="s">
        <v>179</v>
      </c>
      <c r="F2" s="14" t="s">
        <v>18</v>
      </c>
      <c r="G2" s="70">
        <v>29</v>
      </c>
      <c r="H2" s="40">
        <v>18750000</v>
      </c>
      <c r="I2" s="40"/>
      <c r="J2" s="16" t="s">
        <v>72</v>
      </c>
      <c r="K2" s="20" t="s">
        <v>1328</v>
      </c>
      <c r="L2" s="62"/>
      <c r="M2" s="17"/>
      <c r="N2" s="7" t="e">
        <f>MONTH(List5[[#This Row],[Tanggal Pengajuan]])</f>
        <v>#VALUE!</v>
      </c>
      <c r="O2" s="17"/>
      <c r="R2" s="843">
        <f>+H2</f>
        <v>18750000</v>
      </c>
    </row>
    <row r="3" spans="2:18" s="4" customFormat="1" ht="29.25" customHeight="1" x14ac:dyDescent="0.2">
      <c r="B3" s="19">
        <v>43797</v>
      </c>
      <c r="C3" s="69" t="s">
        <v>1361</v>
      </c>
      <c r="D3" s="20" t="s">
        <v>1231</v>
      </c>
      <c r="E3" s="18" t="s">
        <v>179</v>
      </c>
      <c r="F3" s="18"/>
      <c r="G3" s="70">
        <v>13</v>
      </c>
      <c r="H3" s="40">
        <v>10080000</v>
      </c>
      <c r="I3" s="40"/>
      <c r="J3" s="16" t="s">
        <v>19</v>
      </c>
      <c r="K3" s="20" t="s">
        <v>1331</v>
      </c>
      <c r="L3" s="182"/>
      <c r="M3" s="20"/>
      <c r="N3" s="7">
        <f>MONTH(List5[[#This Row],[Tanggal Pengajuan]])</f>
        <v>8</v>
      </c>
      <c r="O3" s="17"/>
      <c r="P3" s="4" t="s">
        <v>23</v>
      </c>
      <c r="R3" s="843">
        <f>+H3</f>
        <v>10080000</v>
      </c>
    </row>
    <row r="4" spans="2:18" s="4" customFormat="1" ht="42.75" x14ac:dyDescent="0.2">
      <c r="B4" s="19">
        <v>43797</v>
      </c>
      <c r="C4" s="69" t="s">
        <v>1362</v>
      </c>
      <c r="D4" s="823" t="s">
        <v>53</v>
      </c>
      <c r="E4" s="18" t="s">
        <v>179</v>
      </c>
      <c r="F4" s="18"/>
      <c r="G4" s="70">
        <v>67</v>
      </c>
      <c r="H4" s="40">
        <v>61810000</v>
      </c>
      <c r="I4" s="40"/>
      <c r="J4" s="16" t="s">
        <v>19</v>
      </c>
      <c r="K4" s="20" t="s">
        <v>1332</v>
      </c>
      <c r="L4" s="62"/>
      <c r="M4" s="17"/>
      <c r="N4" s="7">
        <f>MONTH(List5[[#This Row],[Tanggal Pengajuan]])</f>
        <v>8</v>
      </c>
      <c r="O4" s="17"/>
      <c r="R4" s="843"/>
    </row>
    <row r="5" spans="2:18" s="4" customFormat="1" ht="29.25" x14ac:dyDescent="0.2">
      <c r="B5" s="19">
        <v>43797</v>
      </c>
      <c r="C5" s="66" t="s">
        <v>1363</v>
      </c>
      <c r="D5" s="823" t="s">
        <v>53</v>
      </c>
      <c r="E5" s="14" t="s">
        <v>179</v>
      </c>
      <c r="F5" s="14"/>
      <c r="G5" s="15">
        <v>16</v>
      </c>
      <c r="H5" s="40">
        <v>5000000</v>
      </c>
      <c r="I5" s="40"/>
      <c r="J5" s="16" t="s">
        <v>19</v>
      </c>
      <c r="K5" s="20" t="s">
        <v>1333</v>
      </c>
      <c r="L5" s="182"/>
      <c r="M5" s="17"/>
      <c r="N5" s="7">
        <f>MONTH(List5[[#This Row],[Tanggal Pengajuan]])</f>
        <v>8</v>
      </c>
      <c r="O5" s="17"/>
      <c r="R5" s="843">
        <f>SUM(H4:H5)</f>
        <v>66810000</v>
      </c>
    </row>
    <row r="6" spans="2:18" s="4" customFormat="1" ht="29.25" x14ac:dyDescent="0.2">
      <c r="B6" s="19">
        <v>43766</v>
      </c>
      <c r="C6" s="66" t="s">
        <v>1355</v>
      </c>
      <c r="D6" s="823" t="s">
        <v>106</v>
      </c>
      <c r="E6" s="14" t="s">
        <v>179</v>
      </c>
      <c r="F6" s="14" t="s">
        <v>18</v>
      </c>
      <c r="G6" s="15"/>
      <c r="H6" s="40">
        <v>5500000</v>
      </c>
      <c r="I6" s="40"/>
      <c r="J6" s="16" t="s">
        <v>19</v>
      </c>
      <c r="K6" s="20" t="s">
        <v>1325</v>
      </c>
      <c r="L6" s="63"/>
      <c r="M6" s="20"/>
      <c r="N6" s="7">
        <f>MONTH(List5[[#This Row],[Tanggal Pengajuan]])</f>
        <v>8</v>
      </c>
      <c r="O6" s="17"/>
      <c r="R6" s="843">
        <f>+H6</f>
        <v>5500000</v>
      </c>
    </row>
    <row r="7" spans="2:18" s="4" customFormat="1" ht="30" customHeight="1" x14ac:dyDescent="0.2">
      <c r="B7" s="19">
        <v>43754</v>
      </c>
      <c r="C7" s="69" t="s">
        <v>1350</v>
      </c>
      <c r="D7" s="823" t="s">
        <v>48</v>
      </c>
      <c r="E7" s="14" t="s">
        <v>179</v>
      </c>
      <c r="F7" s="14" t="s">
        <v>49</v>
      </c>
      <c r="G7" s="70">
        <v>32</v>
      </c>
      <c r="H7" s="71">
        <v>4515000</v>
      </c>
      <c r="I7" s="40"/>
      <c r="J7" s="72" t="s">
        <v>19</v>
      </c>
      <c r="K7" s="20" t="s">
        <v>1320</v>
      </c>
      <c r="L7" s="182"/>
      <c r="M7" s="20"/>
      <c r="N7" s="7">
        <f>MONTH(List5[[#This Row],[Tanggal Pengajuan]])</f>
        <v>8</v>
      </c>
      <c r="O7" s="17"/>
      <c r="R7" s="843"/>
    </row>
    <row r="8" spans="2:18" s="4" customFormat="1" ht="30" customHeight="1" x14ac:dyDescent="0.2">
      <c r="B8" s="19">
        <v>43798</v>
      </c>
      <c r="C8" s="69" t="s">
        <v>1365</v>
      </c>
      <c r="D8" s="18" t="s">
        <v>48</v>
      </c>
      <c r="E8" s="18" t="s">
        <v>179</v>
      </c>
      <c r="F8" s="18" t="s">
        <v>49</v>
      </c>
      <c r="G8" s="70">
        <v>7</v>
      </c>
      <c r="H8" s="71">
        <v>1792000</v>
      </c>
      <c r="I8" s="40"/>
      <c r="J8" s="16" t="s">
        <v>19</v>
      </c>
      <c r="K8" s="20" t="s">
        <v>1335</v>
      </c>
      <c r="L8" s="182"/>
      <c r="M8" s="20"/>
      <c r="N8" s="7">
        <f>MONTH(List5[[#This Row],[Tanggal Pengajuan]])</f>
        <v>9</v>
      </c>
      <c r="O8" s="17"/>
      <c r="R8" s="843">
        <f>SUM(H7:H8)</f>
        <v>6307000</v>
      </c>
    </row>
    <row r="9" spans="2:18" s="4" customFormat="1" ht="42.75" x14ac:dyDescent="0.2">
      <c r="B9" s="19">
        <v>43699</v>
      </c>
      <c r="C9" s="69" t="s">
        <v>1344</v>
      </c>
      <c r="D9" s="841" t="s">
        <v>25</v>
      </c>
      <c r="E9" s="14" t="s">
        <v>179</v>
      </c>
      <c r="F9" s="14" t="s">
        <v>18</v>
      </c>
      <c r="G9" s="15">
        <v>12</v>
      </c>
      <c r="H9" s="40">
        <v>4500000</v>
      </c>
      <c r="I9" s="40"/>
      <c r="J9" s="16" t="s">
        <v>19</v>
      </c>
      <c r="K9" s="20" t="s">
        <v>1314</v>
      </c>
      <c r="L9" s="63"/>
      <c r="M9" s="20"/>
      <c r="N9" s="7">
        <f>MONTH(List5[[#This Row],[Tanggal Pengajuan]])</f>
        <v>10</v>
      </c>
      <c r="O9" s="17"/>
      <c r="R9" s="843"/>
    </row>
    <row r="10" spans="2:18" s="4" customFormat="1" ht="42.75" x14ac:dyDescent="0.2">
      <c r="B10" s="19">
        <v>43699</v>
      </c>
      <c r="C10" s="69" t="s">
        <v>1348</v>
      </c>
      <c r="D10" s="17" t="s">
        <v>25</v>
      </c>
      <c r="E10" s="14" t="s">
        <v>179</v>
      </c>
      <c r="F10" s="18" t="s">
        <v>18</v>
      </c>
      <c r="G10" s="70">
        <v>12</v>
      </c>
      <c r="H10" s="71">
        <v>10500000</v>
      </c>
      <c r="I10" s="40"/>
      <c r="J10" s="72" t="s">
        <v>19</v>
      </c>
      <c r="K10" s="20" t="s">
        <v>1318</v>
      </c>
      <c r="L10" s="182"/>
      <c r="M10" s="17"/>
      <c r="N10" s="7">
        <f>MONTH(List5[[#This Row],[Tanggal Pengajuan]])</f>
        <v>10</v>
      </c>
      <c r="O10" s="17"/>
      <c r="R10" s="843">
        <f>SUM(H9:H10)</f>
        <v>15000000</v>
      </c>
    </row>
    <row r="11" spans="2:18" s="4" customFormat="1" ht="42.75" x14ac:dyDescent="0.2">
      <c r="B11" s="19">
        <v>43798</v>
      </c>
      <c r="C11" s="69" t="s">
        <v>1364</v>
      </c>
      <c r="D11" s="20" t="s">
        <v>64</v>
      </c>
      <c r="E11" s="18" t="s">
        <v>179</v>
      </c>
      <c r="F11" s="18" t="s">
        <v>28</v>
      </c>
      <c r="G11" s="70">
        <v>10</v>
      </c>
      <c r="H11" s="71">
        <v>10760000</v>
      </c>
      <c r="I11" s="40"/>
      <c r="J11" s="16" t="s">
        <v>19</v>
      </c>
      <c r="K11" s="20" t="s">
        <v>1334</v>
      </c>
      <c r="L11" s="182"/>
      <c r="M11" s="17"/>
      <c r="N11" s="7">
        <f>MONTH(List5[[#This Row],[Tanggal Pengajuan]])</f>
        <v>10</v>
      </c>
      <c r="O11" s="17"/>
      <c r="R11" s="843">
        <f>+H11</f>
        <v>10760000</v>
      </c>
    </row>
    <row r="12" spans="2:18" s="4" customFormat="1" ht="42.75" x14ac:dyDescent="0.2">
      <c r="B12" s="19">
        <v>43798</v>
      </c>
      <c r="C12" s="69" t="s">
        <v>1366</v>
      </c>
      <c r="D12" s="18" t="s">
        <v>114</v>
      </c>
      <c r="E12" s="18" t="s">
        <v>179</v>
      </c>
      <c r="F12" s="18" t="s">
        <v>18</v>
      </c>
      <c r="G12" s="70">
        <v>84</v>
      </c>
      <c r="H12" s="71">
        <v>89232000</v>
      </c>
      <c r="I12" s="40"/>
      <c r="J12" s="16" t="s">
        <v>19</v>
      </c>
      <c r="K12" s="20" t="s">
        <v>1336</v>
      </c>
      <c r="L12" s="182"/>
      <c r="M12" s="17"/>
      <c r="N12" s="7">
        <f>MONTH(List5[[#This Row],[Tanggal Pengajuan]])</f>
        <v>10</v>
      </c>
      <c r="O12" s="17"/>
      <c r="R12" s="843">
        <f>+H12</f>
        <v>89232000</v>
      </c>
    </row>
    <row r="13" spans="2:18" s="4" customFormat="1" ht="42.75" x14ac:dyDescent="0.2">
      <c r="B13" s="19">
        <v>43797</v>
      </c>
      <c r="C13" s="69" t="s">
        <v>1360</v>
      </c>
      <c r="D13" s="18" t="s">
        <v>60</v>
      </c>
      <c r="E13" s="18" t="s">
        <v>179</v>
      </c>
      <c r="F13" s="18" t="s">
        <v>18</v>
      </c>
      <c r="G13" s="70">
        <v>37</v>
      </c>
      <c r="H13" s="40">
        <v>31305000</v>
      </c>
      <c r="I13" s="40"/>
      <c r="J13" s="16" t="s">
        <v>19</v>
      </c>
      <c r="K13" s="20" t="s">
        <v>1330</v>
      </c>
      <c r="L13" s="182"/>
      <c r="M13" s="17"/>
      <c r="N13" s="7">
        <f>MONTH(List5[[#This Row],[Tanggal Pengajuan]])</f>
        <v>10</v>
      </c>
      <c r="O13" s="17"/>
      <c r="R13" s="843">
        <f>+H13</f>
        <v>31305000</v>
      </c>
    </row>
    <row r="14" spans="2:18" s="8" customFormat="1" ht="15.75" x14ac:dyDescent="0.2">
      <c r="B14" s="764"/>
      <c r="C14" s="824"/>
      <c r="D14" s="786"/>
      <c r="E14" s="786"/>
      <c r="F14" s="786"/>
      <c r="G14" s="825"/>
      <c r="H14" s="826"/>
      <c r="I14" s="768"/>
      <c r="J14" s="769"/>
      <c r="K14" s="766"/>
      <c r="L14" s="827"/>
      <c r="M14" s="828"/>
      <c r="N14" s="7"/>
      <c r="O14" s="828"/>
      <c r="R14" s="844"/>
    </row>
    <row r="15" spans="2:18" s="8" customFormat="1" ht="15.75" x14ac:dyDescent="0.2">
      <c r="B15" s="772"/>
      <c r="C15" s="829"/>
      <c r="D15" s="788"/>
      <c r="E15" s="788"/>
      <c r="F15" s="788"/>
      <c r="G15" s="830"/>
      <c r="H15" s="844">
        <f>SUM(H1:H14)</f>
        <v>253744000</v>
      </c>
      <c r="I15" s="844"/>
      <c r="J15" s="777"/>
      <c r="K15" s="774"/>
      <c r="L15" s="832"/>
      <c r="M15" s="833"/>
      <c r="N15" s="7"/>
      <c r="O15" s="833"/>
      <c r="R15" s="844">
        <f>SUM(R1:R14)</f>
        <v>253744000</v>
      </c>
    </row>
    <row r="16" spans="2:18" s="8" customFormat="1" ht="15.75" x14ac:dyDescent="0.2">
      <c r="B16" s="772"/>
      <c r="C16" s="829"/>
      <c r="D16" s="788"/>
      <c r="E16" s="788"/>
      <c r="F16" s="788"/>
      <c r="G16" s="830"/>
      <c r="H16" s="831"/>
      <c r="I16" s="776"/>
      <c r="J16" s="777"/>
      <c r="K16" s="774"/>
      <c r="L16" s="832"/>
      <c r="M16" s="833"/>
      <c r="N16" s="7"/>
      <c r="O16" s="833"/>
      <c r="R16" s="844">
        <f>+R15-'S2 2019'!O3</f>
        <v>-500000</v>
      </c>
    </row>
    <row r="17" spans="2:18" s="8" customFormat="1" ht="15.75" x14ac:dyDescent="0.2">
      <c r="B17" s="779"/>
      <c r="C17" s="834"/>
      <c r="D17" s="791"/>
      <c r="E17" s="791"/>
      <c r="F17" s="791"/>
      <c r="G17" s="835"/>
      <c r="H17" s="836"/>
      <c r="I17" s="783"/>
      <c r="J17" s="784"/>
      <c r="K17" s="781"/>
      <c r="L17" s="832"/>
      <c r="M17" s="837"/>
      <c r="N17" s="7"/>
      <c r="O17" s="837"/>
      <c r="R17" s="844"/>
    </row>
    <row r="18" spans="2:18" s="4" customFormat="1" ht="30" customHeight="1" x14ac:dyDescent="0.2">
      <c r="B18" s="21">
        <v>43797</v>
      </c>
      <c r="C18" s="77" t="s">
        <v>1359</v>
      </c>
      <c r="D18" s="22" t="s">
        <v>256</v>
      </c>
      <c r="E18" s="22" t="s">
        <v>17</v>
      </c>
      <c r="F18" s="14" t="s">
        <v>18</v>
      </c>
      <c r="G18" s="79">
        <v>16</v>
      </c>
      <c r="H18" s="41">
        <v>5500000</v>
      </c>
      <c r="I18" s="40"/>
      <c r="J18" s="16" t="s">
        <v>19</v>
      </c>
      <c r="K18" s="20" t="s">
        <v>1329</v>
      </c>
      <c r="L18" s="182"/>
      <c r="M18" s="20"/>
      <c r="N18" s="7">
        <f>MONTH(List5[[#This Row],[Tanggal Pengajuan]])</f>
        <v>11</v>
      </c>
      <c r="O18" s="20"/>
      <c r="R18" s="843">
        <f>+I18</f>
        <v>0</v>
      </c>
    </row>
    <row r="19" spans="2:18" s="8" customFormat="1" ht="30" customHeight="1" x14ac:dyDescent="0.2">
      <c r="B19" s="764"/>
      <c r="C19" s="824"/>
      <c r="D19" s="786"/>
      <c r="E19" s="786"/>
      <c r="F19" s="406"/>
      <c r="G19" s="825"/>
      <c r="H19" s="768"/>
      <c r="I19" s="768"/>
      <c r="J19" s="769"/>
      <c r="K19" s="766"/>
      <c r="L19" s="827"/>
      <c r="M19" s="766"/>
      <c r="N19" s="7"/>
      <c r="O19" s="766"/>
      <c r="R19" s="844"/>
    </row>
    <row r="20" spans="2:18" s="8" customFormat="1" ht="30" customHeight="1" x14ac:dyDescent="0.2">
      <c r="B20" s="772"/>
      <c r="C20" s="829"/>
      <c r="D20" s="788"/>
      <c r="E20" s="788"/>
      <c r="F20" s="618"/>
      <c r="G20" s="830"/>
      <c r="H20" s="776"/>
      <c r="I20" s="776"/>
      <c r="J20" s="777"/>
      <c r="K20" s="774"/>
      <c r="L20" s="832"/>
      <c r="M20" s="774"/>
      <c r="N20" s="7"/>
      <c r="O20" s="774"/>
      <c r="R20" s="844"/>
    </row>
    <row r="21" spans="2:18" s="8" customFormat="1" ht="30" customHeight="1" x14ac:dyDescent="0.2">
      <c r="B21" s="772"/>
      <c r="C21" s="829"/>
      <c r="D21" s="788"/>
      <c r="E21" s="788"/>
      <c r="F21" s="618"/>
      <c r="G21" s="830"/>
      <c r="H21" s="776"/>
      <c r="I21" s="776"/>
      <c r="J21" s="777"/>
      <c r="K21" s="774"/>
      <c r="L21" s="832"/>
      <c r="M21" s="774"/>
      <c r="N21" s="7"/>
      <c r="O21" s="774"/>
      <c r="R21" s="844"/>
    </row>
    <row r="22" spans="2:18" s="8" customFormat="1" ht="30" customHeight="1" x14ac:dyDescent="0.2">
      <c r="B22" s="772"/>
      <c r="C22" s="829"/>
      <c r="D22" s="788"/>
      <c r="E22" s="788"/>
      <c r="F22" s="663"/>
      <c r="G22" s="830"/>
      <c r="H22" s="776"/>
      <c r="I22" s="783"/>
      <c r="J22" s="784"/>
      <c r="K22" s="781"/>
      <c r="L22" s="832"/>
      <c r="M22" s="781"/>
      <c r="N22" s="7"/>
      <c r="O22" s="781"/>
      <c r="R22" s="844"/>
    </row>
    <row r="23" spans="2:18" s="4" customFormat="1" ht="42.75" x14ac:dyDescent="0.2">
      <c r="B23" s="19">
        <v>43802</v>
      </c>
      <c r="C23" s="69" t="s">
        <v>1368</v>
      </c>
      <c r="D23" s="20" t="s">
        <v>1338</v>
      </c>
      <c r="E23" s="18" t="s">
        <v>26</v>
      </c>
      <c r="F23" s="18" t="s">
        <v>28</v>
      </c>
      <c r="G23" s="70">
        <f>65+14+30</f>
        <v>109</v>
      </c>
      <c r="H23" s="71">
        <v>30000000</v>
      </c>
      <c r="I23" s="40"/>
      <c r="J23" s="16" t="s">
        <v>19</v>
      </c>
      <c r="K23" s="20" t="s">
        <v>1338</v>
      </c>
      <c r="L23" s="182"/>
      <c r="M23" s="17"/>
      <c r="N23" s="7">
        <f>MONTH(List5[[#This Row],[Tanggal Pengajuan]])</f>
        <v>11</v>
      </c>
      <c r="O23" s="17"/>
      <c r="R23" s="843">
        <f>+I23</f>
        <v>0</v>
      </c>
    </row>
    <row r="24" spans="2:18" s="4" customFormat="1" ht="30" customHeight="1" x14ac:dyDescent="0.2">
      <c r="B24" s="19">
        <v>43812</v>
      </c>
      <c r="C24" s="69" t="s">
        <v>1369</v>
      </c>
      <c r="D24" s="20" t="s">
        <v>1339</v>
      </c>
      <c r="E24" s="18" t="s">
        <v>26</v>
      </c>
      <c r="F24" s="18" t="s">
        <v>28</v>
      </c>
      <c r="G24" s="70">
        <v>24</v>
      </c>
      <c r="H24" s="71">
        <v>10000000</v>
      </c>
      <c r="I24" s="40"/>
      <c r="J24" s="16" t="s">
        <v>19</v>
      </c>
      <c r="K24" s="20" t="s">
        <v>1339</v>
      </c>
      <c r="L24" s="182"/>
      <c r="M24" s="20"/>
      <c r="N24" s="7">
        <f>MONTH(List5[[#This Row],[Tanggal Pengajuan]])</f>
        <v>11</v>
      </c>
      <c r="O24" s="20"/>
      <c r="R24" s="843">
        <f>+I24</f>
        <v>0</v>
      </c>
    </row>
    <row r="25" spans="2:18" s="8" customFormat="1" ht="30" customHeight="1" x14ac:dyDescent="0.2">
      <c r="B25" s="772"/>
      <c r="C25" s="829"/>
      <c r="D25" s="774"/>
      <c r="E25" s="788"/>
      <c r="F25" s="788"/>
      <c r="G25" s="830"/>
      <c r="H25" s="844">
        <f>SUM(H23:H24)</f>
        <v>40000000</v>
      </c>
      <c r="I25" s="776"/>
      <c r="J25" s="777"/>
      <c r="K25" s="774"/>
      <c r="L25" s="832"/>
      <c r="M25" s="774"/>
      <c r="N25" s="7"/>
      <c r="O25" s="774"/>
      <c r="R25" s="844">
        <f>SUM(H23:H24)</f>
        <v>40000000</v>
      </c>
    </row>
    <row r="26" spans="2:18" s="8" customFormat="1" ht="30" customHeight="1" x14ac:dyDescent="0.2">
      <c r="B26" s="772"/>
      <c r="C26" s="829"/>
      <c r="D26" s="774"/>
      <c r="E26" s="788"/>
      <c r="F26" s="788"/>
      <c r="G26" s="830"/>
      <c r="H26" s="831"/>
      <c r="I26" s="776"/>
      <c r="J26" s="777"/>
      <c r="K26" s="774"/>
      <c r="L26" s="832"/>
      <c r="M26" s="774"/>
      <c r="N26" s="7"/>
      <c r="O26" s="774"/>
      <c r="R26" s="844">
        <f>+R25-'S2 2019'!O8</f>
        <v>40000000</v>
      </c>
    </row>
    <row r="27" spans="2:18" s="8" customFormat="1" ht="30" customHeight="1" x14ac:dyDescent="0.2">
      <c r="B27" s="772"/>
      <c r="C27" s="829"/>
      <c r="D27" s="774"/>
      <c r="E27" s="788"/>
      <c r="F27" s="788"/>
      <c r="G27" s="830"/>
      <c r="H27" s="831"/>
      <c r="I27" s="776"/>
      <c r="J27" s="777"/>
      <c r="K27" s="774"/>
      <c r="L27" s="832"/>
      <c r="M27" s="774"/>
      <c r="N27" s="7"/>
      <c r="O27" s="774"/>
      <c r="R27" s="844"/>
    </row>
    <row r="28" spans="2:18" s="8" customFormat="1" ht="30" customHeight="1" x14ac:dyDescent="0.2">
      <c r="B28" s="779"/>
      <c r="C28" s="834"/>
      <c r="D28" s="781"/>
      <c r="E28" s="791"/>
      <c r="F28" s="791"/>
      <c r="G28" s="835"/>
      <c r="H28" s="836"/>
      <c r="I28" s="783"/>
      <c r="J28" s="784"/>
      <c r="K28" s="781"/>
      <c r="L28" s="832"/>
      <c r="M28" s="781"/>
      <c r="N28" s="7"/>
      <c r="O28" s="781"/>
      <c r="R28" s="844"/>
    </row>
    <row r="29" spans="2:18" s="4" customFormat="1" ht="29.25" x14ac:dyDescent="0.2">
      <c r="B29" s="19">
        <v>43817</v>
      </c>
      <c r="C29" s="66" t="s">
        <v>1372</v>
      </c>
      <c r="D29" s="176" t="s">
        <v>1341</v>
      </c>
      <c r="E29" s="14" t="s">
        <v>1054</v>
      </c>
      <c r="F29" s="18" t="s">
        <v>28</v>
      </c>
      <c r="G29" s="70">
        <v>0</v>
      </c>
      <c r="H29" s="40">
        <v>41000000</v>
      </c>
      <c r="I29" s="40"/>
      <c r="J29" s="16" t="s">
        <v>19</v>
      </c>
      <c r="K29" s="20" t="s">
        <v>1341</v>
      </c>
      <c r="L29" s="63"/>
      <c r="M29" s="20"/>
      <c r="N29" s="7">
        <f>MONTH(List5[[#This Row],[Tanggal Pengajuan]])</f>
        <v>12</v>
      </c>
      <c r="O29" s="20"/>
      <c r="R29" s="843">
        <f>+H29</f>
        <v>41000000</v>
      </c>
    </row>
    <row r="30" spans="2:18" s="4" customFormat="1" ht="29.25" x14ac:dyDescent="0.2">
      <c r="B30" s="19">
        <v>43763</v>
      </c>
      <c r="C30" s="66" t="s">
        <v>1352</v>
      </c>
      <c r="D30" s="176" t="s">
        <v>1322</v>
      </c>
      <c r="E30" s="14" t="s">
        <v>1054</v>
      </c>
      <c r="F30" s="14" t="s">
        <v>49</v>
      </c>
      <c r="G30" s="15">
        <v>0</v>
      </c>
      <c r="H30" s="40">
        <v>8965049</v>
      </c>
      <c r="I30" s="40"/>
      <c r="J30" s="16" t="s">
        <v>19</v>
      </c>
      <c r="K30" s="20" t="s">
        <v>1322</v>
      </c>
      <c r="L30" s="182"/>
      <c r="M30" s="20"/>
      <c r="N30" s="7">
        <f>MONTH(List5[[#This Row],[Tanggal Pengajuan]])</f>
        <v>12</v>
      </c>
      <c r="O30" s="20"/>
      <c r="R30" s="843">
        <f t="shared" ref="R30:R35" si="0">+H30</f>
        <v>8965049</v>
      </c>
    </row>
    <row r="31" spans="2:18" s="4" customFormat="1" ht="29.25" x14ac:dyDescent="0.2">
      <c r="B31" s="19">
        <v>43798</v>
      </c>
      <c r="C31" s="69" t="s">
        <v>1367</v>
      </c>
      <c r="D31" s="176" t="s">
        <v>1337</v>
      </c>
      <c r="E31" s="14" t="s">
        <v>1054</v>
      </c>
      <c r="F31" s="18" t="s">
        <v>18</v>
      </c>
      <c r="G31" s="70">
        <v>1</v>
      </c>
      <c r="H31" s="71"/>
      <c r="I31" s="40"/>
      <c r="J31" s="16" t="s">
        <v>19</v>
      </c>
      <c r="K31" s="20" t="s">
        <v>1337</v>
      </c>
      <c r="L31" s="182"/>
      <c r="M31" s="20"/>
      <c r="N31" s="7">
        <f>MONTH(List5[[#This Row],[Tanggal Pengajuan]])</f>
        <v>12</v>
      </c>
      <c r="O31" s="20"/>
      <c r="R31" s="843">
        <f t="shared" si="0"/>
        <v>0</v>
      </c>
    </row>
    <row r="32" spans="2:18" s="4" customFormat="1" ht="29.25" x14ac:dyDescent="0.2">
      <c r="B32" s="19">
        <v>43815</v>
      </c>
      <c r="C32" s="69" t="s">
        <v>1370</v>
      </c>
      <c r="D32" s="20" t="s">
        <v>1337</v>
      </c>
      <c r="E32" s="14" t="s">
        <v>1054</v>
      </c>
      <c r="F32" s="18" t="s">
        <v>18</v>
      </c>
      <c r="G32" s="70">
        <v>1</v>
      </c>
      <c r="H32" s="71"/>
      <c r="I32" s="40"/>
      <c r="J32" s="72" t="s">
        <v>19</v>
      </c>
      <c r="K32" s="20" t="s">
        <v>1337</v>
      </c>
      <c r="L32" s="182"/>
      <c r="M32" s="20"/>
      <c r="N32" s="7">
        <f>MONTH(List5[[#This Row],[Tanggal Pengajuan]])</f>
        <v>12</v>
      </c>
      <c r="O32" s="20"/>
      <c r="R32" s="843">
        <f t="shared" si="0"/>
        <v>0</v>
      </c>
    </row>
    <row r="33" spans="2:18" s="4" customFormat="1" ht="29.25" x14ac:dyDescent="0.2">
      <c r="B33" s="21">
        <v>43763</v>
      </c>
      <c r="C33" s="67" t="s">
        <v>1353</v>
      </c>
      <c r="D33" s="600" t="s">
        <v>1323</v>
      </c>
      <c r="E33" s="14" t="s">
        <v>1054</v>
      </c>
      <c r="F33" s="14" t="s">
        <v>18</v>
      </c>
      <c r="G33" s="15">
        <v>0</v>
      </c>
      <c r="H33" s="41">
        <v>10994090</v>
      </c>
      <c r="I33" s="40"/>
      <c r="J33" s="16" t="s">
        <v>19</v>
      </c>
      <c r="K33" s="20" t="s">
        <v>1323</v>
      </c>
      <c r="L33" s="182"/>
      <c r="M33" s="20"/>
      <c r="N33" s="7">
        <f>MONTH(List5[[#This Row],[Tanggal Pengajuan]])</f>
        <v>12</v>
      </c>
      <c r="O33" s="20"/>
      <c r="R33" s="843">
        <f t="shared" si="0"/>
        <v>10994090</v>
      </c>
    </row>
    <row r="34" spans="2:18" s="4" customFormat="1" ht="29.25" x14ac:dyDescent="0.2">
      <c r="B34" s="21">
        <v>43796</v>
      </c>
      <c r="C34" s="77" t="s">
        <v>1357</v>
      </c>
      <c r="D34" s="600" t="s">
        <v>1327</v>
      </c>
      <c r="E34" s="14" t="s">
        <v>1054</v>
      </c>
      <c r="F34" s="14" t="s">
        <v>28</v>
      </c>
      <c r="G34" s="79"/>
      <c r="H34" s="41">
        <v>6229000</v>
      </c>
      <c r="I34" s="40"/>
      <c r="J34" s="16" t="s">
        <v>19</v>
      </c>
      <c r="K34" s="20" t="s">
        <v>1327</v>
      </c>
      <c r="L34" s="182"/>
      <c r="M34" s="20"/>
      <c r="N34" s="7">
        <f>MONTH(List5[[#This Row],[Tanggal Pengajuan]])</f>
        <v>1</v>
      </c>
      <c r="O34" s="20"/>
      <c r="R34" s="843">
        <f t="shared" si="0"/>
        <v>6229000</v>
      </c>
    </row>
    <row r="35" spans="2:18" s="4" customFormat="1" ht="30" customHeight="1" x14ac:dyDescent="0.2">
      <c r="B35" s="21">
        <v>43699</v>
      </c>
      <c r="C35" s="77" t="s">
        <v>1347</v>
      </c>
      <c r="D35" s="20" t="s">
        <v>1317</v>
      </c>
      <c r="E35" s="103" t="s">
        <v>1054</v>
      </c>
      <c r="F35" s="14"/>
      <c r="G35" s="23">
        <v>0</v>
      </c>
      <c r="H35" s="41">
        <v>46000000</v>
      </c>
      <c r="I35" s="40"/>
      <c r="J35" s="16" t="s">
        <v>19</v>
      </c>
      <c r="K35" s="20" t="s">
        <v>1317</v>
      </c>
      <c r="L35" s="182"/>
      <c r="M35" s="20"/>
      <c r="N35" s="7">
        <f>MONTH(List5[[#This Row],[Tanggal Pengajuan]])</f>
        <v>1</v>
      </c>
      <c r="O35" s="20"/>
      <c r="R35" s="843">
        <f t="shared" si="0"/>
        <v>46000000</v>
      </c>
    </row>
    <row r="36" spans="2:18" s="8" customFormat="1" ht="30" customHeight="1" x14ac:dyDescent="0.2">
      <c r="B36" s="764"/>
      <c r="C36" s="645"/>
      <c r="D36" s="766"/>
      <c r="E36" s="406"/>
      <c r="F36" s="786"/>
      <c r="G36" s="825"/>
      <c r="H36" s="844">
        <f>SUM(H29:H35)</f>
        <v>113188139</v>
      </c>
      <c r="I36" s="768"/>
      <c r="J36" s="769"/>
      <c r="K36" s="766"/>
      <c r="L36" s="827"/>
      <c r="M36" s="766"/>
      <c r="N36" s="7"/>
      <c r="O36" s="766"/>
      <c r="R36" s="844">
        <f>SUM(R29:R35)</f>
        <v>113188139</v>
      </c>
    </row>
    <row r="37" spans="2:18" s="8" customFormat="1" ht="30" customHeight="1" x14ac:dyDescent="0.2">
      <c r="B37" s="772"/>
      <c r="C37" s="654"/>
      <c r="D37" s="774"/>
      <c r="E37" s="618"/>
      <c r="F37" s="788"/>
      <c r="G37" s="830"/>
      <c r="H37" s="776"/>
      <c r="I37" s="776"/>
      <c r="J37" s="777"/>
      <c r="K37" s="774"/>
      <c r="L37" s="832"/>
      <c r="M37" s="774"/>
      <c r="N37" s="7"/>
      <c r="O37" s="774"/>
      <c r="R37" s="844">
        <f>+R36-'S2 2019'!O9</f>
        <v>17930098</v>
      </c>
    </row>
    <row r="38" spans="2:18" s="8" customFormat="1" ht="30" customHeight="1" x14ac:dyDescent="0.2">
      <c r="B38" s="772"/>
      <c r="C38" s="654"/>
      <c r="D38" s="774"/>
      <c r="E38" s="618"/>
      <c r="F38" s="788"/>
      <c r="G38" s="830"/>
      <c r="H38" s="776"/>
      <c r="I38" s="776"/>
      <c r="J38" s="777"/>
      <c r="K38" s="774"/>
      <c r="L38" s="832"/>
      <c r="M38" s="774"/>
      <c r="N38" s="7"/>
      <c r="O38" s="774"/>
      <c r="R38" s="844"/>
    </row>
    <row r="39" spans="2:18" s="8" customFormat="1" ht="30" customHeight="1" x14ac:dyDescent="0.2">
      <c r="B39" s="772"/>
      <c r="C39" s="654"/>
      <c r="D39" s="774"/>
      <c r="E39" s="618"/>
      <c r="F39" s="788"/>
      <c r="G39" s="830"/>
      <c r="H39" s="776"/>
      <c r="I39" s="776"/>
      <c r="J39" s="777"/>
      <c r="K39" s="774"/>
      <c r="L39" s="832"/>
      <c r="M39" s="774"/>
      <c r="N39" s="7"/>
      <c r="O39" s="774"/>
      <c r="R39" s="844"/>
    </row>
    <row r="40" spans="2:18" s="8" customFormat="1" ht="30" customHeight="1" x14ac:dyDescent="0.2">
      <c r="B40" s="772"/>
      <c r="C40" s="829"/>
      <c r="D40" s="788"/>
      <c r="E40" s="788"/>
      <c r="F40" s="663"/>
      <c r="G40" s="830"/>
      <c r="H40" s="776"/>
      <c r="I40" s="783"/>
      <c r="J40" s="784"/>
      <c r="K40" s="781"/>
      <c r="L40" s="832"/>
      <c r="M40" s="781"/>
      <c r="N40" s="7"/>
      <c r="O40" s="781"/>
      <c r="R40" s="844"/>
    </row>
    <row r="41" spans="2:18" s="4" customFormat="1" ht="30" customHeight="1" x14ac:dyDescent="0.2">
      <c r="B41" s="21">
        <v>43713</v>
      </c>
      <c r="C41" s="77" t="s">
        <v>1349</v>
      </c>
      <c r="D41" s="600" t="s">
        <v>1319</v>
      </c>
      <c r="E41" s="103" t="s">
        <v>1055</v>
      </c>
      <c r="F41" s="18"/>
      <c r="G41" s="79">
        <v>0</v>
      </c>
      <c r="H41" s="78">
        <v>13187300</v>
      </c>
      <c r="I41" s="40"/>
      <c r="J41" s="72" t="s">
        <v>19</v>
      </c>
      <c r="K41" s="20" t="s">
        <v>1319</v>
      </c>
      <c r="L41" s="182"/>
      <c r="M41" s="20"/>
      <c r="N41" s="7">
        <f>MONTH(List5[[#This Row],[Tanggal Pengajuan]])</f>
        <v>1</v>
      </c>
      <c r="O41" s="20"/>
      <c r="R41" s="843">
        <f>+H41</f>
        <v>13187300</v>
      </c>
    </row>
    <row r="42" spans="2:18" s="4" customFormat="1" ht="30" customHeight="1" x14ac:dyDescent="0.2">
      <c r="B42" s="102">
        <v>43742</v>
      </c>
      <c r="C42" s="67" t="s">
        <v>1351</v>
      </c>
      <c r="D42" s="100" t="s">
        <v>1059</v>
      </c>
      <c r="E42" s="14" t="s">
        <v>1055</v>
      </c>
      <c r="F42" s="14" t="s">
        <v>18</v>
      </c>
      <c r="G42" s="79">
        <v>0</v>
      </c>
      <c r="H42" s="78">
        <v>10507000</v>
      </c>
      <c r="I42" s="40"/>
      <c r="J42" s="72" t="s">
        <v>19</v>
      </c>
      <c r="K42" s="20" t="s">
        <v>1321</v>
      </c>
      <c r="L42" s="182"/>
      <c r="M42" s="20"/>
      <c r="N42" s="7">
        <f>MONTH(List5[[#This Row],[Tanggal Pengajuan]])</f>
        <v>1</v>
      </c>
      <c r="O42" s="20"/>
      <c r="R42" s="843">
        <f t="shared" ref="R42:R47" si="1">+H42</f>
        <v>10507000</v>
      </c>
    </row>
    <row r="43" spans="2:18" s="4" customFormat="1" ht="30" customHeight="1" x14ac:dyDescent="0.2">
      <c r="B43" s="21">
        <v>43817</v>
      </c>
      <c r="C43" s="77" t="s">
        <v>1371</v>
      </c>
      <c r="D43" s="20" t="s">
        <v>1340</v>
      </c>
      <c r="E43" s="103" t="s">
        <v>1055</v>
      </c>
      <c r="F43" s="18" t="s">
        <v>28</v>
      </c>
      <c r="G43" s="79">
        <v>0</v>
      </c>
      <c r="H43" s="78">
        <v>20000000</v>
      </c>
      <c r="I43" s="40"/>
      <c r="J43" s="16" t="s">
        <v>19</v>
      </c>
      <c r="K43" s="20" t="s">
        <v>1340</v>
      </c>
      <c r="L43" s="182"/>
      <c r="M43" s="20"/>
      <c r="N43" s="7">
        <f>MONTH(List5[[#This Row],[Tanggal Pengajuan]])</f>
        <v>1</v>
      </c>
      <c r="O43" s="20"/>
      <c r="Q43" s="4" t="s">
        <v>102</v>
      </c>
      <c r="R43" s="843">
        <f t="shared" si="1"/>
        <v>20000000</v>
      </c>
    </row>
    <row r="44" spans="2:18" s="4" customFormat="1" ht="30" customHeight="1" x14ac:dyDescent="0.2">
      <c r="B44" s="21">
        <v>43829</v>
      </c>
      <c r="C44" s="77" t="s">
        <v>1374</v>
      </c>
      <c r="D44" s="20" t="s">
        <v>1343</v>
      </c>
      <c r="E44" s="103" t="s">
        <v>1055</v>
      </c>
      <c r="F44" s="18" t="s">
        <v>28</v>
      </c>
      <c r="G44" s="79">
        <v>0</v>
      </c>
      <c r="H44" s="78">
        <v>58800000</v>
      </c>
      <c r="I44" s="40"/>
      <c r="J44" s="72" t="s">
        <v>19</v>
      </c>
      <c r="K44" s="20" t="s">
        <v>1343</v>
      </c>
      <c r="L44" s="182"/>
      <c r="M44" s="20"/>
      <c r="N44" s="7">
        <f>MONTH(List5[[#This Row],[Tanggal Pengajuan]])</f>
        <v>1</v>
      </c>
      <c r="O44" s="20"/>
      <c r="R44" s="843">
        <f t="shared" si="1"/>
        <v>58800000</v>
      </c>
    </row>
    <row r="45" spans="2:18" s="4" customFormat="1" ht="29.25" x14ac:dyDescent="0.2">
      <c r="B45" s="21">
        <v>43818</v>
      </c>
      <c r="C45" s="67" t="s">
        <v>1373</v>
      </c>
      <c r="D45" s="20" t="s">
        <v>1342</v>
      </c>
      <c r="E45" s="14" t="s">
        <v>1055</v>
      </c>
      <c r="F45" s="18" t="s">
        <v>28</v>
      </c>
      <c r="G45" s="79">
        <v>0</v>
      </c>
      <c r="H45" s="41">
        <v>8803640</v>
      </c>
      <c r="I45" s="40"/>
      <c r="J45" s="104" t="s">
        <v>19</v>
      </c>
      <c r="K45" s="24" t="s">
        <v>1342</v>
      </c>
      <c r="L45" s="182"/>
      <c r="M45" s="20"/>
      <c r="N45" s="7">
        <f>MONTH(List5[[#This Row],[Tanggal Pengajuan]])</f>
        <v>1</v>
      </c>
      <c r="O45" s="24"/>
      <c r="P45" s="4">
        <v>1</v>
      </c>
      <c r="R45" s="843">
        <f t="shared" si="1"/>
        <v>8803640</v>
      </c>
    </row>
    <row r="46" spans="2:18" s="4" customFormat="1" ht="29.25" x14ac:dyDescent="0.2">
      <c r="B46" s="21">
        <v>43766</v>
      </c>
      <c r="C46" s="67" t="s">
        <v>1354</v>
      </c>
      <c r="D46" s="100" t="s">
        <v>1059</v>
      </c>
      <c r="E46" s="14" t="s">
        <v>1055</v>
      </c>
      <c r="F46" s="14" t="s">
        <v>18</v>
      </c>
      <c r="G46" s="23">
        <v>0</v>
      </c>
      <c r="H46" s="41">
        <v>10696450</v>
      </c>
      <c r="I46" s="40"/>
      <c r="J46" s="16" t="s">
        <v>19</v>
      </c>
      <c r="K46" s="20" t="s">
        <v>1324</v>
      </c>
      <c r="L46" s="182"/>
      <c r="M46" s="20"/>
      <c r="N46" s="7">
        <f>MONTH(List5[[#This Row],[Tanggal Pengajuan]])</f>
        <v>1</v>
      </c>
      <c r="O46" s="20"/>
      <c r="P46" s="4">
        <v>6</v>
      </c>
      <c r="R46" s="843">
        <f t="shared" si="1"/>
        <v>10696450</v>
      </c>
    </row>
    <row r="47" spans="2:18" s="4" customFormat="1" ht="29.25" x14ac:dyDescent="0.2">
      <c r="B47" s="21">
        <v>43766</v>
      </c>
      <c r="C47" s="67" t="s">
        <v>1356</v>
      </c>
      <c r="D47" s="20" t="s">
        <v>1326</v>
      </c>
      <c r="E47" s="14" t="s">
        <v>1055</v>
      </c>
      <c r="F47" s="14" t="s">
        <v>28</v>
      </c>
      <c r="G47" s="23"/>
      <c r="H47" s="41">
        <v>70770000</v>
      </c>
      <c r="I47" s="40"/>
      <c r="J47" s="16" t="s">
        <v>19</v>
      </c>
      <c r="K47" s="20" t="s">
        <v>1326</v>
      </c>
      <c r="L47" s="182"/>
      <c r="M47" s="20"/>
      <c r="N47" s="7">
        <f>MONTH(List5[[#This Row],[Tanggal Pengajuan]])</f>
        <v>1</v>
      </c>
      <c r="O47" s="20"/>
      <c r="R47" s="843">
        <f t="shared" si="1"/>
        <v>70770000</v>
      </c>
    </row>
    <row r="48" spans="2:18" s="8" customFormat="1" ht="15.75" x14ac:dyDescent="0.2">
      <c r="B48" s="764"/>
      <c r="C48" s="824"/>
      <c r="D48" s="766"/>
      <c r="E48" s="406"/>
      <c r="F48" s="786"/>
      <c r="G48" s="825"/>
      <c r="H48" s="844">
        <f>SUM(H41:H47)</f>
        <v>192764390</v>
      </c>
      <c r="I48" s="768"/>
      <c r="J48" s="838"/>
      <c r="K48" s="766"/>
      <c r="L48" s="827"/>
      <c r="M48" s="766"/>
      <c r="N48" s="7"/>
      <c r="O48" s="766"/>
      <c r="R48" s="844">
        <f>SUM(R41:R47)</f>
        <v>192764390</v>
      </c>
    </row>
    <row r="49" spans="2:18" s="8" customFormat="1" ht="15.75" x14ac:dyDescent="0.2">
      <c r="B49" s="772"/>
      <c r="C49" s="829"/>
      <c r="D49" s="774"/>
      <c r="E49" s="618"/>
      <c r="F49" s="788"/>
      <c r="G49" s="830"/>
      <c r="H49" s="831"/>
      <c r="I49" s="776"/>
      <c r="J49" s="839"/>
      <c r="K49" s="774"/>
      <c r="L49" s="832"/>
      <c r="M49" s="774"/>
      <c r="N49" s="7"/>
      <c r="O49" s="774"/>
      <c r="R49" s="844">
        <f>+R48-'S2 2019'!O10</f>
        <v>17607280</v>
      </c>
    </row>
    <row r="50" spans="2:18" s="8" customFormat="1" ht="15.75" x14ac:dyDescent="0.2">
      <c r="B50" s="772"/>
      <c r="C50" s="829"/>
      <c r="D50" s="774"/>
      <c r="E50" s="618"/>
      <c r="F50" s="788"/>
      <c r="G50" s="830"/>
      <c r="H50" s="831"/>
      <c r="I50" s="776"/>
      <c r="J50" s="839"/>
      <c r="K50" s="774"/>
      <c r="L50" s="832"/>
      <c r="M50" s="774"/>
      <c r="N50" s="7"/>
      <c r="O50" s="774"/>
      <c r="R50" s="844"/>
    </row>
    <row r="51" spans="2:18" s="8" customFormat="1" ht="15.75" x14ac:dyDescent="0.2">
      <c r="B51" s="772"/>
      <c r="C51" s="829"/>
      <c r="D51" s="774"/>
      <c r="E51" s="618"/>
      <c r="F51" s="788"/>
      <c r="G51" s="830"/>
      <c r="H51" s="831"/>
      <c r="I51" s="776"/>
      <c r="J51" s="839"/>
      <c r="K51" s="774"/>
      <c r="L51" s="832"/>
      <c r="M51" s="774"/>
      <c r="N51" s="7"/>
      <c r="O51" s="774"/>
      <c r="R51" s="844"/>
    </row>
    <row r="52" spans="2:18" s="8" customFormat="1" ht="15.75" x14ac:dyDescent="0.2">
      <c r="B52" s="772"/>
      <c r="C52" s="829"/>
      <c r="D52" s="774"/>
      <c r="E52" s="618"/>
      <c r="F52" s="788"/>
      <c r="G52" s="830"/>
      <c r="H52" s="831"/>
      <c r="I52" s="776"/>
      <c r="J52" s="839"/>
      <c r="K52" s="774"/>
      <c r="L52" s="832"/>
      <c r="M52" s="774"/>
      <c r="N52" s="7"/>
      <c r="O52" s="774"/>
      <c r="R52" s="844"/>
    </row>
    <row r="53" spans="2:18" s="8" customFormat="1" ht="15.75" x14ac:dyDescent="0.2">
      <c r="B53" s="772"/>
      <c r="C53" s="829"/>
      <c r="D53" s="781"/>
      <c r="E53" s="663"/>
      <c r="F53" s="791"/>
      <c r="G53" s="830"/>
      <c r="H53" s="831"/>
      <c r="I53" s="783"/>
      <c r="J53" s="840"/>
      <c r="K53" s="781"/>
      <c r="L53" s="832"/>
      <c r="M53" s="781"/>
      <c r="N53" s="7"/>
      <c r="O53" s="781"/>
      <c r="R53" s="844"/>
    </row>
    <row r="54" spans="2:18" s="4" customFormat="1" ht="29.25" x14ac:dyDescent="0.2">
      <c r="B54" s="21">
        <v>43699</v>
      </c>
      <c r="C54" s="77" t="s">
        <v>1345</v>
      </c>
      <c r="D54" s="20" t="s">
        <v>1315</v>
      </c>
      <c r="E54" s="18" t="s">
        <v>71</v>
      </c>
      <c r="F54" s="18"/>
      <c r="G54" s="79">
        <v>1</v>
      </c>
      <c r="H54" s="41">
        <v>800000</v>
      </c>
      <c r="I54" s="40"/>
      <c r="J54" s="16" t="s">
        <v>19</v>
      </c>
      <c r="K54" s="20" t="s">
        <v>1315</v>
      </c>
      <c r="L54" s="182"/>
      <c r="M54" s="20"/>
      <c r="N54" s="7" t="e">
        <f>MONTH(List5[[#This Row],[Tanggal Pengajuan]])</f>
        <v>#VALUE!</v>
      </c>
      <c r="O54" s="20"/>
      <c r="R54" s="843">
        <f>+H54</f>
        <v>800000</v>
      </c>
    </row>
    <row r="55" spans="2:18" s="4" customFormat="1" ht="30" customHeight="1" x14ac:dyDescent="0.2">
      <c r="B55" s="21">
        <v>43699</v>
      </c>
      <c r="C55" s="77" t="s">
        <v>1346</v>
      </c>
      <c r="D55" s="20" t="s">
        <v>1316</v>
      </c>
      <c r="E55" s="18" t="s">
        <v>71</v>
      </c>
      <c r="F55" s="14"/>
      <c r="G55" s="23">
        <v>1</v>
      </c>
      <c r="H55" s="41">
        <v>1000000</v>
      </c>
      <c r="I55" s="40"/>
      <c r="J55" s="16" t="s">
        <v>19</v>
      </c>
      <c r="K55" s="20" t="s">
        <v>1316</v>
      </c>
      <c r="L55" s="182"/>
      <c r="M55" s="20"/>
      <c r="N55" s="7" t="e">
        <f>MONTH(List5[[#This Row],[Tanggal Pengajuan]])</f>
        <v>#VALUE!</v>
      </c>
      <c r="O55" s="22"/>
      <c r="R55" s="843">
        <f>+H55</f>
        <v>1000000</v>
      </c>
    </row>
    <row r="56" spans="2:18" x14ac:dyDescent="0.2">
      <c r="H56" s="195">
        <f>SUM(H54:H55)</f>
        <v>1800000</v>
      </c>
      <c r="R56" s="195">
        <f>SUM(R54:R55)</f>
        <v>1800000</v>
      </c>
    </row>
    <row r="57" spans="2:18" x14ac:dyDescent="0.2">
      <c r="R57" s="195">
        <f>+R56-'S2 2019'!O6</f>
        <v>0</v>
      </c>
    </row>
  </sheetData>
  <sortState xmlns:xlrd2="http://schemas.microsoft.com/office/spreadsheetml/2017/richdata2" ref="B43:K47">
    <sortCondition ref="D41"/>
  </sortState>
  <dataValidations count="4">
    <dataValidation errorStyle="warning" allowBlank="1" showInputMessage="1" showErrorMessage="1" error="If the card was received, select Yes from the list. Select CANCEL, press ALT+DOWN ARROW for options, then DOWN ARROW and ENTER to make selection" sqref="D6 O46 D2 O2:O6 M46:M55 N2:N24 O9:O24 M3:M24 M25:O39 O40:O43 M40:M44 N40:N55" xr:uid="{00000000-0002-0000-0200-000000000000}"/>
    <dataValidation allowBlank="1" showInputMessage="1" showErrorMessage="1" prompt="Enter Last Name in this column under this heading. Use heading filters to find specific entries" sqref="B2:B3" xr:uid="{00000000-0002-0000-0200-000001000000}"/>
    <dataValidation allowBlank="1" showInputMessage="1" showErrorMessage="1" prompt="Enter City, State, and Zip Code in this column under this heading" sqref="C2:C3" xr:uid="{00000000-0002-0000-0200-000002000000}"/>
    <dataValidation type="list" allowBlank="1" showInputMessage="1" showErrorMessage="1" sqref="D40:D41 D29:D31 D33:D34 D9 D12:D22" xr:uid="{00000000-0002-0000-0200-000003000000}">
      <formula1>$C$5:$C$154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4000000}">
          <x14:formula1>
            <xm:f>Sheet1!$D$2:$D$4</xm:f>
          </x14:formula1>
          <xm:sqref>F2:F55</xm:sqref>
        </x14:dataValidation>
        <x14:dataValidation type="list" allowBlank="1" showInputMessage="1" showErrorMessage="1" xr:uid="{00000000-0002-0000-0200-000005000000}">
          <x14:formula1>
            <xm:f>Sheet1!$B$2:$B$3</xm:f>
          </x14:formula1>
          <xm:sqref>J2:J55</xm:sqref>
        </x14:dataValidation>
        <x14:dataValidation type="list" errorStyle="warning" allowBlank="1" showInputMessage="1" showErrorMessage="1" error="If the card was received, select Yes from the list. Select CANCEL, press ALT+DOWN ARROW for options, then DOWN ARROW and ENTER to make selection" xr:uid="{00000000-0002-0000-0200-000006000000}">
          <x14:formula1>
            <xm:f>Sheet1!$C$2:$C$5</xm:f>
          </x14:formula1>
          <xm:sqref>D3:D5 D7 D10:D11 D42:D55 D32 D35:D39 D23:D28 K2:K55</xm:sqref>
        </x14:dataValidation>
        <x14:dataValidation type="list" allowBlank="1" showInputMessage="1" showErrorMessage="1" xr:uid="{00000000-0002-0000-0200-000007000000}">
          <x14:formula1>
            <xm:f>'S2 2020'!$B$3:$B$8</xm:f>
          </x14:formula1>
          <xm:sqref>E2:E55</xm:sqref>
        </x14:dataValidation>
        <x14:dataValidation type="list" allowBlank="1" showInputMessage="1" showErrorMessage="1" xr:uid="{00000000-0002-0000-0200-000008000000}">
          <x14:formula1>
            <xm:f>Category!$C$5:$C$137</xm:f>
          </x14:formula1>
          <xm:sqref>D8</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dimension ref="B2:F7"/>
  <sheetViews>
    <sheetView workbookViewId="0">
      <selection activeCell="B2" sqref="B2:H2"/>
    </sheetView>
  </sheetViews>
  <sheetFormatPr defaultRowHeight="15" x14ac:dyDescent="0.2"/>
  <cols>
    <col min="2" max="2" width="9.953125" bestFit="1" customWidth="1"/>
    <col min="3" max="3" width="26.6328125" bestFit="1" customWidth="1"/>
    <col min="4" max="4" width="11.8359375" style="1" bestFit="1" customWidth="1"/>
    <col min="5" max="5" width="24.078125" bestFit="1" customWidth="1"/>
    <col min="6" max="6" width="21.7890625" bestFit="1" customWidth="1"/>
  </cols>
  <sheetData>
    <row r="2" spans="2:6" x14ac:dyDescent="0.2">
      <c r="B2" t="s">
        <v>19</v>
      </c>
      <c r="C2" s="1" t="s">
        <v>20</v>
      </c>
      <c r="D2" s="1" t="s">
        <v>18</v>
      </c>
      <c r="E2" s="1" t="s">
        <v>33</v>
      </c>
      <c r="F2" t="s">
        <v>33</v>
      </c>
    </row>
    <row r="3" spans="2:6" x14ac:dyDescent="0.2">
      <c r="B3" t="s">
        <v>72</v>
      </c>
      <c r="C3" s="1" t="s">
        <v>41</v>
      </c>
      <c r="D3" s="1" t="s">
        <v>49</v>
      </c>
      <c r="E3" s="1" t="s">
        <v>17</v>
      </c>
      <c r="F3" t="s">
        <v>17</v>
      </c>
    </row>
    <row r="4" spans="2:6" ht="27.75" x14ac:dyDescent="0.2">
      <c r="C4" s="1" t="s">
        <v>209</v>
      </c>
      <c r="D4" s="1" t="s">
        <v>28</v>
      </c>
      <c r="E4" s="1" t="s">
        <v>107</v>
      </c>
      <c r="F4" t="s">
        <v>27</v>
      </c>
    </row>
    <row r="5" spans="2:6" x14ac:dyDescent="0.2">
      <c r="C5" s="1" t="s">
        <v>73</v>
      </c>
      <c r="E5" s="1" t="s">
        <v>71</v>
      </c>
    </row>
    <row r="6" spans="2:6" x14ac:dyDescent="0.2">
      <c r="E6" s="1" t="s">
        <v>57</v>
      </c>
    </row>
    <row r="7" spans="2:6" x14ac:dyDescent="0.2">
      <c r="E7" s="1"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4"/>
    <pageSetUpPr fitToPage="1"/>
  </sheetPr>
  <dimension ref="B1:Q95"/>
  <sheetViews>
    <sheetView showGridLines="0" topLeftCell="A82" zoomScale="80" zoomScaleNormal="80" workbookViewId="0">
      <selection activeCell="D41" sqref="D41"/>
    </sheetView>
  </sheetViews>
  <sheetFormatPr defaultColWidth="9.01171875" defaultRowHeight="15.75" x14ac:dyDescent="0.2"/>
  <cols>
    <col min="1" max="1" width="2.5546875" style="4" customWidth="1"/>
    <col min="2" max="2" width="24.48046875" style="25" bestFit="1" customWidth="1"/>
    <col min="3" max="3" width="24.34765625" style="68" bestFit="1" customWidth="1"/>
    <col min="4" max="4" width="58.91796875" style="25" bestFit="1" customWidth="1"/>
    <col min="5" max="5" width="17.08203125" style="25" customWidth="1"/>
    <col min="6" max="6" width="16.94921875" style="25" bestFit="1" customWidth="1"/>
    <col min="7" max="7" width="13.85546875" style="25" customWidth="1"/>
    <col min="8" max="8" width="26.23046875" style="25" bestFit="1" customWidth="1"/>
    <col min="9" max="9" width="25.01953125" style="25" bestFit="1" customWidth="1"/>
    <col min="10" max="10" width="17.75390625" style="25" bestFit="1" customWidth="1"/>
    <col min="11" max="11" width="32.28515625" style="25" bestFit="1" customWidth="1"/>
    <col min="12" max="12" width="15.6015625" style="25" bestFit="1" customWidth="1"/>
    <col min="13" max="13" width="35.51171875" style="25" bestFit="1" customWidth="1"/>
    <col min="14" max="14" width="14.390625" style="8" bestFit="1" customWidth="1"/>
    <col min="15" max="15" width="56.36328125" style="25" customWidth="1"/>
    <col min="16" max="16" width="15.19921875" style="4" bestFit="1" customWidth="1"/>
    <col min="17" max="17" width="15.73828125" style="4" bestFit="1" customWidth="1"/>
    <col min="18" max="16384" width="9.01171875" style="4"/>
  </cols>
  <sheetData>
    <row r="1" spans="2:16" customFormat="1" ht="87.75" customHeight="1" x14ac:dyDescent="0.2">
      <c r="B1" s="10"/>
      <c r="C1" s="64"/>
      <c r="D1" s="11"/>
      <c r="E1" s="11"/>
      <c r="F1" s="11"/>
      <c r="G1" s="11"/>
      <c r="H1" s="11"/>
      <c r="I1" s="11"/>
      <c r="J1" s="11"/>
      <c r="K1" s="11"/>
      <c r="L1" s="10"/>
      <c r="M1" s="11"/>
      <c r="N1" s="5"/>
      <c r="O1" s="11"/>
    </row>
    <row r="2" spans="2:16" ht="29.25" x14ac:dyDescent="0.2">
      <c r="B2" s="12" t="s">
        <v>0</v>
      </c>
      <c r="C2" s="65" t="s">
        <v>1</v>
      </c>
      <c r="D2" s="9" t="s">
        <v>2</v>
      </c>
      <c r="E2" s="2" t="s">
        <v>3</v>
      </c>
      <c r="F2" s="2" t="s">
        <v>4</v>
      </c>
      <c r="G2" s="9" t="s">
        <v>5</v>
      </c>
      <c r="H2" s="9" t="s">
        <v>6</v>
      </c>
      <c r="I2" s="9" t="s">
        <v>7</v>
      </c>
      <c r="J2" s="2" t="s">
        <v>8</v>
      </c>
      <c r="K2" s="3" t="s">
        <v>9</v>
      </c>
      <c r="L2" s="42" t="s">
        <v>10</v>
      </c>
      <c r="M2" s="3" t="s">
        <v>11</v>
      </c>
      <c r="N2" s="6" t="s">
        <v>12</v>
      </c>
      <c r="O2" s="3" t="s">
        <v>13</v>
      </c>
      <c r="P2" s="4" t="s">
        <v>14</v>
      </c>
    </row>
    <row r="3" spans="2:16" x14ac:dyDescent="0.2">
      <c r="B3" s="19">
        <v>43839</v>
      </c>
      <c r="C3" s="69" t="s">
        <v>1465</v>
      </c>
      <c r="D3" s="17" t="s">
        <v>1466</v>
      </c>
      <c r="E3" s="14" t="s">
        <v>1055</v>
      </c>
      <c r="F3" s="14" t="s">
        <v>28</v>
      </c>
      <c r="G3" s="15"/>
      <c r="H3" s="40">
        <v>10619000</v>
      </c>
      <c r="I3" s="78">
        <f>List[[#This Row],[Pengajuan Donasi]]</f>
        <v>10619000</v>
      </c>
      <c r="J3" s="16"/>
      <c r="K3" s="20"/>
      <c r="L3" s="62">
        <v>43838</v>
      </c>
      <c r="M3" s="17" t="s">
        <v>1467</v>
      </c>
      <c r="N3" s="7">
        <f>MONTH(List[[#This Row],[Tanggal Pengajuan]])</f>
        <v>1</v>
      </c>
      <c r="O3" s="17"/>
    </row>
    <row r="4" spans="2:16" x14ac:dyDescent="0.2">
      <c r="B4" s="19">
        <v>43858</v>
      </c>
      <c r="C4" s="69" t="s">
        <v>1468</v>
      </c>
      <c r="D4" s="17" t="s">
        <v>1057</v>
      </c>
      <c r="E4" s="14" t="s">
        <v>1054</v>
      </c>
      <c r="F4" s="18" t="s">
        <v>18</v>
      </c>
      <c r="G4" s="15"/>
      <c r="H4" s="40">
        <v>0</v>
      </c>
      <c r="I4" s="78">
        <f>List[[#This Row],[Pengajuan Donasi]]</f>
        <v>0</v>
      </c>
      <c r="J4" s="16"/>
      <c r="K4" s="20"/>
      <c r="L4" s="183">
        <v>43860</v>
      </c>
      <c r="M4" s="17" t="s">
        <v>1471</v>
      </c>
      <c r="N4" s="7">
        <f>MONTH(List[[#This Row],[Tanggal Pengajuan]])</f>
        <v>1</v>
      </c>
      <c r="O4" s="17" t="s">
        <v>788</v>
      </c>
    </row>
    <row r="5" spans="2:16" x14ac:dyDescent="0.2">
      <c r="B5" s="19">
        <v>43859</v>
      </c>
      <c r="C5" s="69" t="s">
        <v>1469</v>
      </c>
      <c r="D5" s="17" t="s">
        <v>1059</v>
      </c>
      <c r="E5" s="14" t="s">
        <v>1055</v>
      </c>
      <c r="F5" s="18" t="s">
        <v>18</v>
      </c>
      <c r="G5" s="15"/>
      <c r="H5" s="40">
        <v>17129259</v>
      </c>
      <c r="I5" s="78">
        <f>List[[#This Row],[Pengajuan Donasi]]</f>
        <v>17129259</v>
      </c>
      <c r="J5" s="16"/>
      <c r="K5" s="20"/>
      <c r="L5" s="183">
        <v>43854</v>
      </c>
      <c r="M5" s="17"/>
      <c r="N5" s="7">
        <f>MONTH(List[[#This Row],[Tanggal Pengajuan]])</f>
        <v>1</v>
      </c>
      <c r="O5" s="17"/>
    </row>
    <row r="6" spans="2:16" ht="29.25" x14ac:dyDescent="0.2">
      <c r="B6" s="19">
        <v>43879</v>
      </c>
      <c r="C6" s="69" t="s">
        <v>1472</v>
      </c>
      <c r="D6" s="17" t="s">
        <v>30</v>
      </c>
      <c r="E6" s="14" t="s">
        <v>1054</v>
      </c>
      <c r="F6" s="14" t="s">
        <v>28</v>
      </c>
      <c r="G6" s="15">
        <v>1</v>
      </c>
      <c r="H6" s="40">
        <v>5000000</v>
      </c>
      <c r="I6" s="78">
        <f>List[[#This Row],[Pengajuan Donasi]]</f>
        <v>5000000</v>
      </c>
      <c r="J6" s="16"/>
      <c r="K6" s="17" t="s">
        <v>1470</v>
      </c>
      <c r="L6" s="183">
        <v>43889</v>
      </c>
      <c r="M6" s="17" t="s">
        <v>39</v>
      </c>
      <c r="N6" s="7">
        <f>MONTH(List[[#This Row],[Tanggal Pengajuan]])</f>
        <v>2</v>
      </c>
      <c r="O6" s="17"/>
    </row>
    <row r="7" spans="2:16" x14ac:dyDescent="0.2">
      <c r="B7" s="19">
        <v>43885</v>
      </c>
      <c r="C7" s="69" t="s">
        <v>1473</v>
      </c>
      <c r="D7" s="17" t="s">
        <v>1059</v>
      </c>
      <c r="E7" s="14" t="s">
        <v>1055</v>
      </c>
      <c r="F7" s="18" t="s">
        <v>18</v>
      </c>
      <c r="G7" s="15"/>
      <c r="H7" s="40">
        <v>6721990</v>
      </c>
      <c r="I7" s="78">
        <f>List[[#This Row],[Pengajuan Donasi]]</f>
        <v>6721990</v>
      </c>
      <c r="J7" s="16"/>
      <c r="K7" s="20"/>
      <c r="L7" s="183">
        <v>43889</v>
      </c>
      <c r="M7" s="17"/>
      <c r="N7" s="7">
        <f>MONTH(List[[#This Row],[Tanggal Pengajuan]])</f>
        <v>2</v>
      </c>
      <c r="O7" s="17"/>
    </row>
    <row r="8" spans="2:16" x14ac:dyDescent="0.2">
      <c r="B8" s="19">
        <v>43889</v>
      </c>
      <c r="C8" s="69" t="s">
        <v>1474</v>
      </c>
      <c r="D8" s="17" t="s">
        <v>1057</v>
      </c>
      <c r="E8" s="14" t="s">
        <v>1054</v>
      </c>
      <c r="F8" s="18" t="s">
        <v>18</v>
      </c>
      <c r="G8" s="15"/>
      <c r="H8" s="40">
        <v>0</v>
      </c>
      <c r="I8" s="78">
        <f>List[[#This Row],[Pengajuan Donasi]]</f>
        <v>0</v>
      </c>
      <c r="J8" s="16"/>
      <c r="K8" s="20"/>
      <c r="L8" s="183">
        <v>43889</v>
      </c>
      <c r="M8" s="17" t="s">
        <v>1471</v>
      </c>
      <c r="N8" s="7">
        <f>MONTH(List[[#This Row],[Tanggal Pengajuan]])</f>
        <v>2</v>
      </c>
      <c r="O8" s="17" t="s">
        <v>792</v>
      </c>
    </row>
    <row r="9" spans="2:16" ht="42.75" x14ac:dyDescent="0.2">
      <c r="B9" s="19">
        <v>43895</v>
      </c>
      <c r="C9" s="69" t="s">
        <v>1438</v>
      </c>
      <c r="D9" s="17" t="s">
        <v>53</v>
      </c>
      <c r="E9" s="14" t="s">
        <v>179</v>
      </c>
      <c r="F9" s="14" t="s">
        <v>28</v>
      </c>
      <c r="G9" s="15"/>
      <c r="H9" s="40">
        <v>9720000</v>
      </c>
      <c r="I9" s="78">
        <f>List[[#This Row],[Pengajuan Donasi]]</f>
        <v>9720000</v>
      </c>
      <c r="J9" s="16"/>
      <c r="K9" s="17" t="s">
        <v>1439</v>
      </c>
      <c r="L9" s="183">
        <v>43899</v>
      </c>
      <c r="M9" s="17" t="s">
        <v>54</v>
      </c>
      <c r="N9" s="7">
        <f>MONTH(List[[#This Row],[Tanggal Pengajuan]])</f>
        <v>3</v>
      </c>
      <c r="O9" s="17"/>
    </row>
    <row r="10" spans="2:16" ht="42.75" x14ac:dyDescent="0.2">
      <c r="B10" s="19">
        <v>43895</v>
      </c>
      <c r="C10" s="69" t="s">
        <v>1440</v>
      </c>
      <c r="D10" s="17" t="s">
        <v>25</v>
      </c>
      <c r="E10" s="14" t="s">
        <v>179</v>
      </c>
      <c r="F10" s="18" t="s">
        <v>18</v>
      </c>
      <c r="G10" s="15"/>
      <c r="H10" s="40">
        <v>9000000</v>
      </c>
      <c r="I10" s="78">
        <f>List[[#This Row],[Pengajuan Donasi]]</f>
        <v>9000000</v>
      </c>
      <c r="J10" s="16"/>
      <c r="K10" s="17" t="s">
        <v>1441</v>
      </c>
      <c r="L10" s="183">
        <v>43899</v>
      </c>
      <c r="M10" s="17" t="s">
        <v>39</v>
      </c>
      <c r="N10" s="7">
        <f>MONTH(List[[#This Row],[Tanggal Pengajuan]])</f>
        <v>3</v>
      </c>
      <c r="O10" s="17"/>
    </row>
    <row r="11" spans="2:16" ht="29.25" x14ac:dyDescent="0.2">
      <c r="B11" s="19">
        <v>43895</v>
      </c>
      <c r="C11" s="69" t="s">
        <v>1475</v>
      </c>
      <c r="D11" s="17" t="s">
        <v>1476</v>
      </c>
      <c r="E11" s="14" t="s">
        <v>71</v>
      </c>
      <c r="F11" s="18" t="s">
        <v>28</v>
      </c>
      <c r="G11" s="15"/>
      <c r="H11" s="40">
        <v>770737</v>
      </c>
      <c r="I11" s="78">
        <f>List[[#This Row],[Pengajuan Donasi]]</f>
        <v>770737</v>
      </c>
      <c r="J11" s="16"/>
      <c r="K11" s="17"/>
      <c r="L11" s="183">
        <v>43899</v>
      </c>
      <c r="M11" s="17" t="s">
        <v>1477</v>
      </c>
      <c r="N11" s="7">
        <f>MONTH(List[[#This Row],[Tanggal Pengajuan]])</f>
        <v>3</v>
      </c>
      <c r="O11" s="17"/>
    </row>
    <row r="12" spans="2:16" ht="42.75" x14ac:dyDescent="0.2">
      <c r="B12" s="19">
        <v>43896</v>
      </c>
      <c r="C12" s="69" t="s">
        <v>1442</v>
      </c>
      <c r="D12" s="17" t="s">
        <v>48</v>
      </c>
      <c r="E12" s="14" t="s">
        <v>179</v>
      </c>
      <c r="F12" s="18" t="s">
        <v>18</v>
      </c>
      <c r="G12" s="15"/>
      <c r="H12" s="40">
        <v>2720000</v>
      </c>
      <c r="I12" s="78">
        <f>List[[#This Row],[Pengajuan Donasi]]</f>
        <v>2720000</v>
      </c>
      <c r="J12" s="16"/>
      <c r="K12" s="17" t="s">
        <v>1443</v>
      </c>
      <c r="L12" s="183">
        <v>43899</v>
      </c>
      <c r="M12" s="17" t="s">
        <v>50</v>
      </c>
      <c r="N12" s="7">
        <f>MONTH(List[[#This Row],[Tanggal Pengajuan]])</f>
        <v>3</v>
      </c>
      <c r="O12" s="17"/>
    </row>
    <row r="13" spans="2:16" ht="29.25" x14ac:dyDescent="0.2">
      <c r="B13" s="19">
        <v>43896</v>
      </c>
      <c r="C13" s="69" t="s">
        <v>1444</v>
      </c>
      <c r="D13" s="17" t="s">
        <v>87</v>
      </c>
      <c r="E13" s="14" t="s">
        <v>179</v>
      </c>
      <c r="F13" s="18" t="s">
        <v>18</v>
      </c>
      <c r="G13" s="15"/>
      <c r="H13" s="40">
        <v>25424998</v>
      </c>
      <c r="I13" s="78">
        <f>List[[#This Row],[Pengajuan Donasi]]</f>
        <v>25424998</v>
      </c>
      <c r="J13" s="16"/>
      <c r="K13" s="17" t="s">
        <v>1445</v>
      </c>
      <c r="L13" s="183">
        <v>43899</v>
      </c>
      <c r="M13" s="17" t="s">
        <v>88</v>
      </c>
      <c r="N13" s="7">
        <f>MONTH(List[[#This Row],[Tanggal Pengajuan]])</f>
        <v>3</v>
      </c>
      <c r="O13" s="17"/>
    </row>
    <row r="14" spans="2:16" x14ac:dyDescent="0.2">
      <c r="B14" s="19">
        <v>43917</v>
      </c>
      <c r="C14" s="69" t="s">
        <v>1479</v>
      </c>
      <c r="D14" s="17" t="s">
        <v>1057</v>
      </c>
      <c r="E14" s="14" t="s">
        <v>1054</v>
      </c>
      <c r="F14" s="18" t="s">
        <v>18</v>
      </c>
      <c r="G14" s="15"/>
      <c r="H14" s="40">
        <v>0</v>
      </c>
      <c r="I14" s="78">
        <f>List[[#This Row],[Pengajuan Donasi]]</f>
        <v>0</v>
      </c>
      <c r="J14" s="16"/>
      <c r="K14" s="20"/>
      <c r="L14" s="183">
        <v>43920</v>
      </c>
      <c r="M14" s="17" t="s">
        <v>1471</v>
      </c>
      <c r="N14" s="7">
        <f>MONTH(List[[#This Row],[Tanggal Pengajuan]])</f>
        <v>3</v>
      </c>
      <c r="O14" s="17" t="s">
        <v>1602</v>
      </c>
    </row>
    <row r="15" spans="2:16" x14ac:dyDescent="0.2">
      <c r="B15" s="19">
        <v>43948</v>
      </c>
      <c r="C15" s="69" t="s">
        <v>1478</v>
      </c>
      <c r="D15" s="17" t="s">
        <v>1057</v>
      </c>
      <c r="E15" s="14" t="s">
        <v>1054</v>
      </c>
      <c r="F15" s="18" t="s">
        <v>18</v>
      </c>
      <c r="G15" s="15"/>
      <c r="H15" s="40">
        <v>0</v>
      </c>
      <c r="I15" s="78">
        <f>List[[#This Row],[Pengajuan Donasi]]</f>
        <v>0</v>
      </c>
      <c r="J15" s="16"/>
      <c r="K15" s="20"/>
      <c r="L15" s="183">
        <v>43951</v>
      </c>
      <c r="M15" s="17" t="s">
        <v>1471</v>
      </c>
      <c r="N15" s="7">
        <f>MONTH(List[[#This Row],[Tanggal Pengajuan]])</f>
        <v>4</v>
      </c>
      <c r="O15" s="17" t="s">
        <v>1601</v>
      </c>
    </row>
    <row r="16" spans="2:16" ht="29.25" x14ac:dyDescent="0.2">
      <c r="B16" s="19">
        <v>43959</v>
      </c>
      <c r="C16" s="69" t="s">
        <v>1446</v>
      </c>
      <c r="D16" s="17" t="s">
        <v>1485</v>
      </c>
      <c r="E16" s="14" t="s">
        <v>26</v>
      </c>
      <c r="F16" s="18" t="s">
        <v>28</v>
      </c>
      <c r="G16" s="15">
        <v>66</v>
      </c>
      <c r="H16" s="40">
        <v>9900000</v>
      </c>
      <c r="I16" s="78">
        <f>List[[#This Row],[Pengajuan Donasi]]</f>
        <v>9900000</v>
      </c>
      <c r="J16" s="16"/>
      <c r="K16" s="17" t="s">
        <v>1447</v>
      </c>
      <c r="L16" s="183">
        <v>43960</v>
      </c>
      <c r="M16" s="17" t="s">
        <v>1480</v>
      </c>
      <c r="N16" s="7">
        <f>MONTH(List[[#This Row],[Tanggal Pengajuan]])</f>
        <v>5</v>
      </c>
      <c r="O16" s="17"/>
    </row>
    <row r="17" spans="2:17" ht="29.25" x14ac:dyDescent="0.2">
      <c r="B17" s="19">
        <v>43962</v>
      </c>
      <c r="C17" s="69" t="s">
        <v>1448</v>
      </c>
      <c r="D17" s="17" t="s">
        <v>1485</v>
      </c>
      <c r="E17" s="14" t="s">
        <v>26</v>
      </c>
      <c r="F17" s="18" t="s">
        <v>28</v>
      </c>
      <c r="G17" s="15">
        <v>24</v>
      </c>
      <c r="H17" s="40">
        <v>3600000</v>
      </c>
      <c r="I17" s="78">
        <f>List[[#This Row],[Pengajuan Donasi]]</f>
        <v>3600000</v>
      </c>
      <c r="J17" s="16"/>
      <c r="K17" s="17" t="s">
        <v>1449</v>
      </c>
      <c r="L17" s="183">
        <v>43963</v>
      </c>
      <c r="M17" s="17" t="s">
        <v>1480</v>
      </c>
      <c r="N17" s="7">
        <f>MONTH(List[[#This Row],[Tanggal Pengajuan]])</f>
        <v>5</v>
      </c>
      <c r="O17" s="17"/>
      <c r="Q17" s="843"/>
    </row>
    <row r="18" spans="2:17" x14ac:dyDescent="0.2">
      <c r="B18" s="19">
        <v>43973</v>
      </c>
      <c r="C18" s="69" t="s">
        <v>1481</v>
      </c>
      <c r="D18" s="17" t="s">
        <v>1057</v>
      </c>
      <c r="E18" s="14" t="s">
        <v>1054</v>
      </c>
      <c r="F18" s="18" t="s">
        <v>18</v>
      </c>
      <c r="G18" s="15"/>
      <c r="H18" s="40">
        <v>0</v>
      </c>
      <c r="I18" s="78">
        <f>List[[#This Row],[Pengajuan Donasi]]</f>
        <v>0</v>
      </c>
      <c r="J18" s="16"/>
      <c r="K18" s="20"/>
      <c r="L18" s="183">
        <v>43974</v>
      </c>
      <c r="M18" s="17" t="s">
        <v>1471</v>
      </c>
      <c r="N18" s="7">
        <f>MONTH(List[[#This Row],[Tanggal Pengajuan]])</f>
        <v>5</v>
      </c>
      <c r="O18" s="17" t="s">
        <v>1600</v>
      </c>
    </row>
    <row r="19" spans="2:17" ht="42.75" x14ac:dyDescent="0.2">
      <c r="B19" s="19">
        <v>43991</v>
      </c>
      <c r="C19" s="69" t="s">
        <v>1450</v>
      </c>
      <c r="D19" s="17" t="s">
        <v>30</v>
      </c>
      <c r="E19" s="14" t="s">
        <v>1054</v>
      </c>
      <c r="F19" s="14" t="s">
        <v>28</v>
      </c>
      <c r="G19" s="15">
        <v>1</v>
      </c>
      <c r="H19" s="40">
        <v>5000000</v>
      </c>
      <c r="I19" s="78">
        <f>List[[#This Row],[Pengajuan Donasi]]</f>
        <v>5000000</v>
      </c>
      <c r="J19" s="16"/>
      <c r="K19" s="17" t="s">
        <v>1451</v>
      </c>
      <c r="L19" s="183">
        <v>43994</v>
      </c>
      <c r="M19" s="17" t="s">
        <v>39</v>
      </c>
      <c r="N19" s="7">
        <f>MONTH(List[[#This Row],[Tanggal Pengajuan]])</f>
        <v>6</v>
      </c>
      <c r="O19" s="17"/>
    </row>
    <row r="20" spans="2:17" x14ac:dyDescent="0.2">
      <c r="B20" s="19">
        <v>44012</v>
      </c>
      <c r="C20" s="69" t="s">
        <v>1482</v>
      </c>
      <c r="D20" s="17" t="s">
        <v>1057</v>
      </c>
      <c r="E20" s="14" t="s">
        <v>1054</v>
      </c>
      <c r="F20" s="18" t="s">
        <v>18</v>
      </c>
      <c r="G20" s="15"/>
      <c r="H20" s="40">
        <v>0</v>
      </c>
      <c r="I20" s="78">
        <f>List[[#This Row],[Pengajuan Donasi]]</f>
        <v>0</v>
      </c>
      <c r="J20" s="16"/>
      <c r="K20" s="20"/>
      <c r="L20" s="183">
        <v>44012</v>
      </c>
      <c r="M20" s="17" t="s">
        <v>1471</v>
      </c>
      <c r="N20" s="7">
        <f>MONTH(List[[#This Row],[Tanggal Pengajuan]])</f>
        <v>6</v>
      </c>
      <c r="O20" s="17" t="s">
        <v>1595</v>
      </c>
    </row>
    <row r="21" spans="2:17" x14ac:dyDescent="0.2">
      <c r="B21" s="19">
        <v>44012</v>
      </c>
      <c r="C21" s="69" t="s">
        <v>1483</v>
      </c>
      <c r="D21" s="17" t="s">
        <v>1059</v>
      </c>
      <c r="E21" s="14" t="s">
        <v>1055</v>
      </c>
      <c r="F21" s="18" t="s">
        <v>18</v>
      </c>
      <c r="G21" s="15"/>
      <c r="H21" s="40">
        <v>14453000</v>
      </c>
      <c r="I21" s="78">
        <f>List[[#This Row],[Pengajuan Donasi]]</f>
        <v>14453000</v>
      </c>
      <c r="J21" s="16"/>
      <c r="K21" s="20"/>
      <c r="L21" s="183">
        <v>44012</v>
      </c>
      <c r="M21" s="17" t="s">
        <v>1484</v>
      </c>
      <c r="N21" s="7">
        <f>MONTH(List[[#This Row],[Tanggal Pengajuan]])</f>
        <v>6</v>
      </c>
      <c r="O21" s="17"/>
    </row>
    <row r="22" spans="2:17" ht="29.25" x14ac:dyDescent="0.2">
      <c r="B22" s="19">
        <v>44015</v>
      </c>
      <c r="C22" s="69" t="s">
        <v>1452</v>
      </c>
      <c r="D22" s="17" t="s">
        <v>1485</v>
      </c>
      <c r="E22" s="14" t="s">
        <v>26</v>
      </c>
      <c r="F22" s="18" t="s">
        <v>28</v>
      </c>
      <c r="G22" s="15"/>
      <c r="H22" s="40">
        <v>2775000</v>
      </c>
      <c r="I22" s="78">
        <f>List[[#This Row],[Pengajuan Donasi]]</f>
        <v>2775000</v>
      </c>
      <c r="J22" s="16"/>
      <c r="K22" s="17" t="s">
        <v>1453</v>
      </c>
      <c r="L22" s="183">
        <v>44018</v>
      </c>
      <c r="M22" s="17" t="s">
        <v>1471</v>
      </c>
      <c r="N22" s="7">
        <f>MONTH(List[[#This Row],[Tanggal Pengajuan]])</f>
        <v>7</v>
      </c>
      <c r="O22" s="17"/>
    </row>
    <row r="23" spans="2:17" ht="29.25" x14ac:dyDescent="0.2">
      <c r="B23" s="19">
        <v>44015</v>
      </c>
      <c r="C23" s="69" t="s">
        <v>1454</v>
      </c>
      <c r="D23" s="17" t="s">
        <v>1485</v>
      </c>
      <c r="E23" s="14" t="s">
        <v>26</v>
      </c>
      <c r="F23" s="18" t="s">
        <v>28</v>
      </c>
      <c r="G23" s="15"/>
      <c r="H23" s="40">
        <v>7800000</v>
      </c>
      <c r="I23" s="78">
        <f>List[[#This Row],[Pengajuan Donasi]]</f>
        <v>7800000</v>
      </c>
      <c r="J23" s="16"/>
      <c r="K23" s="17" t="s">
        <v>1455</v>
      </c>
      <c r="L23" s="183">
        <v>44018</v>
      </c>
      <c r="M23" s="17" t="s">
        <v>1480</v>
      </c>
      <c r="N23" s="7">
        <f>MONTH(List[[#This Row],[Tanggal Pengajuan]])</f>
        <v>7</v>
      </c>
      <c r="O23" s="17"/>
    </row>
    <row r="24" spans="2:17" ht="24" customHeight="1" x14ac:dyDescent="0.2">
      <c r="B24" s="19">
        <v>44019</v>
      </c>
      <c r="C24" s="69" t="s">
        <v>1456</v>
      </c>
      <c r="D24" s="17" t="s">
        <v>30</v>
      </c>
      <c r="E24" s="14" t="s">
        <v>1054</v>
      </c>
      <c r="F24" s="18" t="s">
        <v>28</v>
      </c>
      <c r="G24" s="15">
        <v>1</v>
      </c>
      <c r="H24" s="40">
        <v>5000000</v>
      </c>
      <c r="I24" s="78">
        <f>List[[#This Row],[Pengajuan Donasi]]</f>
        <v>5000000</v>
      </c>
      <c r="J24" s="16"/>
      <c r="K24" s="17" t="s">
        <v>1457</v>
      </c>
      <c r="L24" s="183">
        <v>44020</v>
      </c>
      <c r="M24" s="17" t="s">
        <v>39</v>
      </c>
      <c r="N24" s="7">
        <f>MONTH(List[[#This Row],[Tanggal Pengajuan]])</f>
        <v>7</v>
      </c>
      <c r="O24" s="17"/>
      <c r="P24" s="4" t="s">
        <v>23</v>
      </c>
    </row>
    <row r="25" spans="2:17" ht="42.75" x14ac:dyDescent="0.2">
      <c r="B25" s="19">
        <v>44039</v>
      </c>
      <c r="C25" s="69" t="s">
        <v>1458</v>
      </c>
      <c r="D25" s="17" t="s">
        <v>1459</v>
      </c>
      <c r="E25" s="14" t="s">
        <v>71</v>
      </c>
      <c r="F25" s="18" t="s">
        <v>28</v>
      </c>
      <c r="G25" s="15"/>
      <c r="H25" s="40">
        <v>670000</v>
      </c>
      <c r="I25" s="78">
        <f>List[[#This Row],[Pengajuan Donasi]]</f>
        <v>670000</v>
      </c>
      <c r="J25" s="16"/>
      <c r="K25" s="17" t="s">
        <v>1459</v>
      </c>
      <c r="L25" s="183">
        <v>44048</v>
      </c>
      <c r="M25" s="17"/>
      <c r="N25" s="7">
        <f>MONTH(List[[#This Row],[Tanggal Pengajuan]])</f>
        <v>7</v>
      </c>
      <c r="O25" s="17"/>
    </row>
    <row r="26" spans="2:17" ht="42.75" x14ac:dyDescent="0.2">
      <c r="B26" s="935">
        <v>44048</v>
      </c>
      <c r="C26" s="933" t="s">
        <v>1461</v>
      </c>
      <c r="D26" s="17" t="s">
        <v>30</v>
      </c>
      <c r="E26" s="14" t="s">
        <v>1054</v>
      </c>
      <c r="F26" s="14" t="s">
        <v>28</v>
      </c>
      <c r="G26" s="15">
        <v>1</v>
      </c>
      <c r="H26" s="934">
        <v>5000000</v>
      </c>
      <c r="I26" s="78">
        <f>List[[#This Row],[Pengajuan Donasi]]</f>
        <v>5000000</v>
      </c>
      <c r="K26" s="14" t="s">
        <v>1462</v>
      </c>
      <c r="L26" s="183">
        <v>44054</v>
      </c>
      <c r="M26" s="25" t="s">
        <v>39</v>
      </c>
      <c r="N26" s="7">
        <f>MONTH(List[[#This Row],[Tanggal Pengajuan]])</f>
        <v>8</v>
      </c>
    </row>
    <row r="27" spans="2:17" ht="29.25" x14ac:dyDescent="0.2">
      <c r="B27" s="936">
        <v>44056</v>
      </c>
      <c r="C27" s="933" t="s">
        <v>1463</v>
      </c>
      <c r="D27" s="933" t="s">
        <v>872</v>
      </c>
      <c r="E27" s="933" t="s">
        <v>17</v>
      </c>
      <c r="F27" s="18" t="s">
        <v>18</v>
      </c>
      <c r="G27" s="74">
        <v>70</v>
      </c>
      <c r="H27" s="934">
        <v>10000000</v>
      </c>
      <c r="I27" s="78">
        <f>List[[#This Row],[Pengajuan Donasi]]</f>
        <v>10000000</v>
      </c>
      <c r="J27" s="16"/>
      <c r="K27" s="14" t="s">
        <v>1464</v>
      </c>
      <c r="L27" s="183">
        <v>44057</v>
      </c>
      <c r="M27" s="17"/>
      <c r="N27" s="7">
        <f>MONTH(List[[#This Row],[Tanggal Pengajuan]])</f>
        <v>8</v>
      </c>
      <c r="O27" s="17"/>
    </row>
    <row r="28" spans="2:17" x14ac:dyDescent="0.2">
      <c r="B28" s="937">
        <v>44057</v>
      </c>
      <c r="C28" s="932" t="s">
        <v>1486</v>
      </c>
      <c r="D28" s="17" t="s">
        <v>1057</v>
      </c>
      <c r="E28" s="14" t="s">
        <v>1054</v>
      </c>
      <c r="F28" s="18" t="s">
        <v>18</v>
      </c>
      <c r="G28" s="15"/>
      <c r="H28" s="40">
        <v>0</v>
      </c>
      <c r="I28" s="78">
        <f>List[[#This Row],[Pengajuan Donasi]]</f>
        <v>0</v>
      </c>
      <c r="J28" s="16"/>
      <c r="K28" s="20"/>
      <c r="L28" s="183">
        <v>44057</v>
      </c>
      <c r="M28" s="17" t="s">
        <v>1471</v>
      </c>
      <c r="N28" s="7">
        <f>MONTH(List[[#This Row],[Tanggal Pengajuan]])</f>
        <v>8</v>
      </c>
      <c r="O28" s="17" t="s">
        <v>1596</v>
      </c>
    </row>
    <row r="29" spans="2:17" ht="42.75" x14ac:dyDescent="0.2">
      <c r="B29" s="19">
        <v>44064</v>
      </c>
      <c r="C29" s="69" t="s">
        <v>15</v>
      </c>
      <c r="D29" s="73" t="s">
        <v>872</v>
      </c>
      <c r="E29" s="73" t="s">
        <v>17</v>
      </c>
      <c r="F29" s="73" t="s">
        <v>18</v>
      </c>
      <c r="G29" s="74">
        <v>70</v>
      </c>
      <c r="H29" s="40">
        <v>-2809500</v>
      </c>
      <c r="I29" s="78">
        <f>List[[#This Row],[Pengajuan Donasi]]</f>
        <v>-2809500</v>
      </c>
      <c r="J29" s="16" t="s">
        <v>19</v>
      </c>
      <c r="K29" s="14" t="s">
        <v>1490</v>
      </c>
      <c r="L29" s="43">
        <v>44064</v>
      </c>
      <c r="M29" s="20" t="s">
        <v>21</v>
      </c>
      <c r="N29" s="7">
        <f>MONTH(List[[#This Row],[Tanggal Pengajuan]])</f>
        <v>8</v>
      </c>
      <c r="O29" s="17" t="s">
        <v>22</v>
      </c>
    </row>
    <row r="30" spans="2:17" ht="29.25" x14ac:dyDescent="0.2">
      <c r="B30" s="19">
        <v>44064</v>
      </c>
      <c r="C30" s="69" t="s">
        <v>1487</v>
      </c>
      <c r="D30" s="73" t="s">
        <v>871</v>
      </c>
      <c r="E30" s="73" t="s">
        <v>17</v>
      </c>
      <c r="F30" s="73" t="s">
        <v>18</v>
      </c>
      <c r="G30" s="74">
        <v>71</v>
      </c>
      <c r="H30" s="40">
        <v>3000000</v>
      </c>
      <c r="I30" s="78">
        <f>List[[#This Row],[Pengajuan Donasi]]</f>
        <v>3000000</v>
      </c>
      <c r="J30" s="16"/>
      <c r="K30" s="14" t="s">
        <v>1489</v>
      </c>
      <c r="L30" s="182">
        <v>44075</v>
      </c>
      <c r="M30" s="20" t="s">
        <v>21</v>
      </c>
      <c r="N30" s="7">
        <f>MONTH(List[[#This Row],[Tanggal Pengajuan]])</f>
        <v>8</v>
      </c>
      <c r="O30" s="17"/>
    </row>
    <row r="31" spans="2:17" x14ac:dyDescent="0.2">
      <c r="B31" s="19">
        <v>44070</v>
      </c>
      <c r="C31" s="69" t="s">
        <v>1488</v>
      </c>
      <c r="D31" s="17" t="s">
        <v>1057</v>
      </c>
      <c r="E31" s="14" t="s">
        <v>1054</v>
      </c>
      <c r="F31" s="18" t="s">
        <v>18</v>
      </c>
      <c r="G31" s="15"/>
      <c r="H31" s="40">
        <v>0</v>
      </c>
      <c r="I31" s="78">
        <f>List[[#This Row],[Pengajuan Donasi]]</f>
        <v>0</v>
      </c>
      <c r="J31" s="16"/>
      <c r="K31" s="20"/>
      <c r="L31" s="183">
        <v>44057</v>
      </c>
      <c r="M31" s="17" t="s">
        <v>1471</v>
      </c>
      <c r="N31" s="7">
        <f>MONTH(List[[#This Row],[Tanggal Pengajuan]])</f>
        <v>8</v>
      </c>
      <c r="O31" s="17" t="s">
        <v>1597</v>
      </c>
    </row>
    <row r="32" spans="2:17" ht="29.25" x14ac:dyDescent="0.2">
      <c r="B32" s="19">
        <v>44070</v>
      </c>
      <c r="C32" s="69" t="s">
        <v>43</v>
      </c>
      <c r="D32" s="18" t="s">
        <v>44</v>
      </c>
      <c r="E32" s="14" t="s">
        <v>17</v>
      </c>
      <c r="F32" s="18" t="s">
        <v>18</v>
      </c>
      <c r="G32" s="70">
        <v>27</v>
      </c>
      <c r="H32" s="71">
        <v>3000000</v>
      </c>
      <c r="I32" s="71">
        <v>3000000</v>
      </c>
      <c r="J32" s="72" t="s">
        <v>19</v>
      </c>
      <c r="K32" s="20" t="s">
        <v>20</v>
      </c>
      <c r="L32" s="43">
        <v>44074</v>
      </c>
      <c r="M32" s="20" t="s">
        <v>45</v>
      </c>
      <c r="N32" s="7">
        <f>MONTH(List[[#This Row],[Tanggal Pengajuan]])</f>
        <v>8</v>
      </c>
      <c r="O32" s="17" t="s">
        <v>46</v>
      </c>
    </row>
    <row r="33" spans="2:15" ht="29.25" x14ac:dyDescent="0.2">
      <c r="B33" s="19">
        <v>44071</v>
      </c>
      <c r="C33" s="69" t="s">
        <v>31</v>
      </c>
      <c r="D33" s="14" t="s">
        <v>32</v>
      </c>
      <c r="E33" s="14" t="s">
        <v>179</v>
      </c>
      <c r="F33" s="14" t="s">
        <v>18</v>
      </c>
      <c r="G33" s="15">
        <v>8</v>
      </c>
      <c r="H33" s="40">
        <v>7130000</v>
      </c>
      <c r="I33" s="40">
        <v>7130000</v>
      </c>
      <c r="J33" s="16" t="s">
        <v>19</v>
      </c>
      <c r="K33" s="20" t="s">
        <v>20</v>
      </c>
      <c r="L33" s="62">
        <v>44077</v>
      </c>
      <c r="M33" s="17"/>
      <c r="N33" s="7">
        <f>MONTH(List[[#This Row],[Tanggal Pengajuan]])</f>
        <v>8</v>
      </c>
      <c r="O33" s="17"/>
    </row>
    <row r="34" spans="2:15" ht="29.25" x14ac:dyDescent="0.2">
      <c r="B34" s="19">
        <v>44071</v>
      </c>
      <c r="C34" s="69" t="s">
        <v>34</v>
      </c>
      <c r="D34" s="14" t="s">
        <v>35</v>
      </c>
      <c r="E34" s="14" t="s">
        <v>179</v>
      </c>
      <c r="F34" s="14" t="s">
        <v>18</v>
      </c>
      <c r="G34" s="15">
        <v>57</v>
      </c>
      <c r="H34" s="40">
        <v>25995000</v>
      </c>
      <c r="I34" s="40">
        <v>25995000</v>
      </c>
      <c r="J34" s="16" t="s">
        <v>19</v>
      </c>
      <c r="K34" s="20" t="s">
        <v>20</v>
      </c>
      <c r="L34" s="43">
        <v>44075</v>
      </c>
      <c r="M34" s="17" t="s">
        <v>36</v>
      </c>
      <c r="N34" s="7">
        <f>MONTH(List[[#This Row],[Tanggal Pengajuan]])</f>
        <v>8</v>
      </c>
      <c r="O34" s="17" t="s">
        <v>37</v>
      </c>
    </row>
    <row r="35" spans="2:15" ht="29.25" x14ac:dyDescent="0.2">
      <c r="B35" s="19">
        <v>44074</v>
      </c>
      <c r="C35" s="69" t="s">
        <v>38</v>
      </c>
      <c r="D35" s="14" t="s">
        <v>25</v>
      </c>
      <c r="E35" s="14" t="s">
        <v>179</v>
      </c>
      <c r="F35" s="18" t="s">
        <v>18</v>
      </c>
      <c r="G35" s="70">
        <v>12</v>
      </c>
      <c r="H35" s="71">
        <v>7200000</v>
      </c>
      <c r="I35" s="71">
        <v>7200000</v>
      </c>
      <c r="J35" s="72" t="s">
        <v>19</v>
      </c>
      <c r="K35" s="20" t="s">
        <v>20</v>
      </c>
      <c r="L35" s="63">
        <v>44077</v>
      </c>
      <c r="M35" s="20" t="s">
        <v>39</v>
      </c>
      <c r="N35" s="7">
        <f>MONTH(List[[#This Row],[Tanggal Pengajuan]])</f>
        <v>8</v>
      </c>
      <c r="O35" s="17"/>
    </row>
    <row r="36" spans="2:15" ht="42.75" x14ac:dyDescent="0.2">
      <c r="B36" s="19">
        <v>44074</v>
      </c>
      <c r="C36" s="69" t="s">
        <v>1491</v>
      </c>
      <c r="D36" s="14" t="s">
        <v>1493</v>
      </c>
      <c r="E36" s="14" t="s">
        <v>1055</v>
      </c>
      <c r="F36" s="18" t="s">
        <v>28</v>
      </c>
      <c r="G36" s="70"/>
      <c r="H36" s="71">
        <v>3000000</v>
      </c>
      <c r="I36" s="78">
        <f>List[[#This Row],[Pengajuan Donasi]]</f>
        <v>3000000</v>
      </c>
      <c r="J36" s="72"/>
      <c r="K36" s="14" t="s">
        <v>1492</v>
      </c>
      <c r="L36" s="63">
        <v>44074</v>
      </c>
      <c r="M36" s="100" t="s">
        <v>1494</v>
      </c>
      <c r="N36" s="7">
        <f>MONTH(List[[#This Row],[Tanggal Pengajuan]])</f>
        <v>8</v>
      </c>
      <c r="O36" s="17"/>
    </row>
    <row r="37" spans="2:15" ht="29.25" x14ac:dyDescent="0.2">
      <c r="B37" s="21">
        <v>44075</v>
      </c>
      <c r="C37" s="77" t="s">
        <v>1460</v>
      </c>
      <c r="D37" s="22" t="s">
        <v>25</v>
      </c>
      <c r="E37" s="18" t="s">
        <v>179</v>
      </c>
      <c r="F37" s="18" t="s">
        <v>18</v>
      </c>
      <c r="G37" s="79">
        <v>12</v>
      </c>
      <c r="H37" s="78">
        <v>3600000</v>
      </c>
      <c r="I37" s="78">
        <v>3600000</v>
      </c>
      <c r="J37" s="72" t="s">
        <v>19</v>
      </c>
      <c r="K37" s="20" t="s">
        <v>20</v>
      </c>
      <c r="L37" s="182">
        <v>44102</v>
      </c>
      <c r="M37" s="20" t="s">
        <v>39</v>
      </c>
      <c r="N37" s="7">
        <f>MONTH(List[[#This Row],[Tanggal Pengajuan]])</f>
        <v>9</v>
      </c>
      <c r="O37" s="20" t="s">
        <v>91</v>
      </c>
    </row>
    <row r="38" spans="2:15" ht="29.25" x14ac:dyDescent="0.2">
      <c r="B38" s="19">
        <v>44077</v>
      </c>
      <c r="C38" s="66" t="s">
        <v>47</v>
      </c>
      <c r="D38" s="18" t="s">
        <v>48</v>
      </c>
      <c r="E38" s="14" t="s">
        <v>179</v>
      </c>
      <c r="F38" s="14" t="s">
        <v>49</v>
      </c>
      <c r="G38" s="15">
        <v>32</v>
      </c>
      <c r="H38" s="40">
        <v>33596000</v>
      </c>
      <c r="I38" s="40">
        <v>33596000</v>
      </c>
      <c r="J38" s="16" t="s">
        <v>19</v>
      </c>
      <c r="K38" s="20" t="s">
        <v>20</v>
      </c>
      <c r="L38" s="43">
        <v>44083</v>
      </c>
      <c r="M38" s="17" t="s">
        <v>50</v>
      </c>
      <c r="N38" s="7">
        <f>MONTH(List[[#This Row],[Tanggal Pengajuan]])</f>
        <v>9</v>
      </c>
      <c r="O38" s="17" t="s">
        <v>51</v>
      </c>
    </row>
    <row r="39" spans="2:15" ht="29.25" x14ac:dyDescent="0.2">
      <c r="B39" s="19">
        <v>44077</v>
      </c>
      <c r="C39" s="66" t="s">
        <v>52</v>
      </c>
      <c r="D39" s="18" t="s">
        <v>53</v>
      </c>
      <c r="E39" s="14" t="s">
        <v>179</v>
      </c>
      <c r="F39" s="14" t="s">
        <v>18</v>
      </c>
      <c r="G39" s="15">
        <v>52</v>
      </c>
      <c r="H39" s="40">
        <v>39540000</v>
      </c>
      <c r="I39" s="40">
        <v>39540000</v>
      </c>
      <c r="J39" s="16" t="s">
        <v>19</v>
      </c>
      <c r="K39" s="20" t="s">
        <v>20</v>
      </c>
      <c r="L39" s="43">
        <v>44090</v>
      </c>
      <c r="M39" s="17" t="s">
        <v>54</v>
      </c>
      <c r="N39" s="7">
        <f>MONTH(List[[#This Row],[Tanggal Pengajuan]])</f>
        <v>9</v>
      </c>
      <c r="O39" s="17" t="s">
        <v>55</v>
      </c>
    </row>
    <row r="40" spans="2:15" ht="42.75" x14ac:dyDescent="0.2">
      <c r="B40" s="19">
        <v>44077</v>
      </c>
      <c r="C40" s="66" t="s">
        <v>56</v>
      </c>
      <c r="D40" s="18" t="s">
        <v>413</v>
      </c>
      <c r="E40" s="18" t="s">
        <v>57</v>
      </c>
      <c r="F40" s="14" t="s">
        <v>49</v>
      </c>
      <c r="G40" s="15">
        <v>6</v>
      </c>
      <c r="H40" s="40">
        <v>30000000</v>
      </c>
      <c r="I40" s="40">
        <v>30000000</v>
      </c>
      <c r="J40" s="16" t="s">
        <v>19</v>
      </c>
      <c r="K40" s="20" t="s">
        <v>20</v>
      </c>
      <c r="L40" s="43">
        <v>44090</v>
      </c>
      <c r="M40" s="17" t="s">
        <v>54</v>
      </c>
      <c r="N40" s="7">
        <f>MONTH(List[[#This Row],[Tanggal Pengajuan]])</f>
        <v>9</v>
      </c>
      <c r="O40" s="17" t="s">
        <v>58</v>
      </c>
    </row>
    <row r="41" spans="2:15" ht="29.25" x14ac:dyDescent="0.2">
      <c r="B41" s="19">
        <v>44077</v>
      </c>
      <c r="C41" s="69" t="s">
        <v>67</v>
      </c>
      <c r="D41" s="73" t="s">
        <v>871</v>
      </c>
      <c r="E41" s="73" t="s">
        <v>17</v>
      </c>
      <c r="F41" s="73" t="s">
        <v>18</v>
      </c>
      <c r="G41" s="74">
        <v>77</v>
      </c>
      <c r="H41" s="40">
        <v>5500000</v>
      </c>
      <c r="I41" s="40">
        <v>5500000</v>
      </c>
      <c r="J41" s="16" t="s">
        <v>19</v>
      </c>
      <c r="K41" s="20" t="s">
        <v>41</v>
      </c>
      <c r="L41" s="43">
        <v>44098</v>
      </c>
      <c r="M41" s="20" t="s">
        <v>21</v>
      </c>
      <c r="N41" s="7">
        <f>MONTH(List[[#This Row],[Tanggal Pengajuan]])</f>
        <v>9</v>
      </c>
      <c r="O41" s="20" t="s">
        <v>68</v>
      </c>
    </row>
    <row r="42" spans="2:15" ht="29.25" x14ac:dyDescent="0.2">
      <c r="B42" s="19">
        <v>44078</v>
      </c>
      <c r="C42" s="66" t="s">
        <v>59</v>
      </c>
      <c r="D42" s="18" t="s">
        <v>60</v>
      </c>
      <c r="E42" s="14" t="s">
        <v>179</v>
      </c>
      <c r="F42" s="14" t="s">
        <v>18</v>
      </c>
      <c r="G42" s="15">
        <v>37</v>
      </c>
      <c r="H42" s="40">
        <v>19880000</v>
      </c>
      <c r="I42" s="40">
        <v>19880000</v>
      </c>
      <c r="J42" s="16" t="s">
        <v>19</v>
      </c>
      <c r="K42" s="20" t="s">
        <v>20</v>
      </c>
      <c r="L42" s="43">
        <v>44090</v>
      </c>
      <c r="M42" s="17" t="s">
        <v>61</v>
      </c>
      <c r="N42" s="7">
        <f>MONTH(List[[#This Row],[Tanggal Pengajuan]])</f>
        <v>9</v>
      </c>
      <c r="O42" s="17" t="s">
        <v>62</v>
      </c>
    </row>
    <row r="43" spans="2:15" ht="29.25" x14ac:dyDescent="0.2">
      <c r="B43" s="19">
        <v>44081</v>
      </c>
      <c r="C43" s="66" t="s">
        <v>63</v>
      </c>
      <c r="D43" s="18" t="s">
        <v>64</v>
      </c>
      <c r="E43" s="14" t="s">
        <v>179</v>
      </c>
      <c r="F43" s="14" t="s">
        <v>18</v>
      </c>
      <c r="G43" s="15">
        <v>15</v>
      </c>
      <c r="H43" s="40">
        <v>17385000</v>
      </c>
      <c r="I43" s="40">
        <v>17385000</v>
      </c>
      <c r="J43" s="16" t="s">
        <v>19</v>
      </c>
      <c r="K43" s="20" t="s">
        <v>20</v>
      </c>
      <c r="L43" s="43">
        <v>44090</v>
      </c>
      <c r="M43" s="17" t="s">
        <v>65</v>
      </c>
      <c r="N43" s="7">
        <f>MONTH(List[[#This Row],[Tanggal Pengajuan]])</f>
        <v>9</v>
      </c>
      <c r="O43" s="17" t="s">
        <v>66</v>
      </c>
    </row>
    <row r="44" spans="2:15" x14ac:dyDescent="0.2">
      <c r="B44" s="938">
        <v>44092</v>
      </c>
      <c r="C44" s="939" t="s">
        <v>1495</v>
      </c>
      <c r="D44" s="174" t="s">
        <v>70</v>
      </c>
      <c r="E44" s="174" t="s">
        <v>71</v>
      </c>
      <c r="F44" s="174" t="s">
        <v>28</v>
      </c>
      <c r="G44" s="940">
        <v>1</v>
      </c>
      <c r="H44" s="171"/>
      <c r="I44" s="171"/>
      <c r="J44" s="752" t="s">
        <v>72</v>
      </c>
      <c r="K44" s="255" t="s">
        <v>73</v>
      </c>
      <c r="L44" s="941"/>
      <c r="M44" s="255"/>
      <c r="N44" s="7">
        <f>MONTH(List[[#This Row],[Tanggal Pengajuan]])</f>
        <v>9</v>
      </c>
      <c r="O44" s="255" t="s">
        <v>70</v>
      </c>
    </row>
    <row r="45" spans="2:15" x14ac:dyDescent="0.2">
      <c r="B45" s="938"/>
      <c r="C45" s="939" t="s">
        <v>69</v>
      </c>
      <c r="D45" s="174"/>
      <c r="E45" s="174"/>
      <c r="F45" s="174"/>
      <c r="G45" s="940"/>
      <c r="H45" s="171"/>
      <c r="I45" s="171"/>
      <c r="J45" s="752"/>
      <c r="K45" s="255"/>
      <c r="L45" s="942"/>
      <c r="M45" s="255"/>
      <c r="N45" s="7">
        <f>MONTH(List[[#This Row],[Tanggal Pengajuan]])</f>
        <v>1</v>
      </c>
      <c r="O45" s="255"/>
    </row>
    <row r="46" spans="2:15" ht="29.25" x14ac:dyDescent="0.2">
      <c r="B46" s="19">
        <v>44096</v>
      </c>
      <c r="C46" s="69" t="s">
        <v>1603</v>
      </c>
      <c r="D46" s="18" t="s">
        <v>79</v>
      </c>
      <c r="E46" s="18" t="s">
        <v>179</v>
      </c>
      <c r="F46" s="18" t="s">
        <v>18</v>
      </c>
      <c r="G46" s="70">
        <v>44</v>
      </c>
      <c r="H46" s="71">
        <v>61566000</v>
      </c>
      <c r="I46" s="71">
        <v>61566000</v>
      </c>
      <c r="J46" s="72" t="s">
        <v>19</v>
      </c>
      <c r="K46" s="20" t="s">
        <v>20</v>
      </c>
      <c r="L46" s="182">
        <v>44162</v>
      </c>
      <c r="M46" s="20" t="s">
        <v>80</v>
      </c>
      <c r="N46" s="7">
        <f>MONTH(List[[#This Row],[Tanggal Pengajuan]])</f>
        <v>9</v>
      </c>
      <c r="O46" s="20" t="s">
        <v>81</v>
      </c>
    </row>
    <row r="47" spans="2:15" ht="29.25" x14ac:dyDescent="0.2">
      <c r="B47" s="21">
        <v>44098</v>
      </c>
      <c r="C47" s="77" t="s">
        <v>86</v>
      </c>
      <c r="D47" s="22" t="s">
        <v>87</v>
      </c>
      <c r="E47" s="18" t="s">
        <v>179</v>
      </c>
      <c r="F47" s="18" t="s">
        <v>18</v>
      </c>
      <c r="G47" s="70">
        <v>20</v>
      </c>
      <c r="H47" s="41">
        <v>9000000</v>
      </c>
      <c r="I47" s="41">
        <v>9000000</v>
      </c>
      <c r="J47" s="16" t="s">
        <v>19</v>
      </c>
      <c r="K47" s="20" t="s">
        <v>20</v>
      </c>
      <c r="L47" s="43">
        <v>44102</v>
      </c>
      <c r="M47" s="20" t="s">
        <v>88</v>
      </c>
      <c r="N47" s="7">
        <f>MONTH(List[[#This Row],[Tanggal Pengajuan]])</f>
        <v>9</v>
      </c>
      <c r="O47" s="20"/>
    </row>
    <row r="48" spans="2:15" ht="29.25" x14ac:dyDescent="0.2">
      <c r="B48" s="19">
        <v>44098</v>
      </c>
      <c r="C48" s="69" t="s">
        <v>74</v>
      </c>
      <c r="D48" s="18" t="s">
        <v>75</v>
      </c>
      <c r="E48" s="18" t="s">
        <v>179</v>
      </c>
      <c r="F48" s="18" t="s">
        <v>49</v>
      </c>
      <c r="G48" s="70">
        <v>9</v>
      </c>
      <c r="H48" s="40">
        <v>6791000</v>
      </c>
      <c r="I48" s="41">
        <v>6791000</v>
      </c>
      <c r="J48" s="16" t="s">
        <v>19</v>
      </c>
      <c r="K48" s="20" t="s">
        <v>20</v>
      </c>
      <c r="L48" s="43">
        <v>44105</v>
      </c>
      <c r="M48" s="20" t="s">
        <v>76</v>
      </c>
      <c r="N48" s="7">
        <f>MONTH(List[[#This Row],[Tanggal Pengajuan]])</f>
        <v>9</v>
      </c>
      <c r="O48" s="20" t="s">
        <v>77</v>
      </c>
    </row>
    <row r="49" spans="2:17" ht="29.25" x14ac:dyDescent="0.2">
      <c r="B49" s="19">
        <v>44098</v>
      </c>
      <c r="C49" s="69" t="s">
        <v>82</v>
      </c>
      <c r="D49" s="18" t="s">
        <v>83</v>
      </c>
      <c r="E49" s="18" t="s">
        <v>179</v>
      </c>
      <c r="F49" s="18" t="s">
        <v>49</v>
      </c>
      <c r="G49" s="70">
        <v>20</v>
      </c>
      <c r="H49" s="40">
        <v>15400000</v>
      </c>
      <c r="I49" s="41">
        <v>15400000</v>
      </c>
      <c r="J49" s="16" t="s">
        <v>19</v>
      </c>
      <c r="K49" s="20" t="s">
        <v>20</v>
      </c>
      <c r="L49" s="43">
        <v>44105</v>
      </c>
      <c r="M49" s="20" t="s">
        <v>84</v>
      </c>
      <c r="N49" s="7">
        <f>MONTH(List[[#This Row],[Tanggal Pengajuan]])</f>
        <v>9</v>
      </c>
      <c r="O49" s="20" t="s">
        <v>85</v>
      </c>
    </row>
    <row r="50" spans="2:17" x14ac:dyDescent="0.2">
      <c r="B50" s="19">
        <v>44098</v>
      </c>
      <c r="C50" s="69" t="s">
        <v>1594</v>
      </c>
      <c r="D50" s="17" t="s">
        <v>1057</v>
      </c>
      <c r="E50" s="14" t="s">
        <v>1054</v>
      </c>
      <c r="F50" s="18" t="s">
        <v>18</v>
      </c>
      <c r="G50" s="15"/>
      <c r="H50" s="40">
        <v>0</v>
      </c>
      <c r="I50" s="78">
        <f>List[[#This Row],[Pengajuan Donasi]]</f>
        <v>0</v>
      </c>
      <c r="J50" s="16"/>
      <c r="K50" s="20"/>
      <c r="L50" s="183">
        <v>44131</v>
      </c>
      <c r="M50" s="17" t="s">
        <v>1471</v>
      </c>
      <c r="N50" s="7">
        <f>MONTH(List[[#This Row],[Tanggal Pengajuan]])</f>
        <v>9</v>
      </c>
      <c r="O50" s="20" t="s">
        <v>1598</v>
      </c>
    </row>
    <row r="51" spans="2:17" ht="29.25" x14ac:dyDescent="0.2">
      <c r="B51" s="21">
        <v>44103</v>
      </c>
      <c r="C51" s="77" t="s">
        <v>92</v>
      </c>
      <c r="D51" s="75" t="s">
        <v>872</v>
      </c>
      <c r="E51" s="75" t="s">
        <v>17</v>
      </c>
      <c r="F51" s="73" t="s">
        <v>18</v>
      </c>
      <c r="G51" s="76">
        <v>70</v>
      </c>
      <c r="H51" s="78">
        <v>5500000</v>
      </c>
      <c r="I51" s="41">
        <v>5500000</v>
      </c>
      <c r="J51" s="16" t="s">
        <v>19</v>
      </c>
      <c r="K51" s="20" t="s">
        <v>20</v>
      </c>
      <c r="L51" s="43">
        <v>44105</v>
      </c>
      <c r="M51" s="20" t="s">
        <v>21</v>
      </c>
      <c r="N51" s="7">
        <f>MONTH(List[[#This Row],[Tanggal Pengajuan]])</f>
        <v>9</v>
      </c>
      <c r="O51" s="20" t="s">
        <v>93</v>
      </c>
    </row>
    <row r="52" spans="2:17" ht="29.25" x14ac:dyDescent="0.2">
      <c r="B52" s="21">
        <v>44103</v>
      </c>
      <c r="C52" s="77" t="s">
        <v>94</v>
      </c>
      <c r="D52" s="75" t="s">
        <v>870</v>
      </c>
      <c r="E52" s="75" t="s">
        <v>17</v>
      </c>
      <c r="F52" s="73" t="s">
        <v>18</v>
      </c>
      <c r="G52" s="76">
        <v>19</v>
      </c>
      <c r="H52" s="78">
        <v>5500000</v>
      </c>
      <c r="I52" s="41">
        <v>5500000</v>
      </c>
      <c r="J52" s="16" t="s">
        <v>19</v>
      </c>
      <c r="K52" s="20" t="s">
        <v>20</v>
      </c>
      <c r="L52" s="43">
        <v>44106</v>
      </c>
      <c r="M52" s="20" t="s">
        <v>21</v>
      </c>
      <c r="N52" s="7">
        <f>MONTH(List[[#This Row],[Tanggal Pengajuan]])</f>
        <v>9</v>
      </c>
      <c r="O52" s="20" t="s">
        <v>96</v>
      </c>
      <c r="Q52" s="4" t="s">
        <v>102</v>
      </c>
    </row>
    <row r="53" spans="2:17" ht="29.25" x14ac:dyDescent="0.2">
      <c r="B53" s="21">
        <v>44104</v>
      </c>
      <c r="C53" s="77" t="s">
        <v>97</v>
      </c>
      <c r="D53" s="75" t="s">
        <v>256</v>
      </c>
      <c r="E53" s="73" t="s">
        <v>17</v>
      </c>
      <c r="F53" s="73" t="s">
        <v>18</v>
      </c>
      <c r="G53" s="76">
        <v>16</v>
      </c>
      <c r="H53" s="78">
        <v>13704000</v>
      </c>
      <c r="I53" s="41">
        <v>13704000</v>
      </c>
      <c r="J53" s="16" t="s">
        <v>19</v>
      </c>
      <c r="K53" s="20" t="s">
        <v>20</v>
      </c>
      <c r="L53" s="43">
        <v>44106</v>
      </c>
      <c r="M53" s="20" t="s">
        <v>36</v>
      </c>
      <c r="N53" s="7">
        <f>MONTH(List[[#This Row],[Tanggal Pengajuan]])</f>
        <v>9</v>
      </c>
      <c r="O53" s="20" t="s">
        <v>98</v>
      </c>
      <c r="P53" s="4">
        <v>6</v>
      </c>
    </row>
    <row r="54" spans="2:17" x14ac:dyDescent="0.2">
      <c r="B54" s="21">
        <v>44105</v>
      </c>
      <c r="C54" s="77" t="s">
        <v>1496</v>
      </c>
      <c r="D54" s="14" t="s">
        <v>1493</v>
      </c>
      <c r="E54" s="14" t="s">
        <v>1055</v>
      </c>
      <c r="F54" s="18" t="s">
        <v>28</v>
      </c>
      <c r="G54" s="76"/>
      <c r="H54" s="78">
        <v>3000000</v>
      </c>
      <c r="I54" s="78">
        <f>List[[#This Row],[Pengajuan Donasi]]</f>
        <v>3000000</v>
      </c>
      <c r="J54" s="16"/>
      <c r="K54" s="20"/>
      <c r="L54" s="182">
        <v>44110</v>
      </c>
      <c r="M54" s="20" t="s">
        <v>1499</v>
      </c>
      <c r="N54" s="7">
        <f>MONTH(List[[#This Row],[Tanggal Pengajuan]])</f>
        <v>10</v>
      </c>
      <c r="O54" s="20"/>
    </row>
    <row r="55" spans="2:17" x14ac:dyDescent="0.2">
      <c r="B55" s="21">
        <v>44130</v>
      </c>
      <c r="C55" s="77" t="s">
        <v>1497</v>
      </c>
      <c r="D55" s="17" t="s">
        <v>1057</v>
      </c>
      <c r="E55" s="14" t="s">
        <v>1054</v>
      </c>
      <c r="F55" s="18" t="s">
        <v>18</v>
      </c>
      <c r="G55" s="15"/>
      <c r="H55" s="40">
        <v>0</v>
      </c>
      <c r="I55" s="78">
        <f>List[[#This Row],[Pengajuan Donasi]]</f>
        <v>0</v>
      </c>
      <c r="J55" s="16"/>
      <c r="K55" s="20"/>
      <c r="L55" s="183">
        <v>44131</v>
      </c>
      <c r="M55" s="17" t="s">
        <v>1471</v>
      </c>
      <c r="N55" s="7">
        <f>MONTH(List[[#This Row],[Tanggal Pengajuan]])</f>
        <v>10</v>
      </c>
      <c r="O55" s="20" t="s">
        <v>1599</v>
      </c>
    </row>
    <row r="56" spans="2:17" x14ac:dyDescent="0.2">
      <c r="B56" s="21">
        <v>44132</v>
      </c>
      <c r="C56" s="77" t="s">
        <v>1498</v>
      </c>
      <c r="D56" s="75" t="s">
        <v>1500</v>
      </c>
      <c r="E56" s="75" t="s">
        <v>26</v>
      </c>
      <c r="F56" s="73" t="s">
        <v>28</v>
      </c>
      <c r="G56" s="76"/>
      <c r="H56" s="78">
        <v>8000028</v>
      </c>
      <c r="I56" s="78">
        <f>List[[#This Row],[Pengajuan Donasi]]</f>
        <v>8000028</v>
      </c>
      <c r="J56" s="16"/>
      <c r="K56" s="20"/>
      <c r="L56" s="182">
        <v>44145</v>
      </c>
      <c r="M56" s="20" t="s">
        <v>1501</v>
      </c>
      <c r="N56" s="7">
        <f>MONTH(List[[#This Row],[Tanggal Pengajuan]])</f>
        <v>10</v>
      </c>
      <c r="O56" s="20"/>
    </row>
    <row r="57" spans="2:17" ht="29.25" x14ac:dyDescent="0.2">
      <c r="B57" s="21">
        <v>44132</v>
      </c>
      <c r="C57" s="77" t="s">
        <v>103</v>
      </c>
      <c r="D57" s="75" t="s">
        <v>872</v>
      </c>
      <c r="E57" s="75" t="s">
        <v>17</v>
      </c>
      <c r="F57" s="73" t="s">
        <v>18</v>
      </c>
      <c r="G57" s="76">
        <v>70</v>
      </c>
      <c r="H57" s="78">
        <v>5500000</v>
      </c>
      <c r="I57" s="41">
        <v>5500000</v>
      </c>
      <c r="J57" s="16" t="s">
        <v>19</v>
      </c>
      <c r="K57" s="20" t="s">
        <v>20</v>
      </c>
      <c r="L57" s="43">
        <v>44140</v>
      </c>
      <c r="M57" s="20" t="s">
        <v>21</v>
      </c>
      <c r="N57" s="7">
        <f>MONTH(List[[#This Row],[Tanggal Pengajuan]])</f>
        <v>10</v>
      </c>
      <c r="O57" s="20" t="s">
        <v>104</v>
      </c>
    </row>
    <row r="58" spans="2:17" ht="29.25" x14ac:dyDescent="0.2">
      <c r="B58" s="21">
        <v>44132</v>
      </c>
      <c r="C58" s="77" t="s">
        <v>99</v>
      </c>
      <c r="D58" s="75" t="s">
        <v>870</v>
      </c>
      <c r="E58" s="75" t="s">
        <v>17</v>
      </c>
      <c r="F58" s="73" t="s">
        <v>18</v>
      </c>
      <c r="G58" s="76">
        <v>19</v>
      </c>
      <c r="H58" s="78">
        <v>5500000</v>
      </c>
      <c r="I58" s="41">
        <v>5500000</v>
      </c>
      <c r="J58" s="16" t="s">
        <v>19</v>
      </c>
      <c r="K58" s="20" t="s">
        <v>20</v>
      </c>
      <c r="L58" s="43">
        <v>44140</v>
      </c>
      <c r="M58" s="20" t="s">
        <v>21</v>
      </c>
      <c r="N58" s="7">
        <f>MONTH(List[[#This Row],[Tanggal Pengajuan]])</f>
        <v>10</v>
      </c>
      <c r="O58" s="20" t="s">
        <v>100</v>
      </c>
      <c r="P58" s="4">
        <v>1</v>
      </c>
    </row>
    <row r="59" spans="2:17" ht="29.25" x14ac:dyDescent="0.2">
      <c r="B59" s="21">
        <v>44132</v>
      </c>
      <c r="C59" s="77" t="s">
        <v>1437</v>
      </c>
      <c r="D59" s="75" t="s">
        <v>871</v>
      </c>
      <c r="E59" s="75" t="s">
        <v>17</v>
      </c>
      <c r="F59" s="73" t="s">
        <v>18</v>
      </c>
      <c r="G59" s="76">
        <v>71</v>
      </c>
      <c r="H59" s="78">
        <v>5500000</v>
      </c>
      <c r="I59" s="41">
        <v>5500000</v>
      </c>
      <c r="J59" s="16" t="s">
        <v>19</v>
      </c>
      <c r="K59" s="20" t="s">
        <v>20</v>
      </c>
      <c r="L59" s="43">
        <v>44140</v>
      </c>
      <c r="M59" s="20" t="s">
        <v>21</v>
      </c>
      <c r="N59" s="7">
        <f>MONTH(List[[#This Row],[Tanggal Pengajuan]])</f>
        <v>10</v>
      </c>
      <c r="O59" s="20" t="s">
        <v>101</v>
      </c>
    </row>
    <row r="60" spans="2:17" ht="29.25" x14ac:dyDescent="0.2">
      <c r="B60" s="21">
        <v>44139</v>
      </c>
      <c r="C60" s="77" t="s">
        <v>105</v>
      </c>
      <c r="D60" s="22" t="s">
        <v>106</v>
      </c>
      <c r="E60" s="18" t="s">
        <v>107</v>
      </c>
      <c r="F60" s="18" t="s">
        <v>49</v>
      </c>
      <c r="G60" s="23">
        <v>6</v>
      </c>
      <c r="H60" s="78">
        <v>96880000</v>
      </c>
      <c r="I60" s="41">
        <v>96880000</v>
      </c>
      <c r="J60" s="16" t="s">
        <v>19</v>
      </c>
      <c r="K60" s="20" t="s">
        <v>20</v>
      </c>
      <c r="L60" s="43">
        <v>44145</v>
      </c>
      <c r="M60" s="20" t="s">
        <v>108</v>
      </c>
      <c r="N60" s="7">
        <f>MONTH(List[[#This Row],[Tanggal Pengajuan]])</f>
        <v>11</v>
      </c>
      <c r="O60" s="20" t="s">
        <v>109</v>
      </c>
    </row>
    <row r="61" spans="2:17" ht="29.25" x14ac:dyDescent="0.2">
      <c r="B61" s="21">
        <v>44141</v>
      </c>
      <c r="C61" s="77" t="s">
        <v>128</v>
      </c>
      <c r="D61" s="22" t="s">
        <v>129</v>
      </c>
      <c r="E61" s="18" t="s">
        <v>179</v>
      </c>
      <c r="F61" s="22" t="s">
        <v>49</v>
      </c>
      <c r="G61" s="79">
        <v>32</v>
      </c>
      <c r="H61" s="78">
        <v>16160000</v>
      </c>
      <c r="I61" s="78">
        <v>16160000</v>
      </c>
      <c r="J61" s="80" t="s">
        <v>19</v>
      </c>
      <c r="K61" s="24" t="s">
        <v>20</v>
      </c>
      <c r="L61" s="43">
        <v>44160</v>
      </c>
      <c r="M61" s="20" t="s">
        <v>130</v>
      </c>
      <c r="N61" s="7">
        <f>MONTH(List[[#This Row],[Tanggal Pengajuan]])</f>
        <v>11</v>
      </c>
      <c r="O61" s="24"/>
    </row>
    <row r="62" spans="2:17" x14ac:dyDescent="0.2">
      <c r="B62" s="21">
        <v>44132</v>
      </c>
      <c r="C62" s="77" t="s">
        <v>131</v>
      </c>
      <c r="D62" s="22" t="s">
        <v>132</v>
      </c>
      <c r="E62" s="18" t="s">
        <v>26</v>
      </c>
      <c r="F62" s="22" t="s">
        <v>28</v>
      </c>
      <c r="G62" s="79">
        <v>1</v>
      </c>
      <c r="H62" s="78">
        <v>5000000</v>
      </c>
      <c r="I62" s="78">
        <v>5000000</v>
      </c>
      <c r="J62" s="80" t="s">
        <v>19</v>
      </c>
      <c r="K62" s="24" t="s">
        <v>20</v>
      </c>
      <c r="L62" s="43">
        <v>44162</v>
      </c>
      <c r="M62" s="20" t="s">
        <v>132</v>
      </c>
      <c r="N62" s="7">
        <f>MONTH(List[[#This Row],[Tanggal Pengajuan]])</f>
        <v>10</v>
      </c>
      <c r="O62" s="24" t="s">
        <v>133</v>
      </c>
    </row>
    <row r="63" spans="2:17" ht="29.25" x14ac:dyDescent="0.2">
      <c r="B63" s="21">
        <v>44881</v>
      </c>
      <c r="C63" s="77" t="s">
        <v>1588</v>
      </c>
      <c r="D63" s="17" t="s">
        <v>1059</v>
      </c>
      <c r="E63" s="14" t="s">
        <v>1055</v>
      </c>
      <c r="F63" s="18" t="s">
        <v>18</v>
      </c>
      <c r="G63" s="15"/>
      <c r="H63" s="40">
        <v>14453000</v>
      </c>
      <c r="I63" s="78">
        <f>List[[#This Row],[Pengajuan Donasi]]</f>
        <v>14453000</v>
      </c>
      <c r="J63" s="16"/>
      <c r="K63" s="20"/>
      <c r="L63" s="183">
        <v>44012</v>
      </c>
      <c r="M63" s="20" t="s">
        <v>146</v>
      </c>
      <c r="N63" s="7">
        <f>MONTH(List[[#This Row],[Tanggal Pengajuan]])</f>
        <v>11</v>
      </c>
      <c r="O63" s="24"/>
    </row>
    <row r="64" spans="2:17" ht="29.25" x14ac:dyDescent="0.2">
      <c r="B64" s="21">
        <v>44155</v>
      </c>
      <c r="C64" s="77" t="s">
        <v>134</v>
      </c>
      <c r="D64" s="75" t="s">
        <v>25</v>
      </c>
      <c r="E64" s="75" t="s">
        <v>179</v>
      </c>
      <c r="F64" s="75" t="s">
        <v>18</v>
      </c>
      <c r="G64" s="76">
        <v>12</v>
      </c>
      <c r="H64" s="78">
        <v>34200000</v>
      </c>
      <c r="I64" s="78">
        <v>34200000</v>
      </c>
      <c r="J64" s="80" t="s">
        <v>19</v>
      </c>
      <c r="K64" s="24" t="s">
        <v>20</v>
      </c>
      <c r="L64" s="43">
        <v>44168</v>
      </c>
      <c r="M64" s="20" t="s">
        <v>39</v>
      </c>
      <c r="N64" s="7">
        <f>MONTH(List[[#This Row],[Tanggal Pengajuan]])</f>
        <v>11</v>
      </c>
      <c r="O64" s="20"/>
    </row>
    <row r="65" spans="2:16" ht="29.25" x14ac:dyDescent="0.2">
      <c r="B65" s="21">
        <v>44160</v>
      </c>
      <c r="C65" s="67" t="s">
        <v>110</v>
      </c>
      <c r="D65" s="22" t="s">
        <v>90</v>
      </c>
      <c r="E65" s="14" t="s">
        <v>179</v>
      </c>
      <c r="F65" s="14" t="s">
        <v>18</v>
      </c>
      <c r="G65" s="23">
        <v>25</v>
      </c>
      <c r="H65" s="41">
        <v>38300000</v>
      </c>
      <c r="I65" s="41">
        <v>38300000</v>
      </c>
      <c r="J65" s="16" t="s">
        <v>19</v>
      </c>
      <c r="K65" s="20" t="s">
        <v>20</v>
      </c>
      <c r="L65" s="43">
        <v>44162</v>
      </c>
      <c r="M65" s="20" t="s">
        <v>111</v>
      </c>
      <c r="N65" s="7">
        <f>MONTH(List[[#This Row],[Tanggal Pengajuan]])</f>
        <v>11</v>
      </c>
      <c r="O65" s="20" t="s">
        <v>112</v>
      </c>
    </row>
    <row r="66" spans="2:16" ht="29.25" x14ac:dyDescent="0.2">
      <c r="B66" s="21">
        <v>44160</v>
      </c>
      <c r="C66" s="67" t="s">
        <v>113</v>
      </c>
      <c r="D66" s="22" t="s">
        <v>114</v>
      </c>
      <c r="E66" s="14" t="s">
        <v>179</v>
      </c>
      <c r="F66" s="14" t="s">
        <v>18</v>
      </c>
      <c r="G66" s="23">
        <v>115</v>
      </c>
      <c r="H66" s="41">
        <v>94250000</v>
      </c>
      <c r="I66" s="41">
        <v>94250000</v>
      </c>
      <c r="J66" s="16" t="s">
        <v>19</v>
      </c>
      <c r="K66" s="20" t="s">
        <v>20</v>
      </c>
      <c r="L66" s="43">
        <v>44162</v>
      </c>
      <c r="M66" s="20" t="s">
        <v>115</v>
      </c>
      <c r="N66" s="7">
        <f>MONTH(List[[#This Row],[Tanggal Pengajuan]])</f>
        <v>11</v>
      </c>
      <c r="O66" s="20" t="s">
        <v>116</v>
      </c>
    </row>
    <row r="67" spans="2:16" ht="29.25" x14ac:dyDescent="0.2">
      <c r="B67" s="21">
        <v>44160</v>
      </c>
      <c r="C67" s="77" t="s">
        <v>117</v>
      </c>
      <c r="D67" s="75" t="s">
        <v>872</v>
      </c>
      <c r="E67" s="75" t="s">
        <v>17</v>
      </c>
      <c r="F67" s="75" t="s">
        <v>18</v>
      </c>
      <c r="G67" s="76">
        <v>70</v>
      </c>
      <c r="H67" s="78">
        <v>5500000</v>
      </c>
      <c r="I67" s="78">
        <v>5500000</v>
      </c>
      <c r="J67" s="72" t="s">
        <v>19</v>
      </c>
      <c r="K67" s="20" t="s">
        <v>20</v>
      </c>
      <c r="L67" s="43">
        <v>44162</v>
      </c>
      <c r="M67" s="20" t="s">
        <v>21</v>
      </c>
      <c r="N67" s="7">
        <f>MONTH(List[[#This Row],[Tanggal Pengajuan]])</f>
        <v>11</v>
      </c>
      <c r="O67" s="22" t="s">
        <v>118</v>
      </c>
    </row>
    <row r="68" spans="2:16" ht="29.25" x14ac:dyDescent="0.2">
      <c r="B68" s="21">
        <v>44160</v>
      </c>
      <c r="C68" s="77" t="s">
        <v>119</v>
      </c>
      <c r="D68" s="75" t="s">
        <v>870</v>
      </c>
      <c r="E68" s="75" t="s">
        <v>17</v>
      </c>
      <c r="F68" s="75" t="s">
        <v>18</v>
      </c>
      <c r="G68" s="76">
        <v>19</v>
      </c>
      <c r="H68" s="78">
        <v>5500000</v>
      </c>
      <c r="I68" s="78">
        <v>5500000</v>
      </c>
      <c r="J68" s="72" t="s">
        <v>19</v>
      </c>
      <c r="K68" s="20" t="s">
        <v>20</v>
      </c>
      <c r="L68" s="43">
        <v>44162</v>
      </c>
      <c r="M68" s="20" t="s">
        <v>21</v>
      </c>
      <c r="N68" s="7">
        <f>MONTH(List[[#This Row],[Tanggal Pengajuan]])</f>
        <v>11</v>
      </c>
      <c r="O68" s="20" t="s">
        <v>120</v>
      </c>
    </row>
    <row r="69" spans="2:16" ht="29.25" x14ac:dyDescent="0.2">
      <c r="B69" s="21">
        <v>44160</v>
      </c>
      <c r="C69" s="77" t="s">
        <v>121</v>
      </c>
      <c r="D69" s="75" t="s">
        <v>871</v>
      </c>
      <c r="E69" s="75" t="s">
        <v>17</v>
      </c>
      <c r="F69" s="75" t="s">
        <v>18</v>
      </c>
      <c r="G69" s="76">
        <v>77</v>
      </c>
      <c r="H69" s="78">
        <v>5500000</v>
      </c>
      <c r="I69" s="78">
        <v>5500000</v>
      </c>
      <c r="J69" s="72" t="s">
        <v>19</v>
      </c>
      <c r="K69" s="20" t="s">
        <v>20</v>
      </c>
      <c r="L69" s="43">
        <v>44162</v>
      </c>
      <c r="M69" s="20" t="s">
        <v>21</v>
      </c>
      <c r="N69" s="7">
        <f>MONTH(List[[#This Row],[Tanggal Pengajuan]])</f>
        <v>11</v>
      </c>
      <c r="O69" s="20" t="s">
        <v>122</v>
      </c>
      <c r="P69" s="4">
        <v>1</v>
      </c>
    </row>
    <row r="70" spans="2:16" ht="29.25" x14ac:dyDescent="0.2">
      <c r="B70" s="21">
        <v>44160</v>
      </c>
      <c r="C70" s="77" t="s">
        <v>123</v>
      </c>
      <c r="D70" s="22" t="s">
        <v>124</v>
      </c>
      <c r="E70" s="22" t="s">
        <v>17</v>
      </c>
      <c r="F70" s="22" t="s">
        <v>18</v>
      </c>
      <c r="G70" s="79">
        <v>119</v>
      </c>
      <c r="H70" s="78">
        <v>5500000</v>
      </c>
      <c r="I70" s="78">
        <v>5500000</v>
      </c>
      <c r="J70" s="72" t="s">
        <v>19</v>
      </c>
      <c r="K70" s="20" t="s">
        <v>20</v>
      </c>
      <c r="L70" s="43">
        <v>44162</v>
      </c>
      <c r="M70" s="20" t="s">
        <v>21</v>
      </c>
      <c r="N70" s="7">
        <f>MONTH(List[[#This Row],[Tanggal Pengajuan]])</f>
        <v>11</v>
      </c>
      <c r="O70" s="20" t="s">
        <v>125</v>
      </c>
    </row>
    <row r="71" spans="2:16" ht="29.25" x14ac:dyDescent="0.2">
      <c r="B71" s="21">
        <v>44160</v>
      </c>
      <c r="C71" s="77" t="s">
        <v>126</v>
      </c>
      <c r="D71" s="75" t="s">
        <v>228</v>
      </c>
      <c r="E71" s="75" t="s">
        <v>17</v>
      </c>
      <c r="F71" s="75" t="s">
        <v>18</v>
      </c>
      <c r="G71" s="76">
        <v>64</v>
      </c>
      <c r="H71" s="78">
        <v>5500000</v>
      </c>
      <c r="I71" s="78">
        <v>5500000</v>
      </c>
      <c r="J71" s="72" t="s">
        <v>19</v>
      </c>
      <c r="K71" s="20" t="s">
        <v>20</v>
      </c>
      <c r="L71" s="43">
        <v>44162</v>
      </c>
      <c r="M71" s="20" t="s">
        <v>21</v>
      </c>
      <c r="N71" s="7">
        <f>MONTH(List[[#This Row],[Tanggal Pengajuan]])</f>
        <v>11</v>
      </c>
      <c r="O71" s="20" t="s">
        <v>127</v>
      </c>
    </row>
    <row r="72" spans="2:16" ht="29.25" x14ac:dyDescent="0.2">
      <c r="B72" s="21">
        <v>44161</v>
      </c>
      <c r="C72" s="77" t="s">
        <v>210</v>
      </c>
      <c r="D72" s="75" t="s">
        <v>869</v>
      </c>
      <c r="E72" s="73" t="s">
        <v>17</v>
      </c>
      <c r="F72" s="75" t="s">
        <v>18</v>
      </c>
      <c r="G72" s="76">
        <v>98</v>
      </c>
      <c r="H72" s="78">
        <v>5500000</v>
      </c>
      <c r="I72" s="78">
        <v>5500000</v>
      </c>
      <c r="J72" s="80" t="s">
        <v>19</v>
      </c>
      <c r="K72" s="24" t="s">
        <v>20</v>
      </c>
      <c r="L72" s="43">
        <v>44168</v>
      </c>
      <c r="M72" s="24" t="s">
        <v>143</v>
      </c>
      <c r="N72" s="7">
        <f>MONTH(List[[#This Row],[Tanggal Pengajuan]])</f>
        <v>11</v>
      </c>
      <c r="O72" s="24" t="s">
        <v>144</v>
      </c>
    </row>
    <row r="73" spans="2:16" ht="85.5" x14ac:dyDescent="0.2">
      <c r="B73" s="21">
        <v>44161</v>
      </c>
      <c r="C73" s="77" t="s">
        <v>138</v>
      </c>
      <c r="D73" s="22" t="s">
        <v>228</v>
      </c>
      <c r="E73" s="18" t="s">
        <v>17</v>
      </c>
      <c r="F73" s="22" t="s">
        <v>28</v>
      </c>
      <c r="G73" s="79">
        <v>2</v>
      </c>
      <c r="H73" s="78">
        <v>23071500</v>
      </c>
      <c r="I73" s="78">
        <f>List[[#This Row],[Pengajuan Donasi]]</f>
        <v>23071500</v>
      </c>
      <c r="J73" s="72" t="s">
        <v>19</v>
      </c>
      <c r="K73" s="24" t="s">
        <v>20</v>
      </c>
      <c r="L73" s="43">
        <v>44180</v>
      </c>
      <c r="M73" s="24" t="s">
        <v>140</v>
      </c>
      <c r="N73" s="7">
        <f>MONTH(List[[#This Row],[Tanggal Pengajuan]])</f>
        <v>11</v>
      </c>
      <c r="O73" s="24" t="s">
        <v>141</v>
      </c>
    </row>
    <row r="74" spans="2:16" x14ac:dyDescent="0.2">
      <c r="B74" s="21">
        <v>44161</v>
      </c>
      <c r="C74" s="77" t="s">
        <v>1589</v>
      </c>
      <c r="D74" s="17" t="s">
        <v>1057</v>
      </c>
      <c r="E74" s="14" t="s">
        <v>1054</v>
      </c>
      <c r="F74" s="18" t="s">
        <v>18</v>
      </c>
      <c r="G74" s="15"/>
      <c r="H74" s="40">
        <v>0</v>
      </c>
      <c r="I74" s="78">
        <f>List[[#This Row],[Pengajuan Donasi]]</f>
        <v>0</v>
      </c>
      <c r="J74" s="16"/>
      <c r="K74" s="20"/>
      <c r="L74" s="183">
        <v>44162</v>
      </c>
      <c r="M74" s="17" t="s">
        <v>1471</v>
      </c>
      <c r="N74" s="7">
        <f>MONTH(List[[#This Row],[Tanggal Pengajuan]])</f>
        <v>11</v>
      </c>
      <c r="O74" s="24" t="s">
        <v>1592</v>
      </c>
    </row>
    <row r="75" spans="2:16" ht="71.25" x14ac:dyDescent="0.2">
      <c r="B75" s="21">
        <v>44166</v>
      </c>
      <c r="C75" s="77" t="s">
        <v>135</v>
      </c>
      <c r="D75" s="75" t="s">
        <v>256</v>
      </c>
      <c r="E75" s="73" t="s">
        <v>17</v>
      </c>
      <c r="F75" s="75" t="s">
        <v>18</v>
      </c>
      <c r="G75" s="76">
        <v>38</v>
      </c>
      <c r="H75" s="78">
        <v>19500000</v>
      </c>
      <c r="I75" s="78">
        <v>19500000</v>
      </c>
      <c r="J75" s="72" t="s">
        <v>19</v>
      </c>
      <c r="K75" s="24" t="s">
        <v>20</v>
      </c>
      <c r="L75" s="43">
        <v>44180</v>
      </c>
      <c r="M75" s="20" t="s">
        <v>136</v>
      </c>
      <c r="N75" s="7">
        <f>MONTH(List[[#This Row],[Tanggal Pengajuan]])</f>
        <v>12</v>
      </c>
      <c r="O75" s="20" t="s">
        <v>137</v>
      </c>
    </row>
    <row r="76" spans="2:16" ht="29.25" x14ac:dyDescent="0.2">
      <c r="B76" s="21">
        <v>44182</v>
      </c>
      <c r="C76" s="77" t="s">
        <v>145</v>
      </c>
      <c r="D76" s="22" t="s">
        <v>25</v>
      </c>
      <c r="E76" s="18" t="s">
        <v>26</v>
      </c>
      <c r="F76" s="22" t="s">
        <v>28</v>
      </c>
      <c r="G76" s="79">
        <v>1</v>
      </c>
      <c r="H76" s="78">
        <v>35000000</v>
      </c>
      <c r="I76" s="78">
        <f>List[[#This Row],[Pengajuan Donasi]]</f>
        <v>35000000</v>
      </c>
      <c r="J76" s="80" t="s">
        <v>19</v>
      </c>
      <c r="K76" s="24" t="s">
        <v>20</v>
      </c>
      <c r="L76" s="43">
        <v>44188</v>
      </c>
      <c r="M76" s="24" t="s">
        <v>146</v>
      </c>
      <c r="N76" s="7">
        <f>MONTH(List[[#This Row],[Tanggal Pengajuan]])</f>
        <v>12</v>
      </c>
      <c r="O76" s="24" t="s">
        <v>147</v>
      </c>
    </row>
    <row r="77" spans="2:16" ht="29.25" x14ac:dyDescent="0.2">
      <c r="B77" s="21">
        <v>44183</v>
      </c>
      <c r="C77" s="77" t="s">
        <v>151</v>
      </c>
      <c r="D77" s="22" t="s">
        <v>229</v>
      </c>
      <c r="E77" s="22" t="s">
        <v>17</v>
      </c>
      <c r="F77" s="22" t="s">
        <v>28</v>
      </c>
      <c r="G77" s="79">
        <v>40</v>
      </c>
      <c r="H77" s="78">
        <v>5500000</v>
      </c>
      <c r="I77" s="78">
        <v>5500000</v>
      </c>
      <c r="J77" s="80" t="s">
        <v>19</v>
      </c>
      <c r="K77" s="24" t="s">
        <v>20</v>
      </c>
      <c r="L77" s="43">
        <v>44188</v>
      </c>
      <c r="M77" s="24" t="s">
        <v>21</v>
      </c>
      <c r="N77" s="7">
        <f>MONTH(List[[#This Row],[Tanggal Pengajuan]])</f>
        <v>12</v>
      </c>
      <c r="O77" s="24" t="s">
        <v>152</v>
      </c>
    </row>
    <row r="78" spans="2:16" x14ac:dyDescent="0.2">
      <c r="B78" s="21">
        <v>44183</v>
      </c>
      <c r="C78" s="77" t="s">
        <v>1590</v>
      </c>
      <c r="D78" s="17" t="s">
        <v>1591</v>
      </c>
      <c r="E78" s="14" t="s">
        <v>1054</v>
      </c>
      <c r="F78" s="18" t="s">
        <v>18</v>
      </c>
      <c r="G78" s="15"/>
      <c r="H78" s="40">
        <v>0</v>
      </c>
      <c r="I78" s="78">
        <f>List[[#This Row],[Pengajuan Donasi]]</f>
        <v>0</v>
      </c>
      <c r="J78" s="16"/>
      <c r="K78" s="20"/>
      <c r="L78" s="183">
        <v>44183</v>
      </c>
      <c r="M78" s="17" t="s">
        <v>1471</v>
      </c>
      <c r="N78" s="7">
        <f>MONTH(List[[#This Row],[Tanggal Pengajuan]])</f>
        <v>12</v>
      </c>
      <c r="O78" s="24" t="s">
        <v>1593</v>
      </c>
    </row>
    <row r="79" spans="2:16" ht="29.25" x14ac:dyDescent="0.2">
      <c r="B79" s="21">
        <v>44186</v>
      </c>
      <c r="C79" s="77" t="s">
        <v>148</v>
      </c>
      <c r="D79" s="22" t="s">
        <v>872</v>
      </c>
      <c r="E79" s="18" t="s">
        <v>17</v>
      </c>
      <c r="F79" s="22" t="s">
        <v>28</v>
      </c>
      <c r="G79" s="79">
        <v>65</v>
      </c>
      <c r="H79" s="78">
        <v>58410000</v>
      </c>
      <c r="I79" s="78">
        <f>List[[#This Row],[Pengajuan Donasi]]</f>
        <v>58410000</v>
      </c>
      <c r="J79" s="80" t="s">
        <v>19</v>
      </c>
      <c r="K79" s="24" t="s">
        <v>20</v>
      </c>
      <c r="L79" s="43">
        <v>44188</v>
      </c>
      <c r="M79" s="24" t="s">
        <v>149</v>
      </c>
      <c r="N79" s="7">
        <f>MONTH(List[[#This Row],[Tanggal Pengajuan]])</f>
        <v>12</v>
      </c>
      <c r="O79" s="24" t="s">
        <v>150</v>
      </c>
    </row>
    <row r="80" spans="2:16" ht="29.25" x14ac:dyDescent="0.2">
      <c r="B80" s="21">
        <v>44188</v>
      </c>
      <c r="C80" s="77" t="s">
        <v>153</v>
      </c>
      <c r="D80" s="22" t="s">
        <v>868</v>
      </c>
      <c r="E80" s="22" t="s">
        <v>17</v>
      </c>
      <c r="F80" s="22" t="s">
        <v>28</v>
      </c>
      <c r="G80" s="79">
        <v>28</v>
      </c>
      <c r="H80" s="78">
        <v>5500000</v>
      </c>
      <c r="I80" s="78">
        <f>List[[#This Row],[Pengajuan Donasi]]</f>
        <v>5500000</v>
      </c>
      <c r="J80" s="80" t="s">
        <v>19</v>
      </c>
      <c r="K80" s="24" t="s">
        <v>20</v>
      </c>
      <c r="L80" s="43">
        <v>44195</v>
      </c>
      <c r="M80" s="24" t="s">
        <v>21</v>
      </c>
      <c r="N80" s="7">
        <f>MONTH(List[[#This Row],[Tanggal Pengajuan]])</f>
        <v>12</v>
      </c>
      <c r="O80" s="24" t="s">
        <v>155</v>
      </c>
    </row>
    <row r="81" spans="2:16" x14ac:dyDescent="0.2">
      <c r="B81" s="21"/>
      <c r="C81" s="77"/>
      <c r="D81" s="22"/>
      <c r="E81" s="18"/>
      <c r="F81" s="22"/>
      <c r="G81" s="79"/>
      <c r="H81" s="78"/>
      <c r="I81" s="78"/>
      <c r="J81" s="80"/>
      <c r="K81" s="24"/>
      <c r="L81" s="43"/>
      <c r="M81" s="24"/>
      <c r="N81" s="7">
        <f>MONTH(List[[#This Row],[Tanggal Pengajuan]])</f>
        <v>1</v>
      </c>
      <c r="O81" s="24"/>
    </row>
    <row r="82" spans="2:16" x14ac:dyDescent="0.2">
      <c r="B82" s="21"/>
      <c r="C82" s="77"/>
      <c r="D82" s="22"/>
      <c r="E82" s="18"/>
      <c r="F82" s="22"/>
      <c r="G82" s="79"/>
      <c r="H82" s="78"/>
      <c r="I82" s="78"/>
      <c r="J82" s="80"/>
      <c r="K82" s="24"/>
      <c r="L82" s="43"/>
      <c r="M82" s="24"/>
      <c r="N82" s="7">
        <f>MONTH(List[[#This Row],[Tanggal Pengajuan]])</f>
        <v>1</v>
      </c>
      <c r="O82" s="24"/>
    </row>
    <row r="83" spans="2:16" s="8" customFormat="1" x14ac:dyDescent="0.2">
      <c r="B83" s="21"/>
      <c r="C83" s="77"/>
      <c r="D83" s="22"/>
      <c r="E83" s="18"/>
      <c r="F83" s="22"/>
      <c r="G83" s="79"/>
      <c r="H83" s="78"/>
      <c r="I83" s="78"/>
      <c r="J83" s="80"/>
      <c r="K83" s="24"/>
      <c r="L83" s="43"/>
      <c r="M83" s="24"/>
      <c r="N83" s="7">
        <f>MONTH(List[[#This Row],[Tanggal Pengajuan]])</f>
        <v>1</v>
      </c>
      <c r="O83" s="24"/>
      <c r="P83" s="8">
        <f>SUM(P24:P82)</f>
        <v>8</v>
      </c>
    </row>
    <row r="84" spans="2:16" x14ac:dyDescent="0.2">
      <c r="B84" s="21"/>
      <c r="C84" s="77"/>
      <c r="D84" s="22"/>
      <c r="E84" s="18"/>
      <c r="F84" s="22"/>
      <c r="G84" s="79"/>
      <c r="H84" s="78"/>
      <c r="I84" s="78"/>
      <c r="J84" s="80"/>
      <c r="K84" s="24"/>
      <c r="L84" s="43"/>
      <c r="M84" s="24"/>
      <c r="N84" s="7">
        <f>MONTH(List[[#This Row],[Tanggal Pengajuan]])</f>
        <v>1</v>
      </c>
      <c r="O84" s="24"/>
    </row>
    <row r="85" spans="2:16" x14ac:dyDescent="0.2">
      <c r="B85" s="21"/>
      <c r="C85" s="77"/>
      <c r="D85" s="22"/>
      <c r="E85" s="18"/>
      <c r="F85" s="22"/>
      <c r="G85" s="79"/>
      <c r="H85" s="78"/>
      <c r="I85" s="78"/>
      <c r="J85" s="80"/>
      <c r="K85" s="24"/>
      <c r="L85" s="43"/>
      <c r="M85" s="24"/>
      <c r="N85" s="7">
        <f>MONTH(List[[#This Row],[Tanggal Pengajuan]])</f>
        <v>1</v>
      </c>
      <c r="O85" s="24"/>
    </row>
    <row r="86" spans="2:16" x14ac:dyDescent="0.2">
      <c r="B86" s="21"/>
      <c r="C86" s="77"/>
      <c r="D86" s="22"/>
      <c r="E86" s="18"/>
      <c r="F86" s="22"/>
      <c r="G86" s="79"/>
      <c r="H86" s="78"/>
      <c r="I86" s="78"/>
      <c r="J86" s="80"/>
      <c r="K86" s="24"/>
      <c r="L86" s="43"/>
      <c r="M86" s="24"/>
      <c r="N86" s="7"/>
      <c r="O86" s="24"/>
    </row>
    <row r="87" spans="2:16" x14ac:dyDescent="0.2">
      <c r="B87" s="954"/>
      <c r="C87" s="955"/>
      <c r="D87" s="956"/>
      <c r="E87" s="956"/>
      <c r="F87" s="956" t="s">
        <v>156</v>
      </c>
      <c r="G87" s="957">
        <f>SUBTOTAL(109,List[[Jumlah Anak ]])</f>
        <v>1811</v>
      </c>
      <c r="H87" s="958">
        <f>SUBTOTAL(109,List[Pengajuan Donasi])</f>
        <v>971506012</v>
      </c>
      <c r="I87" s="958">
        <f>SUBTOTAL(109,List[Jumlah Transfer])</f>
        <v>971506012</v>
      </c>
      <c r="J87" s="957"/>
      <c r="K87" s="956"/>
      <c r="L87" s="954"/>
      <c r="M87" s="956"/>
      <c r="N87" s="959"/>
      <c r="O87" s="956"/>
    </row>
    <row r="88" spans="2:16" x14ac:dyDescent="0.2">
      <c r="G88" s="81"/>
      <c r="I88" s="528">
        <f>+List[[#Totals],[Jumlah Transfer]]-List[[#Totals],[Pengajuan Donasi]]</f>
        <v>0</v>
      </c>
    </row>
    <row r="89" spans="2:16" x14ac:dyDescent="0.2">
      <c r="H89" s="81"/>
    </row>
    <row r="90" spans="2:16" x14ac:dyDescent="0.2">
      <c r="G90" s="82"/>
    </row>
    <row r="95" spans="2:16" x14ac:dyDescent="0.2">
      <c r="D95" s="25">
        <v>0</v>
      </c>
    </row>
  </sheetData>
  <phoneticPr fontId="1" type="noConversion"/>
  <dataValidations count="9">
    <dataValidation allowBlank="1" showInputMessage="1" showErrorMessage="1" prompt="Enter Year in this cell. Poinsettia is also in this cell. Title of this worksheet is in cell at right" sqref="B1" xr:uid="{00000000-0002-0000-0300-000000000000}"/>
    <dataValidation allowBlank="1" showInputMessage="1" showErrorMessage="1" prompt="Title of this worksheet is in this cell. Enter details in table below" sqref="C1" xr:uid="{00000000-0002-0000-0300-000001000000}"/>
    <dataValidation allowBlank="1" showInputMessage="1" showErrorMessage="1" prompt="Create a Christmas Card List in this worksheet. Enter Year in cell at right and details in List table" sqref="A1" xr:uid="{00000000-0002-0000-0300-000002000000}"/>
    <dataValidation errorStyle="warning" allowBlank="1" showInputMessage="1" showErrorMessage="1" error="If the card was received, select Yes from the list. Select CANCEL, press ALT+DOWN ARROW for options, then DOWN ARROW and ENTER to make selection" sqref="N88:O1048576 M32:N32 D55 O58:O59 K29:K30 D31 N1:N31 D3:D28 M64:M71 M9 K9:K13 K16:K17 K6 K19 O50:O56 K22:K25 K27 O27:O31 M56:M59 M29:M30 M33:M35 N50:N59 O1:O25 M60:O60 D78 N61:N85 D63 D74 N33:O49 M37:M49 M51:M54 D50" xr:uid="{00000000-0002-0000-0300-000003000000}"/>
    <dataValidation allowBlank="1" showInputMessage="1" showErrorMessage="1" prompt="Enter Last Name in this column under this heading. Use heading filters to find specific entries" sqref="B27:B31 B2:B25" xr:uid="{00000000-0002-0000-0300-000004000000}"/>
    <dataValidation allowBlank="1" showInputMessage="1" showErrorMessage="1" prompt="Enter First Name in this column under this heading" sqref="D2" xr:uid="{00000000-0002-0000-0300-000005000000}"/>
    <dataValidation allowBlank="1" showInputMessage="1" showErrorMessage="1" prompt="Enter City, State, and Zip Code in this column under this heading" sqref="C2:C25 C27:C31" xr:uid="{00000000-0002-0000-0300-000006000000}"/>
    <dataValidation allowBlank="1" showInputMessage="1" showErrorMessage="1" prompt="Enter Address in this column under this heading" sqref="E2:F2" xr:uid="{00000000-0002-0000-0300-000007000000}"/>
    <dataValidation type="list" allowBlank="1" showInputMessage="1" showErrorMessage="1" sqref="K36 M36 D79:D86 D56:D62 D64:D73 D75:D77 D32:D49 D51:D54" xr:uid="{00000000-0002-0000-0300-000008000000}">
      <formula1>$C$5:$C$135</formula1>
    </dataValidation>
  </dataValidations>
  <printOptions horizontalCentered="1"/>
  <pageMargins left="0.4" right="0.4" top="0.6" bottom="0.6" header="0.5" footer="0.5"/>
  <pageSetup scale="42" fitToHeight="0" orientation="landscape" r:id="rId1"/>
  <headerFooter differentFirst="1">
    <oddFooter>Page &amp;P of &amp;N</oddFooter>
  </headerFooter>
  <ignoredErrors>
    <ignoredError sqref="F33:F35 J33:J35 B33:B35 F39 B42:B43 F42:F43 J42:J43 B44 F44 J44:K44 M33 M44 M65:M71 B65:C71 F65:F66 B2:N2 H65:H71 J38:J40 B38:B40" calculatedColumn="1"/>
  </ignoredErrors>
  <drawing r:id="rId2"/>
  <legacyDrawing r:id="rId3"/>
  <tableParts count="1">
    <tablePart r:id="rId4"/>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9000000}">
          <x14:formula1>
            <xm:f>Sheet1!$D$2:$D$4</xm:f>
          </x14:formula1>
          <xm:sqref>F86 F74:F75 F63:F72 H27 F78 F3:F61</xm:sqref>
        </x14:dataValidation>
        <x14:dataValidation type="list" allowBlank="1" showInputMessage="1" showErrorMessage="1" xr:uid="{00000000-0002-0000-0300-00000A000000}">
          <x14:formula1>
            <xm:f>Sheet1!$B$2:$B$3</xm:f>
          </x14:formula1>
          <xm:sqref>J3:J25 J27:J86</xm:sqref>
        </x14:dataValidation>
        <x14:dataValidation type="list" errorStyle="warning" allowBlank="1" showInputMessage="1" showErrorMessage="1" error="If the card was received, select Yes from the list. Select CANCEL, press ALT+DOWN ARROW for options, then DOWN ARROW and ENTER to make selection" xr:uid="{00000000-0002-0000-0300-00000B000000}">
          <x14:formula1>
            <xm:f>Sheet1!$C$2:$C$5</xm:f>
          </x14:formula1>
          <xm:sqref>K20:K21 K14:K15 K18 K3:K5 K7:K8 K28 K31:K35 K37:K86</xm:sqref>
        </x14:dataValidation>
        <x14:dataValidation type="list" allowBlank="1" showInputMessage="1" showErrorMessage="1" xr:uid="{00000000-0002-0000-0300-00000C000000}">
          <x14:formula1>
            <xm:f>Category!$C$5:$C$137</xm:f>
          </x14:formula1>
          <xm:sqref>D29:D30</xm:sqref>
        </x14:dataValidation>
        <x14:dataValidation type="list" allowBlank="1" showInputMessage="1" showErrorMessage="1" xr:uid="{00000000-0002-0000-0300-00000D000000}">
          <x14:formula1>
            <xm:f>'S2 2020'!$B$3:$B$8</xm:f>
          </x14:formula1>
          <xm:sqref>E3:E86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P76"/>
  <sheetViews>
    <sheetView topLeftCell="A43" zoomScale="71" zoomScaleNormal="71" workbookViewId="0">
      <selection activeCell="D41" sqref="D41"/>
    </sheetView>
  </sheetViews>
  <sheetFormatPr defaultRowHeight="15" x14ac:dyDescent="0.2"/>
  <cols>
    <col min="1" max="1" width="21.1171875" bestFit="1" customWidth="1"/>
    <col min="2" max="2" width="23.80859375" bestFit="1" customWidth="1"/>
    <col min="3" max="3" width="51.65625" bestFit="1" customWidth="1"/>
    <col min="4" max="4" width="29.59375" bestFit="1" customWidth="1"/>
    <col min="7" max="7" width="15.33203125" bestFit="1" customWidth="1"/>
    <col min="8" max="8" width="15.33203125" hidden="1" customWidth="1"/>
    <col min="9" max="15" width="0" hidden="1" customWidth="1"/>
    <col min="16" max="16" width="16.54296875" bestFit="1" customWidth="1"/>
  </cols>
  <sheetData>
    <row r="2" spans="1:16" s="4" customFormat="1" ht="29.25" customHeight="1" x14ac:dyDescent="0.2">
      <c r="A2" s="19">
        <v>44071</v>
      </c>
      <c r="B2" s="69" t="s">
        <v>34</v>
      </c>
      <c r="C2" s="100" t="s">
        <v>35</v>
      </c>
      <c r="D2" s="14" t="s">
        <v>179</v>
      </c>
      <c r="E2" s="14" t="s">
        <v>18</v>
      </c>
      <c r="F2" s="15">
        <v>57</v>
      </c>
      <c r="G2" s="40">
        <v>25995000</v>
      </c>
      <c r="H2" s="40">
        <v>25995000</v>
      </c>
      <c r="I2" s="16" t="s">
        <v>19</v>
      </c>
      <c r="J2" s="20" t="s">
        <v>20</v>
      </c>
      <c r="K2" s="63">
        <v>44075</v>
      </c>
      <c r="L2" s="17" t="s">
        <v>36</v>
      </c>
      <c r="M2" s="7" t="e">
        <f>MONTH(List[[#This Row],[Tanggal Pengajuan]])</f>
        <v>#VALUE!</v>
      </c>
      <c r="N2" s="17" t="s">
        <v>37</v>
      </c>
      <c r="P2" s="810">
        <f t="shared" ref="P2:P9" si="0">+G2</f>
        <v>25995000</v>
      </c>
    </row>
    <row r="3" spans="1:16" s="4" customFormat="1" ht="29.25" customHeight="1" x14ac:dyDescent="0.2">
      <c r="A3" s="19">
        <v>44098</v>
      </c>
      <c r="B3" s="69" t="s">
        <v>82</v>
      </c>
      <c r="C3" s="18" t="s">
        <v>83</v>
      </c>
      <c r="D3" s="18" t="s">
        <v>179</v>
      </c>
      <c r="E3" s="18" t="s">
        <v>49</v>
      </c>
      <c r="F3" s="70">
        <v>20</v>
      </c>
      <c r="G3" s="40">
        <v>15400000</v>
      </c>
      <c r="H3" s="40">
        <v>15400000</v>
      </c>
      <c r="I3" s="16" t="s">
        <v>19</v>
      </c>
      <c r="J3" s="20" t="s">
        <v>20</v>
      </c>
      <c r="K3" s="182">
        <v>44105</v>
      </c>
      <c r="L3" s="20" t="s">
        <v>84</v>
      </c>
      <c r="M3" s="7">
        <f>MONTH(List[[#This Row],[Tanggal Pengajuan]])</f>
        <v>1</v>
      </c>
      <c r="N3" s="20" t="s">
        <v>85</v>
      </c>
      <c r="P3" s="810">
        <f t="shared" si="0"/>
        <v>15400000</v>
      </c>
    </row>
    <row r="4" spans="1:16" s="4" customFormat="1" ht="29.25" customHeight="1" x14ac:dyDescent="0.2">
      <c r="A4" s="19">
        <v>44096</v>
      </c>
      <c r="B4" s="69" t="s">
        <v>78</v>
      </c>
      <c r="C4" s="18" t="s">
        <v>79</v>
      </c>
      <c r="D4" s="18" t="s">
        <v>179</v>
      </c>
      <c r="E4" s="18" t="s">
        <v>18</v>
      </c>
      <c r="F4" s="70">
        <v>44</v>
      </c>
      <c r="G4" s="40">
        <v>61566000</v>
      </c>
      <c r="H4" s="40">
        <v>61566000</v>
      </c>
      <c r="I4" s="16" t="s">
        <v>19</v>
      </c>
      <c r="J4" s="20" t="s">
        <v>20</v>
      </c>
      <c r="K4" s="63">
        <v>44162</v>
      </c>
      <c r="L4" s="20" t="s">
        <v>80</v>
      </c>
      <c r="M4" s="7">
        <f>MONTH(List[[#This Row],[Tanggal Pengajuan]])</f>
        <v>1</v>
      </c>
      <c r="N4" s="20" t="s">
        <v>81</v>
      </c>
      <c r="P4" s="810">
        <f t="shared" si="0"/>
        <v>61566000</v>
      </c>
    </row>
    <row r="5" spans="1:16" s="4" customFormat="1" ht="29.25" customHeight="1" x14ac:dyDescent="0.2">
      <c r="A5" s="19">
        <v>44098</v>
      </c>
      <c r="B5" s="69" t="s">
        <v>86</v>
      </c>
      <c r="C5" s="18" t="s">
        <v>87</v>
      </c>
      <c r="D5" s="18" t="s">
        <v>179</v>
      </c>
      <c r="E5" s="18" t="s">
        <v>18</v>
      </c>
      <c r="F5" s="70">
        <v>20</v>
      </c>
      <c r="G5" s="40">
        <v>9000000</v>
      </c>
      <c r="H5" s="40">
        <v>9000000</v>
      </c>
      <c r="I5" s="16" t="s">
        <v>19</v>
      </c>
      <c r="J5" s="20" t="s">
        <v>20</v>
      </c>
      <c r="K5" s="182">
        <v>44102</v>
      </c>
      <c r="L5" s="20" t="s">
        <v>88</v>
      </c>
      <c r="M5" s="7">
        <f>MONTH(List[[#This Row],[Tanggal Pengajuan]])</f>
        <v>1</v>
      </c>
      <c r="N5" s="20"/>
      <c r="P5" s="810">
        <f t="shared" si="0"/>
        <v>9000000</v>
      </c>
    </row>
    <row r="6" spans="1:16" s="4" customFormat="1" ht="29.25" customHeight="1" x14ac:dyDescent="0.2">
      <c r="A6" s="19">
        <v>44077</v>
      </c>
      <c r="B6" s="66" t="s">
        <v>52</v>
      </c>
      <c r="C6" s="18" t="s">
        <v>53</v>
      </c>
      <c r="D6" s="14" t="s">
        <v>179</v>
      </c>
      <c r="E6" s="14" t="s">
        <v>18</v>
      </c>
      <c r="F6" s="15">
        <v>52</v>
      </c>
      <c r="G6" s="40">
        <v>39540000</v>
      </c>
      <c r="H6" s="40">
        <v>39540000</v>
      </c>
      <c r="I6" s="16" t="s">
        <v>19</v>
      </c>
      <c r="J6" s="20" t="s">
        <v>20</v>
      </c>
      <c r="K6" s="63">
        <v>44090</v>
      </c>
      <c r="L6" s="17" t="s">
        <v>54</v>
      </c>
      <c r="M6" s="7">
        <f>MONTH(List[[#This Row],[Tanggal Pengajuan]])</f>
        <v>2</v>
      </c>
      <c r="N6" s="17" t="s">
        <v>55</v>
      </c>
      <c r="P6" s="810">
        <f t="shared" si="0"/>
        <v>39540000</v>
      </c>
    </row>
    <row r="7" spans="1:16" s="4" customFormat="1" ht="29.25" customHeight="1" x14ac:dyDescent="0.2">
      <c r="A7" s="19">
        <v>44160</v>
      </c>
      <c r="B7" s="66" t="s">
        <v>110</v>
      </c>
      <c r="C7" s="18" t="s">
        <v>90</v>
      </c>
      <c r="D7" s="14" t="s">
        <v>179</v>
      </c>
      <c r="E7" s="14" t="s">
        <v>18</v>
      </c>
      <c r="F7" s="15">
        <v>25</v>
      </c>
      <c r="G7" s="40">
        <v>38300000</v>
      </c>
      <c r="H7" s="40">
        <v>38300000</v>
      </c>
      <c r="I7" s="16" t="s">
        <v>19</v>
      </c>
      <c r="J7" s="20" t="s">
        <v>20</v>
      </c>
      <c r="K7" s="182">
        <v>44162</v>
      </c>
      <c r="L7" s="20" t="s">
        <v>111</v>
      </c>
      <c r="M7" s="7">
        <f>MONTH(List[[#This Row],[Tanggal Pengajuan]])</f>
        <v>2</v>
      </c>
      <c r="N7" s="20" t="s">
        <v>112</v>
      </c>
      <c r="P7" s="810">
        <f t="shared" si="0"/>
        <v>38300000</v>
      </c>
    </row>
    <row r="8" spans="1:16" s="4" customFormat="1" ht="29.25" customHeight="1" x14ac:dyDescent="0.2">
      <c r="A8" s="19">
        <v>44071</v>
      </c>
      <c r="B8" s="69" t="s">
        <v>31</v>
      </c>
      <c r="C8" s="14" t="s">
        <v>32</v>
      </c>
      <c r="D8" s="14" t="s">
        <v>179</v>
      </c>
      <c r="E8" s="14" t="s">
        <v>18</v>
      </c>
      <c r="F8" s="15">
        <v>8</v>
      </c>
      <c r="G8" s="40">
        <v>7130000</v>
      </c>
      <c r="H8" s="40">
        <v>7130000</v>
      </c>
      <c r="I8" s="16" t="s">
        <v>19</v>
      </c>
      <c r="J8" s="20" t="s">
        <v>20</v>
      </c>
      <c r="K8" s="183"/>
      <c r="L8" s="17"/>
      <c r="M8" s="7">
        <f>MONTH(List[[#This Row],[Tanggal Pengajuan]])</f>
        <v>2</v>
      </c>
      <c r="N8" s="17"/>
      <c r="P8" s="810">
        <f t="shared" si="0"/>
        <v>7130000</v>
      </c>
    </row>
    <row r="9" spans="1:16" s="4" customFormat="1" ht="29.25" customHeight="1" x14ac:dyDescent="0.2">
      <c r="A9" s="19">
        <v>44077</v>
      </c>
      <c r="B9" s="66" t="s">
        <v>47</v>
      </c>
      <c r="C9" s="18" t="s">
        <v>48</v>
      </c>
      <c r="D9" s="14" t="s">
        <v>179</v>
      </c>
      <c r="E9" s="14" t="s">
        <v>49</v>
      </c>
      <c r="F9" s="15">
        <v>32</v>
      </c>
      <c r="G9" s="40">
        <v>33596000</v>
      </c>
      <c r="H9" s="40">
        <v>33596000</v>
      </c>
      <c r="I9" s="16" t="s">
        <v>19</v>
      </c>
      <c r="J9" s="20" t="s">
        <v>20</v>
      </c>
      <c r="K9" s="63">
        <v>44083</v>
      </c>
      <c r="L9" s="17" t="s">
        <v>50</v>
      </c>
      <c r="M9" s="7">
        <f>MONTH(List[[#This Row],[Tanggal Pengajuan]])</f>
        <v>3</v>
      </c>
      <c r="N9" s="17" t="s">
        <v>51</v>
      </c>
      <c r="P9" s="810">
        <f t="shared" si="0"/>
        <v>33596000</v>
      </c>
    </row>
    <row r="10" spans="1:16" s="4" customFormat="1" ht="29.25" customHeight="1" x14ac:dyDescent="0.2">
      <c r="A10" s="19">
        <v>44074</v>
      </c>
      <c r="B10" s="69" t="s">
        <v>38</v>
      </c>
      <c r="C10" s="14" t="s">
        <v>25</v>
      </c>
      <c r="D10" s="14" t="s">
        <v>179</v>
      </c>
      <c r="E10" s="18" t="s">
        <v>18</v>
      </c>
      <c r="F10" s="70">
        <v>12</v>
      </c>
      <c r="G10" s="71">
        <v>7200000</v>
      </c>
      <c r="H10" s="71">
        <v>7200000</v>
      </c>
      <c r="I10" s="72" t="s">
        <v>19</v>
      </c>
      <c r="J10" s="20" t="s">
        <v>20</v>
      </c>
      <c r="K10" s="182">
        <v>44077</v>
      </c>
      <c r="L10" s="20" t="s">
        <v>39</v>
      </c>
      <c r="M10" s="7">
        <f>MONTH(List[[#This Row],[Tanggal Pengajuan]])</f>
        <v>3</v>
      </c>
      <c r="N10" s="17"/>
    </row>
    <row r="11" spans="1:16" s="4" customFormat="1" ht="29.25" customHeight="1" x14ac:dyDescent="0.2">
      <c r="A11" s="19">
        <v>44075</v>
      </c>
      <c r="B11" s="66" t="s">
        <v>89</v>
      </c>
      <c r="C11" s="18" t="s">
        <v>25</v>
      </c>
      <c r="D11" s="14" t="s">
        <v>179</v>
      </c>
      <c r="E11" s="14" t="s">
        <v>18</v>
      </c>
      <c r="F11" s="15">
        <v>12</v>
      </c>
      <c r="G11" s="40">
        <v>3600000</v>
      </c>
      <c r="H11" s="40">
        <v>3600000</v>
      </c>
      <c r="I11" s="16" t="s">
        <v>19</v>
      </c>
      <c r="J11" s="20" t="s">
        <v>20</v>
      </c>
      <c r="K11" s="182">
        <v>44102</v>
      </c>
      <c r="L11" s="20" t="s">
        <v>39</v>
      </c>
      <c r="M11" s="7">
        <f>MONTH(List[[#This Row],[Tanggal Pengajuan]])</f>
        <v>3</v>
      </c>
      <c r="N11" s="20" t="s">
        <v>91</v>
      </c>
    </row>
    <row r="12" spans="1:16" s="4" customFormat="1" ht="29.25" customHeight="1" x14ac:dyDescent="0.2">
      <c r="A12" s="19">
        <v>44155</v>
      </c>
      <c r="B12" s="69" t="s">
        <v>134</v>
      </c>
      <c r="C12" s="73" t="s">
        <v>25</v>
      </c>
      <c r="D12" s="73" t="s">
        <v>179</v>
      </c>
      <c r="E12" s="73" t="s">
        <v>18</v>
      </c>
      <c r="F12" s="74">
        <v>12</v>
      </c>
      <c r="G12" s="71">
        <v>34200000</v>
      </c>
      <c r="H12" s="71">
        <v>34200000</v>
      </c>
      <c r="I12" s="72" t="s">
        <v>19</v>
      </c>
      <c r="J12" s="20" t="s">
        <v>20</v>
      </c>
      <c r="K12" s="182">
        <v>44168</v>
      </c>
      <c r="L12" s="20" t="s">
        <v>39</v>
      </c>
      <c r="M12" s="7">
        <f>MONTH(List[[#This Row],[Tanggal Pengajuan]])</f>
        <v>3</v>
      </c>
      <c r="N12" s="20"/>
      <c r="P12" s="810">
        <f>SUM(G10:G12)</f>
        <v>45000000</v>
      </c>
    </row>
    <row r="13" spans="1:16" s="4" customFormat="1" ht="29.25" customHeight="1" x14ac:dyDescent="0.2">
      <c r="A13" s="19">
        <v>44081</v>
      </c>
      <c r="B13" s="66" t="s">
        <v>63</v>
      </c>
      <c r="C13" s="18" t="s">
        <v>64</v>
      </c>
      <c r="D13" s="14" t="s">
        <v>179</v>
      </c>
      <c r="E13" s="14" t="s">
        <v>18</v>
      </c>
      <c r="F13" s="15">
        <v>15</v>
      </c>
      <c r="G13" s="40">
        <v>17385000</v>
      </c>
      <c r="H13" s="40">
        <v>17385000</v>
      </c>
      <c r="I13" s="16" t="s">
        <v>19</v>
      </c>
      <c r="J13" s="20" t="s">
        <v>20</v>
      </c>
      <c r="K13" s="182">
        <v>44090</v>
      </c>
      <c r="L13" s="17" t="s">
        <v>65</v>
      </c>
      <c r="M13" s="7">
        <f>MONTH(List[[#This Row],[Tanggal Pengajuan]])</f>
        <v>3</v>
      </c>
      <c r="N13" s="17" t="s">
        <v>66</v>
      </c>
      <c r="P13" s="810">
        <f>+G13</f>
        <v>17385000</v>
      </c>
    </row>
    <row r="14" spans="1:16" s="4" customFormat="1" ht="29.25" customHeight="1" x14ac:dyDescent="0.2">
      <c r="A14" s="19">
        <v>44160</v>
      </c>
      <c r="B14" s="66" t="s">
        <v>113</v>
      </c>
      <c r="C14" s="18" t="s">
        <v>114</v>
      </c>
      <c r="D14" s="14" t="s">
        <v>179</v>
      </c>
      <c r="E14" s="14" t="s">
        <v>18</v>
      </c>
      <c r="F14" s="15">
        <v>115</v>
      </c>
      <c r="G14" s="40">
        <v>94250000</v>
      </c>
      <c r="H14" s="40">
        <v>94250000</v>
      </c>
      <c r="I14" s="16" t="s">
        <v>19</v>
      </c>
      <c r="J14" s="20" t="s">
        <v>20</v>
      </c>
      <c r="K14" s="182">
        <v>44162</v>
      </c>
      <c r="L14" s="20" t="s">
        <v>115</v>
      </c>
      <c r="M14" s="7">
        <f>MONTH(List[[#This Row],[Tanggal Pengajuan]])</f>
        <v>3</v>
      </c>
      <c r="N14" s="20" t="s">
        <v>116</v>
      </c>
      <c r="P14" s="810">
        <f>+G14</f>
        <v>94250000</v>
      </c>
    </row>
    <row r="15" spans="1:16" s="4" customFormat="1" ht="29.25" customHeight="1" x14ac:dyDescent="0.2">
      <c r="A15" s="19">
        <v>44098</v>
      </c>
      <c r="B15" s="69" t="s">
        <v>74</v>
      </c>
      <c r="C15" s="18" t="s">
        <v>75</v>
      </c>
      <c r="D15" s="18" t="s">
        <v>179</v>
      </c>
      <c r="E15" s="18" t="s">
        <v>49</v>
      </c>
      <c r="F15" s="70">
        <v>9</v>
      </c>
      <c r="G15" s="40">
        <v>6791000</v>
      </c>
      <c r="H15" s="40">
        <v>6791000</v>
      </c>
      <c r="I15" s="16" t="s">
        <v>19</v>
      </c>
      <c r="J15" s="20" t="s">
        <v>20</v>
      </c>
      <c r="K15" s="182">
        <v>44105</v>
      </c>
      <c r="L15" s="20" t="s">
        <v>76</v>
      </c>
      <c r="M15" s="7">
        <f>MONTH(List[[#This Row],[Tanggal Pengajuan]])</f>
        <v>4</v>
      </c>
      <c r="N15" s="20" t="s">
        <v>77</v>
      </c>
      <c r="P15" s="810">
        <f>+G15</f>
        <v>6791000</v>
      </c>
    </row>
    <row r="16" spans="1:16" s="4" customFormat="1" ht="29.25" customHeight="1" x14ac:dyDescent="0.2">
      <c r="A16" s="19">
        <v>44078</v>
      </c>
      <c r="B16" s="66" t="s">
        <v>59</v>
      </c>
      <c r="C16" s="18" t="s">
        <v>60</v>
      </c>
      <c r="D16" s="14" t="s">
        <v>179</v>
      </c>
      <c r="E16" s="14" t="s">
        <v>18</v>
      </c>
      <c r="F16" s="15">
        <v>37</v>
      </c>
      <c r="G16" s="40">
        <v>19880000</v>
      </c>
      <c r="H16" s="40">
        <v>19880000</v>
      </c>
      <c r="I16" s="16" t="s">
        <v>19</v>
      </c>
      <c r="J16" s="20" t="s">
        <v>20</v>
      </c>
      <c r="K16" s="63">
        <v>44090</v>
      </c>
      <c r="L16" s="17" t="s">
        <v>61</v>
      </c>
      <c r="M16" s="7">
        <f>MONTH(List[[#This Row],[Tanggal Pengajuan]])</f>
        <v>5</v>
      </c>
      <c r="N16" s="17" t="s">
        <v>62</v>
      </c>
      <c r="P16" s="810">
        <f>+G16</f>
        <v>19880000</v>
      </c>
    </row>
    <row r="17" spans="1:16" s="4" customFormat="1" ht="29.25" customHeight="1" x14ac:dyDescent="0.2">
      <c r="A17" s="19">
        <v>44141</v>
      </c>
      <c r="B17" s="69" t="s">
        <v>128</v>
      </c>
      <c r="C17" s="18" t="s">
        <v>129</v>
      </c>
      <c r="D17" s="18" t="s">
        <v>179</v>
      </c>
      <c r="E17" s="18" t="s">
        <v>49</v>
      </c>
      <c r="F17" s="70">
        <v>32</v>
      </c>
      <c r="G17" s="71">
        <v>16160000</v>
      </c>
      <c r="H17" s="78">
        <v>16160000</v>
      </c>
      <c r="I17" s="72" t="s">
        <v>19</v>
      </c>
      <c r="J17" s="20" t="s">
        <v>20</v>
      </c>
      <c r="K17" s="182">
        <v>44160</v>
      </c>
      <c r="L17" s="20" t="s">
        <v>130</v>
      </c>
      <c r="M17" s="7">
        <f>MONTH(List[[#This Row],[Tanggal Pengajuan]])</f>
        <v>5</v>
      </c>
      <c r="N17" s="20"/>
      <c r="P17" s="810">
        <f>+G17</f>
        <v>16160000</v>
      </c>
    </row>
    <row r="18" spans="1:16" s="7" customFormat="1" ht="29.25" customHeight="1" x14ac:dyDescent="0.2">
      <c r="A18" s="764"/>
      <c r="B18" s="824"/>
      <c r="C18" s="786"/>
      <c r="D18" s="786"/>
      <c r="E18" s="786"/>
      <c r="F18" s="825"/>
      <c r="G18" s="826"/>
      <c r="H18" s="826"/>
      <c r="I18" s="838"/>
      <c r="J18" s="766"/>
      <c r="K18" s="827"/>
      <c r="L18" s="766"/>
      <c r="N18" s="766"/>
    </row>
    <row r="19" spans="1:16" s="7" customFormat="1" ht="29.25" customHeight="1" x14ac:dyDescent="0.2">
      <c r="A19" s="772"/>
      <c r="B19" s="829"/>
      <c r="C19" s="788"/>
      <c r="D19" s="788"/>
      <c r="E19" s="788"/>
      <c r="F19" s="830"/>
      <c r="G19" s="817">
        <f>SUM(G2:G18)</f>
        <v>429993000</v>
      </c>
      <c r="H19" s="831"/>
      <c r="I19" s="839"/>
      <c r="J19" s="774"/>
      <c r="K19" s="832"/>
      <c r="L19" s="774"/>
      <c r="N19" s="774"/>
      <c r="P19" s="817">
        <f>SUM(P2:P18)</f>
        <v>429993000</v>
      </c>
    </row>
    <row r="20" spans="1:16" s="7" customFormat="1" ht="29.25" customHeight="1" x14ac:dyDescent="0.2">
      <c r="A20" s="772"/>
      <c r="B20" s="829"/>
      <c r="C20" s="788"/>
      <c r="D20" s="788"/>
      <c r="E20" s="788"/>
      <c r="F20" s="830"/>
      <c r="G20" s="831"/>
      <c r="H20" s="831"/>
      <c r="I20" s="839"/>
      <c r="J20" s="774"/>
      <c r="K20" s="832"/>
      <c r="L20" s="774"/>
      <c r="N20" s="774"/>
      <c r="P20" s="847">
        <f>+P19-'S2 2020'!O3</f>
        <v>-46864998</v>
      </c>
    </row>
    <row r="21" spans="1:16" s="7" customFormat="1" ht="29.25" customHeight="1" x14ac:dyDescent="0.2">
      <c r="A21" s="772"/>
      <c r="B21" s="829"/>
      <c r="C21" s="788"/>
      <c r="D21" s="788"/>
      <c r="E21" s="788"/>
      <c r="F21" s="830"/>
      <c r="G21" s="831"/>
      <c r="H21" s="831"/>
      <c r="I21" s="839"/>
      <c r="J21" s="774"/>
      <c r="K21" s="832"/>
      <c r="L21" s="774"/>
      <c r="N21" s="774"/>
    </row>
    <row r="22" spans="1:16" s="7" customFormat="1" ht="29.25" customHeight="1" x14ac:dyDescent="0.2">
      <c r="A22" s="772"/>
      <c r="B22" s="829"/>
      <c r="C22" s="788"/>
      <c r="D22" s="788"/>
      <c r="E22" s="788"/>
      <c r="F22" s="830"/>
      <c r="G22" s="831"/>
      <c r="H22" s="831"/>
      <c r="I22" s="839"/>
      <c r="J22" s="774"/>
      <c r="K22" s="832"/>
      <c r="L22" s="774"/>
      <c r="N22" s="774"/>
    </row>
    <row r="23" spans="1:16" s="7" customFormat="1" ht="29.25" customHeight="1" x14ac:dyDescent="0.2">
      <c r="A23" s="779"/>
      <c r="B23" s="834"/>
      <c r="C23" s="791"/>
      <c r="D23" s="791"/>
      <c r="E23" s="791"/>
      <c r="F23" s="835"/>
      <c r="G23" s="836"/>
      <c r="H23" s="831"/>
      <c r="I23" s="840"/>
      <c r="J23" s="781"/>
      <c r="K23" s="832"/>
      <c r="L23" s="781"/>
      <c r="N23" s="781"/>
    </row>
    <row r="24" spans="1:16" s="4" customFormat="1" ht="29.25" customHeight="1" x14ac:dyDescent="0.2">
      <c r="A24" s="19">
        <v>44139</v>
      </c>
      <c r="B24" s="69" t="s">
        <v>105</v>
      </c>
      <c r="C24" s="18" t="s">
        <v>106</v>
      </c>
      <c r="D24" s="18" t="s">
        <v>107</v>
      </c>
      <c r="E24" s="18" t="s">
        <v>49</v>
      </c>
      <c r="F24" s="15">
        <v>0</v>
      </c>
      <c r="G24" s="71">
        <v>96880000</v>
      </c>
      <c r="H24" s="40">
        <v>96880000</v>
      </c>
      <c r="I24" s="16" t="s">
        <v>19</v>
      </c>
      <c r="J24" s="20" t="s">
        <v>20</v>
      </c>
      <c r="K24" s="182">
        <v>44145</v>
      </c>
      <c r="L24" s="20" t="s">
        <v>108</v>
      </c>
      <c r="M24" s="7">
        <f>MONTH(List[[#This Row],[Tanggal Pengajuan]])</f>
        <v>7</v>
      </c>
      <c r="N24" s="20" t="s">
        <v>109</v>
      </c>
      <c r="O24" s="4">
        <v>6</v>
      </c>
      <c r="P24" s="810">
        <f>+G24</f>
        <v>96880000</v>
      </c>
    </row>
    <row r="25" spans="1:16" s="8" customFormat="1" ht="29.25" customHeight="1" x14ac:dyDescent="0.2">
      <c r="A25" s="764"/>
      <c r="B25" s="824"/>
      <c r="C25" s="786"/>
      <c r="D25" s="786"/>
      <c r="E25" s="786"/>
      <c r="F25" s="787"/>
      <c r="G25" s="826"/>
      <c r="H25" s="768"/>
      <c r="I25" s="769"/>
      <c r="J25" s="766"/>
      <c r="K25" s="827"/>
      <c r="L25" s="766"/>
      <c r="M25" s="7"/>
      <c r="N25" s="766"/>
      <c r="P25" s="848">
        <f>+P24-'S2 2020'!O5</f>
        <v>0</v>
      </c>
    </row>
    <row r="26" spans="1:16" s="8" customFormat="1" ht="29.25" customHeight="1" x14ac:dyDescent="0.2">
      <c r="A26" s="772"/>
      <c r="B26" s="829"/>
      <c r="C26" s="788"/>
      <c r="D26" s="788"/>
      <c r="E26" s="788"/>
      <c r="F26" s="789"/>
      <c r="G26" s="831"/>
      <c r="H26" s="776"/>
      <c r="I26" s="777"/>
      <c r="J26" s="774"/>
      <c r="K26" s="832"/>
      <c r="L26" s="774"/>
      <c r="M26" s="7"/>
      <c r="N26" s="774"/>
    </row>
    <row r="27" spans="1:16" s="8" customFormat="1" ht="29.25" customHeight="1" x14ac:dyDescent="0.2">
      <c r="A27" s="779"/>
      <c r="B27" s="834"/>
      <c r="C27" s="791"/>
      <c r="D27" s="791"/>
      <c r="E27" s="791"/>
      <c r="F27" s="790"/>
      <c r="G27" s="836"/>
      <c r="H27" s="776"/>
      <c r="I27" s="784"/>
      <c r="J27" s="781"/>
      <c r="K27" s="832"/>
      <c r="L27" s="781"/>
      <c r="M27" s="7"/>
      <c r="N27" s="781"/>
    </row>
    <row r="28" spans="1:16" s="4" customFormat="1" ht="29.25" customHeight="1" x14ac:dyDescent="0.2">
      <c r="A28" s="19">
        <v>44132</v>
      </c>
      <c r="B28" s="69" t="s">
        <v>131</v>
      </c>
      <c r="C28" s="18" t="s">
        <v>132</v>
      </c>
      <c r="D28" s="18" t="s">
        <v>26</v>
      </c>
      <c r="E28" s="18" t="s">
        <v>28</v>
      </c>
      <c r="F28" s="70">
        <v>1</v>
      </c>
      <c r="G28" s="71">
        <v>5000000</v>
      </c>
      <c r="H28" s="78">
        <v>5000000</v>
      </c>
      <c r="I28" s="72" t="s">
        <v>19</v>
      </c>
      <c r="J28" s="20" t="s">
        <v>20</v>
      </c>
      <c r="K28" s="182">
        <v>44162</v>
      </c>
      <c r="L28" s="20" t="s">
        <v>132</v>
      </c>
      <c r="M28" s="7">
        <f>MONTH(List[[#This Row],[Tanggal Pengajuan]])</f>
        <v>8</v>
      </c>
      <c r="N28" s="20" t="s">
        <v>133</v>
      </c>
      <c r="O28" s="4">
        <v>1</v>
      </c>
      <c r="P28" s="810">
        <f>+G28</f>
        <v>5000000</v>
      </c>
    </row>
    <row r="29" spans="1:16" s="4" customFormat="1" ht="29.25" customHeight="1" x14ac:dyDescent="0.2">
      <c r="A29" s="21">
        <v>44161</v>
      </c>
      <c r="B29" s="77" t="s">
        <v>138</v>
      </c>
      <c r="C29" s="22" t="s">
        <v>228</v>
      </c>
      <c r="D29" s="18" t="s">
        <v>26</v>
      </c>
      <c r="E29" s="18" t="s">
        <v>28</v>
      </c>
      <c r="F29" s="70">
        <v>2</v>
      </c>
      <c r="G29" s="78">
        <v>23071500</v>
      </c>
      <c r="H29" s="78">
        <f>List[[#This Row],[Pengajuan Donasi]]</f>
        <v>-2809500</v>
      </c>
      <c r="I29" s="72" t="s">
        <v>19</v>
      </c>
      <c r="J29" s="20" t="s">
        <v>20</v>
      </c>
      <c r="K29" s="182">
        <v>44180</v>
      </c>
      <c r="L29" s="20" t="s">
        <v>140</v>
      </c>
      <c r="M29" s="7">
        <f>MONTH(List[[#This Row],[Tanggal Pengajuan]])</f>
        <v>8</v>
      </c>
      <c r="N29" s="20" t="s">
        <v>141</v>
      </c>
      <c r="O29" s="4">
        <v>1</v>
      </c>
      <c r="P29" s="810">
        <f>+G29</f>
        <v>23071500</v>
      </c>
    </row>
    <row r="30" spans="1:16" s="4" customFormat="1" ht="29.25" customHeight="1" x14ac:dyDescent="0.2">
      <c r="A30" s="21">
        <v>44182</v>
      </c>
      <c r="B30" s="77" t="s">
        <v>145</v>
      </c>
      <c r="C30" s="22" t="s">
        <v>25</v>
      </c>
      <c r="D30" s="18" t="s">
        <v>26</v>
      </c>
      <c r="E30" s="18" t="s">
        <v>28</v>
      </c>
      <c r="F30" s="79">
        <v>1</v>
      </c>
      <c r="G30" s="78">
        <v>35000000</v>
      </c>
      <c r="H30" s="78">
        <f>List[[#This Row],[Pengajuan Donasi]]</f>
        <v>3000000</v>
      </c>
      <c r="I30" s="72" t="s">
        <v>19</v>
      </c>
      <c r="J30" s="20" t="s">
        <v>20</v>
      </c>
      <c r="K30" s="182">
        <v>44188</v>
      </c>
      <c r="L30" s="20" t="s">
        <v>146</v>
      </c>
      <c r="M30" s="7">
        <f>MONTH(List[[#This Row],[Tanggal Pengajuan]])</f>
        <v>8</v>
      </c>
      <c r="N30" s="20" t="s">
        <v>147</v>
      </c>
      <c r="P30" s="810">
        <f>+G30</f>
        <v>35000000</v>
      </c>
    </row>
    <row r="31" spans="1:16" s="8" customFormat="1" ht="29.25" customHeight="1" x14ac:dyDescent="0.2">
      <c r="A31" s="764"/>
      <c r="B31" s="824"/>
      <c r="C31" s="786"/>
      <c r="D31" s="786"/>
      <c r="E31" s="786"/>
      <c r="F31" s="825"/>
      <c r="G31" s="849">
        <f>SUM(G28:G30)</f>
        <v>63071500</v>
      </c>
      <c r="H31" s="826"/>
      <c r="I31" s="838"/>
      <c r="J31" s="766"/>
      <c r="K31" s="827"/>
      <c r="L31" s="766"/>
      <c r="M31" s="7"/>
      <c r="N31" s="766"/>
      <c r="P31" s="849">
        <f>SUM(P28:P30)</f>
        <v>63071500</v>
      </c>
    </row>
    <row r="32" spans="1:16" s="8" customFormat="1" ht="29.25" customHeight="1" x14ac:dyDescent="0.2">
      <c r="A32" s="772"/>
      <c r="B32" s="829"/>
      <c r="C32" s="788"/>
      <c r="D32" s="788"/>
      <c r="E32" s="788"/>
      <c r="F32" s="830"/>
      <c r="G32" s="831"/>
      <c r="H32" s="831"/>
      <c r="I32" s="839"/>
      <c r="J32" s="774"/>
      <c r="K32" s="832"/>
      <c r="L32" s="774"/>
      <c r="M32" s="7"/>
      <c r="N32" s="774"/>
      <c r="P32" s="849">
        <f>+P31-'S2 2020'!O8</f>
        <v>-9003528</v>
      </c>
    </row>
    <row r="33" spans="1:16" s="8" customFormat="1" ht="29.25" customHeight="1" x14ac:dyDescent="0.2">
      <c r="A33" s="772"/>
      <c r="B33" s="829"/>
      <c r="C33" s="788"/>
      <c r="D33" s="788"/>
      <c r="E33" s="788"/>
      <c r="F33" s="830"/>
      <c r="G33" s="831"/>
      <c r="H33" s="831"/>
      <c r="I33" s="839"/>
      <c r="J33" s="774"/>
      <c r="K33" s="832"/>
      <c r="L33" s="774"/>
      <c r="M33" s="7"/>
      <c r="N33" s="774"/>
      <c r="P33" s="849"/>
    </row>
    <row r="34" spans="1:16" s="8" customFormat="1" ht="29.25" customHeight="1" x14ac:dyDescent="0.2">
      <c r="A34" s="772"/>
      <c r="B34" s="829"/>
      <c r="C34" s="788"/>
      <c r="D34" s="788"/>
      <c r="E34" s="788"/>
      <c r="F34" s="830"/>
      <c r="G34" s="831"/>
      <c r="H34" s="831"/>
      <c r="I34" s="839"/>
      <c r="J34" s="774"/>
      <c r="K34" s="832"/>
      <c r="L34" s="774"/>
      <c r="M34" s="7"/>
      <c r="N34" s="774"/>
      <c r="P34" s="849"/>
    </row>
    <row r="35" spans="1:16" s="8" customFormat="1" ht="29.25" customHeight="1" x14ac:dyDescent="0.2">
      <c r="A35" s="772"/>
      <c r="B35" s="829"/>
      <c r="C35" s="788"/>
      <c r="D35" s="788"/>
      <c r="E35" s="791"/>
      <c r="F35" s="830"/>
      <c r="G35" s="831"/>
      <c r="H35" s="831"/>
      <c r="I35" s="840"/>
      <c r="J35" s="781"/>
      <c r="K35" s="832"/>
      <c r="L35" s="781"/>
      <c r="M35" s="7"/>
      <c r="N35" s="781"/>
      <c r="P35" s="849"/>
    </row>
    <row r="36" spans="1:16" s="4" customFormat="1" ht="29.25" customHeight="1" x14ac:dyDescent="0.2">
      <c r="A36" s="21">
        <v>44077</v>
      </c>
      <c r="B36" s="67" t="s">
        <v>56</v>
      </c>
      <c r="C36" s="22" t="s">
        <v>53</v>
      </c>
      <c r="D36" s="22" t="s">
        <v>57</v>
      </c>
      <c r="E36" s="14" t="s">
        <v>49</v>
      </c>
      <c r="F36" s="23">
        <v>6</v>
      </c>
      <c r="G36" s="40">
        <v>30000000</v>
      </c>
      <c r="H36" s="41">
        <v>30000000</v>
      </c>
      <c r="I36" s="16" t="s">
        <v>19</v>
      </c>
      <c r="J36" s="20" t="s">
        <v>20</v>
      </c>
      <c r="K36" s="182">
        <v>44090</v>
      </c>
      <c r="L36" s="17" t="s">
        <v>54</v>
      </c>
      <c r="M36" s="7">
        <f>MONTH(List[[#This Row],[Tanggal Pengajuan]])</f>
        <v>8</v>
      </c>
      <c r="N36" s="17" t="s">
        <v>58</v>
      </c>
      <c r="P36" s="810">
        <f>+G36</f>
        <v>30000000</v>
      </c>
    </row>
    <row r="37" spans="1:16" s="8" customFormat="1" ht="29.25" customHeight="1" x14ac:dyDescent="0.2">
      <c r="A37" s="764"/>
      <c r="B37" s="645"/>
      <c r="C37" s="786"/>
      <c r="D37" s="786"/>
      <c r="E37" s="406"/>
      <c r="F37" s="787"/>
      <c r="G37" s="849">
        <f>SUM(G36)</f>
        <v>30000000</v>
      </c>
      <c r="H37" s="768"/>
      <c r="I37" s="769"/>
      <c r="J37" s="766"/>
      <c r="K37" s="827"/>
      <c r="L37" s="828"/>
      <c r="M37" s="7"/>
      <c r="N37" s="828"/>
      <c r="P37" s="849">
        <f>SUM(P36)</f>
        <v>30000000</v>
      </c>
    </row>
    <row r="38" spans="1:16" s="8" customFormat="1" ht="29.25" customHeight="1" x14ac:dyDescent="0.2">
      <c r="A38" s="772"/>
      <c r="B38" s="654"/>
      <c r="C38" s="788"/>
      <c r="D38" s="788"/>
      <c r="E38" s="618"/>
      <c r="F38" s="789"/>
      <c r="G38" s="776"/>
      <c r="H38" s="776"/>
      <c r="I38" s="777"/>
      <c r="J38" s="774"/>
      <c r="K38" s="832"/>
      <c r="L38" s="833"/>
      <c r="M38" s="7"/>
      <c r="N38" s="833"/>
      <c r="P38" s="848">
        <f>+P37-'S2 2020'!O7</f>
        <v>0</v>
      </c>
    </row>
    <row r="39" spans="1:16" s="8" customFormat="1" ht="29.25" customHeight="1" x14ac:dyDescent="0.2">
      <c r="A39" s="772"/>
      <c r="B39" s="654"/>
      <c r="C39" s="788"/>
      <c r="D39" s="788"/>
      <c r="E39" s="618"/>
      <c r="F39" s="789"/>
      <c r="G39" s="776"/>
      <c r="H39" s="776"/>
      <c r="I39" s="777"/>
      <c r="J39" s="774"/>
      <c r="K39" s="832"/>
      <c r="L39" s="833"/>
      <c r="M39" s="7"/>
      <c r="N39" s="833"/>
    </row>
    <row r="40" spans="1:16" s="8" customFormat="1" ht="29.25" customHeight="1" x14ac:dyDescent="0.2">
      <c r="A40" s="772"/>
      <c r="B40" s="654"/>
      <c r="C40" s="788"/>
      <c r="D40" s="788"/>
      <c r="E40" s="618"/>
      <c r="F40" s="789"/>
      <c r="G40" s="776"/>
      <c r="H40" s="776"/>
      <c r="I40" s="777"/>
      <c r="J40" s="774"/>
      <c r="K40" s="832"/>
      <c r="L40" s="833"/>
      <c r="M40" s="7"/>
      <c r="N40" s="833"/>
    </row>
    <row r="41" spans="1:16" s="8" customFormat="1" ht="29.25" customHeight="1" x14ac:dyDescent="0.2">
      <c r="A41" s="772"/>
      <c r="B41" s="654"/>
      <c r="C41" s="788"/>
      <c r="D41" s="788"/>
      <c r="E41" s="663"/>
      <c r="F41" s="789"/>
      <c r="G41" s="776"/>
      <c r="H41" s="776"/>
      <c r="I41" s="784"/>
      <c r="J41" s="781"/>
      <c r="K41" s="832"/>
      <c r="L41" s="837"/>
      <c r="M41" s="7"/>
      <c r="N41" s="837"/>
    </row>
    <row r="42" spans="1:16" s="4" customFormat="1" ht="29.25" customHeight="1" x14ac:dyDescent="0.2">
      <c r="A42" s="21">
        <v>44019</v>
      </c>
      <c r="B42" s="77" t="s">
        <v>24</v>
      </c>
      <c r="C42" s="845" t="s">
        <v>30</v>
      </c>
      <c r="D42" s="103" t="s">
        <v>1054</v>
      </c>
      <c r="E42" s="14" t="s">
        <v>28</v>
      </c>
      <c r="F42" s="23">
        <v>1</v>
      </c>
      <c r="G42" s="41">
        <v>5000000</v>
      </c>
      <c r="H42" s="41">
        <v>5000000</v>
      </c>
      <c r="I42" s="16" t="s">
        <v>19</v>
      </c>
      <c r="J42" s="20" t="s">
        <v>20</v>
      </c>
      <c r="K42" s="183">
        <v>44054</v>
      </c>
      <c r="L42" s="17" t="s">
        <v>29</v>
      </c>
      <c r="M42" s="7">
        <f>MONTH(List[[#This Row],[Tanggal Pengajuan]])</f>
        <v>9</v>
      </c>
      <c r="N42" s="17" t="s">
        <v>25</v>
      </c>
      <c r="P42" s="810">
        <f>+G42</f>
        <v>5000000</v>
      </c>
    </row>
    <row r="43" spans="1:16" s="8" customFormat="1" ht="29.25" customHeight="1" x14ac:dyDescent="0.2">
      <c r="A43" s="764"/>
      <c r="B43" s="824"/>
      <c r="C43" s="828"/>
      <c r="D43" s="406"/>
      <c r="E43" s="406"/>
      <c r="F43" s="787"/>
      <c r="G43" s="768"/>
      <c r="H43" s="768"/>
      <c r="I43" s="769"/>
      <c r="J43" s="766"/>
      <c r="K43" s="650"/>
      <c r="L43" s="828"/>
      <c r="M43" s="7"/>
      <c r="N43" s="828"/>
      <c r="P43" s="848">
        <f>+P42-'S2 2020'!O9</f>
        <v>-15000000</v>
      </c>
    </row>
    <row r="44" spans="1:16" s="8" customFormat="1" ht="29.25" customHeight="1" x14ac:dyDescent="0.2">
      <c r="A44" s="772"/>
      <c r="B44" s="829"/>
      <c r="C44" s="833"/>
      <c r="D44" s="618"/>
      <c r="E44" s="618"/>
      <c r="F44" s="789"/>
      <c r="G44" s="776"/>
      <c r="H44" s="776"/>
      <c r="I44" s="777"/>
      <c r="J44" s="774"/>
      <c r="K44" s="658"/>
      <c r="L44" s="833"/>
      <c r="M44" s="7"/>
      <c r="N44" s="833"/>
    </row>
    <row r="45" spans="1:16" s="8" customFormat="1" ht="29.25" customHeight="1" x14ac:dyDescent="0.2">
      <c r="A45" s="772"/>
      <c r="B45" s="829"/>
      <c r="C45" s="833"/>
      <c r="D45" s="618"/>
      <c r="E45" s="618"/>
      <c r="F45" s="789"/>
      <c r="G45" s="776"/>
      <c r="H45" s="776"/>
      <c r="I45" s="777"/>
      <c r="J45" s="774"/>
      <c r="K45" s="658"/>
      <c r="L45" s="833"/>
      <c r="M45" s="7"/>
      <c r="N45" s="833"/>
    </row>
    <row r="46" spans="1:16" s="8" customFormat="1" ht="29.25" customHeight="1" x14ac:dyDescent="0.2">
      <c r="A46" s="772"/>
      <c r="B46" s="829"/>
      <c r="C46" s="833"/>
      <c r="D46" s="618"/>
      <c r="E46" s="663"/>
      <c r="F46" s="789"/>
      <c r="G46" s="776"/>
      <c r="H46" s="776"/>
      <c r="I46" s="784"/>
      <c r="J46" s="781"/>
      <c r="K46" s="658"/>
      <c r="L46" s="837"/>
      <c r="M46" s="7"/>
      <c r="N46" s="837"/>
    </row>
    <row r="47" spans="1:16" s="4" customFormat="1" ht="29.25" customHeight="1" x14ac:dyDescent="0.2">
      <c r="A47" s="21">
        <v>44064</v>
      </c>
      <c r="B47" s="77" t="s">
        <v>15</v>
      </c>
      <c r="C47" s="75" t="s">
        <v>872</v>
      </c>
      <c r="D47" s="73" t="s">
        <v>17</v>
      </c>
      <c r="E47" s="73" t="s">
        <v>18</v>
      </c>
      <c r="F47" s="76">
        <v>70</v>
      </c>
      <c r="G47" s="41">
        <v>10000000</v>
      </c>
      <c r="H47" s="41">
        <f>10000000-2809500</f>
        <v>7190500</v>
      </c>
      <c r="I47" s="16" t="s">
        <v>19</v>
      </c>
      <c r="J47" s="20" t="s">
        <v>20</v>
      </c>
      <c r="K47" s="182">
        <v>44057</v>
      </c>
      <c r="L47" s="20" t="s">
        <v>21</v>
      </c>
      <c r="M47" s="7">
        <f>MONTH(List[[#This Row],[Tanggal Pengajuan]])</f>
        <v>9</v>
      </c>
      <c r="N47" s="17" t="s">
        <v>22</v>
      </c>
      <c r="O47" s="4" t="s">
        <v>23</v>
      </c>
      <c r="P47" s="810"/>
    </row>
    <row r="48" spans="1:16" s="4" customFormat="1" ht="29.25" customHeight="1" x14ac:dyDescent="0.2">
      <c r="A48" s="21">
        <v>44103</v>
      </c>
      <c r="B48" s="77" t="s">
        <v>92</v>
      </c>
      <c r="C48" s="75" t="s">
        <v>872</v>
      </c>
      <c r="D48" s="75" t="s">
        <v>17</v>
      </c>
      <c r="E48" s="73" t="s">
        <v>18</v>
      </c>
      <c r="F48" s="76">
        <v>70</v>
      </c>
      <c r="G48" s="78">
        <v>5500000</v>
      </c>
      <c r="H48" s="41">
        <v>5500000</v>
      </c>
      <c r="I48" s="16" t="s">
        <v>19</v>
      </c>
      <c r="J48" s="20" t="s">
        <v>20</v>
      </c>
      <c r="K48" s="182">
        <v>44105</v>
      </c>
      <c r="L48" s="20" t="s">
        <v>21</v>
      </c>
      <c r="M48" s="7">
        <f>MONTH(List[[#This Row],[Tanggal Pengajuan]])</f>
        <v>9</v>
      </c>
      <c r="N48" s="20" t="s">
        <v>93</v>
      </c>
    </row>
    <row r="49" spans="1:16" s="4" customFormat="1" ht="29.25" customHeight="1" x14ac:dyDescent="0.2">
      <c r="A49" s="21">
        <v>44132</v>
      </c>
      <c r="B49" s="77" t="s">
        <v>103</v>
      </c>
      <c r="C49" s="75" t="s">
        <v>872</v>
      </c>
      <c r="D49" s="75" t="s">
        <v>17</v>
      </c>
      <c r="E49" s="73" t="s">
        <v>18</v>
      </c>
      <c r="F49" s="76">
        <v>70</v>
      </c>
      <c r="G49" s="78">
        <v>5500000</v>
      </c>
      <c r="H49" s="41">
        <v>5500000</v>
      </c>
      <c r="I49" s="16" t="s">
        <v>19</v>
      </c>
      <c r="J49" s="20" t="s">
        <v>20</v>
      </c>
      <c r="K49" s="182">
        <v>44140</v>
      </c>
      <c r="L49" s="20" t="s">
        <v>21</v>
      </c>
      <c r="M49" s="7">
        <f>MONTH(List[[#This Row],[Tanggal Pengajuan]])</f>
        <v>9</v>
      </c>
      <c r="N49" s="20" t="s">
        <v>104</v>
      </c>
    </row>
    <row r="50" spans="1:16" s="4" customFormat="1" ht="29.25" customHeight="1" x14ac:dyDescent="0.2">
      <c r="A50" s="21">
        <v>44160</v>
      </c>
      <c r="B50" s="77" t="s">
        <v>117</v>
      </c>
      <c r="C50" s="75" t="s">
        <v>872</v>
      </c>
      <c r="D50" s="73" t="s">
        <v>17</v>
      </c>
      <c r="E50" s="75" t="s">
        <v>18</v>
      </c>
      <c r="F50" s="76">
        <v>70</v>
      </c>
      <c r="G50" s="78">
        <v>5500000</v>
      </c>
      <c r="H50" s="78">
        <v>5500000</v>
      </c>
      <c r="I50" s="80" t="s">
        <v>19</v>
      </c>
      <c r="J50" s="24" t="s">
        <v>20</v>
      </c>
      <c r="K50" s="182">
        <v>44162</v>
      </c>
      <c r="L50" s="20" t="s">
        <v>21</v>
      </c>
      <c r="M50" s="7">
        <f>MONTH(List[[#This Row],[Tanggal Pengajuan]])</f>
        <v>9</v>
      </c>
      <c r="N50" s="842" t="s">
        <v>118</v>
      </c>
    </row>
    <row r="51" spans="1:16" s="4" customFormat="1" ht="29.25" customHeight="1" x14ac:dyDescent="0.2">
      <c r="A51" s="21">
        <v>44186</v>
      </c>
      <c r="B51" s="77" t="s">
        <v>148</v>
      </c>
      <c r="C51" s="22" t="s">
        <v>872</v>
      </c>
      <c r="D51" s="18" t="s">
        <v>17</v>
      </c>
      <c r="E51" s="18" t="s">
        <v>28</v>
      </c>
      <c r="F51" s="79">
        <v>65</v>
      </c>
      <c r="G51" s="78">
        <v>58410000</v>
      </c>
      <c r="H51" s="78">
        <f>List[[#This Row],[Pengajuan Donasi]]</f>
        <v>5500000</v>
      </c>
      <c r="I51" s="72" t="s">
        <v>19</v>
      </c>
      <c r="J51" s="20" t="s">
        <v>20</v>
      </c>
      <c r="K51" s="182">
        <v>44188</v>
      </c>
      <c r="L51" s="20" t="s">
        <v>149</v>
      </c>
      <c r="M51" s="7">
        <f>MONTH(List[[#This Row],[Tanggal Pengajuan]])</f>
        <v>9</v>
      </c>
      <c r="N51" s="20" t="s">
        <v>150</v>
      </c>
      <c r="P51" s="810">
        <f>SUM(G47:G51)</f>
        <v>84910000</v>
      </c>
    </row>
    <row r="52" spans="1:16" s="4" customFormat="1" ht="29.25" customHeight="1" x14ac:dyDescent="0.2">
      <c r="A52" s="21">
        <v>44161</v>
      </c>
      <c r="B52" s="77" t="s">
        <v>210</v>
      </c>
      <c r="C52" s="75" t="s">
        <v>869</v>
      </c>
      <c r="D52" s="75" t="s">
        <v>17</v>
      </c>
      <c r="E52" s="73" t="s">
        <v>18</v>
      </c>
      <c r="F52" s="76">
        <v>98</v>
      </c>
      <c r="G52" s="78">
        <v>5500000</v>
      </c>
      <c r="H52" s="78">
        <v>5500000</v>
      </c>
      <c r="I52" s="72" t="s">
        <v>19</v>
      </c>
      <c r="J52" s="20" t="s">
        <v>20</v>
      </c>
      <c r="K52" s="182">
        <v>44168</v>
      </c>
      <c r="L52" s="20" t="s">
        <v>143</v>
      </c>
      <c r="M52" s="7">
        <f>MONTH(List[[#This Row],[Tanggal Pengajuan]])</f>
        <v>9</v>
      </c>
      <c r="N52" s="20" t="s">
        <v>144</v>
      </c>
      <c r="P52" s="810">
        <f>+G52</f>
        <v>5500000</v>
      </c>
    </row>
    <row r="53" spans="1:16" s="4" customFormat="1" ht="29.25" customHeight="1" x14ac:dyDescent="0.2">
      <c r="A53" s="21">
        <v>44103</v>
      </c>
      <c r="B53" s="77" t="s">
        <v>94</v>
      </c>
      <c r="C53" s="75" t="s">
        <v>870</v>
      </c>
      <c r="D53" s="73" t="s">
        <v>17</v>
      </c>
      <c r="E53" s="73" t="s">
        <v>18</v>
      </c>
      <c r="F53" s="76">
        <v>19</v>
      </c>
      <c r="G53" s="78">
        <v>5500000</v>
      </c>
      <c r="H53" s="41">
        <v>5500000</v>
      </c>
      <c r="I53" s="16" t="s">
        <v>19</v>
      </c>
      <c r="J53" s="20" t="s">
        <v>20</v>
      </c>
      <c r="K53" s="182">
        <v>44106</v>
      </c>
      <c r="L53" s="20" t="s">
        <v>21</v>
      </c>
      <c r="M53" s="7">
        <f>MONTH(List[[#This Row],[Tanggal Pengajuan]])</f>
        <v>9</v>
      </c>
      <c r="N53" s="20" t="s">
        <v>96</v>
      </c>
    </row>
    <row r="54" spans="1:16" s="4" customFormat="1" ht="29.25" customHeight="1" x14ac:dyDescent="0.2">
      <c r="A54" s="21">
        <v>44132</v>
      </c>
      <c r="B54" s="77" t="s">
        <v>99</v>
      </c>
      <c r="C54" s="75" t="s">
        <v>870</v>
      </c>
      <c r="D54" s="73" t="s">
        <v>17</v>
      </c>
      <c r="E54" s="73" t="s">
        <v>18</v>
      </c>
      <c r="F54" s="76">
        <v>19</v>
      </c>
      <c r="G54" s="78">
        <v>5500000</v>
      </c>
      <c r="H54" s="41">
        <v>5500000</v>
      </c>
      <c r="I54" s="16" t="s">
        <v>19</v>
      </c>
      <c r="J54" s="20" t="s">
        <v>20</v>
      </c>
      <c r="K54" s="182">
        <v>44140</v>
      </c>
      <c r="L54" s="20" t="s">
        <v>21</v>
      </c>
      <c r="M54" s="7">
        <f>MONTH(List[[#This Row],[Tanggal Pengajuan]])</f>
        <v>10</v>
      </c>
      <c r="N54" s="20" t="s">
        <v>100</v>
      </c>
    </row>
    <row r="55" spans="1:16" s="4" customFormat="1" ht="29.25" customHeight="1" x14ac:dyDescent="0.2">
      <c r="A55" s="21">
        <v>44160</v>
      </c>
      <c r="B55" s="77" t="s">
        <v>119</v>
      </c>
      <c r="C55" s="75" t="s">
        <v>870</v>
      </c>
      <c r="D55" s="75" t="s">
        <v>17</v>
      </c>
      <c r="E55" s="75" t="s">
        <v>18</v>
      </c>
      <c r="F55" s="76">
        <v>19</v>
      </c>
      <c r="G55" s="78">
        <v>5500000</v>
      </c>
      <c r="H55" s="78">
        <v>5500000</v>
      </c>
      <c r="I55" s="72" t="s">
        <v>19</v>
      </c>
      <c r="J55" s="20" t="s">
        <v>20</v>
      </c>
      <c r="K55" s="182">
        <v>44162</v>
      </c>
      <c r="L55" s="20" t="s">
        <v>21</v>
      </c>
      <c r="M55" s="7">
        <f>MONTH(List[[#This Row],[Tanggal Pengajuan]])</f>
        <v>10</v>
      </c>
      <c r="N55" s="600" t="s">
        <v>120</v>
      </c>
      <c r="P55" s="810">
        <f>SUM(G53:G55)</f>
        <v>16500000</v>
      </c>
    </row>
    <row r="56" spans="1:16" s="4" customFormat="1" ht="29.25" customHeight="1" x14ac:dyDescent="0.2">
      <c r="A56" s="21">
        <v>44160</v>
      </c>
      <c r="B56" s="77" t="s">
        <v>126</v>
      </c>
      <c r="C56" s="75" t="s">
        <v>228</v>
      </c>
      <c r="D56" s="75" t="s">
        <v>17</v>
      </c>
      <c r="E56" s="75" t="s">
        <v>18</v>
      </c>
      <c r="F56" s="76">
        <v>64</v>
      </c>
      <c r="G56" s="78">
        <v>5500000</v>
      </c>
      <c r="H56" s="78">
        <v>5500000</v>
      </c>
      <c r="I56" s="72" t="s">
        <v>19</v>
      </c>
      <c r="J56" s="20" t="s">
        <v>20</v>
      </c>
      <c r="K56" s="182">
        <v>44162</v>
      </c>
      <c r="L56" s="20" t="s">
        <v>21</v>
      </c>
      <c r="M56" s="7">
        <f>MONTH(List[[#This Row],[Tanggal Pengajuan]])</f>
        <v>10</v>
      </c>
      <c r="N56" s="20" t="s">
        <v>127</v>
      </c>
      <c r="P56" s="810">
        <f>+G56</f>
        <v>5500000</v>
      </c>
    </row>
    <row r="57" spans="1:16" s="4" customFormat="1" ht="29.25" customHeight="1" x14ac:dyDescent="0.2">
      <c r="A57" s="21">
        <v>44160</v>
      </c>
      <c r="B57" s="77" t="s">
        <v>123</v>
      </c>
      <c r="C57" s="22" t="s">
        <v>124</v>
      </c>
      <c r="D57" s="22" t="s">
        <v>17</v>
      </c>
      <c r="E57" s="22" t="s">
        <v>18</v>
      </c>
      <c r="F57" s="79">
        <v>119</v>
      </c>
      <c r="G57" s="78">
        <v>5500000</v>
      </c>
      <c r="H57" s="78">
        <v>5500000</v>
      </c>
      <c r="I57" s="72" t="s">
        <v>19</v>
      </c>
      <c r="J57" s="20" t="s">
        <v>20</v>
      </c>
      <c r="K57" s="182">
        <v>44162</v>
      </c>
      <c r="L57" s="20" t="s">
        <v>21</v>
      </c>
      <c r="M57" s="7">
        <f>MONTH(List[[#This Row],[Tanggal Pengajuan]])</f>
        <v>10</v>
      </c>
      <c r="N57" s="20" t="s">
        <v>125</v>
      </c>
      <c r="P57" s="810">
        <f>+G57</f>
        <v>5500000</v>
      </c>
    </row>
    <row r="58" spans="1:16" s="4" customFormat="1" ht="29.25" customHeight="1" x14ac:dyDescent="0.2">
      <c r="A58" s="21">
        <v>44070</v>
      </c>
      <c r="B58" s="77" t="s">
        <v>43</v>
      </c>
      <c r="C58" s="22" t="s">
        <v>44</v>
      </c>
      <c r="D58" s="103" t="s">
        <v>17</v>
      </c>
      <c r="E58" s="22" t="s">
        <v>18</v>
      </c>
      <c r="F58" s="79">
        <v>27</v>
      </c>
      <c r="G58" s="78">
        <v>3000000</v>
      </c>
      <c r="H58" s="78">
        <v>3000000</v>
      </c>
      <c r="I58" s="72" t="s">
        <v>19</v>
      </c>
      <c r="J58" s="20" t="s">
        <v>20</v>
      </c>
      <c r="K58" s="182">
        <v>44074</v>
      </c>
      <c r="L58" s="20" t="s">
        <v>45</v>
      </c>
      <c r="M58" s="7">
        <f>MONTH(List[[#This Row],[Tanggal Pengajuan]])</f>
        <v>10</v>
      </c>
      <c r="N58" s="17" t="s">
        <v>46</v>
      </c>
      <c r="P58" s="810">
        <f>+G58</f>
        <v>3000000</v>
      </c>
    </row>
    <row r="59" spans="1:16" s="4" customFormat="1" ht="29.25" customHeight="1" x14ac:dyDescent="0.2">
      <c r="A59" s="21">
        <v>44188</v>
      </c>
      <c r="B59" s="77" t="s">
        <v>153</v>
      </c>
      <c r="C59" s="22" t="s">
        <v>868</v>
      </c>
      <c r="D59" s="22" t="s">
        <v>17</v>
      </c>
      <c r="E59" s="22" t="s">
        <v>28</v>
      </c>
      <c r="F59" s="79">
        <v>28</v>
      </c>
      <c r="G59" s="78">
        <v>5500000</v>
      </c>
      <c r="H59" s="78">
        <f>List[[#This Row],[Pengajuan Donasi]]</f>
        <v>5500000</v>
      </c>
      <c r="I59" s="72" t="s">
        <v>19</v>
      </c>
      <c r="J59" s="20" t="s">
        <v>20</v>
      </c>
      <c r="K59" s="182">
        <v>44195</v>
      </c>
      <c r="L59" s="20" t="s">
        <v>21</v>
      </c>
      <c r="M59" s="7">
        <f>MONTH(List[[#This Row],[Tanggal Pengajuan]])</f>
        <v>10</v>
      </c>
      <c r="N59" s="20" t="s">
        <v>155</v>
      </c>
      <c r="P59" s="810">
        <f>+G59</f>
        <v>5500000</v>
      </c>
    </row>
    <row r="60" spans="1:16" s="4" customFormat="1" ht="29.25" customHeight="1" x14ac:dyDescent="0.2">
      <c r="A60" s="21">
        <v>44059</v>
      </c>
      <c r="B60" s="77" t="s">
        <v>38</v>
      </c>
      <c r="C60" s="75" t="s">
        <v>871</v>
      </c>
      <c r="D60" s="73" t="s">
        <v>17</v>
      </c>
      <c r="E60" s="75" t="s">
        <v>18</v>
      </c>
      <c r="F60" s="76">
        <v>77</v>
      </c>
      <c r="G60" s="78">
        <v>3000000</v>
      </c>
      <c r="H60" s="78">
        <v>3000000</v>
      </c>
      <c r="I60" s="80" t="s">
        <v>19</v>
      </c>
      <c r="J60" s="24" t="s">
        <v>41</v>
      </c>
      <c r="K60" s="182">
        <v>44075</v>
      </c>
      <c r="L60" s="20" t="s">
        <v>21</v>
      </c>
      <c r="M60" s="7">
        <f>MONTH(List[[#This Row],[Tanggal Pengajuan]])</f>
        <v>11</v>
      </c>
      <c r="N60" s="846" t="s">
        <v>42</v>
      </c>
      <c r="P60" s="810"/>
    </row>
    <row r="61" spans="1:16" s="4" customFormat="1" ht="29.25" customHeight="1" x14ac:dyDescent="0.2">
      <c r="A61" s="21">
        <v>44077</v>
      </c>
      <c r="B61" s="77" t="s">
        <v>67</v>
      </c>
      <c r="C61" s="75" t="s">
        <v>871</v>
      </c>
      <c r="D61" s="75" t="s">
        <v>17</v>
      </c>
      <c r="E61" s="75" t="s">
        <v>18</v>
      </c>
      <c r="F61" s="76">
        <v>77</v>
      </c>
      <c r="G61" s="41">
        <v>5500000</v>
      </c>
      <c r="H61" s="41">
        <v>5500000</v>
      </c>
      <c r="I61" s="104" t="s">
        <v>19</v>
      </c>
      <c r="J61" s="24" t="s">
        <v>41</v>
      </c>
      <c r="K61" s="182">
        <v>44098</v>
      </c>
      <c r="L61" s="20" t="s">
        <v>21</v>
      </c>
      <c r="M61" s="7">
        <f>MONTH(List[[#This Row],[Tanggal Pengajuan]])</f>
        <v>11</v>
      </c>
      <c r="N61" s="20" t="s">
        <v>68</v>
      </c>
    </row>
    <row r="62" spans="1:16" s="4" customFormat="1" ht="29.25" customHeight="1" x14ac:dyDescent="0.2">
      <c r="A62" s="21">
        <v>44132</v>
      </c>
      <c r="B62" s="77"/>
      <c r="C62" s="75" t="s">
        <v>871</v>
      </c>
      <c r="D62" s="73" t="s">
        <v>17</v>
      </c>
      <c r="E62" s="75" t="s">
        <v>18</v>
      </c>
      <c r="F62" s="76">
        <v>71</v>
      </c>
      <c r="G62" s="78">
        <v>5500000</v>
      </c>
      <c r="H62" s="41">
        <v>5500000</v>
      </c>
      <c r="I62" s="16" t="s">
        <v>19</v>
      </c>
      <c r="J62" s="24" t="s">
        <v>20</v>
      </c>
      <c r="K62" s="182">
        <v>44140</v>
      </c>
      <c r="L62" s="24" t="s">
        <v>21</v>
      </c>
      <c r="M62" s="7">
        <f>MONTH(List[[#This Row],[Tanggal Pengajuan]])</f>
        <v>10</v>
      </c>
      <c r="N62" s="24" t="s">
        <v>101</v>
      </c>
    </row>
    <row r="63" spans="1:16" s="4" customFormat="1" ht="29.25" customHeight="1" x14ac:dyDescent="0.2">
      <c r="A63" s="21">
        <v>44160</v>
      </c>
      <c r="B63" s="77" t="s">
        <v>121</v>
      </c>
      <c r="C63" s="75" t="s">
        <v>871</v>
      </c>
      <c r="D63" s="73" t="s">
        <v>17</v>
      </c>
      <c r="E63" s="75" t="s">
        <v>18</v>
      </c>
      <c r="F63" s="76">
        <v>77</v>
      </c>
      <c r="G63" s="78">
        <v>5500000</v>
      </c>
      <c r="H63" s="78">
        <v>5500000</v>
      </c>
      <c r="I63" s="80" t="s">
        <v>19</v>
      </c>
      <c r="J63" s="24" t="s">
        <v>20</v>
      </c>
      <c r="K63" s="182">
        <v>44162</v>
      </c>
      <c r="L63" s="24" t="s">
        <v>21</v>
      </c>
      <c r="M63" s="7">
        <f>MONTH(List[[#This Row],[Tanggal Pengajuan]])</f>
        <v>11</v>
      </c>
      <c r="N63" s="24" t="s">
        <v>122</v>
      </c>
      <c r="P63" s="810">
        <f>SUM(G60:G63)</f>
        <v>19500000</v>
      </c>
    </row>
    <row r="64" spans="1:16" s="4" customFormat="1" ht="29.25" customHeight="1" x14ac:dyDescent="0.2">
      <c r="A64" s="21">
        <v>44104</v>
      </c>
      <c r="B64" s="77" t="s">
        <v>97</v>
      </c>
      <c r="C64" s="75" t="s">
        <v>256</v>
      </c>
      <c r="D64" s="73" t="s">
        <v>17</v>
      </c>
      <c r="E64" s="75" t="s">
        <v>18</v>
      </c>
      <c r="F64" s="76">
        <v>16</v>
      </c>
      <c r="G64" s="78">
        <v>13704000</v>
      </c>
      <c r="H64" s="41">
        <v>13704000</v>
      </c>
      <c r="I64" s="16" t="s">
        <v>19</v>
      </c>
      <c r="J64" s="24" t="s">
        <v>20</v>
      </c>
      <c r="K64" s="182">
        <v>44106</v>
      </c>
      <c r="L64" s="20" t="s">
        <v>36</v>
      </c>
      <c r="M64" s="7">
        <f>MONTH(List[[#This Row],[Tanggal Pengajuan]])</f>
        <v>11</v>
      </c>
      <c r="N64" s="20" t="s">
        <v>98</v>
      </c>
    </row>
    <row r="65" spans="1:16" s="4" customFormat="1" ht="29.25" customHeight="1" x14ac:dyDescent="0.2">
      <c r="A65" s="21">
        <v>44166</v>
      </c>
      <c r="B65" s="77" t="s">
        <v>135</v>
      </c>
      <c r="C65" s="75" t="s">
        <v>256</v>
      </c>
      <c r="D65" s="73" t="s">
        <v>17</v>
      </c>
      <c r="E65" s="75" t="s">
        <v>18</v>
      </c>
      <c r="F65" s="76">
        <v>38</v>
      </c>
      <c r="G65" s="78">
        <v>19500000</v>
      </c>
      <c r="H65" s="78">
        <v>19500000</v>
      </c>
      <c r="I65" s="80" t="s">
        <v>19</v>
      </c>
      <c r="J65" s="24" t="s">
        <v>20</v>
      </c>
      <c r="K65" s="182">
        <v>44180</v>
      </c>
      <c r="L65" s="24" t="s">
        <v>136</v>
      </c>
      <c r="M65" s="7">
        <f>MONTH(List[[#This Row],[Tanggal Pengajuan]])</f>
        <v>11</v>
      </c>
      <c r="N65" s="24" t="s">
        <v>137</v>
      </c>
      <c r="P65" s="810">
        <f>SUM(G64:G65)</f>
        <v>33204000</v>
      </c>
    </row>
    <row r="66" spans="1:16" s="4" customFormat="1" ht="29.25" customHeight="1" x14ac:dyDescent="0.2">
      <c r="A66" s="21">
        <v>44183</v>
      </c>
      <c r="B66" s="77" t="s">
        <v>151</v>
      </c>
      <c r="C66" s="22" t="s">
        <v>229</v>
      </c>
      <c r="D66" s="18" t="s">
        <v>17</v>
      </c>
      <c r="E66" s="22" t="s">
        <v>28</v>
      </c>
      <c r="F66" s="79">
        <v>40</v>
      </c>
      <c r="G66" s="78">
        <v>5500000</v>
      </c>
      <c r="H66" s="78">
        <v>5500000</v>
      </c>
      <c r="I66" s="80" t="s">
        <v>19</v>
      </c>
      <c r="J66" s="24" t="s">
        <v>20</v>
      </c>
      <c r="K66" s="182">
        <v>44188</v>
      </c>
      <c r="L66" s="24" t="s">
        <v>21</v>
      </c>
      <c r="M66" s="7">
        <f>MONTH(List[[#This Row],[Tanggal Pengajuan]])</f>
        <v>11</v>
      </c>
      <c r="N66" s="24" t="s">
        <v>152</v>
      </c>
      <c r="P66" s="810">
        <f>+G66</f>
        <v>5500000</v>
      </c>
    </row>
    <row r="67" spans="1:16" s="8" customFormat="1" ht="29.25" customHeight="1" x14ac:dyDescent="0.2">
      <c r="A67" s="764"/>
      <c r="B67" s="824"/>
      <c r="C67" s="786"/>
      <c r="D67" s="786"/>
      <c r="E67" s="786"/>
      <c r="F67" s="825"/>
      <c r="G67" s="826"/>
      <c r="H67" s="826"/>
      <c r="I67" s="838"/>
      <c r="J67" s="766"/>
      <c r="K67" s="827"/>
      <c r="L67" s="766"/>
      <c r="M67" s="7"/>
      <c r="N67" s="766"/>
    </row>
    <row r="68" spans="1:16" s="8" customFormat="1" ht="29.25" customHeight="1" x14ac:dyDescent="0.2">
      <c r="A68" s="772"/>
      <c r="B68" s="829"/>
      <c r="C68" s="788"/>
      <c r="D68" s="788"/>
      <c r="E68" s="788"/>
      <c r="F68" s="830"/>
      <c r="G68" s="849">
        <f>SUM(G47:G67)</f>
        <v>184614000</v>
      </c>
      <c r="H68" s="831"/>
      <c r="I68" s="839"/>
      <c r="J68" s="774"/>
      <c r="K68" s="832"/>
      <c r="L68" s="774"/>
      <c r="M68" s="7"/>
      <c r="N68" s="774"/>
      <c r="P68" s="849">
        <f>SUM(P47:P67)</f>
        <v>184614000</v>
      </c>
    </row>
    <row r="69" spans="1:16" s="8" customFormat="1" ht="29.25" customHeight="1" x14ac:dyDescent="0.2">
      <c r="A69" s="772"/>
      <c r="B69" s="829"/>
      <c r="C69" s="788"/>
      <c r="D69" s="788"/>
      <c r="E69" s="788"/>
      <c r="F69" s="830"/>
      <c r="G69" s="831"/>
      <c r="H69" s="831"/>
      <c r="I69" s="839"/>
      <c r="J69" s="774"/>
      <c r="K69" s="832"/>
      <c r="L69" s="774"/>
      <c r="M69" s="7"/>
      <c r="N69" s="774"/>
      <c r="P69" s="848">
        <f>+P68-'S2 2020'!O4</f>
        <v>-20262000</v>
      </c>
    </row>
    <row r="70" spans="1:16" s="8" customFormat="1" ht="29.25" customHeight="1" x14ac:dyDescent="0.2">
      <c r="A70" s="772"/>
      <c r="B70" s="829"/>
      <c r="C70" s="788"/>
      <c r="D70" s="788"/>
      <c r="E70" s="788"/>
      <c r="F70" s="830"/>
      <c r="G70" s="831"/>
      <c r="H70" s="831"/>
      <c r="I70" s="839"/>
      <c r="J70" s="774"/>
      <c r="K70" s="832"/>
      <c r="L70" s="774"/>
      <c r="M70" s="7"/>
      <c r="N70" s="774"/>
    </row>
    <row r="71" spans="1:16" s="8" customFormat="1" ht="29.25" customHeight="1" x14ac:dyDescent="0.2">
      <c r="A71" s="772"/>
      <c r="B71" s="829"/>
      <c r="C71" s="788"/>
      <c r="D71" s="788"/>
      <c r="E71" s="788"/>
      <c r="F71" s="830"/>
      <c r="G71" s="831"/>
      <c r="H71" s="831"/>
      <c r="I71" s="839"/>
      <c r="J71" s="774"/>
      <c r="K71" s="832"/>
      <c r="L71" s="774"/>
      <c r="M71" s="7"/>
      <c r="N71" s="774"/>
    </row>
    <row r="72" spans="1:16" s="4" customFormat="1" ht="29.25" customHeight="1" x14ac:dyDescent="0.2">
      <c r="A72" s="21">
        <v>44092</v>
      </c>
      <c r="B72" s="77" t="s">
        <v>69</v>
      </c>
      <c r="C72" s="22" t="s">
        <v>70</v>
      </c>
      <c r="D72" s="22" t="s">
        <v>71</v>
      </c>
      <c r="E72" s="22" t="s">
        <v>28</v>
      </c>
      <c r="F72" s="79">
        <v>1</v>
      </c>
      <c r="G72" s="41">
        <v>1000000</v>
      </c>
      <c r="H72" s="41">
        <v>5500000</v>
      </c>
      <c r="I72" s="104" t="s">
        <v>72</v>
      </c>
      <c r="J72" s="24" t="s">
        <v>73</v>
      </c>
      <c r="K72" s="182"/>
      <c r="L72" s="24"/>
      <c r="M72" s="7">
        <f>MONTH(List[[#This Row],[Tanggal Pengajuan]])</f>
        <v>11</v>
      </c>
      <c r="N72" s="24" t="s">
        <v>70</v>
      </c>
      <c r="P72" s="810">
        <f>+G72</f>
        <v>1000000</v>
      </c>
    </row>
    <row r="73" spans="1:16" s="4" customFormat="1" ht="29.25" customHeight="1" x14ac:dyDescent="0.2">
      <c r="A73" s="102"/>
      <c r="B73" s="67"/>
      <c r="C73" s="103"/>
      <c r="D73" s="103"/>
      <c r="E73" s="22"/>
      <c r="F73" s="79"/>
      <c r="G73" s="78"/>
      <c r="H73" s="78"/>
      <c r="I73" s="80"/>
      <c r="J73" s="24"/>
      <c r="K73" s="182"/>
      <c r="L73" s="24"/>
      <c r="M73" s="7"/>
      <c r="N73" s="846"/>
      <c r="P73" s="232">
        <f>+P72-'S2 2020'!O6</f>
        <v>-440737</v>
      </c>
    </row>
    <row r="75" spans="1:16" x14ac:dyDescent="0.2">
      <c r="P75" s="591">
        <f>SUM(P72,P68,P42,P37,P31,P24,P19)</f>
        <v>810558500</v>
      </c>
    </row>
    <row r="76" spans="1:16" x14ac:dyDescent="0.2">
      <c r="P76" s="146">
        <f>+P75-'S2 2020'!O11</f>
        <v>-160947512</v>
      </c>
    </row>
  </sheetData>
  <sortState xmlns:xlrd2="http://schemas.microsoft.com/office/spreadsheetml/2017/richdata2" ref="A47:P66">
    <sortCondition ref="C47"/>
  </sortState>
  <dataValidations count="3">
    <dataValidation allowBlank="1" showInputMessage="1" showErrorMessage="1" prompt="Enter City, State, and Zip Code in this column under this heading" sqref="B2:B3" xr:uid="{00000000-0002-0000-0400-000000000000}"/>
    <dataValidation allowBlank="1" showInputMessage="1" showErrorMessage="1" prompt="Enter Last Name in this column under this heading. Use heading filters to find specific entries" sqref="A2:A3" xr:uid="{00000000-0002-0000-0400-000001000000}"/>
    <dataValidation errorStyle="warning" allowBlank="1" showInputMessage="1" showErrorMessage="1" error="If the card was received, select Yes from the list. Select CANCEL, press ALT+DOWN ARROW for options, then DOWN ARROW and ENTER to make selection" sqref="L53:L59 L61 L3:L46 C2 M7:M46 M2:N6 L47:M51 N9:N48 L51:N52" xr:uid="{00000000-0002-0000-0400-000002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3000000}">
          <x14:formula1>
            <xm:f>'S2 2020'!$B$3:$B$8</xm:f>
          </x14:formula1>
          <xm:sqref>D2:D73</xm:sqref>
        </x14:dataValidation>
        <x14:dataValidation type="list" errorStyle="warning" allowBlank="1" showInputMessage="1" showErrorMessage="1" error="If the card was received, select Yes from the list. Select CANCEL, press ALT+DOWN ARROW for options, then DOWN ARROW and ENTER to make selection" xr:uid="{00000000-0002-0000-0400-000004000000}">
          <x14:formula1>
            <xm:f>Sheet1!$C$2:$C$5</xm:f>
          </x14:formula1>
          <xm:sqref>J2:J73</xm:sqref>
        </x14:dataValidation>
        <x14:dataValidation type="list" allowBlank="1" showInputMessage="1" showErrorMessage="1" xr:uid="{00000000-0002-0000-0400-000005000000}">
          <x14:formula1>
            <xm:f>Sheet1!$B$2:$B$3</xm:f>
          </x14:formula1>
          <xm:sqref>I2:I73</xm:sqref>
        </x14:dataValidation>
        <x14:dataValidation type="list" allowBlank="1" showInputMessage="1" showErrorMessage="1" xr:uid="{00000000-0002-0000-0400-000006000000}">
          <x14:formula1>
            <xm:f>Sheet1!$D$2:$D$4</xm:f>
          </x14:formula1>
          <xm:sqref>E63:E64 E2:E49 E51:E61</xm:sqref>
        </x14:dataValidation>
        <x14:dataValidation type="list" allowBlank="1" showInputMessage="1" showErrorMessage="1" xr:uid="{00000000-0002-0000-0400-000007000000}">
          <x14:formula1>
            <xm:f>Category!$C$5:$C$137</xm:f>
          </x14:formula1>
          <xm:sqref>C3:C73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4"/>
    <pageSetUpPr fitToPage="1"/>
  </sheetPr>
  <dimension ref="A1:S484"/>
  <sheetViews>
    <sheetView showGridLines="0" zoomScale="93" zoomScaleNormal="93" workbookViewId="0">
      <pane xSplit="7" ySplit="2" topLeftCell="H187" activePane="bottomRight" state="frozen"/>
      <selection activeCell="D41" sqref="D41"/>
      <selection pane="bottomLeft" activeCell="D41" sqref="D41"/>
      <selection pane="topRight" activeCell="D41" sqref="D41"/>
      <selection pane="bottomRight" activeCell="D41" sqref="D41"/>
    </sheetView>
  </sheetViews>
  <sheetFormatPr defaultColWidth="9.01171875" defaultRowHeight="30" customHeight="1" x14ac:dyDescent="0.2"/>
  <cols>
    <col min="1" max="1" width="2.5546875" style="4" customWidth="1"/>
    <col min="2" max="2" width="20.3125" style="25" customWidth="1"/>
    <col min="3" max="3" width="21.65625" style="68" customWidth="1"/>
    <col min="4" max="4" width="55.2890625" style="25" customWidth="1"/>
    <col min="5" max="5" width="27.171875" style="25" customWidth="1"/>
    <col min="6" max="6" width="10.35546875" style="25" customWidth="1"/>
    <col min="7" max="7" width="7.93359375" style="25" customWidth="1"/>
    <col min="8" max="8" width="19.234375" style="25" customWidth="1"/>
    <col min="9" max="9" width="20.71484375" style="25" bestFit="1" customWidth="1"/>
    <col min="10" max="10" width="9.55078125" style="25" hidden="1" customWidth="1"/>
    <col min="11" max="11" width="18.0234375" style="25" customWidth="1"/>
    <col min="12" max="12" width="21.25390625" style="25" customWidth="1"/>
    <col min="13" max="13" width="24.34765625" style="25" customWidth="1"/>
    <col min="14" max="14" width="16.41015625" style="25" bestFit="1" customWidth="1"/>
    <col min="15" max="15" width="13.98828125" style="25" bestFit="1" customWidth="1"/>
    <col min="16" max="16" width="52.328125" style="25" customWidth="1"/>
    <col min="17" max="17" width="18.5625" style="112" customWidth="1"/>
    <col min="18" max="18" width="9.01171875" style="4" hidden="1" customWidth="1"/>
    <col min="19" max="16384" width="9.01171875" style="4"/>
  </cols>
  <sheetData>
    <row r="1" spans="2:19" customFormat="1" ht="70.5" customHeight="1" x14ac:dyDescent="0.2">
      <c r="B1" s="10"/>
      <c r="C1" s="64"/>
      <c r="D1" s="11"/>
      <c r="E1" s="11"/>
      <c r="F1" s="11"/>
      <c r="G1" s="11"/>
      <c r="H1" s="11"/>
      <c r="I1" s="11"/>
      <c r="J1" s="11"/>
      <c r="K1" s="11"/>
      <c r="L1" s="10"/>
      <c r="M1" s="11"/>
      <c r="N1" s="11"/>
      <c r="O1" s="10"/>
      <c r="P1" s="11"/>
      <c r="Q1" s="113"/>
    </row>
    <row r="2" spans="2:19" s="114" customFormat="1" ht="94.5" x14ac:dyDescent="0.25">
      <c r="B2" s="162" t="s">
        <v>0</v>
      </c>
      <c r="C2" s="147" t="s">
        <v>327</v>
      </c>
      <c r="D2" s="148" t="s">
        <v>2</v>
      </c>
      <c r="E2" s="147" t="s">
        <v>3</v>
      </c>
      <c r="F2" s="147" t="s">
        <v>4</v>
      </c>
      <c r="G2" s="148" t="s">
        <v>5</v>
      </c>
      <c r="H2" s="148" t="s">
        <v>6</v>
      </c>
      <c r="I2" s="148" t="s">
        <v>7</v>
      </c>
      <c r="J2" s="147" t="s">
        <v>1006</v>
      </c>
      <c r="K2" s="149" t="s">
        <v>9</v>
      </c>
      <c r="L2" s="251" t="s">
        <v>1007</v>
      </c>
      <c r="M2" s="149" t="s">
        <v>11</v>
      </c>
      <c r="N2" s="149" t="s">
        <v>12</v>
      </c>
      <c r="O2" s="150" t="s">
        <v>255</v>
      </c>
      <c r="P2" s="149" t="s">
        <v>13</v>
      </c>
      <c r="Q2" s="149" t="s">
        <v>363</v>
      </c>
      <c r="R2" s="186" t="s">
        <v>967</v>
      </c>
      <c r="S2" s="578" t="s">
        <v>1384</v>
      </c>
    </row>
    <row r="3" spans="2:19" ht="24" customHeight="1" x14ac:dyDescent="0.2">
      <c r="B3" s="13">
        <v>44201</v>
      </c>
      <c r="C3" s="66" t="s">
        <v>211</v>
      </c>
      <c r="D3" s="14" t="s">
        <v>872</v>
      </c>
      <c r="E3" s="18" t="s">
        <v>17</v>
      </c>
      <c r="F3" s="14" t="s">
        <v>18</v>
      </c>
      <c r="G3" s="15">
        <v>70</v>
      </c>
      <c r="H3" s="40">
        <v>5500000</v>
      </c>
      <c r="I3" s="40">
        <f>List3[[#This Row],[Pengajuan Donasi]]</f>
        <v>5500000</v>
      </c>
      <c r="J3" s="24" t="s">
        <v>19</v>
      </c>
      <c r="K3" s="100" t="str">
        <f>IF(List3[[#This Row],[TRF]]="Done","Sudah Transfer","Proses PP/Pengajuan Approval")</f>
        <v>Sudah Transfer</v>
      </c>
      <c r="L3" s="62">
        <v>44214</v>
      </c>
      <c r="M3" s="100" t="s">
        <v>21</v>
      </c>
      <c r="N3" s="100">
        <f>MONTH(List3[[#This Row],[Tanggal Pengajuan]])</f>
        <v>1</v>
      </c>
      <c r="O3" s="62">
        <v>44231</v>
      </c>
      <c r="P3" s="100" t="s">
        <v>212</v>
      </c>
      <c r="Q3" s="110"/>
      <c r="R3" s="237"/>
      <c r="S3" s="577"/>
    </row>
    <row r="4" spans="2:19" ht="24" customHeight="1" x14ac:dyDescent="0.2">
      <c r="B4" s="13">
        <v>44201</v>
      </c>
      <c r="C4" s="66" t="s">
        <v>213</v>
      </c>
      <c r="D4" s="14" t="s">
        <v>869</v>
      </c>
      <c r="E4" s="18" t="s">
        <v>17</v>
      </c>
      <c r="F4" s="14" t="s">
        <v>18</v>
      </c>
      <c r="G4" s="15">
        <v>98</v>
      </c>
      <c r="H4" s="40">
        <v>5500000</v>
      </c>
      <c r="I4" s="40">
        <f>List3[[#This Row],[Pengajuan Donasi]]</f>
        <v>5500000</v>
      </c>
      <c r="J4" s="24" t="s">
        <v>19</v>
      </c>
      <c r="K4" s="100" t="str">
        <f>IF(List3[[#This Row],[TRF]]="Done","Sudah Transfer","Proses PP/Pengajuan Approval")</f>
        <v>Sudah Transfer</v>
      </c>
      <c r="L4" s="62">
        <v>44214</v>
      </c>
      <c r="M4" s="100" t="s">
        <v>21</v>
      </c>
      <c r="N4" s="100">
        <f>MONTH(List3[[#This Row],[Tanggal Pengajuan]])</f>
        <v>1</v>
      </c>
      <c r="O4" s="62">
        <v>44242</v>
      </c>
      <c r="P4" s="100" t="s">
        <v>214</v>
      </c>
      <c r="Q4" s="110"/>
      <c r="R4" s="237"/>
      <c r="S4" s="577"/>
    </row>
    <row r="5" spans="2:19" ht="24" customHeight="1" x14ac:dyDescent="0.2">
      <c r="B5" s="13">
        <v>44201</v>
      </c>
      <c r="C5" s="66" t="s">
        <v>215</v>
      </c>
      <c r="D5" s="14" t="s">
        <v>870</v>
      </c>
      <c r="E5" s="18" t="s">
        <v>17</v>
      </c>
      <c r="F5" s="14" t="s">
        <v>18</v>
      </c>
      <c r="G5" s="15">
        <v>19</v>
      </c>
      <c r="H5" s="40">
        <v>5500000</v>
      </c>
      <c r="I5" s="40">
        <f>List3[[#This Row],[Pengajuan Donasi]]</f>
        <v>5500000</v>
      </c>
      <c r="J5" s="24" t="s">
        <v>19</v>
      </c>
      <c r="K5" s="100" t="str">
        <f>IF(List3[[#This Row],[TRF]]="Done","Sudah Transfer","Proses PP/Pengajuan Approval")</f>
        <v>Sudah Transfer</v>
      </c>
      <c r="L5" s="62">
        <v>44214</v>
      </c>
      <c r="M5" s="100" t="s">
        <v>21</v>
      </c>
      <c r="N5" s="100">
        <f>MONTH(List3[[#This Row],[Tanggal Pengajuan]])</f>
        <v>1</v>
      </c>
      <c r="O5" s="62"/>
      <c r="P5" s="100" t="s">
        <v>216</v>
      </c>
      <c r="Q5" s="110"/>
      <c r="R5" s="237"/>
      <c r="S5" s="577"/>
    </row>
    <row r="6" spans="2:19" ht="24" customHeight="1" x14ac:dyDescent="0.2">
      <c r="B6" s="13">
        <v>44201</v>
      </c>
      <c r="C6" s="66" t="s">
        <v>217</v>
      </c>
      <c r="D6" s="14" t="s">
        <v>229</v>
      </c>
      <c r="E6" s="18" t="s">
        <v>17</v>
      </c>
      <c r="F6" s="14" t="s">
        <v>18</v>
      </c>
      <c r="G6" s="15">
        <v>40</v>
      </c>
      <c r="H6" s="40">
        <v>5500000</v>
      </c>
      <c r="I6" s="40">
        <f>List3[[#This Row],[Pengajuan Donasi]]</f>
        <v>5500000</v>
      </c>
      <c r="J6" s="24" t="s">
        <v>19</v>
      </c>
      <c r="K6" s="100" t="str">
        <f>IF(List3[[#This Row],[TRF]]="Done","Sudah Transfer","Proses PP/Pengajuan Approval")</f>
        <v>Sudah Transfer</v>
      </c>
      <c r="L6" s="62">
        <v>44214</v>
      </c>
      <c r="M6" s="100" t="s">
        <v>21</v>
      </c>
      <c r="N6" s="100">
        <f>MONTH(List3[[#This Row],[Tanggal Pengajuan]])</f>
        <v>1</v>
      </c>
      <c r="O6" s="62">
        <v>44222</v>
      </c>
      <c r="P6" s="100" t="s">
        <v>230</v>
      </c>
      <c r="Q6" s="110"/>
      <c r="R6" s="237"/>
      <c r="S6" s="577"/>
    </row>
    <row r="7" spans="2:19" ht="24" customHeight="1" x14ac:dyDescent="0.2">
      <c r="B7" s="13">
        <v>44201</v>
      </c>
      <c r="C7" s="66" t="s">
        <v>248</v>
      </c>
      <c r="D7" s="14" t="s">
        <v>124</v>
      </c>
      <c r="E7" s="18" t="s">
        <v>17</v>
      </c>
      <c r="F7" s="14" t="s">
        <v>18</v>
      </c>
      <c r="G7" s="15">
        <v>119</v>
      </c>
      <c r="H7" s="40">
        <v>5500000</v>
      </c>
      <c r="I7" s="40">
        <f>List3[[#This Row],[Pengajuan Donasi]]</f>
        <v>5500000</v>
      </c>
      <c r="J7" s="24" t="s">
        <v>19</v>
      </c>
      <c r="K7" s="100" t="str">
        <f>IF(List3[[#This Row],[TRF]]="Done","Sudah Transfer","Proses PP/Pengajuan Approval")</f>
        <v>Sudah Transfer</v>
      </c>
      <c r="L7" s="62">
        <v>44224</v>
      </c>
      <c r="M7" s="100" t="s">
        <v>21</v>
      </c>
      <c r="N7" s="100">
        <f>MONTH(List3[[#This Row],[Tanggal Pengajuan]])</f>
        <v>1</v>
      </c>
      <c r="O7" s="62">
        <v>44235</v>
      </c>
      <c r="P7" s="100" t="s">
        <v>247</v>
      </c>
      <c r="Q7" s="110"/>
      <c r="R7" s="237"/>
      <c r="S7" s="577"/>
    </row>
    <row r="8" spans="2:19" ht="24" customHeight="1" x14ac:dyDescent="0.2">
      <c r="B8" s="13">
        <v>44201</v>
      </c>
      <c r="C8" s="66" t="s">
        <v>218</v>
      </c>
      <c r="D8" s="14" t="s">
        <v>871</v>
      </c>
      <c r="E8" s="18" t="s">
        <v>17</v>
      </c>
      <c r="F8" s="14" t="s">
        <v>18</v>
      </c>
      <c r="G8" s="15">
        <v>77</v>
      </c>
      <c r="H8" s="40">
        <v>5500000</v>
      </c>
      <c r="I8" s="40">
        <f>List3[[#This Row],[Pengajuan Donasi]]</f>
        <v>5500000</v>
      </c>
      <c r="J8" s="24" t="s">
        <v>19</v>
      </c>
      <c r="K8" s="100" t="str">
        <f>IF(List3[[#This Row],[TRF]]="Done","Sudah Transfer","Proses PP/Pengajuan Approval")</f>
        <v>Sudah Transfer</v>
      </c>
      <c r="L8" s="62">
        <v>44214</v>
      </c>
      <c r="M8" s="100" t="s">
        <v>21</v>
      </c>
      <c r="N8" s="100">
        <f>MONTH(List3[[#This Row],[Tanggal Pengajuan]])</f>
        <v>1</v>
      </c>
      <c r="O8" s="62"/>
      <c r="P8" s="100" t="s">
        <v>219</v>
      </c>
      <c r="Q8" s="110"/>
      <c r="R8" s="237"/>
      <c r="S8" s="577"/>
    </row>
    <row r="9" spans="2:19" ht="24" customHeight="1" x14ac:dyDescent="0.2">
      <c r="B9" s="13">
        <v>44204</v>
      </c>
      <c r="C9" s="13" t="s">
        <v>220</v>
      </c>
      <c r="D9" s="14" t="s">
        <v>256</v>
      </c>
      <c r="E9" s="18" t="s">
        <v>17</v>
      </c>
      <c r="F9" s="14" t="s">
        <v>18</v>
      </c>
      <c r="G9" s="15">
        <v>86</v>
      </c>
      <c r="H9" s="40">
        <v>8500000</v>
      </c>
      <c r="I9" s="40">
        <f>List3[[#This Row],[Pengajuan Donasi]]</f>
        <v>8500000</v>
      </c>
      <c r="J9" s="24" t="s">
        <v>19</v>
      </c>
      <c r="K9" s="100" t="str">
        <f>IF(List3[[#This Row],[TRF]]="Done","Sudah Transfer","Proses PP/Pengajuan Approval")</f>
        <v>Sudah Transfer</v>
      </c>
      <c r="L9" s="62">
        <v>44218</v>
      </c>
      <c r="M9" s="100" t="s">
        <v>136</v>
      </c>
      <c r="N9" s="100">
        <f>MONTH(List3[[#This Row],[Tanggal Pengajuan]])</f>
        <v>1</v>
      </c>
      <c r="O9" s="62"/>
      <c r="P9" s="100" t="s">
        <v>223</v>
      </c>
      <c r="Q9" s="110"/>
      <c r="R9" s="237"/>
      <c r="S9" s="577"/>
    </row>
    <row r="10" spans="2:19" ht="24" customHeight="1" x14ac:dyDescent="0.2">
      <c r="B10" s="13">
        <v>44204</v>
      </c>
      <c r="C10" s="13" t="s">
        <v>220</v>
      </c>
      <c r="D10" s="14" t="s">
        <v>257</v>
      </c>
      <c r="E10" s="18" t="s">
        <v>17</v>
      </c>
      <c r="F10" s="14" t="s">
        <v>18</v>
      </c>
      <c r="G10" s="15">
        <v>134</v>
      </c>
      <c r="H10" s="40">
        <v>5500000</v>
      </c>
      <c r="I10" s="40">
        <f>List3[[#This Row],[Pengajuan Donasi]]</f>
        <v>5500000</v>
      </c>
      <c r="J10" s="24" t="s">
        <v>19</v>
      </c>
      <c r="K10" s="100" t="str">
        <f>IF(List3[[#This Row],[TRF]]="Done","Sudah Transfer","Proses PP/Pengajuan Approval")</f>
        <v>Sudah Transfer</v>
      </c>
      <c r="L10" s="62">
        <v>44218</v>
      </c>
      <c r="M10" s="100" t="s">
        <v>136</v>
      </c>
      <c r="N10" s="100">
        <f>MONTH(List3[[#This Row],[Tanggal Pengajuan]])</f>
        <v>1</v>
      </c>
      <c r="O10" s="62"/>
      <c r="P10" s="100" t="s">
        <v>223</v>
      </c>
      <c r="Q10" s="110"/>
      <c r="R10" s="237"/>
      <c r="S10" s="577"/>
    </row>
    <row r="11" spans="2:19" ht="24" customHeight="1" x14ac:dyDescent="0.2">
      <c r="B11" s="13">
        <v>44204</v>
      </c>
      <c r="C11" s="13" t="s">
        <v>220</v>
      </c>
      <c r="D11" s="14" t="s">
        <v>222</v>
      </c>
      <c r="E11" s="18" t="s">
        <v>17</v>
      </c>
      <c r="F11" s="14" t="s">
        <v>18</v>
      </c>
      <c r="G11" s="15">
        <v>34</v>
      </c>
      <c r="H11" s="40">
        <v>5500000</v>
      </c>
      <c r="I11" s="40">
        <f>List3[[#This Row],[Pengajuan Donasi]]</f>
        <v>5500000</v>
      </c>
      <c r="J11" s="24" t="s">
        <v>19</v>
      </c>
      <c r="K11" s="100" t="str">
        <f>IF(List3[[#This Row],[TRF]]="Done","Sudah Transfer","Proses PP/Pengajuan Approval")</f>
        <v>Sudah Transfer</v>
      </c>
      <c r="L11" s="62">
        <v>44218</v>
      </c>
      <c r="M11" s="100" t="s">
        <v>136</v>
      </c>
      <c r="N11" s="100">
        <f>MONTH(List3[[#This Row],[Tanggal Pengajuan]])</f>
        <v>1</v>
      </c>
      <c r="O11" s="62"/>
      <c r="P11" s="100" t="s">
        <v>224</v>
      </c>
      <c r="Q11" s="110"/>
      <c r="R11" s="237"/>
      <c r="S11" s="577"/>
    </row>
    <row r="12" spans="2:19" ht="24" customHeight="1" x14ac:dyDescent="0.2">
      <c r="B12" s="210">
        <v>44207</v>
      </c>
      <c r="C12" s="210" t="s">
        <v>321</v>
      </c>
      <c r="D12" s="164" t="s">
        <v>991</v>
      </c>
      <c r="E12" s="174" t="s">
        <v>1055</v>
      </c>
      <c r="F12" s="164" t="s">
        <v>28</v>
      </c>
      <c r="G12" s="15">
        <v>0</v>
      </c>
      <c r="H12" s="171">
        <v>100000000</v>
      </c>
      <c r="I12" s="171">
        <f>List3[[#This Row],[Pengajuan Donasi]]</f>
        <v>100000000</v>
      </c>
      <c r="J12" s="211"/>
      <c r="K12" s="211"/>
      <c r="L12" s="194">
        <v>44214</v>
      </c>
      <c r="M12" s="193" t="s">
        <v>146</v>
      </c>
      <c r="N12" s="211">
        <v>1</v>
      </c>
      <c r="O12" s="194"/>
      <c r="P12" s="164" t="s">
        <v>25</v>
      </c>
      <c r="Q12" s="212" t="s">
        <v>317</v>
      </c>
      <c r="R12" s="237"/>
      <c r="S12" s="577"/>
    </row>
    <row r="13" spans="2:19" ht="24" customHeight="1" x14ac:dyDescent="0.2">
      <c r="B13" s="13">
        <v>44210</v>
      </c>
      <c r="C13" s="66" t="s">
        <v>225</v>
      </c>
      <c r="D13" s="100" t="s">
        <v>226</v>
      </c>
      <c r="E13" s="18" t="s">
        <v>71</v>
      </c>
      <c r="F13" s="22" t="s">
        <v>28</v>
      </c>
      <c r="G13" s="15">
        <v>1</v>
      </c>
      <c r="H13" s="40">
        <v>770000</v>
      </c>
      <c r="I13" s="40">
        <f>List3[[#This Row],[Pengajuan Donasi]]</f>
        <v>770000</v>
      </c>
      <c r="J13" s="24" t="s">
        <v>19</v>
      </c>
      <c r="K13" s="100" t="str">
        <f>IF(List3[[#This Row],[TRF]]="Done","Sudah Transfer","Proses PP/Pengajuan Approval")</f>
        <v>Sudah Transfer</v>
      </c>
      <c r="L13" s="101">
        <v>44224</v>
      </c>
      <c r="M13" s="100" t="s">
        <v>227</v>
      </c>
      <c r="N13" s="100">
        <f>MONTH(List3[[#This Row],[Tanggal Pengajuan]])</f>
        <v>1</v>
      </c>
      <c r="O13" s="101"/>
      <c r="P13" s="100" t="s">
        <v>25</v>
      </c>
      <c r="Q13" s="110"/>
      <c r="R13" s="237"/>
      <c r="S13" s="577"/>
    </row>
    <row r="14" spans="2:19" ht="24" customHeight="1" x14ac:dyDescent="0.2">
      <c r="B14" s="13">
        <v>44221</v>
      </c>
      <c r="C14" s="66" t="s">
        <v>234</v>
      </c>
      <c r="D14" s="14" t="s">
        <v>848</v>
      </c>
      <c r="E14" s="18" t="s">
        <v>17</v>
      </c>
      <c r="F14" s="14" t="s">
        <v>18</v>
      </c>
      <c r="G14" s="15">
        <v>36</v>
      </c>
      <c r="H14" s="40">
        <v>5500000</v>
      </c>
      <c r="I14" s="40">
        <f>List3[[#This Row],[Pengajuan Donasi]]</f>
        <v>5500000</v>
      </c>
      <c r="J14" s="24" t="s">
        <v>19</v>
      </c>
      <c r="K14" s="100" t="str">
        <f>IF(List3[[#This Row],[TRF]]="Done","Sudah Transfer","Proses PP/Pengajuan Approval")</f>
        <v>Sudah Transfer</v>
      </c>
      <c r="L14" s="101">
        <v>44225</v>
      </c>
      <c r="M14" s="100" t="s">
        <v>21</v>
      </c>
      <c r="N14" s="100">
        <f>MONTH(List3[[#This Row],[Tanggal Pengajuan]])</f>
        <v>1</v>
      </c>
      <c r="O14" s="101"/>
      <c r="P14" s="100" t="s">
        <v>241</v>
      </c>
      <c r="Q14" s="110"/>
      <c r="R14" s="237"/>
      <c r="S14" s="577"/>
    </row>
    <row r="15" spans="2:19" ht="24" customHeight="1" x14ac:dyDescent="0.2">
      <c r="B15" s="13">
        <v>44221</v>
      </c>
      <c r="C15" s="66" t="s">
        <v>242</v>
      </c>
      <c r="D15" s="14" t="s">
        <v>867</v>
      </c>
      <c r="E15" s="18" t="s">
        <v>17</v>
      </c>
      <c r="F15" s="14" t="s">
        <v>18</v>
      </c>
      <c r="G15" s="15">
        <v>83</v>
      </c>
      <c r="H15" s="40">
        <v>5500000</v>
      </c>
      <c r="I15" s="40">
        <f>List3[[#This Row],[Pengajuan Donasi]]</f>
        <v>5500000</v>
      </c>
      <c r="J15" s="24" t="s">
        <v>19</v>
      </c>
      <c r="K15" s="100" t="str">
        <f>IF(List3[[#This Row],[TRF]]="Done","Sudah Transfer","Proses PP/Pengajuan Approval")</f>
        <v>Sudah Transfer</v>
      </c>
      <c r="L15" s="101">
        <v>44225</v>
      </c>
      <c r="M15" s="100" t="s">
        <v>21</v>
      </c>
      <c r="N15" s="100">
        <f>MONTH(List3[[#This Row],[Tanggal Pengajuan]])</f>
        <v>1</v>
      </c>
      <c r="O15" s="101"/>
      <c r="P15" s="100" t="s">
        <v>241</v>
      </c>
      <c r="Q15" s="110"/>
      <c r="R15" s="237"/>
      <c r="S15" s="577"/>
    </row>
    <row r="16" spans="2:19" ht="24" customHeight="1" x14ac:dyDescent="0.2">
      <c r="B16" s="13">
        <v>44221</v>
      </c>
      <c r="C16" s="66" t="s">
        <v>243</v>
      </c>
      <c r="D16" s="14" t="s">
        <v>855</v>
      </c>
      <c r="E16" s="18" t="s">
        <v>17</v>
      </c>
      <c r="F16" s="14" t="s">
        <v>18</v>
      </c>
      <c r="G16" s="15">
        <v>91</v>
      </c>
      <c r="H16" s="40">
        <v>5500000</v>
      </c>
      <c r="I16" s="40">
        <f>List3[[#This Row],[Pengajuan Donasi]]</f>
        <v>5500000</v>
      </c>
      <c r="J16" s="24" t="s">
        <v>19</v>
      </c>
      <c r="K16" s="100" t="str">
        <f>IF(List3[[#This Row],[TRF]]="Done","Sudah Transfer","Proses PP/Pengajuan Approval")</f>
        <v>Sudah Transfer</v>
      </c>
      <c r="L16" s="101">
        <v>44225</v>
      </c>
      <c r="M16" s="100" t="s">
        <v>21</v>
      </c>
      <c r="N16" s="100">
        <f>MONTH(List3[[#This Row],[Tanggal Pengajuan]])</f>
        <v>1</v>
      </c>
      <c r="O16" s="101"/>
      <c r="P16" s="100" t="s">
        <v>241</v>
      </c>
      <c r="Q16" s="110"/>
      <c r="R16" s="237"/>
      <c r="S16" s="577"/>
    </row>
    <row r="17" spans="2:19" ht="24" customHeight="1" x14ac:dyDescent="0.2">
      <c r="B17" s="13">
        <v>44221</v>
      </c>
      <c r="C17" s="66" t="s">
        <v>244</v>
      </c>
      <c r="D17" s="14" t="s">
        <v>238</v>
      </c>
      <c r="E17" s="18" t="s">
        <v>17</v>
      </c>
      <c r="F17" s="14" t="s">
        <v>18</v>
      </c>
      <c r="G17" s="15">
        <v>40</v>
      </c>
      <c r="H17" s="40">
        <v>5500000</v>
      </c>
      <c r="I17" s="40">
        <f>List3[[#This Row],[Pengajuan Donasi]]</f>
        <v>5500000</v>
      </c>
      <c r="J17" s="24" t="s">
        <v>19</v>
      </c>
      <c r="K17" s="100" t="str">
        <f>IF(List3[[#This Row],[TRF]]="Done","Sudah Transfer","Proses PP/Pengajuan Approval")</f>
        <v>Sudah Transfer</v>
      </c>
      <c r="L17" s="101">
        <v>44225</v>
      </c>
      <c r="M17" s="100" t="s">
        <v>21</v>
      </c>
      <c r="N17" s="100">
        <f>MONTH(List3[[#This Row],[Tanggal Pengajuan]])</f>
        <v>1</v>
      </c>
      <c r="O17" s="101"/>
      <c r="P17" s="100" t="s">
        <v>241</v>
      </c>
      <c r="Q17" s="110"/>
      <c r="R17" s="237"/>
      <c r="S17" s="577"/>
    </row>
    <row r="18" spans="2:19" ht="24" customHeight="1" x14ac:dyDescent="0.2">
      <c r="B18" s="13"/>
      <c r="C18" s="66" t="s">
        <v>1604</v>
      </c>
      <c r="D18" s="14"/>
      <c r="E18" s="18"/>
      <c r="F18" s="14"/>
      <c r="G18" s="15">
        <f>IFERROR(VLOOKUP(List3[[#This Row],[Site / Lokasi]],Data!B:C,2,0),0)</f>
        <v>0</v>
      </c>
      <c r="H18" s="40"/>
      <c r="I18" s="40">
        <f>List3[[#This Row],[Pengajuan Donasi]]</f>
        <v>0</v>
      </c>
      <c r="J18" s="24"/>
      <c r="K18" s="100"/>
      <c r="L18" s="183"/>
      <c r="M18" s="100"/>
      <c r="N18" s="100">
        <f>MONTH(List3[[#This Row],[Tanggal Pengajuan]])</f>
        <v>1</v>
      </c>
      <c r="O18" s="183"/>
      <c r="P18" s="100"/>
      <c r="Q18" s="110"/>
      <c r="R18" s="237"/>
      <c r="S18" s="577"/>
    </row>
    <row r="19" spans="2:19" ht="24" customHeight="1" x14ac:dyDescent="0.2">
      <c r="B19" s="13">
        <v>44223</v>
      </c>
      <c r="C19" s="66" t="s">
        <v>245</v>
      </c>
      <c r="D19" s="14" t="s">
        <v>849</v>
      </c>
      <c r="E19" s="18" t="s">
        <v>17</v>
      </c>
      <c r="F19" s="14" t="s">
        <v>18</v>
      </c>
      <c r="G19" s="15">
        <v>63</v>
      </c>
      <c r="H19" s="40">
        <v>5500000</v>
      </c>
      <c r="I19" s="40">
        <f>List3[[#This Row],[Pengajuan Donasi]]</f>
        <v>5500000</v>
      </c>
      <c r="J19" s="24" t="s">
        <v>19</v>
      </c>
      <c r="K19" s="100" t="s">
        <v>41</v>
      </c>
      <c r="L19" s="101">
        <v>44225</v>
      </c>
      <c r="M19" s="100" t="s">
        <v>21</v>
      </c>
      <c r="N19" s="100">
        <f>MONTH(List3[[#This Row],[Tanggal Pengajuan]])</f>
        <v>1</v>
      </c>
      <c r="O19" s="101">
        <v>44309</v>
      </c>
      <c r="P19" s="100" t="s">
        <v>241</v>
      </c>
      <c r="Q19" s="110"/>
      <c r="R19" s="237"/>
      <c r="S19" s="577"/>
    </row>
    <row r="20" spans="2:19" ht="24" customHeight="1" x14ac:dyDescent="0.2">
      <c r="B20" s="13">
        <v>44223</v>
      </c>
      <c r="C20" s="66" t="s">
        <v>246</v>
      </c>
      <c r="D20" s="14" t="s">
        <v>850</v>
      </c>
      <c r="E20" s="18" t="s">
        <v>17</v>
      </c>
      <c r="F20" s="14" t="s">
        <v>18</v>
      </c>
      <c r="G20" s="15">
        <v>57</v>
      </c>
      <c r="H20" s="40">
        <v>5500000</v>
      </c>
      <c r="I20" s="40">
        <f>List3[[#This Row],[Pengajuan Donasi]]</f>
        <v>5500000</v>
      </c>
      <c r="J20" s="24" t="s">
        <v>19</v>
      </c>
      <c r="K20" s="100" t="str">
        <f>IF(List3[[#This Row],[TRF]]="Done","Sudah Transfer","Proses PP/Pengajuan Approval")</f>
        <v>Sudah Transfer</v>
      </c>
      <c r="L20" s="101">
        <v>44225</v>
      </c>
      <c r="M20" s="100" t="s">
        <v>21</v>
      </c>
      <c r="N20" s="100">
        <f>MONTH(List3[[#This Row],[Tanggal Pengajuan]])</f>
        <v>1</v>
      </c>
      <c r="O20" s="101"/>
      <c r="P20" s="100" t="s">
        <v>241</v>
      </c>
      <c r="Q20" s="110"/>
      <c r="R20" s="237"/>
      <c r="S20" s="577"/>
    </row>
    <row r="21" spans="2:19" ht="24" customHeight="1" x14ac:dyDescent="0.2">
      <c r="B21" s="13">
        <v>44230</v>
      </c>
      <c r="C21" s="66" t="s">
        <v>251</v>
      </c>
      <c r="D21" s="14" t="s">
        <v>851</v>
      </c>
      <c r="E21" s="18" t="s">
        <v>17</v>
      </c>
      <c r="F21" s="14" t="s">
        <v>18</v>
      </c>
      <c r="G21" s="15">
        <v>22</v>
      </c>
      <c r="H21" s="40">
        <v>5500000</v>
      </c>
      <c r="I21" s="40">
        <f>List3[[#This Row],[Pengajuan Donasi]]</f>
        <v>5500000</v>
      </c>
      <c r="J21" s="24" t="s">
        <v>19</v>
      </c>
      <c r="K21" s="100" t="str">
        <f>IF(List3[[#This Row],[TRF]]="Done","Sudah Transfer","Proses PP/Pengajuan Approval")</f>
        <v>Sudah Transfer</v>
      </c>
      <c r="L21" s="101">
        <v>44232</v>
      </c>
      <c r="M21" s="100" t="s">
        <v>21</v>
      </c>
      <c r="N21" s="100">
        <f>MONTH(List3[[#This Row],[Tanggal Pengajuan]])</f>
        <v>2</v>
      </c>
      <c r="O21" s="101">
        <v>44235</v>
      </c>
      <c r="P21" s="100" t="s">
        <v>241</v>
      </c>
      <c r="Q21" s="110"/>
      <c r="R21" s="237"/>
      <c r="S21" s="577"/>
    </row>
    <row r="22" spans="2:19" ht="24" customHeight="1" x14ac:dyDescent="0.2">
      <c r="B22" s="13">
        <v>44230</v>
      </c>
      <c r="C22" s="66" t="s">
        <v>249</v>
      </c>
      <c r="D22" s="14" t="s">
        <v>852</v>
      </c>
      <c r="E22" s="18" t="s">
        <v>17</v>
      </c>
      <c r="F22" s="14" t="s">
        <v>18</v>
      </c>
      <c r="G22" s="15">
        <v>42</v>
      </c>
      <c r="H22" s="40">
        <v>5500000</v>
      </c>
      <c r="I22" s="40">
        <f>List3[[#This Row],[Pengajuan Donasi]]</f>
        <v>5500000</v>
      </c>
      <c r="J22" s="24" t="s">
        <v>19</v>
      </c>
      <c r="K22" s="100" t="str">
        <f>IF(List3[[#This Row],[TRF]]="Done","Sudah Transfer","Proses PP/Pengajuan Approval")</f>
        <v>Sudah Transfer</v>
      </c>
      <c r="L22" s="101">
        <v>44232</v>
      </c>
      <c r="M22" s="100" t="s">
        <v>21</v>
      </c>
      <c r="N22" s="100">
        <f>MONTH(List3[[#This Row],[Tanggal Pengajuan]])</f>
        <v>2</v>
      </c>
      <c r="O22" s="101">
        <v>44236</v>
      </c>
      <c r="P22" s="100" t="s">
        <v>241</v>
      </c>
      <c r="Q22" s="110"/>
      <c r="R22" s="237"/>
      <c r="S22" s="577"/>
    </row>
    <row r="23" spans="2:19" ht="24" customHeight="1" x14ac:dyDescent="0.2">
      <c r="B23" s="13">
        <v>44600</v>
      </c>
      <c r="C23" s="66" t="s">
        <v>272</v>
      </c>
      <c r="D23" s="100" t="s">
        <v>1059</v>
      </c>
      <c r="E23" s="18" t="s">
        <v>1055</v>
      </c>
      <c r="F23" s="14" t="s">
        <v>18</v>
      </c>
      <c r="G23" s="15">
        <v>0</v>
      </c>
      <c r="H23" s="40">
        <v>25678500</v>
      </c>
      <c r="I23" s="40">
        <f>List3[[#This Row],[Pengajuan Donasi]]</f>
        <v>25678500</v>
      </c>
      <c r="J23" s="16"/>
      <c r="K23" s="14" t="s">
        <v>984</v>
      </c>
      <c r="L23" s="101"/>
      <c r="M23" s="100" t="s">
        <v>146</v>
      </c>
      <c r="N23" s="100">
        <f>MONTH(List3[[#This Row],[Tanggal Pengajuan]])</f>
        <v>2</v>
      </c>
      <c r="O23" s="101"/>
      <c r="P23" s="14" t="s">
        <v>25</v>
      </c>
      <c r="Q23" s="110" t="s">
        <v>317</v>
      </c>
      <c r="R23" s="237"/>
      <c r="S23" s="577"/>
    </row>
    <row r="24" spans="2:19" ht="24" customHeight="1" x14ac:dyDescent="0.2">
      <c r="B24" s="13">
        <v>44236</v>
      </c>
      <c r="C24" s="66" t="s">
        <v>253</v>
      </c>
      <c r="D24" s="14" t="s">
        <v>64</v>
      </c>
      <c r="E24" s="18" t="s">
        <v>107</v>
      </c>
      <c r="F24" s="14" t="s">
        <v>28</v>
      </c>
      <c r="G24" s="15">
        <v>15</v>
      </c>
      <c r="H24" s="40">
        <v>25725000</v>
      </c>
      <c r="I24" s="40">
        <f>List3[[#This Row],[Pengajuan Donasi]]</f>
        <v>25725000</v>
      </c>
      <c r="J24" s="24" t="s">
        <v>19</v>
      </c>
      <c r="K24" s="100" t="str">
        <f>IF(List3[[#This Row],[TRF]]="Done","Sudah Transfer","Proses PP/Pengajuan Approval")</f>
        <v>Sudah Transfer</v>
      </c>
      <c r="L24" s="101">
        <v>44252</v>
      </c>
      <c r="M24" s="100" t="s">
        <v>65</v>
      </c>
      <c r="N24" s="100">
        <f>MONTH(List3[[#This Row],[Tanggal Pengajuan]])</f>
        <v>2</v>
      </c>
      <c r="O24" s="101"/>
      <c r="P24" s="100" t="s">
        <v>254</v>
      </c>
      <c r="Q24" s="110"/>
      <c r="R24" s="237"/>
      <c r="S24" s="577" t="s">
        <v>1383</v>
      </c>
    </row>
    <row r="25" spans="2:19" ht="24" customHeight="1" x14ac:dyDescent="0.2">
      <c r="B25" s="13">
        <v>44243</v>
      </c>
      <c r="C25" s="66" t="s">
        <v>258</v>
      </c>
      <c r="D25" s="14" t="s">
        <v>990</v>
      </c>
      <c r="E25" s="18" t="s">
        <v>17</v>
      </c>
      <c r="F25" s="14" t="s">
        <v>18</v>
      </c>
      <c r="G25" s="15">
        <v>0</v>
      </c>
      <c r="H25" s="40">
        <v>5500000</v>
      </c>
      <c r="I25" s="40">
        <f>List3[[#This Row],[Pengajuan Donasi]]</f>
        <v>5500000</v>
      </c>
      <c r="J25" s="24" t="s">
        <v>19</v>
      </c>
      <c r="K25" s="100" t="str">
        <f>IF(List3[[#This Row],[TRF]]="Done","Sudah Transfer","Proses PP/Pengajuan Approval")</f>
        <v>Sudah Transfer</v>
      </c>
      <c r="L25" s="101">
        <v>44246</v>
      </c>
      <c r="M25" s="100" t="s">
        <v>21</v>
      </c>
      <c r="N25" s="100">
        <f>MONTH(List3[[#This Row],[Tanggal Pengajuan]])</f>
        <v>2</v>
      </c>
      <c r="O25" s="101"/>
      <c r="P25" s="100" t="s">
        <v>259</v>
      </c>
      <c r="Q25" s="110"/>
      <c r="R25" s="237"/>
      <c r="S25" s="577"/>
    </row>
    <row r="26" spans="2:19" ht="24" customHeight="1" x14ac:dyDescent="0.2">
      <c r="B26" s="13">
        <v>44243</v>
      </c>
      <c r="C26" s="66" t="s">
        <v>262</v>
      </c>
      <c r="D26" s="14" t="s">
        <v>853</v>
      </c>
      <c r="E26" s="18" t="s">
        <v>17</v>
      </c>
      <c r="F26" s="14" t="s">
        <v>18</v>
      </c>
      <c r="G26" s="15">
        <v>26</v>
      </c>
      <c r="H26" s="40">
        <v>5500000</v>
      </c>
      <c r="I26" s="40">
        <f>List3[[#This Row],[Pengajuan Donasi]]</f>
        <v>5500000</v>
      </c>
      <c r="J26" s="24" t="s">
        <v>19</v>
      </c>
      <c r="K26" s="100" t="str">
        <f>IF(List3[[#This Row],[TRF]]="Done","Sudah Transfer","Proses PP/Pengajuan Approval")</f>
        <v>Sudah Transfer</v>
      </c>
      <c r="L26" s="101">
        <v>44246</v>
      </c>
      <c r="M26" s="100" t="s">
        <v>21</v>
      </c>
      <c r="N26" s="100">
        <f>MONTH(List3[[#This Row],[Tanggal Pengajuan]])</f>
        <v>2</v>
      </c>
      <c r="O26" s="101">
        <v>44253</v>
      </c>
      <c r="P26" s="100" t="s">
        <v>263</v>
      </c>
      <c r="Q26" s="110"/>
      <c r="R26" s="237"/>
      <c r="S26" s="577"/>
    </row>
    <row r="27" spans="2:19" ht="24" customHeight="1" x14ac:dyDescent="0.2">
      <c r="B27" s="13">
        <v>44249</v>
      </c>
      <c r="C27" s="66" t="s">
        <v>264</v>
      </c>
      <c r="D27" s="14" t="s">
        <v>53</v>
      </c>
      <c r="E27" s="18" t="s">
        <v>179</v>
      </c>
      <c r="F27" s="14" t="s">
        <v>18</v>
      </c>
      <c r="G27" s="15">
        <v>52</v>
      </c>
      <c r="H27" s="40">
        <v>37080000</v>
      </c>
      <c r="I27" s="40">
        <f>List3[[#This Row],[Pengajuan Donasi]]</f>
        <v>37080000</v>
      </c>
      <c r="J27" s="24" t="s">
        <v>19</v>
      </c>
      <c r="K27" s="100" t="str">
        <f>IF(List3[[#This Row],[TRF]]="Done","Sudah Transfer","Proses PP/Pengajuan Approval")</f>
        <v>Sudah Transfer</v>
      </c>
      <c r="L27" s="101">
        <v>44257</v>
      </c>
      <c r="M27" s="100" t="s">
        <v>265</v>
      </c>
      <c r="N27" s="100">
        <f>MONTH(List3[[#This Row],[Tanggal Pengajuan]])</f>
        <v>2</v>
      </c>
      <c r="O27" s="101"/>
      <c r="P27" s="100" t="s">
        <v>268</v>
      </c>
      <c r="Q27" s="110"/>
      <c r="R27" s="237"/>
      <c r="S27" s="577"/>
    </row>
    <row r="28" spans="2:19" ht="24" customHeight="1" x14ac:dyDescent="0.2">
      <c r="B28" s="13">
        <v>44249</v>
      </c>
      <c r="C28" s="66" t="s">
        <v>266</v>
      </c>
      <c r="D28" s="14" t="s">
        <v>413</v>
      </c>
      <c r="E28" s="18" t="s">
        <v>57</v>
      </c>
      <c r="F28" s="14" t="s">
        <v>28</v>
      </c>
      <c r="G28" s="15">
        <v>8</v>
      </c>
      <c r="H28" s="40">
        <v>26400000</v>
      </c>
      <c r="I28" s="40">
        <f>List3[[#This Row],[Pengajuan Donasi]]</f>
        <v>26400000</v>
      </c>
      <c r="J28" s="24" t="s">
        <v>19</v>
      </c>
      <c r="K28" s="100" t="str">
        <f>IF(List3[[#This Row],[TRF]]="Done","Sudah Transfer","Proses PP/Pengajuan Approval")</f>
        <v>Sudah Transfer</v>
      </c>
      <c r="L28" s="101">
        <v>44266</v>
      </c>
      <c r="M28" s="100" t="s">
        <v>265</v>
      </c>
      <c r="N28" s="100">
        <f>MONTH(List3[[#This Row],[Tanggal Pengajuan]])</f>
        <v>2</v>
      </c>
      <c r="O28" s="101"/>
      <c r="P28" s="100" t="s">
        <v>267</v>
      </c>
      <c r="Q28" s="110"/>
      <c r="R28" s="237"/>
      <c r="S28" s="577"/>
    </row>
    <row r="29" spans="2:19" ht="24" customHeight="1" x14ac:dyDescent="0.2">
      <c r="B29" s="13">
        <v>44249</v>
      </c>
      <c r="C29" s="66" t="s">
        <v>269</v>
      </c>
      <c r="D29" s="14" t="s">
        <v>48</v>
      </c>
      <c r="E29" s="18" t="s">
        <v>26</v>
      </c>
      <c r="F29" s="14" t="s">
        <v>28</v>
      </c>
      <c r="G29" s="15">
        <v>32</v>
      </c>
      <c r="H29" s="40">
        <v>3580500</v>
      </c>
      <c r="I29" s="40">
        <f>List3[[#This Row],[Pengajuan Donasi]]</f>
        <v>3580500</v>
      </c>
      <c r="J29" s="16"/>
      <c r="K29" s="100" t="str">
        <f>IF(List3[[#This Row],[TRF]]="Done","Sudah Transfer","Proses PP/Pengajuan Approval")</f>
        <v>Proses PP/Pengajuan Approval</v>
      </c>
      <c r="L29" s="101"/>
      <c r="M29" s="100" t="s">
        <v>270</v>
      </c>
      <c r="N29" s="100">
        <f>MONTH(List3[[#This Row],[Tanggal Pengajuan]])</f>
        <v>2</v>
      </c>
      <c r="O29" s="101"/>
      <c r="P29" s="100" t="s">
        <v>271</v>
      </c>
      <c r="Q29" s="110" t="s">
        <v>364</v>
      </c>
      <c r="R29" s="237"/>
      <c r="S29" s="577"/>
    </row>
    <row r="30" spans="2:19" ht="24" customHeight="1" x14ac:dyDescent="0.2">
      <c r="B30" s="13">
        <v>44615</v>
      </c>
      <c r="C30" s="66" t="s">
        <v>274</v>
      </c>
      <c r="D30" s="100" t="s">
        <v>1059</v>
      </c>
      <c r="E30" s="18" t="s">
        <v>1055</v>
      </c>
      <c r="F30" s="14" t="s">
        <v>18</v>
      </c>
      <c r="G30" s="15">
        <v>0</v>
      </c>
      <c r="H30" s="40">
        <v>2054200</v>
      </c>
      <c r="I30" s="40">
        <f>List3[[#This Row],[Pengajuan Donasi]]</f>
        <v>2054200</v>
      </c>
      <c r="J30" s="16"/>
      <c r="K30" s="100" t="s">
        <v>985</v>
      </c>
      <c r="L30" s="101"/>
      <c r="M30" s="100"/>
      <c r="N30" s="100">
        <f>MONTH(List3[[#This Row],[Tanggal Pengajuan]])</f>
        <v>2</v>
      </c>
      <c r="O30" s="101"/>
      <c r="P30" s="100" t="s">
        <v>25</v>
      </c>
      <c r="Q30" s="110"/>
      <c r="R30" s="237"/>
      <c r="S30" s="577"/>
    </row>
    <row r="31" spans="2:19" ht="24" customHeight="1" x14ac:dyDescent="0.2">
      <c r="B31" s="13">
        <v>44616</v>
      </c>
      <c r="C31" s="66" t="s">
        <v>275</v>
      </c>
      <c r="D31" s="100" t="s">
        <v>986</v>
      </c>
      <c r="E31" s="18" t="s">
        <v>1054</v>
      </c>
      <c r="F31" s="14" t="s">
        <v>18</v>
      </c>
      <c r="G31" s="15">
        <v>0</v>
      </c>
      <c r="H31" s="40">
        <v>0</v>
      </c>
      <c r="I31" s="40">
        <f>List3[[#This Row],[Pengajuan Donasi]]</f>
        <v>0</v>
      </c>
      <c r="J31" s="16"/>
      <c r="K31" s="100"/>
      <c r="L31" s="101"/>
      <c r="M31" s="100" t="s">
        <v>21</v>
      </c>
      <c r="N31" s="100">
        <f>MONTH(List3[[#This Row],[Tanggal Pengajuan]])</f>
        <v>2</v>
      </c>
      <c r="O31" s="101"/>
      <c r="P31" s="100" t="s">
        <v>25</v>
      </c>
      <c r="Q31" s="110" t="s">
        <v>317</v>
      </c>
      <c r="R31" s="237"/>
      <c r="S31" s="577"/>
    </row>
    <row r="32" spans="2:19" ht="24" customHeight="1" x14ac:dyDescent="0.2">
      <c r="B32" s="13">
        <v>44257</v>
      </c>
      <c r="C32" s="66" t="s">
        <v>273</v>
      </c>
      <c r="D32" s="14" t="s">
        <v>856</v>
      </c>
      <c r="E32" s="18" t="s">
        <v>17</v>
      </c>
      <c r="F32" s="14" t="s">
        <v>18</v>
      </c>
      <c r="G32" s="15">
        <v>52</v>
      </c>
      <c r="H32" s="40">
        <v>5500000</v>
      </c>
      <c r="I32" s="40">
        <f>List3[[#This Row],[Pengajuan Donasi]]</f>
        <v>5500000</v>
      </c>
      <c r="J32" s="16" t="s">
        <v>19</v>
      </c>
      <c r="K32" s="100" t="str">
        <f>IF(List3[[#This Row],[TRF]]="Done","Sudah Transfer","Proses PP/Pengajuan Approval")</f>
        <v>Sudah Transfer</v>
      </c>
      <c r="L32" s="101">
        <v>44259</v>
      </c>
      <c r="M32" s="100" t="s">
        <v>21</v>
      </c>
      <c r="N32" s="100">
        <f>MONTH(List3[[#This Row],[Tanggal Pengajuan]])</f>
        <v>3</v>
      </c>
      <c r="O32" s="101">
        <v>44263</v>
      </c>
      <c r="P32" s="100" t="s">
        <v>316</v>
      </c>
      <c r="Q32" s="110"/>
      <c r="R32" s="230" t="s">
        <v>958</v>
      </c>
      <c r="S32" s="577"/>
    </row>
    <row r="33" spans="2:19" ht="24" customHeight="1" x14ac:dyDescent="0.2">
      <c r="B33" s="13">
        <v>44257</v>
      </c>
      <c r="C33" s="66" t="s">
        <v>277</v>
      </c>
      <c r="D33" s="14" t="s">
        <v>854</v>
      </c>
      <c r="E33" s="18" t="s">
        <v>17</v>
      </c>
      <c r="F33" s="14" t="s">
        <v>18</v>
      </c>
      <c r="G33" s="15">
        <v>150</v>
      </c>
      <c r="H33" s="40">
        <v>5500000</v>
      </c>
      <c r="I33" s="40">
        <f>List3[[#This Row],[Pengajuan Donasi]]</f>
        <v>5500000</v>
      </c>
      <c r="J33" s="16" t="s">
        <v>19</v>
      </c>
      <c r="K33" s="100" t="str">
        <f>IF(List3[[#This Row],[TRF]]="Done","Sudah Transfer","Proses PP/Pengajuan Approval")</f>
        <v>Sudah Transfer</v>
      </c>
      <c r="L33" s="101">
        <v>44259</v>
      </c>
      <c r="M33" s="100" t="s">
        <v>21</v>
      </c>
      <c r="N33" s="100">
        <f>MONTH(List3[[#This Row],[Tanggal Pengajuan]])</f>
        <v>3</v>
      </c>
      <c r="O33" s="101">
        <v>44263</v>
      </c>
      <c r="P33" s="100" t="s">
        <v>276</v>
      </c>
      <c r="Q33" s="110"/>
      <c r="R33" s="230" t="s">
        <v>958</v>
      </c>
      <c r="S33" s="577"/>
    </row>
    <row r="34" spans="2:19" ht="24" customHeight="1" x14ac:dyDescent="0.2">
      <c r="B34" s="13">
        <v>44257</v>
      </c>
      <c r="C34" s="66" t="s">
        <v>280</v>
      </c>
      <c r="D34" s="14" t="s">
        <v>872</v>
      </c>
      <c r="E34" s="18" t="s">
        <v>17</v>
      </c>
      <c r="F34" s="14" t="s">
        <v>18</v>
      </c>
      <c r="G34" s="15">
        <v>70</v>
      </c>
      <c r="H34" s="40">
        <v>5500000</v>
      </c>
      <c r="I34" s="40">
        <f>List3[[#This Row],[Pengajuan Donasi]]</f>
        <v>5500000</v>
      </c>
      <c r="J34" s="16" t="s">
        <v>19</v>
      </c>
      <c r="K34" s="100" t="s">
        <v>41</v>
      </c>
      <c r="L34" s="101">
        <v>44308</v>
      </c>
      <c r="M34" s="100" t="s">
        <v>21</v>
      </c>
      <c r="N34" s="100">
        <f>MONTH(List3[[#This Row],[Tanggal Pengajuan]])</f>
        <v>3</v>
      </c>
      <c r="O34" s="101">
        <v>44309</v>
      </c>
      <c r="P34" s="100" t="s">
        <v>279</v>
      </c>
      <c r="Q34" s="110"/>
      <c r="R34" s="230" t="s">
        <v>958</v>
      </c>
      <c r="S34" s="577"/>
    </row>
    <row r="35" spans="2:19" ht="24" customHeight="1" x14ac:dyDescent="0.2">
      <c r="B35" s="13">
        <v>44257</v>
      </c>
      <c r="C35" s="66" t="s">
        <v>283</v>
      </c>
      <c r="D35" s="14" t="s">
        <v>869</v>
      </c>
      <c r="E35" s="18" t="s">
        <v>17</v>
      </c>
      <c r="F35" s="14" t="s">
        <v>18</v>
      </c>
      <c r="G35" s="15">
        <v>98</v>
      </c>
      <c r="H35" s="40">
        <v>5500000</v>
      </c>
      <c r="I35" s="40">
        <f>List3[[#This Row],[Pengajuan Donasi]]</f>
        <v>5500000</v>
      </c>
      <c r="J35" s="16" t="s">
        <v>19</v>
      </c>
      <c r="K35" s="100" t="s">
        <v>41</v>
      </c>
      <c r="L35" s="101">
        <v>44308</v>
      </c>
      <c r="M35" s="100" t="s">
        <v>21</v>
      </c>
      <c r="N35" s="100">
        <f>MONTH(List3[[#This Row],[Tanggal Pengajuan]])</f>
        <v>3</v>
      </c>
      <c r="O35" s="101">
        <v>44309</v>
      </c>
      <c r="P35" s="100" t="s">
        <v>331</v>
      </c>
      <c r="Q35" s="110"/>
      <c r="R35" s="230" t="s">
        <v>958</v>
      </c>
      <c r="S35" s="577"/>
    </row>
    <row r="36" spans="2:19" ht="24" customHeight="1" x14ac:dyDescent="0.2">
      <c r="B36" s="13">
        <v>44257</v>
      </c>
      <c r="C36" s="66" t="s">
        <v>282</v>
      </c>
      <c r="D36" s="14" t="s">
        <v>870</v>
      </c>
      <c r="E36" s="18" t="s">
        <v>17</v>
      </c>
      <c r="F36" s="14" t="s">
        <v>18</v>
      </c>
      <c r="G36" s="15">
        <v>19</v>
      </c>
      <c r="H36" s="40">
        <v>5500000</v>
      </c>
      <c r="I36" s="40">
        <f>List3[[#This Row],[Pengajuan Donasi]]</f>
        <v>5500000</v>
      </c>
      <c r="J36" s="16" t="s">
        <v>19</v>
      </c>
      <c r="K36" s="100" t="s">
        <v>41</v>
      </c>
      <c r="L36" s="101">
        <v>44308</v>
      </c>
      <c r="M36" s="100" t="s">
        <v>21</v>
      </c>
      <c r="N36" s="100">
        <f>MONTH(List3[[#This Row],[Tanggal Pengajuan]])</f>
        <v>3</v>
      </c>
      <c r="O36" s="101">
        <v>44309</v>
      </c>
      <c r="P36" s="100" t="s">
        <v>285</v>
      </c>
      <c r="Q36" s="110"/>
      <c r="R36" s="230" t="s">
        <v>958</v>
      </c>
      <c r="S36" s="577"/>
    </row>
    <row r="37" spans="2:19" ht="24" customHeight="1" x14ac:dyDescent="0.2">
      <c r="B37" s="13">
        <v>44257</v>
      </c>
      <c r="C37" s="66" t="s">
        <v>281</v>
      </c>
      <c r="D37" s="14" t="s">
        <v>229</v>
      </c>
      <c r="E37" s="18" t="s">
        <v>17</v>
      </c>
      <c r="F37" s="14" t="s">
        <v>18</v>
      </c>
      <c r="G37" s="15">
        <v>40</v>
      </c>
      <c r="H37" s="40">
        <v>5500000</v>
      </c>
      <c r="I37" s="40">
        <f>List3[[#This Row],[Pengajuan Donasi]]</f>
        <v>5500000</v>
      </c>
      <c r="J37" s="16" t="s">
        <v>19</v>
      </c>
      <c r="K37" s="100" t="s">
        <v>41</v>
      </c>
      <c r="L37" s="101">
        <v>44308</v>
      </c>
      <c r="M37" s="100" t="s">
        <v>21</v>
      </c>
      <c r="N37" s="100">
        <f>MONTH(List3[[#This Row],[Tanggal Pengajuan]])</f>
        <v>3</v>
      </c>
      <c r="O37" s="101">
        <v>44309</v>
      </c>
      <c r="P37" s="100" t="s">
        <v>284</v>
      </c>
      <c r="Q37" s="110"/>
      <c r="R37" s="230" t="s">
        <v>958</v>
      </c>
      <c r="S37" s="577"/>
    </row>
    <row r="38" spans="2:19" ht="24" customHeight="1" x14ac:dyDescent="0.2">
      <c r="B38" s="13">
        <v>44257</v>
      </c>
      <c r="C38" s="66" t="s">
        <v>287</v>
      </c>
      <c r="D38" s="14" t="s">
        <v>124</v>
      </c>
      <c r="E38" s="18" t="s">
        <v>17</v>
      </c>
      <c r="F38" s="14" t="s">
        <v>18</v>
      </c>
      <c r="G38" s="15">
        <v>119</v>
      </c>
      <c r="H38" s="40">
        <v>5500000</v>
      </c>
      <c r="I38" s="40">
        <f>List3[[#This Row],[Pengajuan Donasi]]</f>
        <v>5500000</v>
      </c>
      <c r="J38" s="16" t="s">
        <v>19</v>
      </c>
      <c r="K38" s="100" t="s">
        <v>41</v>
      </c>
      <c r="L38" s="101">
        <v>44308</v>
      </c>
      <c r="M38" s="100" t="s">
        <v>21</v>
      </c>
      <c r="N38" s="100">
        <f>MONTH(List3[[#This Row],[Tanggal Pengajuan]])</f>
        <v>3</v>
      </c>
      <c r="O38" s="101">
        <v>44309</v>
      </c>
      <c r="P38" s="100" t="s">
        <v>305</v>
      </c>
      <c r="Q38" s="110"/>
      <c r="R38" s="230" t="s">
        <v>958</v>
      </c>
      <c r="S38" s="577"/>
    </row>
    <row r="39" spans="2:19" ht="24" customHeight="1" x14ac:dyDescent="0.2">
      <c r="B39" s="13">
        <v>44257</v>
      </c>
      <c r="C39" s="66" t="s">
        <v>288</v>
      </c>
      <c r="D39" s="14" t="s">
        <v>871</v>
      </c>
      <c r="E39" s="18" t="s">
        <v>17</v>
      </c>
      <c r="F39" s="14" t="s">
        <v>18</v>
      </c>
      <c r="G39" s="15">
        <v>72</v>
      </c>
      <c r="H39" s="40">
        <v>5500000</v>
      </c>
      <c r="I39" s="40">
        <f>List3[[#This Row],[Pengajuan Donasi]]</f>
        <v>5500000</v>
      </c>
      <c r="J39" s="16" t="s">
        <v>19</v>
      </c>
      <c r="K39" s="100" t="s">
        <v>41</v>
      </c>
      <c r="L39" s="101">
        <v>44308</v>
      </c>
      <c r="M39" s="100" t="s">
        <v>21</v>
      </c>
      <c r="N39" s="100">
        <f>MONTH(List3[[#This Row],[Tanggal Pengajuan]])</f>
        <v>3</v>
      </c>
      <c r="O39" s="101">
        <v>44309</v>
      </c>
      <c r="P39" s="100" t="s">
        <v>298</v>
      </c>
      <c r="Q39" s="110"/>
      <c r="R39" s="230" t="s">
        <v>958</v>
      </c>
      <c r="S39" s="577"/>
    </row>
    <row r="40" spans="2:19" ht="24" customHeight="1" x14ac:dyDescent="0.2">
      <c r="B40" s="13">
        <v>44257</v>
      </c>
      <c r="C40" s="66" t="s">
        <v>289</v>
      </c>
      <c r="D40" s="14" t="s">
        <v>848</v>
      </c>
      <c r="E40" s="18" t="s">
        <v>17</v>
      </c>
      <c r="F40" s="14" t="s">
        <v>18</v>
      </c>
      <c r="G40" s="15">
        <v>36</v>
      </c>
      <c r="H40" s="40">
        <v>5500000</v>
      </c>
      <c r="I40" s="40">
        <f>List3[[#This Row],[Pengajuan Donasi]]</f>
        <v>5500000</v>
      </c>
      <c r="J40" s="16" t="s">
        <v>19</v>
      </c>
      <c r="K40" s="100" t="s">
        <v>41</v>
      </c>
      <c r="L40" s="101">
        <v>44308</v>
      </c>
      <c r="M40" s="100" t="s">
        <v>21</v>
      </c>
      <c r="N40" s="100">
        <f>MONTH(List3[[#This Row],[Tanggal Pengajuan]])</f>
        <v>3</v>
      </c>
      <c r="O40" s="101">
        <v>44309</v>
      </c>
      <c r="P40" s="100" t="s">
        <v>304</v>
      </c>
      <c r="Q40" s="110"/>
      <c r="R40" s="230" t="s">
        <v>958</v>
      </c>
      <c r="S40" s="577"/>
    </row>
    <row r="41" spans="2:19" ht="24" customHeight="1" x14ac:dyDescent="0.2">
      <c r="B41" s="13">
        <v>44257</v>
      </c>
      <c r="C41" s="66" t="s">
        <v>290</v>
      </c>
      <c r="D41" s="14" t="s">
        <v>867</v>
      </c>
      <c r="E41" s="18" t="s">
        <v>17</v>
      </c>
      <c r="F41" s="14" t="s">
        <v>18</v>
      </c>
      <c r="G41" s="15">
        <v>83</v>
      </c>
      <c r="H41" s="40">
        <v>5500000</v>
      </c>
      <c r="I41" s="40">
        <f>List3[[#This Row],[Pengajuan Donasi]]</f>
        <v>5500000</v>
      </c>
      <c r="J41" s="16" t="s">
        <v>19</v>
      </c>
      <c r="K41" s="100" t="s">
        <v>41</v>
      </c>
      <c r="L41" s="101">
        <v>44308</v>
      </c>
      <c r="M41" s="100" t="s">
        <v>21</v>
      </c>
      <c r="N41" s="100">
        <f>MONTH(List3[[#This Row],[Tanggal Pengajuan]])</f>
        <v>3</v>
      </c>
      <c r="O41" s="101">
        <v>44309</v>
      </c>
      <c r="P41" s="100" t="s">
        <v>330</v>
      </c>
      <c r="Q41" s="110"/>
      <c r="R41" s="230" t="s">
        <v>958</v>
      </c>
      <c r="S41" s="577"/>
    </row>
    <row r="42" spans="2:19" ht="24" customHeight="1" x14ac:dyDescent="0.2">
      <c r="B42" s="13">
        <v>44257</v>
      </c>
      <c r="C42" s="66" t="s">
        <v>291</v>
      </c>
      <c r="D42" s="14" t="s">
        <v>855</v>
      </c>
      <c r="E42" s="18" t="s">
        <v>17</v>
      </c>
      <c r="F42" s="14" t="s">
        <v>18</v>
      </c>
      <c r="G42" s="15">
        <v>91</v>
      </c>
      <c r="H42" s="40">
        <v>5500000</v>
      </c>
      <c r="I42" s="40">
        <f>List3[[#This Row],[Pengajuan Donasi]]</f>
        <v>5500000</v>
      </c>
      <c r="J42" s="16" t="s">
        <v>19</v>
      </c>
      <c r="K42" s="100" t="s">
        <v>41</v>
      </c>
      <c r="L42" s="101">
        <v>44308</v>
      </c>
      <c r="M42" s="100" t="s">
        <v>21</v>
      </c>
      <c r="N42" s="100">
        <f>MONTH(List3[[#This Row],[Tanggal Pengajuan]])</f>
        <v>3</v>
      </c>
      <c r="O42" s="101">
        <v>44309</v>
      </c>
      <c r="P42" s="100" t="s">
        <v>301</v>
      </c>
      <c r="Q42" s="110"/>
      <c r="R42" s="230" t="s">
        <v>958</v>
      </c>
      <c r="S42" s="577"/>
    </row>
    <row r="43" spans="2:19" ht="24" customHeight="1" x14ac:dyDescent="0.2">
      <c r="B43" s="13">
        <v>44257</v>
      </c>
      <c r="C43" s="66" t="s">
        <v>286</v>
      </c>
      <c r="D43" s="14" t="s">
        <v>238</v>
      </c>
      <c r="E43" s="18" t="s">
        <v>17</v>
      </c>
      <c r="F43" s="14" t="s">
        <v>18</v>
      </c>
      <c r="G43" s="15">
        <v>40</v>
      </c>
      <c r="H43" s="40">
        <v>5500000</v>
      </c>
      <c r="I43" s="40">
        <f>List3[[#This Row],[Pengajuan Donasi]]</f>
        <v>5500000</v>
      </c>
      <c r="J43" s="16" t="s">
        <v>19</v>
      </c>
      <c r="K43" s="100" t="s">
        <v>41</v>
      </c>
      <c r="L43" s="101">
        <v>44308</v>
      </c>
      <c r="M43" s="100" t="s">
        <v>21</v>
      </c>
      <c r="N43" s="100">
        <f>MONTH(List3[[#This Row],[Tanggal Pengajuan]])</f>
        <v>3</v>
      </c>
      <c r="O43" s="101">
        <v>44309</v>
      </c>
      <c r="P43" s="100" t="s">
        <v>292</v>
      </c>
      <c r="Q43" s="110"/>
      <c r="R43" s="230" t="s">
        <v>958</v>
      </c>
      <c r="S43" s="577"/>
    </row>
    <row r="44" spans="2:19" ht="24" customHeight="1" x14ac:dyDescent="0.2">
      <c r="B44" s="13">
        <v>44257</v>
      </c>
      <c r="C44" s="67" t="s">
        <v>294</v>
      </c>
      <c r="D44" s="14" t="s">
        <v>849</v>
      </c>
      <c r="E44" s="18" t="s">
        <v>17</v>
      </c>
      <c r="F44" s="14" t="s">
        <v>18</v>
      </c>
      <c r="G44" s="15">
        <v>63</v>
      </c>
      <c r="H44" s="40">
        <v>5500000</v>
      </c>
      <c r="I44" s="40">
        <f>List3[[#This Row],[Pengajuan Donasi]]</f>
        <v>5500000</v>
      </c>
      <c r="J44" s="16" t="s">
        <v>19</v>
      </c>
      <c r="K44" s="100" t="str">
        <f>IF(List3[[#This Row],[TRF]]="Done","Sudah Transfer","Proses PP/Pengajuan Approval")</f>
        <v>Sudah Transfer</v>
      </c>
      <c r="L44" s="183">
        <v>44308</v>
      </c>
      <c r="M44" s="100" t="s">
        <v>21</v>
      </c>
      <c r="N44" s="100">
        <f>MONTH(List3[[#This Row],[Tanggal Pengajuan]])</f>
        <v>3</v>
      </c>
      <c r="O44" s="101"/>
      <c r="P44" s="100" t="s">
        <v>303</v>
      </c>
      <c r="Q44" s="110"/>
      <c r="R44" s="230" t="s">
        <v>958</v>
      </c>
      <c r="S44" s="577"/>
    </row>
    <row r="45" spans="2:19" ht="24" customHeight="1" x14ac:dyDescent="0.2">
      <c r="B45" s="13">
        <v>44257</v>
      </c>
      <c r="C45" s="67" t="s">
        <v>295</v>
      </c>
      <c r="D45" s="14" t="s">
        <v>850</v>
      </c>
      <c r="E45" s="18" t="s">
        <v>17</v>
      </c>
      <c r="F45" s="14" t="s">
        <v>18</v>
      </c>
      <c r="G45" s="15">
        <v>57</v>
      </c>
      <c r="H45" s="40">
        <v>5500000</v>
      </c>
      <c r="I45" s="40">
        <f>List3[[#This Row],[Pengajuan Donasi]]</f>
        <v>5500000</v>
      </c>
      <c r="J45" s="16" t="s">
        <v>19</v>
      </c>
      <c r="K45" s="100" t="s">
        <v>41</v>
      </c>
      <c r="L45" s="101">
        <v>44308</v>
      </c>
      <c r="M45" s="100" t="s">
        <v>21</v>
      </c>
      <c r="N45" s="100">
        <f>MONTH(List3[[#This Row],[Tanggal Pengajuan]])</f>
        <v>3</v>
      </c>
      <c r="O45" s="101">
        <v>44309</v>
      </c>
      <c r="P45" s="100" t="s">
        <v>300</v>
      </c>
      <c r="Q45" s="110"/>
      <c r="R45" s="230" t="s">
        <v>958</v>
      </c>
      <c r="S45" s="577"/>
    </row>
    <row r="46" spans="2:19" ht="24" customHeight="1" x14ac:dyDescent="0.2">
      <c r="B46" s="13">
        <v>44257</v>
      </c>
      <c r="C46" s="67" t="s">
        <v>296</v>
      </c>
      <c r="D46" s="14" t="s">
        <v>851</v>
      </c>
      <c r="E46" s="18" t="s">
        <v>17</v>
      </c>
      <c r="F46" s="14" t="s">
        <v>18</v>
      </c>
      <c r="G46" s="15">
        <v>22</v>
      </c>
      <c r="H46" s="40">
        <v>5500000</v>
      </c>
      <c r="I46" s="40">
        <f>List3[[#This Row],[Pengajuan Donasi]]</f>
        <v>5500000</v>
      </c>
      <c r="J46" s="16" t="s">
        <v>19</v>
      </c>
      <c r="K46" s="100" t="s">
        <v>41</v>
      </c>
      <c r="L46" s="101">
        <v>44308</v>
      </c>
      <c r="M46" s="100" t="s">
        <v>21</v>
      </c>
      <c r="N46" s="100">
        <f>MONTH(List3[[#This Row],[Tanggal Pengajuan]])</f>
        <v>3</v>
      </c>
      <c r="O46" s="101">
        <v>44309</v>
      </c>
      <c r="P46" s="100" t="s">
        <v>299</v>
      </c>
      <c r="Q46" s="110"/>
      <c r="R46" s="230" t="s">
        <v>958</v>
      </c>
      <c r="S46" s="577"/>
    </row>
    <row r="47" spans="2:19" ht="24" customHeight="1" x14ac:dyDescent="0.2">
      <c r="B47" s="13">
        <v>44257</v>
      </c>
      <c r="C47" s="67" t="s">
        <v>293</v>
      </c>
      <c r="D47" s="103" t="s">
        <v>852</v>
      </c>
      <c r="E47" s="18" t="s">
        <v>17</v>
      </c>
      <c r="F47" s="14" t="s">
        <v>18</v>
      </c>
      <c r="G47" s="15">
        <v>42</v>
      </c>
      <c r="H47" s="40">
        <v>5500000</v>
      </c>
      <c r="I47" s="40">
        <f>List3[[#This Row],[Pengajuan Donasi]]</f>
        <v>5500000</v>
      </c>
      <c r="J47" s="16" t="s">
        <v>19</v>
      </c>
      <c r="K47" s="100" t="s">
        <v>41</v>
      </c>
      <c r="L47" s="101">
        <v>44308</v>
      </c>
      <c r="M47" s="100" t="s">
        <v>21</v>
      </c>
      <c r="N47" s="100">
        <f>MONTH(List3[[#This Row],[Tanggal Pengajuan]])</f>
        <v>3</v>
      </c>
      <c r="O47" s="101">
        <v>44309</v>
      </c>
      <c r="P47" s="105" t="s">
        <v>297</v>
      </c>
      <c r="Q47" s="111"/>
      <c r="R47" s="230" t="s">
        <v>958</v>
      </c>
      <c r="S47" s="577"/>
    </row>
    <row r="48" spans="2:19" ht="24" customHeight="1" x14ac:dyDescent="0.2">
      <c r="B48" s="13">
        <v>44259</v>
      </c>
      <c r="C48" s="67" t="s">
        <v>307</v>
      </c>
      <c r="D48" s="14" t="s">
        <v>256</v>
      </c>
      <c r="E48" s="18" t="s">
        <v>17</v>
      </c>
      <c r="F48" s="14" t="s">
        <v>18</v>
      </c>
      <c r="G48" s="15">
        <v>86</v>
      </c>
      <c r="H48" s="40">
        <v>8500000</v>
      </c>
      <c r="I48" s="40">
        <f>List3[[#This Row],[Pengajuan Donasi]]</f>
        <v>8500000</v>
      </c>
      <c r="J48" s="16" t="s">
        <v>19</v>
      </c>
      <c r="K48" s="100" t="str">
        <f>IF(List3[[#This Row],[TRF]]="Done","Sudah Transfer","Proses PP/Pengajuan Approval")</f>
        <v>Sudah Transfer</v>
      </c>
      <c r="L48" s="62">
        <v>44315</v>
      </c>
      <c r="M48" s="100" t="s">
        <v>136</v>
      </c>
      <c r="N48" s="100">
        <f>MONTH(List3[[#This Row],[Tanggal Pengajuan]])</f>
        <v>3</v>
      </c>
      <c r="O48" s="62"/>
      <c r="P48" s="100" t="s">
        <v>311</v>
      </c>
      <c r="Q48" s="111"/>
      <c r="R48" s="230" t="s">
        <v>958</v>
      </c>
      <c r="S48" s="577"/>
    </row>
    <row r="49" spans="2:19" ht="24" customHeight="1" x14ac:dyDescent="0.2">
      <c r="B49" s="13">
        <v>44259</v>
      </c>
      <c r="C49" s="67" t="s">
        <v>307</v>
      </c>
      <c r="D49" s="14" t="s">
        <v>257</v>
      </c>
      <c r="E49" s="18" t="s">
        <v>17</v>
      </c>
      <c r="F49" s="14" t="s">
        <v>18</v>
      </c>
      <c r="G49" s="15">
        <v>134</v>
      </c>
      <c r="H49" s="40">
        <v>5500000</v>
      </c>
      <c r="I49" s="40">
        <f>List3[[#This Row],[Pengajuan Donasi]]</f>
        <v>5500000</v>
      </c>
      <c r="J49" s="16" t="s">
        <v>19</v>
      </c>
      <c r="K49" s="100" t="str">
        <f>IF(List3[[#This Row],[TRF]]="Done","Sudah Transfer","Proses PP/Pengajuan Approval")</f>
        <v>Sudah Transfer</v>
      </c>
      <c r="L49" s="62"/>
      <c r="M49" s="100" t="s">
        <v>136</v>
      </c>
      <c r="N49" s="100">
        <f>MONTH(List3[[#This Row],[Tanggal Pengajuan]])</f>
        <v>3</v>
      </c>
      <c r="O49" s="62"/>
      <c r="P49" s="100" t="s">
        <v>311</v>
      </c>
      <c r="Q49" s="111"/>
      <c r="R49" s="230" t="s">
        <v>958</v>
      </c>
      <c r="S49" s="577"/>
    </row>
    <row r="50" spans="2:19" ht="24" customHeight="1" x14ac:dyDescent="0.2">
      <c r="B50" s="13">
        <v>44259</v>
      </c>
      <c r="C50" s="67" t="s">
        <v>307</v>
      </c>
      <c r="D50" s="14" t="s">
        <v>222</v>
      </c>
      <c r="E50" s="18" t="s">
        <v>17</v>
      </c>
      <c r="F50" s="14" t="s">
        <v>18</v>
      </c>
      <c r="G50" s="15">
        <v>34</v>
      </c>
      <c r="H50" s="40">
        <v>5500000</v>
      </c>
      <c r="I50" s="40">
        <f>List3[[#This Row],[Pengajuan Donasi]]</f>
        <v>5500000</v>
      </c>
      <c r="J50" s="16" t="s">
        <v>19</v>
      </c>
      <c r="K50" s="100" t="str">
        <f>IF(List3[[#This Row],[TRF]]="Done","Sudah Transfer","Proses PP/Pengajuan Approval")</f>
        <v>Sudah Transfer</v>
      </c>
      <c r="L50" s="62"/>
      <c r="M50" s="100" t="s">
        <v>136</v>
      </c>
      <c r="N50" s="100">
        <f>MONTH(List3[[#This Row],[Tanggal Pengajuan]])</f>
        <v>3</v>
      </c>
      <c r="O50" s="62"/>
      <c r="P50" s="100" t="s">
        <v>223</v>
      </c>
      <c r="Q50" s="111"/>
      <c r="R50" s="230" t="s">
        <v>958</v>
      </c>
      <c r="S50" s="577"/>
    </row>
    <row r="51" spans="2:19" ht="24" customHeight="1" x14ac:dyDescent="0.2">
      <c r="B51" s="13">
        <v>44259</v>
      </c>
      <c r="C51" s="67" t="s">
        <v>306</v>
      </c>
      <c r="D51" s="103" t="s">
        <v>868</v>
      </c>
      <c r="E51" s="18" t="s">
        <v>17</v>
      </c>
      <c r="F51" s="14" t="s">
        <v>18</v>
      </c>
      <c r="G51" s="15">
        <v>28</v>
      </c>
      <c r="H51" s="40">
        <v>5500000</v>
      </c>
      <c r="I51" s="40">
        <f>List3[[#This Row],[Pengajuan Donasi]]</f>
        <v>5500000</v>
      </c>
      <c r="J51" s="16" t="s">
        <v>19</v>
      </c>
      <c r="K51" s="100" t="s">
        <v>41</v>
      </c>
      <c r="L51" s="101">
        <v>44308</v>
      </c>
      <c r="M51" s="100" t="s">
        <v>21</v>
      </c>
      <c r="N51" s="100">
        <f>MONTH(List3[[#This Row],[Tanggal Pengajuan]])</f>
        <v>3</v>
      </c>
      <c r="O51" s="101">
        <v>44309</v>
      </c>
      <c r="P51" s="105" t="s">
        <v>308</v>
      </c>
      <c r="Q51" s="111"/>
      <c r="R51" s="230" t="s">
        <v>958</v>
      </c>
      <c r="S51" s="577"/>
    </row>
    <row r="52" spans="2:19" ht="24" customHeight="1" x14ac:dyDescent="0.2">
      <c r="B52" s="102">
        <v>44632</v>
      </c>
      <c r="C52" s="67" t="s">
        <v>319</v>
      </c>
      <c r="D52" s="100" t="s">
        <v>1059</v>
      </c>
      <c r="E52" s="367" t="s">
        <v>1055</v>
      </c>
      <c r="F52" s="14" t="s">
        <v>18</v>
      </c>
      <c r="G52" s="15">
        <v>1</v>
      </c>
      <c r="H52" s="41">
        <v>4022400</v>
      </c>
      <c r="I52" s="40">
        <f>List3[[#This Row],[Pengajuan Donasi]]</f>
        <v>4022400</v>
      </c>
      <c r="J52" s="104"/>
      <c r="K52" s="240" t="s">
        <v>981</v>
      </c>
      <c r="L52" s="101"/>
      <c r="M52" s="105"/>
      <c r="N52" s="105">
        <f>MONTH(List3[[#This Row],[Tanggal Pengajuan]])</f>
        <v>3</v>
      </c>
      <c r="O52" s="101"/>
      <c r="P52" s="100" t="s">
        <v>25</v>
      </c>
      <c r="Q52" s="110" t="s">
        <v>317</v>
      </c>
      <c r="R52" s="230" t="s">
        <v>958</v>
      </c>
      <c r="S52" s="577"/>
    </row>
    <row r="53" spans="2:19" ht="24" customHeight="1" x14ac:dyDescent="0.2">
      <c r="B53" s="102">
        <v>44632</v>
      </c>
      <c r="C53" s="67" t="s">
        <v>320</v>
      </c>
      <c r="D53" s="240" t="s">
        <v>328</v>
      </c>
      <c r="E53" s="18" t="s">
        <v>17</v>
      </c>
      <c r="F53" s="14" t="s">
        <v>18</v>
      </c>
      <c r="G53" s="15">
        <v>14</v>
      </c>
      <c r="H53" s="41">
        <v>5500000</v>
      </c>
      <c r="I53" s="40">
        <f>List3[[#This Row],[Pengajuan Donasi]]</f>
        <v>5500000</v>
      </c>
      <c r="J53" s="104"/>
      <c r="K53" s="105"/>
      <c r="L53" s="101"/>
      <c r="M53" s="105"/>
      <c r="N53" s="105">
        <f>MONTH(List3[[#This Row],[Tanggal Pengajuan]])</f>
        <v>3</v>
      </c>
      <c r="O53" s="101"/>
      <c r="P53" s="240" t="s">
        <v>982</v>
      </c>
      <c r="Q53" s="110" t="s">
        <v>317</v>
      </c>
      <c r="R53" s="230" t="s">
        <v>958</v>
      </c>
      <c r="S53" s="577"/>
    </row>
    <row r="54" spans="2:19" ht="24" customHeight="1" x14ac:dyDescent="0.2">
      <c r="B54" s="102">
        <v>44267</v>
      </c>
      <c r="C54" s="67" t="s">
        <v>318</v>
      </c>
      <c r="D54" s="103" t="s">
        <v>857</v>
      </c>
      <c r="E54" s="18" t="s">
        <v>17</v>
      </c>
      <c r="F54" s="14" t="s">
        <v>18</v>
      </c>
      <c r="G54" s="15">
        <v>52</v>
      </c>
      <c r="H54" s="40">
        <v>5500000</v>
      </c>
      <c r="I54" s="40">
        <f>List3[[#This Row],[Pengajuan Donasi]]</f>
        <v>5500000</v>
      </c>
      <c r="J54" s="16" t="s">
        <v>19</v>
      </c>
      <c r="K54" s="100" t="str">
        <f>IF(List3[[#This Row],[TRF]]="Done","Sudah Transfer","Proses PP/Pengajuan Approval")</f>
        <v>Sudah Transfer</v>
      </c>
      <c r="L54" s="101">
        <v>44274</v>
      </c>
      <c r="M54" s="100" t="s">
        <v>21</v>
      </c>
      <c r="N54" s="100">
        <f>MONTH(List3[[#This Row],[Tanggal Pengajuan]])</f>
        <v>3</v>
      </c>
      <c r="O54" s="101">
        <v>44291</v>
      </c>
      <c r="P54" s="105" t="s">
        <v>322</v>
      </c>
      <c r="Q54" s="111"/>
      <c r="R54" s="230" t="s">
        <v>958</v>
      </c>
      <c r="S54" s="577"/>
    </row>
    <row r="55" spans="2:19" ht="24" customHeight="1" x14ac:dyDescent="0.2">
      <c r="B55" s="102">
        <v>44646</v>
      </c>
      <c r="C55" s="67" t="s">
        <v>329</v>
      </c>
      <c r="D55" s="241" t="s">
        <v>983</v>
      </c>
      <c r="E55" s="22" t="s">
        <v>1054</v>
      </c>
      <c r="F55" s="14" t="s">
        <v>18</v>
      </c>
      <c r="G55" s="15">
        <v>0</v>
      </c>
      <c r="H55" s="41">
        <v>0</v>
      </c>
      <c r="I55" s="40">
        <f>List3[[#This Row],[Pengajuan Donasi]]</f>
        <v>0</v>
      </c>
      <c r="J55" s="104"/>
      <c r="K55" s="105"/>
      <c r="L55" s="101">
        <v>44274</v>
      </c>
      <c r="M55" s="105"/>
      <c r="N55" s="105">
        <f>MONTH(List3[[#This Row],[Tanggal Pengajuan]])</f>
        <v>3</v>
      </c>
      <c r="O55" s="101"/>
      <c r="P55" s="105" t="s">
        <v>1606</v>
      </c>
      <c r="Q55" s="111"/>
      <c r="R55" s="230" t="s">
        <v>960</v>
      </c>
      <c r="S55" s="577"/>
    </row>
    <row r="56" spans="2:19" ht="24" customHeight="1" x14ac:dyDescent="0.2">
      <c r="B56" s="102">
        <v>44291</v>
      </c>
      <c r="C56" s="67" t="s">
        <v>988</v>
      </c>
      <c r="D56" s="103" t="s">
        <v>228</v>
      </c>
      <c r="E56" s="18" t="s">
        <v>17</v>
      </c>
      <c r="F56" s="14" t="s">
        <v>18</v>
      </c>
      <c r="G56" s="15">
        <v>64</v>
      </c>
      <c r="H56" s="40">
        <v>5500000</v>
      </c>
      <c r="I56" s="40">
        <f>List3[[#This Row],[Pengajuan Donasi]]</f>
        <v>5500000</v>
      </c>
      <c r="J56" s="16" t="s">
        <v>19</v>
      </c>
      <c r="K56" s="100" t="s">
        <v>41</v>
      </c>
      <c r="L56" s="101">
        <v>44308</v>
      </c>
      <c r="M56" s="100" t="s">
        <v>21</v>
      </c>
      <c r="N56" s="100">
        <f>MONTH(List3[[#This Row],[Tanggal Pengajuan]])</f>
        <v>4</v>
      </c>
      <c r="O56" s="101">
        <v>44309</v>
      </c>
      <c r="P56" s="105" t="s">
        <v>347</v>
      </c>
      <c r="Q56" s="111"/>
      <c r="R56" s="230" t="s">
        <v>958</v>
      </c>
      <c r="S56" s="577"/>
    </row>
    <row r="57" spans="2:19" ht="24" customHeight="1" x14ac:dyDescent="0.2">
      <c r="B57" s="102">
        <v>44294</v>
      </c>
      <c r="C57" s="67" t="s">
        <v>987</v>
      </c>
      <c r="D57" s="103" t="s">
        <v>872</v>
      </c>
      <c r="E57" s="18" t="s">
        <v>17</v>
      </c>
      <c r="F57" s="14" t="s">
        <v>18</v>
      </c>
      <c r="G57" s="15">
        <v>70</v>
      </c>
      <c r="H57" s="41">
        <v>5481500</v>
      </c>
      <c r="I57" s="41">
        <f>List3[[#This Row],[Pengajuan Donasi]]</f>
        <v>5481500</v>
      </c>
      <c r="J57" s="16" t="s">
        <v>19</v>
      </c>
      <c r="K57" s="100" t="str">
        <f>IF(List3[[#This Row],[TRF]]="Done","Sudah Transfer","Proses PP/Pengajuan Approval")</f>
        <v>Sudah Transfer</v>
      </c>
      <c r="L57" s="101">
        <v>44294</v>
      </c>
      <c r="M57" s="105" t="s">
        <v>332</v>
      </c>
      <c r="N57" s="105">
        <f>MONTH(List3[[#This Row],[Tanggal Pengajuan]])</f>
        <v>4</v>
      </c>
      <c r="O57" s="101"/>
      <c r="P57" s="105" t="s">
        <v>333</v>
      </c>
      <c r="Q57" s="151" t="s">
        <v>349</v>
      </c>
      <c r="R57" s="230" t="s">
        <v>958</v>
      </c>
      <c r="S57" s="577"/>
    </row>
    <row r="58" spans="2:19" ht="24" customHeight="1" x14ac:dyDescent="0.2">
      <c r="B58" s="102">
        <v>44294</v>
      </c>
      <c r="C58" s="67" t="s">
        <v>987</v>
      </c>
      <c r="D58" s="103" t="s">
        <v>869</v>
      </c>
      <c r="E58" s="18" t="s">
        <v>17</v>
      </c>
      <c r="F58" s="14" t="s">
        <v>18</v>
      </c>
      <c r="G58" s="15">
        <v>98</v>
      </c>
      <c r="H58" s="41">
        <v>5486400</v>
      </c>
      <c r="I58" s="41">
        <f>List3[[#This Row],[Pengajuan Donasi]]</f>
        <v>5486400</v>
      </c>
      <c r="J58" s="104"/>
      <c r="K58" s="100"/>
      <c r="L58" s="183">
        <v>44294</v>
      </c>
      <c r="M58" s="105" t="s">
        <v>332</v>
      </c>
      <c r="N58" s="105">
        <f>MONTH(List3[[#This Row],[Tanggal Pengajuan]])</f>
        <v>4</v>
      </c>
      <c r="O58" s="183"/>
      <c r="P58" s="105" t="s">
        <v>333</v>
      </c>
      <c r="Q58" s="151"/>
      <c r="R58" s="230" t="s">
        <v>958</v>
      </c>
      <c r="S58" s="577"/>
    </row>
    <row r="59" spans="2:19" ht="24" customHeight="1" x14ac:dyDescent="0.2">
      <c r="B59" s="102">
        <v>44294</v>
      </c>
      <c r="C59" s="67" t="s">
        <v>987</v>
      </c>
      <c r="D59" s="103" t="s">
        <v>849</v>
      </c>
      <c r="E59" s="18" t="s">
        <v>17</v>
      </c>
      <c r="F59" s="14" t="s">
        <v>18</v>
      </c>
      <c r="G59" s="15">
        <v>63</v>
      </c>
      <c r="H59" s="41">
        <v>5481700</v>
      </c>
      <c r="I59" s="41">
        <f>List3[[#This Row],[Pengajuan Donasi]]</f>
        <v>5481700</v>
      </c>
      <c r="J59" s="104"/>
      <c r="K59" s="100"/>
      <c r="L59" s="183">
        <v>44294</v>
      </c>
      <c r="M59" s="105" t="s">
        <v>332</v>
      </c>
      <c r="N59" s="105">
        <f>MONTH(List3[[#This Row],[Tanggal Pengajuan]])</f>
        <v>4</v>
      </c>
      <c r="O59" s="183"/>
      <c r="P59" s="105" t="s">
        <v>333</v>
      </c>
      <c r="Q59" s="151"/>
      <c r="R59" s="230" t="s">
        <v>958</v>
      </c>
      <c r="S59" s="577"/>
    </row>
    <row r="60" spans="2:19" ht="24" customHeight="1" x14ac:dyDescent="0.2">
      <c r="B60" s="102">
        <v>44294</v>
      </c>
      <c r="C60" s="67" t="s">
        <v>987</v>
      </c>
      <c r="D60" s="103" t="s">
        <v>870</v>
      </c>
      <c r="E60" s="18" t="s">
        <v>17</v>
      </c>
      <c r="F60" s="14" t="s">
        <v>18</v>
      </c>
      <c r="G60" s="15">
        <v>19</v>
      </c>
      <c r="H60" s="41">
        <v>5482200</v>
      </c>
      <c r="I60" s="41">
        <f>List3[[#This Row],[Pengajuan Donasi]]</f>
        <v>5482200</v>
      </c>
      <c r="J60" s="104"/>
      <c r="K60" s="100"/>
      <c r="L60" s="183">
        <v>44294</v>
      </c>
      <c r="M60" s="105" t="s">
        <v>332</v>
      </c>
      <c r="N60" s="105">
        <f>MONTH(List3[[#This Row],[Tanggal Pengajuan]])</f>
        <v>4</v>
      </c>
      <c r="O60" s="183"/>
      <c r="P60" s="105" t="s">
        <v>333</v>
      </c>
      <c r="Q60" s="151"/>
      <c r="R60" s="230" t="s">
        <v>958</v>
      </c>
      <c r="S60" s="577"/>
    </row>
    <row r="61" spans="2:19" ht="24" customHeight="1" x14ac:dyDescent="0.2">
      <c r="B61" s="102">
        <v>44294</v>
      </c>
      <c r="C61" s="67" t="s">
        <v>987</v>
      </c>
      <c r="D61" s="103" t="s">
        <v>229</v>
      </c>
      <c r="E61" s="18" t="s">
        <v>17</v>
      </c>
      <c r="F61" s="14" t="s">
        <v>18</v>
      </c>
      <c r="G61" s="15">
        <v>40</v>
      </c>
      <c r="H61" s="41">
        <v>5481700</v>
      </c>
      <c r="I61" s="41">
        <f>List3[[#This Row],[Pengajuan Donasi]]</f>
        <v>5481700</v>
      </c>
      <c r="J61" s="104"/>
      <c r="K61" s="100"/>
      <c r="L61" s="183">
        <v>44294</v>
      </c>
      <c r="M61" s="105" t="s">
        <v>332</v>
      </c>
      <c r="N61" s="105">
        <f>MONTH(List3[[#This Row],[Tanggal Pengajuan]])</f>
        <v>4</v>
      </c>
      <c r="O61" s="183"/>
      <c r="P61" s="105" t="s">
        <v>333</v>
      </c>
      <c r="Q61" s="151"/>
      <c r="R61" s="230" t="s">
        <v>958</v>
      </c>
      <c r="S61" s="577"/>
    </row>
    <row r="62" spans="2:19" ht="24" customHeight="1" x14ac:dyDescent="0.2">
      <c r="B62" s="102">
        <v>44294</v>
      </c>
      <c r="C62" s="67" t="s">
        <v>987</v>
      </c>
      <c r="D62" s="103" t="s">
        <v>124</v>
      </c>
      <c r="E62" s="18" t="s">
        <v>17</v>
      </c>
      <c r="F62" s="14" t="s">
        <v>18</v>
      </c>
      <c r="G62" s="15">
        <v>119</v>
      </c>
      <c r="H62" s="41">
        <v>5480800</v>
      </c>
      <c r="I62" s="41">
        <f>List3[[#This Row],[Pengajuan Donasi]]</f>
        <v>5480800</v>
      </c>
      <c r="J62" s="104"/>
      <c r="K62" s="100"/>
      <c r="L62" s="183">
        <v>44294</v>
      </c>
      <c r="M62" s="105" t="s">
        <v>332</v>
      </c>
      <c r="N62" s="105">
        <f>MONTH(List3[[#This Row],[Tanggal Pengajuan]])</f>
        <v>4</v>
      </c>
      <c r="O62" s="183"/>
      <c r="P62" s="105" t="s">
        <v>333</v>
      </c>
      <c r="Q62" s="151"/>
      <c r="R62" s="230" t="s">
        <v>958</v>
      </c>
      <c r="S62" s="577"/>
    </row>
    <row r="63" spans="2:19" ht="24" customHeight="1" x14ac:dyDescent="0.2">
      <c r="B63" s="102">
        <v>44294</v>
      </c>
      <c r="C63" s="67" t="s">
        <v>987</v>
      </c>
      <c r="D63" s="103" t="s">
        <v>871</v>
      </c>
      <c r="E63" s="18" t="s">
        <v>17</v>
      </c>
      <c r="F63" s="14" t="s">
        <v>18</v>
      </c>
      <c r="G63" s="15">
        <v>77</v>
      </c>
      <c r="H63" s="41">
        <v>5485600</v>
      </c>
      <c r="I63" s="41">
        <f>List3[[#This Row],[Pengajuan Donasi]]</f>
        <v>5485600</v>
      </c>
      <c r="J63" s="104"/>
      <c r="K63" s="100"/>
      <c r="L63" s="183">
        <v>44294</v>
      </c>
      <c r="M63" s="105" t="s">
        <v>332</v>
      </c>
      <c r="N63" s="105">
        <f>MONTH(List3[[#This Row],[Tanggal Pengajuan]])</f>
        <v>4</v>
      </c>
      <c r="O63" s="183"/>
      <c r="P63" s="105" t="s">
        <v>333</v>
      </c>
      <c r="Q63" s="151"/>
      <c r="R63" s="230" t="s">
        <v>958</v>
      </c>
      <c r="S63" s="577"/>
    </row>
    <row r="64" spans="2:19" ht="24" customHeight="1" x14ac:dyDescent="0.2">
      <c r="B64" s="102">
        <v>44294</v>
      </c>
      <c r="C64" s="67" t="s">
        <v>987</v>
      </c>
      <c r="D64" s="103" t="s">
        <v>848</v>
      </c>
      <c r="E64" s="18" t="s">
        <v>17</v>
      </c>
      <c r="F64" s="14" t="s">
        <v>18</v>
      </c>
      <c r="G64" s="15">
        <v>36</v>
      </c>
      <c r="H64" s="41">
        <v>5483500</v>
      </c>
      <c r="I64" s="41">
        <f>List3[[#This Row],[Pengajuan Donasi]]</f>
        <v>5483500</v>
      </c>
      <c r="J64" s="104"/>
      <c r="K64" s="100"/>
      <c r="L64" s="183">
        <v>44294</v>
      </c>
      <c r="M64" s="105" t="s">
        <v>332</v>
      </c>
      <c r="N64" s="105">
        <f>MONTH(List3[[#This Row],[Tanggal Pengajuan]])</f>
        <v>4</v>
      </c>
      <c r="O64" s="183"/>
      <c r="P64" s="105" t="s">
        <v>333</v>
      </c>
      <c r="Q64" s="151"/>
      <c r="R64" s="230" t="s">
        <v>958</v>
      </c>
      <c r="S64" s="577"/>
    </row>
    <row r="65" spans="2:19" ht="24" customHeight="1" x14ac:dyDescent="0.2">
      <c r="B65" s="102">
        <v>44294</v>
      </c>
      <c r="C65" s="67" t="s">
        <v>987</v>
      </c>
      <c r="D65" s="103" t="s">
        <v>867</v>
      </c>
      <c r="E65" s="18" t="s">
        <v>17</v>
      </c>
      <c r="F65" s="14" t="s">
        <v>18</v>
      </c>
      <c r="G65" s="15">
        <v>83</v>
      </c>
      <c r="H65" s="41">
        <v>5481800</v>
      </c>
      <c r="I65" s="41">
        <f>List3[[#This Row],[Pengajuan Donasi]]</f>
        <v>5481800</v>
      </c>
      <c r="J65" s="104"/>
      <c r="K65" s="100"/>
      <c r="L65" s="183">
        <v>44294</v>
      </c>
      <c r="M65" s="105" t="s">
        <v>332</v>
      </c>
      <c r="N65" s="105">
        <f>MONTH(List3[[#This Row],[Tanggal Pengajuan]])</f>
        <v>4</v>
      </c>
      <c r="O65" s="183"/>
      <c r="P65" s="105" t="s">
        <v>333</v>
      </c>
      <c r="Q65" s="151"/>
      <c r="R65" s="230" t="s">
        <v>958</v>
      </c>
      <c r="S65" s="577"/>
    </row>
    <row r="66" spans="2:19" ht="24" customHeight="1" x14ac:dyDescent="0.2">
      <c r="B66" s="102">
        <v>44294</v>
      </c>
      <c r="C66" s="67" t="s">
        <v>987</v>
      </c>
      <c r="D66" s="103" t="s">
        <v>855</v>
      </c>
      <c r="E66" s="18" t="s">
        <v>17</v>
      </c>
      <c r="F66" s="14" t="s">
        <v>18</v>
      </c>
      <c r="G66" s="15">
        <v>91</v>
      </c>
      <c r="H66" s="41">
        <v>5485700</v>
      </c>
      <c r="I66" s="41">
        <f>List3[[#This Row],[Pengajuan Donasi]]</f>
        <v>5485700</v>
      </c>
      <c r="J66" s="104"/>
      <c r="K66" s="100"/>
      <c r="L66" s="183">
        <v>44294</v>
      </c>
      <c r="M66" s="105" t="s">
        <v>332</v>
      </c>
      <c r="N66" s="105">
        <f>MONTH(List3[[#This Row],[Tanggal Pengajuan]])</f>
        <v>4</v>
      </c>
      <c r="O66" s="183"/>
      <c r="P66" s="105" t="s">
        <v>333</v>
      </c>
      <c r="Q66" s="151"/>
      <c r="R66" s="230" t="s">
        <v>958</v>
      </c>
      <c r="S66" s="577"/>
    </row>
    <row r="67" spans="2:19" ht="24" customHeight="1" x14ac:dyDescent="0.2">
      <c r="B67" s="102">
        <v>44294</v>
      </c>
      <c r="C67" s="67" t="s">
        <v>987</v>
      </c>
      <c r="D67" s="103" t="s">
        <v>238</v>
      </c>
      <c r="E67" s="18" t="s">
        <v>17</v>
      </c>
      <c r="F67" s="14" t="s">
        <v>18</v>
      </c>
      <c r="G67" s="15">
        <v>40</v>
      </c>
      <c r="H67" s="41">
        <v>5484400</v>
      </c>
      <c r="I67" s="41">
        <f>List3[[#This Row],[Pengajuan Donasi]]</f>
        <v>5484400</v>
      </c>
      <c r="J67" s="104"/>
      <c r="K67" s="100"/>
      <c r="L67" s="183">
        <v>44294</v>
      </c>
      <c r="M67" s="105" t="s">
        <v>332</v>
      </c>
      <c r="N67" s="105">
        <f>MONTH(List3[[#This Row],[Tanggal Pengajuan]])</f>
        <v>4</v>
      </c>
      <c r="O67" s="183"/>
      <c r="P67" s="105" t="s">
        <v>333</v>
      </c>
      <c r="Q67" s="151"/>
      <c r="R67" s="230" t="s">
        <v>958</v>
      </c>
      <c r="S67" s="577"/>
    </row>
    <row r="68" spans="2:19" ht="24" customHeight="1" x14ac:dyDescent="0.2">
      <c r="B68" s="102">
        <v>44294</v>
      </c>
      <c r="C68" s="67" t="s">
        <v>987</v>
      </c>
      <c r="D68" s="103" t="s">
        <v>850</v>
      </c>
      <c r="E68" s="18" t="s">
        <v>17</v>
      </c>
      <c r="F68" s="14" t="s">
        <v>18</v>
      </c>
      <c r="G68" s="15">
        <v>57</v>
      </c>
      <c r="H68" s="41">
        <v>5486200</v>
      </c>
      <c r="I68" s="41">
        <f>List3[[#This Row],[Pengajuan Donasi]]</f>
        <v>5486200</v>
      </c>
      <c r="J68" s="104"/>
      <c r="K68" s="100"/>
      <c r="L68" s="183">
        <v>44294</v>
      </c>
      <c r="M68" s="105" t="s">
        <v>332</v>
      </c>
      <c r="N68" s="105">
        <f>MONTH(List3[[#This Row],[Tanggal Pengajuan]])</f>
        <v>4</v>
      </c>
      <c r="O68" s="183"/>
      <c r="P68" s="105" t="s">
        <v>333</v>
      </c>
      <c r="Q68" s="151"/>
      <c r="R68" s="230" t="s">
        <v>958</v>
      </c>
      <c r="S68" s="577"/>
    </row>
    <row r="69" spans="2:19" ht="24" customHeight="1" x14ac:dyDescent="0.2">
      <c r="B69" s="102">
        <v>44294</v>
      </c>
      <c r="C69" s="67" t="s">
        <v>987</v>
      </c>
      <c r="D69" s="103" t="s">
        <v>851</v>
      </c>
      <c r="E69" s="18" t="s">
        <v>17</v>
      </c>
      <c r="F69" s="14" t="s">
        <v>18</v>
      </c>
      <c r="G69" s="15">
        <v>22</v>
      </c>
      <c r="H69" s="41">
        <v>5480100</v>
      </c>
      <c r="I69" s="41">
        <f>List3[[#This Row],[Pengajuan Donasi]]</f>
        <v>5480100</v>
      </c>
      <c r="J69" s="104"/>
      <c r="K69" s="100"/>
      <c r="L69" s="183">
        <v>44294</v>
      </c>
      <c r="M69" s="105" t="s">
        <v>332</v>
      </c>
      <c r="N69" s="105">
        <f>MONTH(List3[[#This Row],[Tanggal Pengajuan]])</f>
        <v>4</v>
      </c>
      <c r="O69" s="183"/>
      <c r="P69" s="105" t="s">
        <v>333</v>
      </c>
      <c r="Q69" s="151"/>
      <c r="R69" s="230" t="s">
        <v>958</v>
      </c>
      <c r="S69" s="577"/>
    </row>
    <row r="70" spans="2:19" ht="24" customHeight="1" x14ac:dyDescent="0.2">
      <c r="B70" s="102">
        <v>44294</v>
      </c>
      <c r="C70" s="67" t="s">
        <v>987</v>
      </c>
      <c r="D70" s="103" t="s">
        <v>852</v>
      </c>
      <c r="E70" s="18" t="s">
        <v>17</v>
      </c>
      <c r="F70" s="14" t="s">
        <v>18</v>
      </c>
      <c r="G70" s="15">
        <v>42</v>
      </c>
      <c r="H70" s="41">
        <v>5482300</v>
      </c>
      <c r="I70" s="41">
        <f>List3[[#This Row],[Pengajuan Donasi]]</f>
        <v>5482300</v>
      </c>
      <c r="J70" s="104"/>
      <c r="K70" s="100"/>
      <c r="L70" s="183">
        <v>44294</v>
      </c>
      <c r="M70" s="105" t="s">
        <v>332</v>
      </c>
      <c r="N70" s="105">
        <f>MONTH(List3[[#This Row],[Tanggal Pengajuan]])</f>
        <v>4</v>
      </c>
      <c r="O70" s="183"/>
      <c r="P70" s="105" t="s">
        <v>333</v>
      </c>
      <c r="Q70" s="151"/>
      <c r="R70" s="230" t="s">
        <v>958</v>
      </c>
      <c r="S70" s="577"/>
    </row>
    <row r="71" spans="2:19" ht="24" customHeight="1" x14ac:dyDescent="0.2">
      <c r="B71" s="102">
        <v>44294</v>
      </c>
      <c r="C71" s="67" t="s">
        <v>987</v>
      </c>
      <c r="D71" s="103" t="s">
        <v>868</v>
      </c>
      <c r="E71" s="18" t="s">
        <v>17</v>
      </c>
      <c r="F71" s="14" t="s">
        <v>18</v>
      </c>
      <c r="G71" s="15">
        <v>28</v>
      </c>
      <c r="H71" s="41">
        <v>5479900</v>
      </c>
      <c r="I71" s="41">
        <f>List3[[#This Row],[Pengajuan Donasi]]</f>
        <v>5479900</v>
      </c>
      <c r="J71" s="104"/>
      <c r="K71" s="100"/>
      <c r="L71" s="183">
        <v>44294</v>
      </c>
      <c r="M71" s="105" t="s">
        <v>332</v>
      </c>
      <c r="N71" s="105">
        <f>MONTH(List3[[#This Row],[Tanggal Pengajuan]])</f>
        <v>4</v>
      </c>
      <c r="O71" s="183"/>
      <c r="P71" s="105" t="s">
        <v>333</v>
      </c>
      <c r="Q71" s="151"/>
      <c r="R71" s="230" t="s">
        <v>958</v>
      </c>
      <c r="S71" s="577"/>
    </row>
    <row r="72" spans="2:19" ht="24" customHeight="1" x14ac:dyDescent="0.2">
      <c r="B72" s="102">
        <v>44294</v>
      </c>
      <c r="C72" s="67" t="s">
        <v>987</v>
      </c>
      <c r="D72" s="103" t="s">
        <v>228</v>
      </c>
      <c r="E72" s="18" t="s">
        <v>17</v>
      </c>
      <c r="F72" s="14" t="s">
        <v>18</v>
      </c>
      <c r="G72" s="15">
        <v>64</v>
      </c>
      <c r="H72" s="41">
        <v>5486600</v>
      </c>
      <c r="I72" s="41">
        <f>List3[[#This Row],[Pengajuan Donasi]]+50</f>
        <v>5486650</v>
      </c>
      <c r="J72" s="104"/>
      <c r="K72" s="100"/>
      <c r="L72" s="183">
        <v>44294</v>
      </c>
      <c r="M72" s="105"/>
      <c r="N72" s="105">
        <f>MONTH(List3[[#This Row],[Tanggal Pengajuan]])</f>
        <v>4</v>
      </c>
      <c r="O72" s="183"/>
      <c r="P72" s="105"/>
      <c r="Q72" s="151"/>
      <c r="R72" s="230" t="s">
        <v>958</v>
      </c>
      <c r="S72" s="577"/>
    </row>
    <row r="73" spans="2:19" ht="24" customHeight="1" x14ac:dyDescent="0.2">
      <c r="B73" s="102">
        <v>44295</v>
      </c>
      <c r="C73" s="67" t="s">
        <v>334</v>
      </c>
      <c r="D73" s="103" t="s">
        <v>335</v>
      </c>
      <c r="E73" s="22" t="s">
        <v>26</v>
      </c>
      <c r="F73" s="103" t="s">
        <v>28</v>
      </c>
      <c r="G73" s="15">
        <v>0</v>
      </c>
      <c r="H73" s="41">
        <v>35000000</v>
      </c>
      <c r="I73" s="41">
        <f>List3[[#This Row],[Pengajuan Donasi]]</f>
        <v>35000000</v>
      </c>
      <c r="J73" s="104" t="s">
        <v>72</v>
      </c>
      <c r="K73" s="100"/>
      <c r="L73" s="183">
        <v>44678</v>
      </c>
      <c r="M73" s="105" t="s">
        <v>336</v>
      </c>
      <c r="N73" s="105">
        <f>MONTH(List3[[#This Row],[Tanggal Pengajuan]])</f>
        <v>4</v>
      </c>
      <c r="O73" s="183"/>
      <c r="P73" s="105" t="s">
        <v>1008</v>
      </c>
      <c r="Q73" s="252"/>
      <c r="R73" s="230" t="s">
        <v>958</v>
      </c>
      <c r="S73" s="577"/>
    </row>
    <row r="74" spans="2:19" ht="24" customHeight="1" x14ac:dyDescent="0.2">
      <c r="B74" s="102">
        <v>44301</v>
      </c>
      <c r="C74" s="67" t="s">
        <v>337</v>
      </c>
      <c r="D74" s="103" t="s">
        <v>338</v>
      </c>
      <c r="E74" s="22" t="s">
        <v>26</v>
      </c>
      <c r="F74" s="103" t="s">
        <v>28</v>
      </c>
      <c r="G74" s="15">
        <v>0</v>
      </c>
      <c r="H74" s="41">
        <v>35000024</v>
      </c>
      <c r="I74" s="41">
        <f>List3[[#This Row],[Pengajuan Donasi]]</f>
        <v>35000024</v>
      </c>
      <c r="J74" s="104" t="s">
        <v>72</v>
      </c>
      <c r="K74" s="100" t="str">
        <f>IF(List3[[#This Row],[TRF]]="Done","Sudah Transfer","Proses PP/Pengajuan Approval")</f>
        <v>Proses PP/Pengajuan Approval</v>
      </c>
      <c r="L74" s="101"/>
      <c r="M74" s="105" t="s">
        <v>340</v>
      </c>
      <c r="N74" s="105">
        <f>MONTH(List3[[#This Row],[Tanggal Pengajuan]])</f>
        <v>4</v>
      </c>
      <c r="O74" s="101"/>
      <c r="P74" s="105" t="s">
        <v>339</v>
      </c>
      <c r="Q74" s="111"/>
      <c r="R74" s="230" t="s">
        <v>958</v>
      </c>
      <c r="S74" s="577"/>
    </row>
    <row r="75" spans="2:19" ht="24" customHeight="1" x14ac:dyDescent="0.2">
      <c r="B75" s="102">
        <v>44306</v>
      </c>
      <c r="C75" s="67" t="s">
        <v>341</v>
      </c>
      <c r="D75" s="14" t="s">
        <v>256</v>
      </c>
      <c r="E75" s="18" t="s">
        <v>17</v>
      </c>
      <c r="F75" s="14" t="s">
        <v>18</v>
      </c>
      <c r="G75" s="15">
        <v>86</v>
      </c>
      <c r="H75" s="40">
        <v>8500000</v>
      </c>
      <c r="I75" s="41">
        <f>List3[[#This Row],[Pengajuan Donasi]]</f>
        <v>8500000</v>
      </c>
      <c r="J75" s="16" t="s">
        <v>19</v>
      </c>
      <c r="K75" s="100" t="str">
        <f>IF(List3[[#This Row],[TRF]]="Done","Sudah Transfer","Proses PP/Pengajuan Approval")</f>
        <v>Sudah Transfer</v>
      </c>
      <c r="L75" s="101">
        <v>44343</v>
      </c>
      <c r="M75" s="100" t="s">
        <v>136</v>
      </c>
      <c r="N75" s="105">
        <f>MONTH(List3[[#This Row],[Tanggal Pengajuan]])</f>
        <v>4</v>
      </c>
      <c r="O75" s="101"/>
      <c r="P75" s="100" t="s">
        <v>342</v>
      </c>
      <c r="Q75" s="111"/>
      <c r="R75" s="230" t="s">
        <v>958</v>
      </c>
      <c r="S75" s="577"/>
    </row>
    <row r="76" spans="2:19" ht="24" customHeight="1" x14ac:dyDescent="0.2">
      <c r="B76" s="102">
        <v>44306</v>
      </c>
      <c r="C76" s="67" t="s">
        <v>341</v>
      </c>
      <c r="D76" s="14" t="s">
        <v>257</v>
      </c>
      <c r="E76" s="18" t="s">
        <v>17</v>
      </c>
      <c r="F76" s="14" t="s">
        <v>18</v>
      </c>
      <c r="G76" s="15">
        <v>134</v>
      </c>
      <c r="H76" s="40">
        <v>5500000</v>
      </c>
      <c r="I76" s="41">
        <f>List3[[#This Row],[Pengajuan Donasi]]</f>
        <v>5500000</v>
      </c>
      <c r="J76" s="16" t="s">
        <v>19</v>
      </c>
      <c r="K76" s="100" t="str">
        <f>IF(List3[[#This Row],[TRF]]="Done","Sudah Transfer","Proses PP/Pengajuan Approval")</f>
        <v>Sudah Transfer</v>
      </c>
      <c r="L76" s="101">
        <v>44343</v>
      </c>
      <c r="M76" s="100" t="s">
        <v>136</v>
      </c>
      <c r="N76" s="105">
        <f>MONTH(List3[[#This Row],[Tanggal Pengajuan]])</f>
        <v>4</v>
      </c>
      <c r="O76" s="101"/>
      <c r="P76" s="100" t="s">
        <v>342</v>
      </c>
      <c r="Q76" s="111"/>
      <c r="R76" s="230" t="s">
        <v>958</v>
      </c>
      <c r="S76" s="577"/>
    </row>
    <row r="77" spans="2:19" ht="24" customHeight="1" x14ac:dyDescent="0.2">
      <c r="B77" s="102">
        <v>44306</v>
      </c>
      <c r="C77" s="67" t="s">
        <v>341</v>
      </c>
      <c r="D77" s="14" t="s">
        <v>222</v>
      </c>
      <c r="E77" s="18" t="s">
        <v>17</v>
      </c>
      <c r="F77" s="14" t="s">
        <v>18</v>
      </c>
      <c r="G77" s="15">
        <v>34</v>
      </c>
      <c r="H77" s="40">
        <v>5500000</v>
      </c>
      <c r="I77" s="41">
        <f>List3[[#This Row],[Pengajuan Donasi]]</f>
        <v>5500000</v>
      </c>
      <c r="J77" s="16" t="s">
        <v>19</v>
      </c>
      <c r="K77" s="100" t="str">
        <f>IF(List3[[#This Row],[TRF]]="Done","Sudah Transfer","Proses PP/Pengajuan Approval")</f>
        <v>Sudah Transfer</v>
      </c>
      <c r="L77" s="101">
        <v>44343</v>
      </c>
      <c r="M77" s="100" t="s">
        <v>136</v>
      </c>
      <c r="N77" s="105">
        <f>MONTH(List3[[#This Row],[Tanggal Pengajuan]])</f>
        <v>4</v>
      </c>
      <c r="O77" s="101"/>
      <c r="P77" s="100" t="s">
        <v>343</v>
      </c>
      <c r="Q77" s="111"/>
      <c r="R77" s="230" t="s">
        <v>958</v>
      </c>
      <c r="S77" s="577"/>
    </row>
    <row r="78" spans="2:19" ht="24" customHeight="1" x14ac:dyDescent="0.2">
      <c r="B78" s="102">
        <v>44308</v>
      </c>
      <c r="C78" s="67" t="s">
        <v>344</v>
      </c>
      <c r="D78" s="103" t="s">
        <v>348</v>
      </c>
      <c r="E78" s="22" t="s">
        <v>26</v>
      </c>
      <c r="F78" s="103" t="s">
        <v>28</v>
      </c>
      <c r="G78" s="15">
        <v>0</v>
      </c>
      <c r="H78" s="40">
        <v>5000000</v>
      </c>
      <c r="I78" s="41">
        <f>List3[[#This Row],[Pengajuan Donasi]]</f>
        <v>5000000</v>
      </c>
      <c r="J78" s="16" t="s">
        <v>19</v>
      </c>
      <c r="K78" s="100" t="str">
        <f>IF(List3[[#This Row],[TRF]]="Done","Sudah Transfer","Proses PP/Pengajuan Approval")</f>
        <v>Sudah Transfer</v>
      </c>
      <c r="L78" s="101"/>
      <c r="M78" s="105" t="s">
        <v>346</v>
      </c>
      <c r="N78" s="105">
        <f>MONTH(List3[[#This Row],[Tanggal Pengajuan]])</f>
        <v>4</v>
      </c>
      <c r="O78" s="101"/>
      <c r="P78" s="105" t="s">
        <v>345</v>
      </c>
      <c r="Q78" s="111"/>
      <c r="R78" s="230" t="s">
        <v>958</v>
      </c>
      <c r="S78" s="577"/>
    </row>
    <row r="79" spans="2:19" ht="24" customHeight="1" x14ac:dyDescent="0.2">
      <c r="B79" s="102">
        <v>44677</v>
      </c>
      <c r="C79" s="67" t="s">
        <v>971</v>
      </c>
      <c r="D79" s="103" t="s">
        <v>348</v>
      </c>
      <c r="E79" s="22" t="s">
        <v>26</v>
      </c>
      <c r="F79" s="103" t="s">
        <v>28</v>
      </c>
      <c r="G79" s="15">
        <v>0</v>
      </c>
      <c r="H79" s="41">
        <v>30000000</v>
      </c>
      <c r="I79" s="41">
        <f>List3[[#This Row],[Pengajuan Donasi]]</f>
        <v>30000000</v>
      </c>
      <c r="J79" s="104"/>
      <c r="K79" s="100"/>
      <c r="L79" s="183"/>
      <c r="M79" s="105" t="s">
        <v>975</v>
      </c>
      <c r="N79" s="105">
        <f>MONTH(List3[[#This Row],[Tanggal Pengajuan]])</f>
        <v>4</v>
      </c>
      <c r="O79" s="183"/>
      <c r="P79" s="105" t="s">
        <v>976</v>
      </c>
      <c r="Q79" s="111"/>
      <c r="R79" s="230" t="s">
        <v>958</v>
      </c>
      <c r="S79" s="577"/>
    </row>
    <row r="80" spans="2:19" ht="24" customHeight="1" x14ac:dyDescent="0.2">
      <c r="B80" s="102">
        <v>44677</v>
      </c>
      <c r="C80" s="67" t="s">
        <v>972</v>
      </c>
      <c r="D80" s="103" t="s">
        <v>348</v>
      </c>
      <c r="E80" s="22" t="s">
        <v>26</v>
      </c>
      <c r="F80" s="103" t="s">
        <v>28</v>
      </c>
      <c r="G80" s="15">
        <v>0</v>
      </c>
      <c r="H80" s="41">
        <v>30000000</v>
      </c>
      <c r="I80" s="41">
        <f>List3[[#This Row],[Pengajuan Donasi]]</f>
        <v>30000000</v>
      </c>
      <c r="J80" s="104"/>
      <c r="K80" s="100"/>
      <c r="L80" s="183"/>
      <c r="M80" s="105" t="s">
        <v>977</v>
      </c>
      <c r="N80" s="105">
        <f>MONTH(List3[[#This Row],[Tanggal Pengajuan]])</f>
        <v>4</v>
      </c>
      <c r="O80" s="183"/>
      <c r="P80" s="105" t="s">
        <v>980</v>
      </c>
      <c r="Q80" s="111"/>
      <c r="R80" s="230" t="s">
        <v>958</v>
      </c>
      <c r="S80" s="577"/>
    </row>
    <row r="81" spans="2:19" ht="24" customHeight="1" x14ac:dyDescent="0.2">
      <c r="B81" s="102">
        <v>44677</v>
      </c>
      <c r="C81" s="67" t="s">
        <v>973</v>
      </c>
      <c r="D81" s="103" t="s">
        <v>348</v>
      </c>
      <c r="E81" s="22" t="s">
        <v>26</v>
      </c>
      <c r="F81" s="103" t="s">
        <v>28</v>
      </c>
      <c r="G81" s="15">
        <v>0</v>
      </c>
      <c r="H81" s="41">
        <v>30000000</v>
      </c>
      <c r="I81" s="41">
        <f>List3[[#This Row],[Pengajuan Donasi]]</f>
        <v>30000000</v>
      </c>
      <c r="J81" s="104"/>
      <c r="K81" s="100"/>
      <c r="L81" s="183"/>
      <c r="M81" s="105" t="s">
        <v>978</v>
      </c>
      <c r="N81" s="105">
        <f>MONTH(List3[[#This Row],[Tanggal Pengajuan]])</f>
        <v>4</v>
      </c>
      <c r="O81" s="183"/>
      <c r="P81" s="105" t="s">
        <v>979</v>
      </c>
      <c r="Q81" s="111"/>
      <c r="R81" s="230" t="s">
        <v>958</v>
      </c>
      <c r="S81" s="577"/>
    </row>
    <row r="82" spans="2:19" ht="24" customHeight="1" x14ac:dyDescent="0.2">
      <c r="B82" s="102">
        <v>44678</v>
      </c>
      <c r="C82" s="67" t="s">
        <v>974</v>
      </c>
      <c r="D82" s="105" t="s">
        <v>989</v>
      </c>
      <c r="E82" s="22" t="s">
        <v>1054</v>
      </c>
      <c r="F82" s="103" t="s">
        <v>18</v>
      </c>
      <c r="G82" s="15">
        <v>1</v>
      </c>
      <c r="H82" s="41">
        <v>0</v>
      </c>
      <c r="I82" s="41">
        <f>List3[[#This Row],[Pengajuan Donasi]]</f>
        <v>0</v>
      </c>
      <c r="J82" s="104"/>
      <c r="K82" s="100"/>
      <c r="L82" s="183"/>
      <c r="M82" s="105"/>
      <c r="N82" s="105">
        <f>MONTH(List3[[#This Row],[Tanggal Pengajuan]])</f>
        <v>4</v>
      </c>
      <c r="O82" s="183"/>
      <c r="P82" s="105" t="s">
        <v>25</v>
      </c>
      <c r="Q82" s="111"/>
      <c r="R82" s="230" t="s">
        <v>960</v>
      </c>
      <c r="S82" s="577"/>
    </row>
    <row r="83" spans="2:19" ht="24" customHeight="1" x14ac:dyDescent="0.35">
      <c r="B83" s="102">
        <v>44308</v>
      </c>
      <c r="C83" s="67"/>
      <c r="D83" s="103" t="s">
        <v>348</v>
      </c>
      <c r="E83" s="22" t="s">
        <v>26</v>
      </c>
      <c r="F83" s="103" t="s">
        <v>28</v>
      </c>
      <c r="G83" s="15">
        <v>0</v>
      </c>
      <c r="H83" s="41"/>
      <c r="I83" s="41"/>
      <c r="J83" s="104"/>
      <c r="K83" s="41">
        <v>8717000</v>
      </c>
      <c r="L83" s="101"/>
      <c r="M83" s="105"/>
      <c r="N83" s="105">
        <f>MONTH(List3[[#This Row],[Tanggal Pengajuan]])</f>
        <v>4</v>
      </c>
      <c r="O83" s="101"/>
      <c r="P83" s="105" t="s">
        <v>350</v>
      </c>
      <c r="Q83" s="111" t="s">
        <v>317</v>
      </c>
      <c r="R83" s="242" t="s">
        <v>317</v>
      </c>
      <c r="S83" s="577"/>
    </row>
    <row r="84" spans="2:19" ht="24" customHeight="1" x14ac:dyDescent="0.2">
      <c r="B84" s="102">
        <v>44321</v>
      </c>
      <c r="C84" s="67" t="s">
        <v>351</v>
      </c>
      <c r="D84" s="103" t="s">
        <v>361</v>
      </c>
      <c r="E84" s="22" t="s">
        <v>17</v>
      </c>
      <c r="F84" s="103" t="s">
        <v>28</v>
      </c>
      <c r="G84" s="15">
        <v>150</v>
      </c>
      <c r="H84" s="40">
        <v>5500000</v>
      </c>
      <c r="I84" s="40">
        <f>List3[[#This Row],[Pengajuan Donasi]]</f>
        <v>5500000</v>
      </c>
      <c r="J84" s="16" t="s">
        <v>19</v>
      </c>
      <c r="K84" s="100" t="str">
        <f>IF(List3[[#This Row],[TRF]]="Done","Sudah Transfer","Proses PP/Pengajuan Approval")</f>
        <v>Sudah Transfer</v>
      </c>
      <c r="L84" s="101"/>
      <c r="M84" s="100" t="s">
        <v>21</v>
      </c>
      <c r="N84" s="105">
        <f>MONTH(List3[[#This Row],[Tanggal Pengajuan]])</f>
        <v>5</v>
      </c>
      <c r="O84" s="101">
        <v>44334</v>
      </c>
      <c r="P84" s="105" t="s">
        <v>352</v>
      </c>
      <c r="Q84" s="111"/>
      <c r="R84" s="230" t="s">
        <v>958</v>
      </c>
      <c r="S84" s="577"/>
    </row>
    <row r="85" spans="2:19" ht="24" customHeight="1" x14ac:dyDescent="0.2">
      <c r="B85" s="102">
        <v>44334</v>
      </c>
      <c r="C85" s="67" t="s">
        <v>353</v>
      </c>
      <c r="D85" s="105" t="s">
        <v>354</v>
      </c>
      <c r="E85" s="22" t="s">
        <v>71</v>
      </c>
      <c r="F85" s="103" t="s">
        <v>28</v>
      </c>
      <c r="G85" s="15">
        <v>1</v>
      </c>
      <c r="H85" s="40">
        <v>600000</v>
      </c>
      <c r="I85" s="40">
        <f>List3[[#This Row],[Pengajuan Donasi]]</f>
        <v>600000</v>
      </c>
      <c r="J85" s="16" t="s">
        <v>19</v>
      </c>
      <c r="K85" s="100" t="str">
        <f>IF(List3[[#This Row],[TRF]]="Done","Sudah Transfer","Proses PP/Pengajuan Approval")</f>
        <v>Sudah Transfer</v>
      </c>
      <c r="L85" s="101">
        <v>44350</v>
      </c>
      <c r="M85" s="105" t="s">
        <v>227</v>
      </c>
      <c r="N85" s="105">
        <f>MONTH(List3[[#This Row],[Tanggal Pengajuan]])</f>
        <v>5</v>
      </c>
      <c r="O85" s="101"/>
      <c r="P85" s="105" t="s">
        <v>25</v>
      </c>
      <c r="Q85" s="111"/>
      <c r="R85" s="230" t="s">
        <v>958</v>
      </c>
      <c r="S85" s="577"/>
    </row>
    <row r="86" spans="2:19" ht="24" customHeight="1" x14ac:dyDescent="0.2">
      <c r="B86" s="102">
        <v>44335</v>
      </c>
      <c r="C86" s="67" t="s">
        <v>355</v>
      </c>
      <c r="D86" s="103" t="s">
        <v>872</v>
      </c>
      <c r="E86" s="18" t="s">
        <v>17</v>
      </c>
      <c r="F86" s="14" t="s">
        <v>18</v>
      </c>
      <c r="G86" s="15">
        <v>70</v>
      </c>
      <c r="H86" s="40">
        <f>'[3]Daftar Panti'!C4</f>
        <v>5497504</v>
      </c>
      <c r="I86" s="41">
        <f>List3[[#This Row],[Pengajuan Donasi]]</f>
        <v>5497504</v>
      </c>
      <c r="J86" s="16" t="s">
        <v>19</v>
      </c>
      <c r="K86" s="100" t="str">
        <f>IF(List3[[#This Row],[TRF]]="Done","Sudah Transfer","Proses PP/Pengajuan Approval")</f>
        <v>Sudah Transfer</v>
      </c>
      <c r="L86" s="101">
        <v>44337</v>
      </c>
      <c r="M86" s="105" t="s">
        <v>332</v>
      </c>
      <c r="N86" s="105">
        <f>MONTH(List3[[#This Row],[Tanggal Pengajuan]])</f>
        <v>5</v>
      </c>
      <c r="O86" s="101"/>
      <c r="P86" s="105" t="s">
        <v>356</v>
      </c>
      <c r="Q86" s="111"/>
      <c r="R86" s="230" t="s">
        <v>958</v>
      </c>
      <c r="S86" s="577"/>
    </row>
    <row r="87" spans="2:19" ht="24" customHeight="1" x14ac:dyDescent="0.2">
      <c r="B87" s="102">
        <v>44335</v>
      </c>
      <c r="C87" s="67" t="s">
        <v>355</v>
      </c>
      <c r="D87" s="103" t="s">
        <v>870</v>
      </c>
      <c r="E87" s="22" t="s">
        <v>17</v>
      </c>
      <c r="F87" s="103" t="s">
        <v>18</v>
      </c>
      <c r="G87" s="15">
        <v>98</v>
      </c>
      <c r="H87" s="40">
        <f>'[3]Daftar Panti'!C5</f>
        <v>5493920</v>
      </c>
      <c r="I87" s="40">
        <f>List3[[#This Row],[Pengajuan Donasi]]</f>
        <v>5493920</v>
      </c>
      <c r="J87" s="16" t="s">
        <v>19</v>
      </c>
      <c r="K87" s="100" t="str">
        <f>IF(List3[[#This Row],[TRF]]="Done","Sudah Transfer","Proses PP/Pengajuan Approval")</f>
        <v>Sudah Transfer</v>
      </c>
      <c r="L87" s="101">
        <v>44337</v>
      </c>
      <c r="M87" s="100" t="s">
        <v>332</v>
      </c>
      <c r="N87" s="105">
        <f>MONTH(List3[[#This Row],[Tanggal Pengajuan]])</f>
        <v>5</v>
      </c>
      <c r="O87" s="101"/>
      <c r="P87" s="105" t="s">
        <v>356</v>
      </c>
      <c r="Q87" s="111"/>
      <c r="R87" s="230" t="s">
        <v>958</v>
      </c>
      <c r="S87" s="577"/>
    </row>
    <row r="88" spans="2:19" ht="24" customHeight="1" x14ac:dyDescent="0.2">
      <c r="B88" s="102">
        <v>44335</v>
      </c>
      <c r="C88" s="67" t="s">
        <v>355</v>
      </c>
      <c r="D88" s="103" t="s">
        <v>849</v>
      </c>
      <c r="E88" s="22" t="s">
        <v>17</v>
      </c>
      <c r="F88" s="103" t="s">
        <v>18</v>
      </c>
      <c r="G88" s="15">
        <v>63</v>
      </c>
      <c r="H88" s="40">
        <f>'[3]Daftar Panti'!C6</f>
        <v>5497880</v>
      </c>
      <c r="I88" s="40">
        <f>List3[[#This Row],[Pengajuan Donasi]]</f>
        <v>5497880</v>
      </c>
      <c r="J88" s="16" t="s">
        <v>19</v>
      </c>
      <c r="K88" s="100" t="str">
        <f>IF(List3[[#This Row],[TRF]]="Done","Sudah Transfer","Proses PP/Pengajuan Approval")</f>
        <v>Sudah Transfer</v>
      </c>
      <c r="L88" s="101">
        <v>44337</v>
      </c>
      <c r="M88" s="100" t="s">
        <v>332</v>
      </c>
      <c r="N88" s="105">
        <f>MONTH(List3[[#This Row],[Tanggal Pengajuan]])</f>
        <v>5</v>
      </c>
      <c r="O88" s="101"/>
      <c r="P88" s="105" t="s">
        <v>356</v>
      </c>
      <c r="Q88" s="111"/>
      <c r="R88" s="230" t="s">
        <v>958</v>
      </c>
      <c r="S88" s="577"/>
    </row>
    <row r="89" spans="2:19" ht="24" customHeight="1" x14ac:dyDescent="0.2">
      <c r="B89" s="102">
        <v>44335</v>
      </c>
      <c r="C89" s="67" t="s">
        <v>355</v>
      </c>
      <c r="D89" s="103" t="s">
        <v>850</v>
      </c>
      <c r="E89" s="22" t="s">
        <v>17</v>
      </c>
      <c r="F89" s="103" t="s">
        <v>18</v>
      </c>
      <c r="G89" s="15">
        <v>19</v>
      </c>
      <c r="H89" s="40">
        <f>'[3]Daftar Panti'!C7</f>
        <v>5499220</v>
      </c>
      <c r="I89" s="40">
        <f>List3[[#This Row],[Pengajuan Donasi]]</f>
        <v>5499220</v>
      </c>
      <c r="J89" s="16" t="s">
        <v>19</v>
      </c>
      <c r="K89" s="100" t="str">
        <f>IF(List3[[#This Row],[TRF]]="Done","Sudah Transfer","Proses PP/Pengajuan Approval")</f>
        <v>Sudah Transfer</v>
      </c>
      <c r="L89" s="101">
        <v>44337</v>
      </c>
      <c r="M89" s="100" t="s">
        <v>332</v>
      </c>
      <c r="N89" s="105">
        <f>MONTH(List3[[#This Row],[Tanggal Pengajuan]])</f>
        <v>5</v>
      </c>
      <c r="O89" s="101"/>
      <c r="P89" s="105" t="s">
        <v>356</v>
      </c>
      <c r="Q89" s="111"/>
      <c r="R89" s="230" t="s">
        <v>958</v>
      </c>
      <c r="S89" s="577"/>
    </row>
    <row r="90" spans="2:19" ht="24" customHeight="1" x14ac:dyDescent="0.2">
      <c r="B90" s="102">
        <v>44335</v>
      </c>
      <c r="C90" s="67" t="s">
        <v>355</v>
      </c>
      <c r="D90" s="103" t="s">
        <v>852</v>
      </c>
      <c r="E90" s="22" t="s">
        <v>17</v>
      </c>
      <c r="F90" s="103" t="s">
        <v>18</v>
      </c>
      <c r="G90" s="15">
        <v>40</v>
      </c>
      <c r="H90" s="40">
        <f>'[3]Daftar Panti'!C8</f>
        <v>5497210</v>
      </c>
      <c r="I90" s="40">
        <f>List3[[#This Row],[Pengajuan Donasi]]</f>
        <v>5497210</v>
      </c>
      <c r="J90" s="16" t="s">
        <v>19</v>
      </c>
      <c r="K90" s="100" t="str">
        <f>IF(List3[[#This Row],[TRF]]="Done","Sudah Transfer","Proses PP/Pengajuan Approval")</f>
        <v>Sudah Transfer</v>
      </c>
      <c r="L90" s="101">
        <v>44337</v>
      </c>
      <c r="M90" s="100" t="s">
        <v>332</v>
      </c>
      <c r="N90" s="105">
        <f>MONTH(List3[[#This Row],[Tanggal Pengajuan]])</f>
        <v>5</v>
      </c>
      <c r="O90" s="101"/>
      <c r="P90" s="105" t="s">
        <v>356</v>
      </c>
      <c r="Q90" s="111"/>
      <c r="R90" s="230" t="s">
        <v>958</v>
      </c>
      <c r="S90" s="577"/>
    </row>
    <row r="91" spans="2:19" ht="24" customHeight="1" x14ac:dyDescent="0.2">
      <c r="B91" s="102">
        <v>44335</v>
      </c>
      <c r="C91" s="67" t="s">
        <v>355</v>
      </c>
      <c r="D91" s="103" t="s">
        <v>238</v>
      </c>
      <c r="E91" s="22" t="s">
        <v>17</v>
      </c>
      <c r="F91" s="103" t="s">
        <v>18</v>
      </c>
      <c r="G91" s="15">
        <v>119</v>
      </c>
      <c r="H91" s="40">
        <f>'[3]Daftar Panti'!C9</f>
        <v>5499280</v>
      </c>
      <c r="I91" s="40">
        <f>List3[[#This Row],[Pengajuan Donasi]]</f>
        <v>5499280</v>
      </c>
      <c r="J91" s="16" t="s">
        <v>19</v>
      </c>
      <c r="K91" s="100" t="str">
        <f>IF(List3[[#This Row],[TRF]]="Done","Sudah Transfer","Proses PP/Pengajuan Approval")</f>
        <v>Sudah Transfer</v>
      </c>
      <c r="L91" s="101">
        <v>44337</v>
      </c>
      <c r="M91" s="100" t="s">
        <v>332</v>
      </c>
      <c r="N91" s="105">
        <f>MONTH(List3[[#This Row],[Tanggal Pengajuan]])</f>
        <v>5</v>
      </c>
      <c r="O91" s="101"/>
      <c r="P91" s="105" t="s">
        <v>356</v>
      </c>
      <c r="Q91" s="111"/>
      <c r="R91" s="230" t="s">
        <v>958</v>
      </c>
      <c r="S91" s="577"/>
    </row>
    <row r="92" spans="2:19" ht="24" customHeight="1" x14ac:dyDescent="0.2">
      <c r="B92" s="102">
        <v>44335</v>
      </c>
      <c r="C92" s="67" t="s">
        <v>355</v>
      </c>
      <c r="D92" s="103" t="s">
        <v>867</v>
      </c>
      <c r="E92" s="22" t="s">
        <v>17</v>
      </c>
      <c r="F92" s="103" t="s">
        <v>18</v>
      </c>
      <c r="G92" s="15">
        <v>77</v>
      </c>
      <c r="H92" s="40">
        <f>'[3]Daftar Panti'!C10</f>
        <v>5498790</v>
      </c>
      <c r="I92" s="40">
        <f>List3[[#This Row],[Pengajuan Donasi]]</f>
        <v>5498790</v>
      </c>
      <c r="J92" s="16" t="s">
        <v>19</v>
      </c>
      <c r="K92" s="100" t="str">
        <f>IF(List3[[#This Row],[TRF]]="Done","Sudah Transfer","Proses PP/Pengajuan Approval")</f>
        <v>Sudah Transfer</v>
      </c>
      <c r="L92" s="101">
        <v>44337</v>
      </c>
      <c r="M92" s="100" t="s">
        <v>332</v>
      </c>
      <c r="N92" s="105">
        <f>MONTH(List3[[#This Row],[Tanggal Pengajuan]])</f>
        <v>5</v>
      </c>
      <c r="O92" s="101"/>
      <c r="P92" s="105" t="s">
        <v>356</v>
      </c>
      <c r="Q92" s="111"/>
      <c r="R92" s="230" t="s">
        <v>958</v>
      </c>
      <c r="S92" s="577"/>
    </row>
    <row r="93" spans="2:19" ht="24" customHeight="1" x14ac:dyDescent="0.2">
      <c r="B93" s="102">
        <v>44335</v>
      </c>
      <c r="C93" s="67" t="s">
        <v>355</v>
      </c>
      <c r="D93" s="103" t="s">
        <v>868</v>
      </c>
      <c r="E93" s="22" t="s">
        <v>17</v>
      </c>
      <c r="F93" s="103" t="s">
        <v>18</v>
      </c>
      <c r="G93" s="15">
        <v>36</v>
      </c>
      <c r="H93" s="40">
        <f>'[3]Daftar Panti'!C11</f>
        <v>5498980</v>
      </c>
      <c r="I93" s="40">
        <f>List3[[#This Row],[Pengajuan Donasi]]</f>
        <v>5498980</v>
      </c>
      <c r="J93" s="16" t="s">
        <v>19</v>
      </c>
      <c r="K93" s="100" t="str">
        <f>IF(List3[[#This Row],[TRF]]="Done","Sudah Transfer","Proses PP/Pengajuan Approval")</f>
        <v>Sudah Transfer</v>
      </c>
      <c r="L93" s="101">
        <v>44337</v>
      </c>
      <c r="M93" s="100" t="s">
        <v>332</v>
      </c>
      <c r="N93" s="105">
        <f>MONTH(List3[[#This Row],[Tanggal Pengajuan]])</f>
        <v>5</v>
      </c>
      <c r="O93" s="101"/>
      <c r="P93" s="105" t="s">
        <v>356</v>
      </c>
      <c r="Q93" s="111"/>
      <c r="R93" s="230" t="s">
        <v>958</v>
      </c>
      <c r="S93" s="577"/>
    </row>
    <row r="94" spans="2:19" ht="24" customHeight="1" x14ac:dyDescent="0.2">
      <c r="B94" s="102">
        <v>44335</v>
      </c>
      <c r="C94" s="67" t="s">
        <v>355</v>
      </c>
      <c r="D94" s="103" t="s">
        <v>124</v>
      </c>
      <c r="E94" s="22" t="s">
        <v>17</v>
      </c>
      <c r="F94" s="103" t="s">
        <v>18</v>
      </c>
      <c r="G94" s="15">
        <v>83</v>
      </c>
      <c r="H94" s="40">
        <f>'[3]Daftar Panti'!C12</f>
        <v>5499760</v>
      </c>
      <c r="I94" s="40">
        <f>List3[[#This Row],[Pengajuan Donasi]]</f>
        <v>5499760</v>
      </c>
      <c r="J94" s="16" t="s">
        <v>19</v>
      </c>
      <c r="K94" s="100" t="str">
        <f>IF(List3[[#This Row],[TRF]]="Done","Sudah Transfer","Proses PP/Pengajuan Approval")</f>
        <v>Sudah Transfer</v>
      </c>
      <c r="L94" s="101">
        <v>44337</v>
      </c>
      <c r="M94" s="100" t="s">
        <v>332</v>
      </c>
      <c r="N94" s="105">
        <f>MONTH(List3[[#This Row],[Tanggal Pengajuan]])</f>
        <v>5</v>
      </c>
      <c r="O94" s="101"/>
      <c r="P94" s="105" t="s">
        <v>356</v>
      </c>
      <c r="Q94" s="111"/>
      <c r="R94" s="230" t="s">
        <v>958</v>
      </c>
      <c r="S94" s="577"/>
    </row>
    <row r="95" spans="2:19" ht="24" customHeight="1" x14ac:dyDescent="0.2">
      <c r="B95" s="102">
        <v>44335</v>
      </c>
      <c r="C95" s="67" t="s">
        <v>355</v>
      </c>
      <c r="D95" s="103" t="s">
        <v>855</v>
      </c>
      <c r="E95" s="22" t="s">
        <v>17</v>
      </c>
      <c r="F95" s="103" t="s">
        <v>18</v>
      </c>
      <c r="G95" s="15">
        <v>91</v>
      </c>
      <c r="H95" s="40">
        <f>'[3]Daftar Panti'!C13</f>
        <v>5497480</v>
      </c>
      <c r="I95" s="40">
        <f>List3[[#This Row],[Pengajuan Donasi]]</f>
        <v>5497480</v>
      </c>
      <c r="J95" s="16" t="s">
        <v>19</v>
      </c>
      <c r="K95" s="100" t="str">
        <f>IF(List3[[#This Row],[TRF]]="Done","Sudah Transfer","Proses PP/Pengajuan Approval")</f>
        <v>Sudah Transfer</v>
      </c>
      <c r="L95" s="101">
        <v>44337</v>
      </c>
      <c r="M95" s="100" t="s">
        <v>332</v>
      </c>
      <c r="N95" s="105">
        <f>MONTH(List3[[#This Row],[Tanggal Pengajuan]])</f>
        <v>5</v>
      </c>
      <c r="O95" s="101"/>
      <c r="P95" s="105" t="s">
        <v>356</v>
      </c>
      <c r="Q95" s="111"/>
      <c r="R95" s="230" t="s">
        <v>958</v>
      </c>
      <c r="S95" s="577"/>
    </row>
    <row r="96" spans="2:19" ht="24" customHeight="1" x14ac:dyDescent="0.2">
      <c r="B96" s="102">
        <v>44335</v>
      </c>
      <c r="C96" s="67" t="s">
        <v>355</v>
      </c>
      <c r="D96" s="103" t="s">
        <v>871</v>
      </c>
      <c r="E96" s="22" t="s">
        <v>17</v>
      </c>
      <c r="F96" s="103" t="s">
        <v>18</v>
      </c>
      <c r="G96" s="15">
        <v>40</v>
      </c>
      <c r="H96" s="40">
        <f>'[3]Daftar Panti'!C14</f>
        <v>5497660</v>
      </c>
      <c r="I96" s="40">
        <f>List3[[#This Row],[Pengajuan Donasi]]</f>
        <v>5497660</v>
      </c>
      <c r="J96" s="16" t="s">
        <v>19</v>
      </c>
      <c r="K96" s="100" t="str">
        <f>IF(List3[[#This Row],[TRF]]="Done","Sudah Transfer","Proses PP/Pengajuan Approval")</f>
        <v>Sudah Transfer</v>
      </c>
      <c r="L96" s="101">
        <v>44337</v>
      </c>
      <c r="M96" s="100" t="s">
        <v>332</v>
      </c>
      <c r="N96" s="105">
        <f>MONTH(List3[[#This Row],[Tanggal Pengajuan]])</f>
        <v>5</v>
      </c>
      <c r="O96" s="101"/>
      <c r="P96" s="105" t="s">
        <v>356</v>
      </c>
      <c r="Q96" s="111"/>
      <c r="R96" s="230" t="s">
        <v>958</v>
      </c>
      <c r="S96" s="577"/>
    </row>
    <row r="97" spans="2:19" ht="24" customHeight="1" x14ac:dyDescent="0.2">
      <c r="B97" s="102">
        <v>44335</v>
      </c>
      <c r="C97" s="67" t="s">
        <v>355</v>
      </c>
      <c r="D97" s="103" t="s">
        <v>851</v>
      </c>
      <c r="E97" s="22" t="s">
        <v>17</v>
      </c>
      <c r="F97" s="103" t="s">
        <v>18</v>
      </c>
      <c r="G97" s="15">
        <v>57</v>
      </c>
      <c r="H97" s="40">
        <f>'[3]Daftar Panti'!C15</f>
        <v>5495810</v>
      </c>
      <c r="I97" s="40">
        <f>List3[[#This Row],[Pengajuan Donasi]]</f>
        <v>5495810</v>
      </c>
      <c r="J97" s="16" t="s">
        <v>19</v>
      </c>
      <c r="K97" s="100" t="str">
        <f>IF(List3[[#This Row],[TRF]]="Done","Sudah Transfer","Proses PP/Pengajuan Approval")</f>
        <v>Sudah Transfer</v>
      </c>
      <c r="L97" s="101">
        <v>44337</v>
      </c>
      <c r="M97" s="100" t="s">
        <v>332</v>
      </c>
      <c r="N97" s="105">
        <f>MONTH(List3[[#This Row],[Tanggal Pengajuan]])</f>
        <v>5</v>
      </c>
      <c r="O97" s="101"/>
      <c r="P97" s="105" t="s">
        <v>356</v>
      </c>
      <c r="Q97" s="111"/>
      <c r="R97" s="230" t="s">
        <v>958</v>
      </c>
      <c r="S97" s="577"/>
    </row>
    <row r="98" spans="2:19" ht="24" customHeight="1" x14ac:dyDescent="0.2">
      <c r="B98" s="102">
        <v>44335</v>
      </c>
      <c r="C98" s="67" t="s">
        <v>355</v>
      </c>
      <c r="D98" s="103" t="s">
        <v>869</v>
      </c>
      <c r="E98" s="22" t="s">
        <v>17</v>
      </c>
      <c r="F98" s="103" t="s">
        <v>18</v>
      </c>
      <c r="G98" s="15">
        <v>22</v>
      </c>
      <c r="H98" s="40">
        <f>'[3]Daftar Panti'!C16</f>
        <v>5497380</v>
      </c>
      <c r="I98" s="40">
        <f>List3[[#This Row],[Pengajuan Donasi]]</f>
        <v>5497380</v>
      </c>
      <c r="J98" s="16" t="s">
        <v>19</v>
      </c>
      <c r="K98" s="100" t="str">
        <f>IF(List3[[#This Row],[TRF]]="Done","Sudah Transfer","Proses PP/Pengajuan Approval")</f>
        <v>Sudah Transfer</v>
      </c>
      <c r="L98" s="101">
        <v>44337</v>
      </c>
      <c r="M98" s="100" t="s">
        <v>332</v>
      </c>
      <c r="N98" s="105">
        <f>MONTH(List3[[#This Row],[Tanggal Pengajuan]])</f>
        <v>5</v>
      </c>
      <c r="O98" s="101"/>
      <c r="P98" s="105" t="s">
        <v>356</v>
      </c>
      <c r="Q98" s="111"/>
      <c r="R98" s="230" t="s">
        <v>958</v>
      </c>
      <c r="S98" s="577"/>
    </row>
    <row r="99" spans="2:19" ht="24" customHeight="1" x14ac:dyDescent="0.2">
      <c r="B99" s="102">
        <v>44335</v>
      </c>
      <c r="C99" s="67" t="s">
        <v>355</v>
      </c>
      <c r="D99" s="103" t="s">
        <v>848</v>
      </c>
      <c r="E99" s="22" t="s">
        <v>17</v>
      </c>
      <c r="F99" s="103" t="s">
        <v>18</v>
      </c>
      <c r="G99" s="15">
        <v>42</v>
      </c>
      <c r="H99" s="40">
        <f>'[3]Daftar Panti'!C17</f>
        <v>5499170</v>
      </c>
      <c r="I99" s="40">
        <f>List3[[#This Row],[Pengajuan Donasi]]</f>
        <v>5499170</v>
      </c>
      <c r="J99" s="16" t="s">
        <v>19</v>
      </c>
      <c r="K99" s="100" t="str">
        <f>IF(List3[[#This Row],[TRF]]="Done","Sudah Transfer","Proses PP/Pengajuan Approval")</f>
        <v>Sudah Transfer</v>
      </c>
      <c r="L99" s="101">
        <v>44337</v>
      </c>
      <c r="M99" s="100" t="s">
        <v>332</v>
      </c>
      <c r="N99" s="105">
        <f>MONTH(List3[[#This Row],[Tanggal Pengajuan]])</f>
        <v>5</v>
      </c>
      <c r="O99" s="101"/>
      <c r="P99" s="105" t="s">
        <v>356</v>
      </c>
      <c r="Q99" s="111"/>
      <c r="R99" s="230" t="s">
        <v>958</v>
      </c>
      <c r="S99" s="577"/>
    </row>
    <row r="100" spans="2:19" ht="24" customHeight="1" x14ac:dyDescent="0.2">
      <c r="B100" s="102">
        <v>44335</v>
      </c>
      <c r="C100" s="67" t="s">
        <v>355</v>
      </c>
      <c r="D100" s="103" t="s">
        <v>229</v>
      </c>
      <c r="E100" s="22" t="s">
        <v>17</v>
      </c>
      <c r="F100" s="103" t="s">
        <v>18</v>
      </c>
      <c r="G100" s="15">
        <v>28</v>
      </c>
      <c r="H100" s="40">
        <f>'[3]Daftar Panti'!C18</f>
        <v>5495160</v>
      </c>
      <c r="I100" s="40">
        <f>List3[[#This Row],[Pengajuan Donasi]]</f>
        <v>5495160</v>
      </c>
      <c r="J100" s="16" t="s">
        <v>19</v>
      </c>
      <c r="K100" s="100" t="str">
        <f>IF(List3[[#This Row],[TRF]]="Done","Sudah Transfer","Proses PP/Pengajuan Approval")</f>
        <v>Sudah Transfer</v>
      </c>
      <c r="L100" s="101">
        <v>44337</v>
      </c>
      <c r="M100" s="100" t="s">
        <v>332</v>
      </c>
      <c r="N100" s="105">
        <f>MONTH(List3[[#This Row],[Tanggal Pengajuan]])</f>
        <v>5</v>
      </c>
      <c r="O100" s="101"/>
      <c r="P100" s="105" t="s">
        <v>356</v>
      </c>
      <c r="Q100" s="111"/>
      <c r="R100" s="230" t="s">
        <v>958</v>
      </c>
      <c r="S100" s="577"/>
    </row>
    <row r="101" spans="2:19" ht="24" customHeight="1" x14ac:dyDescent="0.2">
      <c r="B101" s="102">
        <v>44335</v>
      </c>
      <c r="C101" s="67" t="s">
        <v>355</v>
      </c>
      <c r="D101" s="103" t="s">
        <v>228</v>
      </c>
      <c r="E101" s="22" t="s">
        <v>17</v>
      </c>
      <c r="F101" s="103" t="s">
        <v>18</v>
      </c>
      <c r="G101" s="15">
        <v>64</v>
      </c>
      <c r="H101" s="40">
        <f>'[3]Daftar Panti'!C19</f>
        <v>5496500</v>
      </c>
      <c r="I101" s="40">
        <f>List3[[#This Row],[Pengajuan Donasi]]</f>
        <v>5496500</v>
      </c>
      <c r="J101" s="16" t="s">
        <v>19</v>
      </c>
      <c r="K101" s="100" t="str">
        <f>IF(List3[[#This Row],[TRF]]="Done","Sudah Transfer","Proses PP/Pengajuan Approval")</f>
        <v>Sudah Transfer</v>
      </c>
      <c r="L101" s="101">
        <v>44337</v>
      </c>
      <c r="M101" s="100" t="s">
        <v>332</v>
      </c>
      <c r="N101" s="105">
        <f>MONTH(List3[[#This Row],[Tanggal Pengajuan]])</f>
        <v>5</v>
      </c>
      <c r="O101" s="101"/>
      <c r="P101" s="105" t="s">
        <v>356</v>
      </c>
      <c r="Q101" s="111"/>
      <c r="R101" s="230" t="s">
        <v>958</v>
      </c>
      <c r="S101" s="577"/>
    </row>
    <row r="102" spans="2:19" ht="24" customHeight="1" x14ac:dyDescent="0.2">
      <c r="B102" s="102">
        <v>44335</v>
      </c>
      <c r="C102" s="67" t="s">
        <v>355</v>
      </c>
      <c r="D102" s="103" t="s">
        <v>858</v>
      </c>
      <c r="E102" s="22" t="s">
        <v>17</v>
      </c>
      <c r="F102" s="103" t="s">
        <v>18</v>
      </c>
      <c r="G102" s="15">
        <v>12</v>
      </c>
      <c r="H102" s="40">
        <f>'[3]Daftar Panti'!C20</f>
        <v>5499160</v>
      </c>
      <c r="I102" s="40">
        <f>List3[[#This Row],[Pengajuan Donasi]]</f>
        <v>5499160</v>
      </c>
      <c r="J102" s="16" t="s">
        <v>19</v>
      </c>
      <c r="K102" s="100" t="str">
        <f>IF(List3[[#This Row],[TRF]]="Done","Sudah Transfer","Proses PP/Pengajuan Approval")</f>
        <v>Sudah Transfer</v>
      </c>
      <c r="L102" s="101">
        <v>44337</v>
      </c>
      <c r="M102" s="100" t="s">
        <v>332</v>
      </c>
      <c r="N102" s="105">
        <f>MONTH(List3[[#This Row],[Tanggal Pengajuan]])</f>
        <v>5</v>
      </c>
      <c r="O102" s="101"/>
      <c r="P102" s="105" t="s">
        <v>356</v>
      </c>
      <c r="Q102" s="111"/>
      <c r="R102" s="230" t="s">
        <v>958</v>
      </c>
      <c r="S102" s="577"/>
    </row>
    <row r="103" spans="2:19" ht="24" customHeight="1" x14ac:dyDescent="0.2">
      <c r="B103" s="102">
        <v>44335</v>
      </c>
      <c r="C103" s="67" t="s">
        <v>355</v>
      </c>
      <c r="D103" s="103" t="s">
        <v>856</v>
      </c>
      <c r="E103" s="22" t="s">
        <v>17</v>
      </c>
      <c r="F103" s="103" t="s">
        <v>18</v>
      </c>
      <c r="G103" s="15">
        <v>28</v>
      </c>
      <c r="H103" s="40">
        <f>'[3]Daftar Panti'!C21</f>
        <v>5499120</v>
      </c>
      <c r="I103" s="40">
        <f>List3[[#This Row],[Pengajuan Donasi]]</f>
        <v>5499120</v>
      </c>
      <c r="J103" s="16" t="s">
        <v>19</v>
      </c>
      <c r="K103" s="100" t="str">
        <f>IF(List3[[#This Row],[TRF]]="Done","Sudah Transfer","Proses PP/Pengajuan Approval")</f>
        <v>Sudah Transfer</v>
      </c>
      <c r="L103" s="101">
        <v>44337</v>
      </c>
      <c r="M103" s="100" t="s">
        <v>332</v>
      </c>
      <c r="N103" s="105">
        <f>MONTH(List3[[#This Row],[Tanggal Pengajuan]])</f>
        <v>5</v>
      </c>
      <c r="O103" s="101"/>
      <c r="P103" s="105" t="s">
        <v>356</v>
      </c>
      <c r="Q103" s="111"/>
      <c r="R103" s="230" t="s">
        <v>958</v>
      </c>
      <c r="S103" s="577"/>
    </row>
    <row r="104" spans="2:19" ht="24" customHeight="1" x14ac:dyDescent="0.2">
      <c r="B104" s="102">
        <v>44335</v>
      </c>
      <c r="C104" s="67" t="s">
        <v>355</v>
      </c>
      <c r="D104" s="103" t="s">
        <v>854</v>
      </c>
      <c r="E104" s="22" t="s">
        <v>17</v>
      </c>
      <c r="F104" s="103" t="s">
        <v>18</v>
      </c>
      <c r="G104" s="15">
        <v>150</v>
      </c>
      <c r="H104" s="40">
        <f>'[3]Daftar Panti'!C22</f>
        <v>5498600</v>
      </c>
      <c r="I104" s="40">
        <f>List3[[#This Row],[Pengajuan Donasi]]</f>
        <v>5498600</v>
      </c>
      <c r="J104" s="16" t="s">
        <v>19</v>
      </c>
      <c r="K104" s="100" t="str">
        <f>IF(List3[[#This Row],[TRF]]="Done","Sudah Transfer","Proses PP/Pengajuan Approval")</f>
        <v>Sudah Transfer</v>
      </c>
      <c r="L104" s="101">
        <v>44337</v>
      </c>
      <c r="M104" s="100" t="s">
        <v>332</v>
      </c>
      <c r="N104" s="105">
        <f>MONTH(List3[[#This Row],[Tanggal Pengajuan]])</f>
        <v>5</v>
      </c>
      <c r="O104" s="101"/>
      <c r="P104" s="105" t="s">
        <v>356</v>
      </c>
      <c r="Q104" s="111"/>
      <c r="R104" s="230" t="s">
        <v>958</v>
      </c>
      <c r="S104" s="577"/>
    </row>
    <row r="105" spans="2:19" ht="24" customHeight="1" x14ac:dyDescent="0.2">
      <c r="B105" s="102">
        <v>44335</v>
      </c>
      <c r="C105" s="67" t="s">
        <v>355</v>
      </c>
      <c r="D105" s="103" t="s">
        <v>328</v>
      </c>
      <c r="E105" s="22" t="s">
        <v>17</v>
      </c>
      <c r="F105" s="103" t="s">
        <v>18</v>
      </c>
      <c r="G105" s="15">
        <v>14</v>
      </c>
      <c r="H105" s="40">
        <f>'[3]Daftar Panti'!C23</f>
        <v>5497990</v>
      </c>
      <c r="I105" s="40">
        <f>List3[[#This Row],[Pengajuan Donasi]]</f>
        <v>5497990</v>
      </c>
      <c r="J105" s="16" t="s">
        <v>19</v>
      </c>
      <c r="K105" s="100" t="str">
        <f>IF(List3[[#This Row],[TRF]]="Done","Sudah Transfer","Proses PP/Pengajuan Approval")</f>
        <v>Sudah Transfer</v>
      </c>
      <c r="L105" s="101">
        <v>44337</v>
      </c>
      <c r="M105" s="100" t="s">
        <v>332</v>
      </c>
      <c r="N105" s="105">
        <f>MONTH(List3[[#This Row],[Tanggal Pengajuan]])</f>
        <v>5</v>
      </c>
      <c r="O105" s="101"/>
      <c r="P105" s="105" t="s">
        <v>356</v>
      </c>
      <c r="Q105" s="111"/>
      <c r="R105" s="230" t="s">
        <v>958</v>
      </c>
      <c r="S105" s="577"/>
    </row>
    <row r="106" spans="2:19" ht="24" customHeight="1" x14ac:dyDescent="0.2">
      <c r="B106" s="102">
        <v>44335</v>
      </c>
      <c r="C106" s="67" t="s">
        <v>355</v>
      </c>
      <c r="D106" s="103" t="s">
        <v>857</v>
      </c>
      <c r="E106" s="22" t="s">
        <v>17</v>
      </c>
      <c r="F106" s="103" t="s">
        <v>18</v>
      </c>
      <c r="G106" s="15">
        <v>52</v>
      </c>
      <c r="H106" s="40">
        <f>'[3]Daftar Panti'!C24</f>
        <v>5499550</v>
      </c>
      <c r="I106" s="40">
        <f>List3[[#This Row],[Pengajuan Donasi]]</f>
        <v>5499550</v>
      </c>
      <c r="J106" s="16" t="s">
        <v>19</v>
      </c>
      <c r="K106" s="100" t="str">
        <f>IF(List3[[#This Row],[TRF]]="Done","Sudah Transfer","Proses PP/Pengajuan Approval")</f>
        <v>Sudah Transfer</v>
      </c>
      <c r="L106" s="101">
        <v>44337</v>
      </c>
      <c r="M106" s="100" t="s">
        <v>332</v>
      </c>
      <c r="N106" s="105">
        <f>MONTH(List3[[#This Row],[Tanggal Pengajuan]])</f>
        <v>5</v>
      </c>
      <c r="O106" s="101"/>
      <c r="P106" s="105" t="s">
        <v>356</v>
      </c>
      <c r="Q106" s="111"/>
      <c r="R106" s="230" t="s">
        <v>958</v>
      </c>
      <c r="S106" s="577"/>
    </row>
    <row r="107" spans="2:19" ht="24" customHeight="1" x14ac:dyDescent="0.2">
      <c r="B107" s="102">
        <v>44335</v>
      </c>
      <c r="C107" s="67" t="s">
        <v>355</v>
      </c>
      <c r="D107" s="103" t="s">
        <v>853</v>
      </c>
      <c r="E107" s="22" t="s">
        <v>17</v>
      </c>
      <c r="F107" s="103" t="s">
        <v>18</v>
      </c>
      <c r="G107" s="15">
        <v>25</v>
      </c>
      <c r="H107" s="40">
        <f>'[3]Daftar Panti'!C25</f>
        <v>5499730</v>
      </c>
      <c r="I107" s="40">
        <f>List3[[#This Row],[Pengajuan Donasi]]</f>
        <v>5499730</v>
      </c>
      <c r="J107" s="16" t="s">
        <v>19</v>
      </c>
      <c r="K107" s="100" t="str">
        <f>IF(List3[[#This Row],[TRF]]="Done","Sudah Transfer","Proses PP/Pengajuan Approval")</f>
        <v>Sudah Transfer</v>
      </c>
      <c r="L107" s="101">
        <v>44337</v>
      </c>
      <c r="M107" s="100" t="s">
        <v>332</v>
      </c>
      <c r="N107" s="105">
        <f>MONTH(List3[[#This Row],[Tanggal Pengajuan]])</f>
        <v>5</v>
      </c>
      <c r="O107" s="101"/>
      <c r="P107" s="105" t="s">
        <v>356</v>
      </c>
      <c r="Q107" s="111"/>
      <c r="R107" s="230" t="s">
        <v>958</v>
      </c>
      <c r="S107" s="577"/>
    </row>
    <row r="108" spans="2:19" ht="24" customHeight="1" x14ac:dyDescent="0.2">
      <c r="B108" s="102">
        <v>44335</v>
      </c>
      <c r="C108" s="67" t="s">
        <v>355</v>
      </c>
      <c r="D108" s="103" t="s">
        <v>362</v>
      </c>
      <c r="E108" s="22" t="s">
        <v>17</v>
      </c>
      <c r="F108" s="103" t="s">
        <v>18</v>
      </c>
      <c r="G108" s="15">
        <v>128</v>
      </c>
      <c r="H108" s="40">
        <f>'[3]Daftar Panti'!C26</f>
        <v>5499100</v>
      </c>
      <c r="I108" s="40">
        <f>List3[[#This Row],[Pengajuan Donasi]]</f>
        <v>5499100</v>
      </c>
      <c r="J108" s="16" t="s">
        <v>19</v>
      </c>
      <c r="K108" s="100" t="str">
        <f>IF(List3[[#This Row],[TRF]]="Done","Sudah Transfer","Proses PP/Pengajuan Approval")</f>
        <v>Sudah Transfer</v>
      </c>
      <c r="L108" s="101">
        <v>44337</v>
      </c>
      <c r="M108" s="100" t="s">
        <v>332</v>
      </c>
      <c r="N108" s="105">
        <f>MONTH(List3[[#This Row],[Tanggal Pengajuan]])</f>
        <v>5</v>
      </c>
      <c r="O108" s="101"/>
      <c r="P108" s="105" t="s">
        <v>356</v>
      </c>
      <c r="Q108" s="111"/>
      <c r="R108" s="230" t="s">
        <v>958</v>
      </c>
      <c r="S108" s="577"/>
    </row>
    <row r="109" spans="2:19" ht="24" customHeight="1" x14ac:dyDescent="0.2">
      <c r="B109" s="102">
        <v>44708</v>
      </c>
      <c r="C109" s="67" t="s">
        <v>1605</v>
      </c>
      <c r="D109" s="105" t="s">
        <v>1607</v>
      </c>
      <c r="E109" s="22" t="s">
        <v>1054</v>
      </c>
      <c r="F109" s="103" t="s">
        <v>18</v>
      </c>
      <c r="G109" s="15">
        <v>1</v>
      </c>
      <c r="H109" s="41">
        <v>0</v>
      </c>
      <c r="I109" s="41">
        <f>List3[[#This Row],[Pengajuan Donasi]]</f>
        <v>0</v>
      </c>
      <c r="J109" s="104"/>
      <c r="K109" s="100"/>
      <c r="L109" s="183"/>
      <c r="M109" s="105"/>
      <c r="N109" s="105">
        <f>MONTH(List3[[#This Row],[Tanggal Pengajuan]])</f>
        <v>5</v>
      </c>
      <c r="O109" s="183"/>
      <c r="P109" s="105" t="s">
        <v>25</v>
      </c>
      <c r="Q109" s="111"/>
      <c r="R109" s="230"/>
      <c r="S109" s="577"/>
    </row>
    <row r="110" spans="2:19" ht="24" customHeight="1" x14ac:dyDescent="0.2">
      <c r="B110" s="102">
        <v>44712</v>
      </c>
      <c r="C110" s="67" t="s">
        <v>1009</v>
      </c>
      <c r="D110" s="105" t="s">
        <v>1059</v>
      </c>
      <c r="E110" s="22" t="s">
        <v>1055</v>
      </c>
      <c r="F110" s="103" t="s">
        <v>18</v>
      </c>
      <c r="G110" s="15">
        <v>0</v>
      </c>
      <c r="H110" s="40">
        <v>2013000</v>
      </c>
      <c r="I110" s="40">
        <v>2013000</v>
      </c>
      <c r="J110" s="100" t="s">
        <v>73</v>
      </c>
      <c r="K110" s="105" t="s">
        <v>1010</v>
      </c>
      <c r="L110" s="183">
        <v>44717</v>
      </c>
      <c r="M110" s="105" t="s">
        <v>146</v>
      </c>
      <c r="N110" s="105">
        <f>MONTH(List3[[#This Row],[Tanggal Pengajuan]])</f>
        <v>5</v>
      </c>
      <c r="O110" s="111"/>
      <c r="P110" s="105" t="s">
        <v>25</v>
      </c>
      <c r="Q110" s="111"/>
      <c r="R110" s="230"/>
      <c r="S110" s="577"/>
    </row>
    <row r="111" spans="2:19" ht="24" customHeight="1" x14ac:dyDescent="0.2">
      <c r="B111" s="102">
        <v>44712</v>
      </c>
      <c r="C111" s="67" t="s">
        <v>359</v>
      </c>
      <c r="D111" s="105" t="s">
        <v>1059</v>
      </c>
      <c r="E111" s="22" t="s">
        <v>1055</v>
      </c>
      <c r="F111" s="103" t="s">
        <v>18</v>
      </c>
      <c r="G111" s="15">
        <v>0</v>
      </c>
      <c r="H111" s="40">
        <v>3012300</v>
      </c>
      <c r="I111" s="40">
        <f>List3[[#This Row],[Pengajuan Donasi]]</f>
        <v>3012300</v>
      </c>
      <c r="J111" s="104" t="s">
        <v>72</v>
      </c>
      <c r="K111" s="105" t="s">
        <v>360</v>
      </c>
      <c r="L111" s="101"/>
      <c r="M111" s="105" t="s">
        <v>146</v>
      </c>
      <c r="N111" s="105">
        <f>MONTH(List3[[#This Row],[Tanggal Pengajuan]])</f>
        <v>5</v>
      </c>
      <c r="O111" s="101"/>
      <c r="P111" s="105" t="s">
        <v>25</v>
      </c>
      <c r="Q111" s="111" t="s">
        <v>317</v>
      </c>
      <c r="R111" s="230" t="s">
        <v>958</v>
      </c>
      <c r="S111" s="577"/>
    </row>
    <row r="112" spans="2:19" ht="24" customHeight="1" x14ac:dyDescent="0.2">
      <c r="B112" s="102">
        <v>44350</v>
      </c>
      <c r="C112" s="67" t="s">
        <v>357</v>
      </c>
      <c r="D112" s="105" t="s">
        <v>358</v>
      </c>
      <c r="E112" s="22" t="s">
        <v>71</v>
      </c>
      <c r="F112" s="103" t="s">
        <v>28</v>
      </c>
      <c r="G112" s="15">
        <v>1</v>
      </c>
      <c r="H112" s="40">
        <v>660000</v>
      </c>
      <c r="I112" s="40">
        <f>List3[[#This Row],[Pengajuan Donasi]]</f>
        <v>660000</v>
      </c>
      <c r="J112" s="104" t="s">
        <v>72</v>
      </c>
      <c r="K112" s="100" t="str">
        <f>IF(List3[[#This Row],[TRF]]="Done","Sudah Transfer","Proses PP/Pengajuan Approval")</f>
        <v>Proses PP/Pengajuan Approval</v>
      </c>
      <c r="L112" s="183"/>
      <c r="M112" s="105" t="s">
        <v>227</v>
      </c>
      <c r="N112" s="105">
        <f>MONTH(List3[[#This Row],[Tanggal Pengajuan]])</f>
        <v>6</v>
      </c>
      <c r="O112" s="101"/>
      <c r="P112" s="105" t="s">
        <v>25</v>
      </c>
      <c r="Q112" s="111" t="s">
        <v>317</v>
      </c>
      <c r="R112" s="230" t="s">
        <v>958</v>
      </c>
      <c r="S112" s="577"/>
    </row>
    <row r="113" spans="2:19" ht="24" customHeight="1" x14ac:dyDescent="0.2">
      <c r="B113" s="102">
        <v>44358</v>
      </c>
      <c r="C113" s="67" t="s">
        <v>366</v>
      </c>
      <c r="D113" s="105" t="s">
        <v>1056</v>
      </c>
      <c r="E113" s="22" t="s">
        <v>71</v>
      </c>
      <c r="F113" s="103" t="s">
        <v>28</v>
      </c>
      <c r="G113" s="15">
        <v>1</v>
      </c>
      <c r="H113" s="40">
        <v>60000</v>
      </c>
      <c r="I113" s="41">
        <f>List3[[#This Row],[Pengajuan Donasi]]</f>
        <v>60000</v>
      </c>
      <c r="J113" s="16" t="s">
        <v>19</v>
      </c>
      <c r="K113" s="100" t="str">
        <f>IF(List3[[#This Row],[TRF]]="Done","Sudah Transfer","Proses PP/Pengajuan Approval")</f>
        <v>Sudah Transfer</v>
      </c>
      <c r="L113" s="101">
        <v>44350</v>
      </c>
      <c r="M113" s="105" t="s">
        <v>227</v>
      </c>
      <c r="N113" s="105">
        <f>MONTH(List3[[#This Row],[Tanggal Pengajuan]])</f>
        <v>6</v>
      </c>
      <c r="O113" s="101"/>
      <c r="P113" s="105" t="s">
        <v>25</v>
      </c>
      <c r="Q113" s="111"/>
      <c r="R113" s="230" t="s">
        <v>958</v>
      </c>
      <c r="S113" s="577"/>
    </row>
    <row r="114" spans="2:19" ht="24" customHeight="1" x14ac:dyDescent="0.2">
      <c r="B114" s="102">
        <v>44362</v>
      </c>
      <c r="C114" s="67" t="s">
        <v>365</v>
      </c>
      <c r="D114" s="14" t="s">
        <v>256</v>
      </c>
      <c r="E114" s="22" t="s">
        <v>17</v>
      </c>
      <c r="F114" s="103" t="s">
        <v>18</v>
      </c>
      <c r="G114" s="15">
        <v>86</v>
      </c>
      <c r="H114" s="40">
        <f>H75</f>
        <v>8500000</v>
      </c>
      <c r="I114" s="41">
        <f>List3[[#This Row],[Pengajuan Donasi]]</f>
        <v>8500000</v>
      </c>
      <c r="J114" s="16" t="s">
        <v>19</v>
      </c>
      <c r="K114" s="100" t="str">
        <f>IF(List3[[#This Row],[TRF]]="Done","Sudah Transfer","Proses PP/Pengajuan Approval")</f>
        <v>Sudah Transfer</v>
      </c>
      <c r="L114" s="101">
        <v>44374</v>
      </c>
      <c r="M114" s="100" t="s">
        <v>136</v>
      </c>
      <c r="N114" s="105">
        <f>MONTH(List3[[#This Row],[Tanggal Pengajuan]])</f>
        <v>6</v>
      </c>
      <c r="O114" s="101"/>
      <c r="P114" s="100" t="s">
        <v>367</v>
      </c>
      <c r="Q114" s="111"/>
      <c r="R114" s="230" t="s">
        <v>958</v>
      </c>
      <c r="S114" s="577"/>
    </row>
    <row r="115" spans="2:19" ht="24" customHeight="1" x14ac:dyDescent="0.2">
      <c r="B115" s="102">
        <v>44362</v>
      </c>
      <c r="C115" s="67" t="s">
        <v>365</v>
      </c>
      <c r="D115" s="14" t="s">
        <v>257</v>
      </c>
      <c r="E115" s="22" t="s">
        <v>17</v>
      </c>
      <c r="F115" s="103" t="s">
        <v>18</v>
      </c>
      <c r="G115" s="15">
        <v>134</v>
      </c>
      <c r="H115" s="40">
        <f>H76</f>
        <v>5500000</v>
      </c>
      <c r="I115" s="41">
        <f>List3[[#This Row],[Pengajuan Donasi]]</f>
        <v>5500000</v>
      </c>
      <c r="J115" s="16" t="s">
        <v>19</v>
      </c>
      <c r="K115" s="100" t="str">
        <f>IF(List3[[#This Row],[TRF]]="Done","Sudah Transfer","Proses PP/Pengajuan Approval")</f>
        <v>Sudah Transfer</v>
      </c>
      <c r="L115" s="101">
        <v>44374</v>
      </c>
      <c r="M115" s="100" t="s">
        <v>136</v>
      </c>
      <c r="N115" s="105">
        <f>MONTH(List3[[#This Row],[Tanggal Pengajuan]])</f>
        <v>6</v>
      </c>
      <c r="O115" s="101"/>
      <c r="P115" s="100" t="s">
        <v>367</v>
      </c>
      <c r="Q115" s="111"/>
      <c r="R115" s="230" t="s">
        <v>958</v>
      </c>
      <c r="S115" s="577"/>
    </row>
    <row r="116" spans="2:19" ht="24" customHeight="1" x14ac:dyDescent="0.2">
      <c r="B116" s="102">
        <v>44362</v>
      </c>
      <c r="C116" s="67" t="s">
        <v>365</v>
      </c>
      <c r="D116" s="14" t="s">
        <v>222</v>
      </c>
      <c r="E116" s="22" t="s">
        <v>17</v>
      </c>
      <c r="F116" s="103" t="s">
        <v>18</v>
      </c>
      <c r="G116" s="15">
        <v>34</v>
      </c>
      <c r="H116" s="40">
        <f>H77</f>
        <v>5500000</v>
      </c>
      <c r="I116" s="41">
        <f>List3[[#This Row],[Pengajuan Donasi]]</f>
        <v>5500000</v>
      </c>
      <c r="J116" s="16" t="s">
        <v>19</v>
      </c>
      <c r="K116" s="100" t="str">
        <f>IF(List3[[#This Row],[TRF]]="Done","Sudah Transfer","Proses PP/Pengajuan Approval")</f>
        <v>Sudah Transfer</v>
      </c>
      <c r="L116" s="101">
        <v>44374</v>
      </c>
      <c r="M116" s="100" t="s">
        <v>136</v>
      </c>
      <c r="N116" s="105">
        <f>MONTH(List3[[#This Row],[Tanggal Pengajuan]])</f>
        <v>6</v>
      </c>
      <c r="O116" s="101"/>
      <c r="P116" s="100" t="s">
        <v>342</v>
      </c>
      <c r="Q116" s="111"/>
      <c r="R116" s="230" t="s">
        <v>958</v>
      </c>
      <c r="S116" s="577"/>
    </row>
    <row r="117" spans="2:19" ht="24" customHeight="1" x14ac:dyDescent="0.2">
      <c r="B117" s="102">
        <v>44371</v>
      </c>
      <c r="C117" s="67" t="s">
        <v>368</v>
      </c>
      <c r="D117" s="14" t="s">
        <v>371</v>
      </c>
      <c r="E117" s="22" t="s">
        <v>107</v>
      </c>
      <c r="F117" s="103" t="s">
        <v>28</v>
      </c>
      <c r="G117" s="15">
        <v>0</v>
      </c>
      <c r="H117" s="40">
        <v>35000000</v>
      </c>
      <c r="I117" s="41">
        <f>List3[[#This Row],[Pengajuan Donasi]]</f>
        <v>35000000</v>
      </c>
      <c r="J117" s="104" t="s">
        <v>72</v>
      </c>
      <c r="K117" s="100" t="str">
        <f>IF(List3[[#This Row],[TRF]]="Done","Sudah Transfer","Proses PP/Pengajuan Approval")</f>
        <v>Proses PP/Pengajuan Approval</v>
      </c>
      <c r="L117" s="153"/>
      <c r="M117" s="105" t="s">
        <v>369</v>
      </c>
      <c r="N117" s="105">
        <f>MONTH(List3[[#This Row],[Tanggal Pengajuan]])</f>
        <v>6</v>
      </c>
      <c r="O117" s="101"/>
      <c r="P117" s="105" t="s">
        <v>370</v>
      </c>
      <c r="Q117" s="111"/>
      <c r="R117" s="230" t="s">
        <v>958</v>
      </c>
      <c r="S117" s="577"/>
    </row>
    <row r="118" spans="2:19" ht="24" customHeight="1" x14ac:dyDescent="0.2">
      <c r="B118" s="102">
        <v>44371</v>
      </c>
      <c r="C118" s="67" t="s">
        <v>376</v>
      </c>
      <c r="D118" s="14" t="s">
        <v>872</v>
      </c>
      <c r="E118" s="22" t="s">
        <v>17</v>
      </c>
      <c r="F118" s="103" t="s">
        <v>18</v>
      </c>
      <c r="G118" s="15">
        <v>70</v>
      </c>
      <c r="H118" s="40">
        <v>5467500</v>
      </c>
      <c r="I118" s="41">
        <f>List3[[#This Row],[Pengajuan Donasi]]</f>
        <v>5467500</v>
      </c>
      <c r="J118" s="16" t="s">
        <v>19</v>
      </c>
      <c r="K118" s="100" t="str">
        <f>IF(List3[[#This Row],[TRF]]="Done","Sudah Transfer","Proses PP/Pengajuan Approval")</f>
        <v>Sudah Transfer</v>
      </c>
      <c r="L118" s="101">
        <v>44376</v>
      </c>
      <c r="M118" s="100" t="s">
        <v>332</v>
      </c>
      <c r="N118" s="105">
        <f>MONTH(List3[[#This Row],[Tanggal Pengajuan]])</f>
        <v>6</v>
      </c>
      <c r="O118" s="101"/>
      <c r="P118" s="105" t="s">
        <v>373</v>
      </c>
      <c r="Q118" s="111"/>
      <c r="R118" s="230" t="s">
        <v>958</v>
      </c>
      <c r="S118" s="577"/>
    </row>
    <row r="119" spans="2:19" ht="24" customHeight="1" x14ac:dyDescent="0.2">
      <c r="B119" s="102">
        <v>44371</v>
      </c>
      <c r="C119" s="67" t="s">
        <v>376</v>
      </c>
      <c r="D119" s="14" t="s">
        <v>870</v>
      </c>
      <c r="E119" s="22" t="s">
        <v>17</v>
      </c>
      <c r="F119" s="103" t="s">
        <v>18</v>
      </c>
      <c r="G119" s="15">
        <v>98</v>
      </c>
      <c r="H119" s="40">
        <v>5414000</v>
      </c>
      <c r="I119" s="41">
        <f>List3[[#This Row],[Pengajuan Donasi]]</f>
        <v>5414000</v>
      </c>
      <c r="J119" s="16" t="s">
        <v>19</v>
      </c>
      <c r="K119" s="100" t="str">
        <f>IF(List3[[#This Row],[TRF]]="Done","Sudah Transfer","Proses PP/Pengajuan Approval")</f>
        <v>Sudah Transfer</v>
      </c>
      <c r="L119" s="101">
        <v>44376</v>
      </c>
      <c r="M119" s="100" t="s">
        <v>332</v>
      </c>
      <c r="N119" s="105">
        <f>MONTH(List3[[#This Row],[Tanggal Pengajuan]])</f>
        <v>6</v>
      </c>
      <c r="O119" s="101"/>
      <c r="P119" s="105" t="s">
        <v>373</v>
      </c>
      <c r="Q119" s="111"/>
      <c r="R119" s="230" t="s">
        <v>958</v>
      </c>
      <c r="S119" s="577"/>
    </row>
    <row r="120" spans="2:19" ht="24" customHeight="1" x14ac:dyDescent="0.2">
      <c r="B120" s="102">
        <v>44371</v>
      </c>
      <c r="C120" s="67" t="s">
        <v>376</v>
      </c>
      <c r="D120" s="14" t="s">
        <v>849</v>
      </c>
      <c r="E120" s="22" t="s">
        <v>17</v>
      </c>
      <c r="F120" s="103" t="s">
        <v>18</v>
      </c>
      <c r="G120" s="15">
        <v>63</v>
      </c>
      <c r="H120" s="40">
        <v>5475900</v>
      </c>
      <c r="I120" s="41">
        <f>List3[[#This Row],[Pengajuan Donasi]]</f>
        <v>5475900</v>
      </c>
      <c r="J120" s="16" t="s">
        <v>19</v>
      </c>
      <c r="K120" s="100" t="str">
        <f>IF(List3[[#This Row],[TRF]]="Done","Sudah Transfer","Proses PP/Pengajuan Approval")</f>
        <v>Sudah Transfer</v>
      </c>
      <c r="L120" s="101">
        <v>44376</v>
      </c>
      <c r="M120" s="100" t="s">
        <v>332</v>
      </c>
      <c r="N120" s="105">
        <f>MONTH(List3[[#This Row],[Tanggal Pengajuan]])</f>
        <v>6</v>
      </c>
      <c r="O120" s="101"/>
      <c r="P120" s="105" t="s">
        <v>373</v>
      </c>
      <c r="Q120" s="111"/>
      <c r="R120" s="230" t="s">
        <v>958</v>
      </c>
      <c r="S120" s="577"/>
    </row>
    <row r="121" spans="2:19" ht="24" customHeight="1" x14ac:dyDescent="0.2">
      <c r="B121" s="102">
        <v>44371</v>
      </c>
      <c r="C121" s="67" t="s">
        <v>376</v>
      </c>
      <c r="D121" s="14" t="s">
        <v>850</v>
      </c>
      <c r="E121" s="22" t="s">
        <v>17</v>
      </c>
      <c r="F121" s="103" t="s">
        <v>18</v>
      </c>
      <c r="G121" s="15">
        <v>19</v>
      </c>
      <c r="H121" s="40">
        <v>5484400</v>
      </c>
      <c r="I121" s="41">
        <f>List3[[#This Row],[Pengajuan Donasi]]</f>
        <v>5484400</v>
      </c>
      <c r="J121" s="16" t="s">
        <v>19</v>
      </c>
      <c r="K121" s="100" t="str">
        <f>IF(List3[[#This Row],[TRF]]="Done","Sudah Transfer","Proses PP/Pengajuan Approval")</f>
        <v>Sudah Transfer</v>
      </c>
      <c r="L121" s="101">
        <v>44376</v>
      </c>
      <c r="M121" s="100" t="s">
        <v>332</v>
      </c>
      <c r="N121" s="105">
        <f>MONTH(List3[[#This Row],[Tanggal Pengajuan]])</f>
        <v>6</v>
      </c>
      <c r="O121" s="101"/>
      <c r="P121" s="105" t="s">
        <v>373</v>
      </c>
      <c r="Q121" s="111"/>
      <c r="R121" s="230" t="s">
        <v>958</v>
      </c>
      <c r="S121" s="577"/>
    </row>
    <row r="122" spans="2:19" ht="24" customHeight="1" x14ac:dyDescent="0.2">
      <c r="B122" s="102">
        <v>44371</v>
      </c>
      <c r="C122" s="67" t="s">
        <v>376</v>
      </c>
      <c r="D122" s="14" t="s">
        <v>852</v>
      </c>
      <c r="E122" s="22" t="s">
        <v>17</v>
      </c>
      <c r="F122" s="103" t="s">
        <v>18</v>
      </c>
      <c r="G122" s="15">
        <v>40</v>
      </c>
      <c r="H122" s="40">
        <v>5493800</v>
      </c>
      <c r="I122" s="41">
        <f>List3[[#This Row],[Pengajuan Donasi]]</f>
        <v>5493800</v>
      </c>
      <c r="J122" s="16" t="s">
        <v>19</v>
      </c>
      <c r="K122" s="100" t="str">
        <f>IF(List3[[#This Row],[TRF]]="Done","Sudah Transfer","Proses PP/Pengajuan Approval")</f>
        <v>Sudah Transfer</v>
      </c>
      <c r="L122" s="101">
        <v>44376</v>
      </c>
      <c r="M122" s="100" t="s">
        <v>332</v>
      </c>
      <c r="N122" s="105">
        <f>MONTH(List3[[#This Row],[Tanggal Pengajuan]])</f>
        <v>6</v>
      </c>
      <c r="O122" s="101"/>
      <c r="P122" s="105" t="s">
        <v>373</v>
      </c>
      <c r="Q122" s="111"/>
      <c r="R122" s="230" t="s">
        <v>958</v>
      </c>
      <c r="S122" s="577"/>
    </row>
    <row r="123" spans="2:19" ht="24" customHeight="1" x14ac:dyDescent="0.2">
      <c r="B123" s="102">
        <v>44371</v>
      </c>
      <c r="C123" s="67" t="s">
        <v>376</v>
      </c>
      <c r="D123" s="14" t="s">
        <v>238</v>
      </c>
      <c r="E123" s="22" t="s">
        <v>17</v>
      </c>
      <c r="F123" s="103" t="s">
        <v>18</v>
      </c>
      <c r="G123" s="15">
        <v>119</v>
      </c>
      <c r="H123" s="40">
        <v>5461300</v>
      </c>
      <c r="I123" s="41">
        <f>List3[[#This Row],[Pengajuan Donasi]]</f>
        <v>5461300</v>
      </c>
      <c r="J123" s="16" t="s">
        <v>19</v>
      </c>
      <c r="K123" s="100" t="str">
        <f>IF(List3[[#This Row],[TRF]]="Done","Sudah Transfer","Proses PP/Pengajuan Approval")</f>
        <v>Sudah Transfer</v>
      </c>
      <c r="L123" s="101">
        <v>44376</v>
      </c>
      <c r="M123" s="100" t="s">
        <v>332</v>
      </c>
      <c r="N123" s="105">
        <f>MONTH(List3[[#This Row],[Tanggal Pengajuan]])</f>
        <v>6</v>
      </c>
      <c r="O123" s="101"/>
      <c r="P123" s="105" t="s">
        <v>373</v>
      </c>
      <c r="Q123" s="111"/>
      <c r="R123" s="230" t="s">
        <v>958</v>
      </c>
      <c r="S123" s="577"/>
    </row>
    <row r="124" spans="2:19" ht="24" customHeight="1" x14ac:dyDescent="0.2">
      <c r="B124" s="102">
        <v>44371</v>
      </c>
      <c r="C124" s="67" t="s">
        <v>376</v>
      </c>
      <c r="D124" s="14" t="s">
        <v>867</v>
      </c>
      <c r="E124" s="22" t="s">
        <v>17</v>
      </c>
      <c r="F124" s="103" t="s">
        <v>18</v>
      </c>
      <c r="G124" s="15">
        <v>77</v>
      </c>
      <c r="H124" s="40">
        <v>5449800</v>
      </c>
      <c r="I124" s="41">
        <f>List3[[#This Row],[Pengajuan Donasi]]</f>
        <v>5449800</v>
      </c>
      <c r="J124" s="16" t="s">
        <v>19</v>
      </c>
      <c r="K124" s="100" t="str">
        <f>IF(List3[[#This Row],[TRF]]="Done","Sudah Transfer","Proses PP/Pengajuan Approval")</f>
        <v>Sudah Transfer</v>
      </c>
      <c r="L124" s="101">
        <v>44376</v>
      </c>
      <c r="M124" s="100" t="s">
        <v>332</v>
      </c>
      <c r="N124" s="105">
        <f>MONTH(List3[[#This Row],[Tanggal Pengajuan]])</f>
        <v>6</v>
      </c>
      <c r="O124" s="101"/>
      <c r="P124" s="105" t="s">
        <v>373</v>
      </c>
      <c r="Q124" s="111"/>
      <c r="R124" s="230" t="s">
        <v>958</v>
      </c>
      <c r="S124" s="577"/>
    </row>
    <row r="125" spans="2:19" ht="24" customHeight="1" x14ac:dyDescent="0.2">
      <c r="B125" s="102">
        <v>44371</v>
      </c>
      <c r="C125" s="67" t="s">
        <v>376</v>
      </c>
      <c r="D125" s="14" t="s">
        <v>868</v>
      </c>
      <c r="E125" s="22" t="s">
        <v>17</v>
      </c>
      <c r="F125" s="103" t="s">
        <v>18</v>
      </c>
      <c r="G125" s="15">
        <v>36</v>
      </c>
      <c r="H125" s="40">
        <v>5444000</v>
      </c>
      <c r="I125" s="41">
        <f>List3[[#This Row],[Pengajuan Donasi]]</f>
        <v>5444000</v>
      </c>
      <c r="J125" s="16" t="s">
        <v>19</v>
      </c>
      <c r="K125" s="100" t="str">
        <f>IF(List3[[#This Row],[TRF]]="Done","Sudah Transfer","Proses PP/Pengajuan Approval")</f>
        <v>Sudah Transfer</v>
      </c>
      <c r="L125" s="101">
        <v>44376</v>
      </c>
      <c r="M125" s="100" t="s">
        <v>332</v>
      </c>
      <c r="N125" s="105">
        <f>MONTH(List3[[#This Row],[Tanggal Pengajuan]])</f>
        <v>6</v>
      </c>
      <c r="O125" s="101"/>
      <c r="P125" s="105" t="s">
        <v>373</v>
      </c>
      <c r="Q125" s="111"/>
      <c r="R125" s="230" t="s">
        <v>958</v>
      </c>
      <c r="S125" s="577"/>
    </row>
    <row r="126" spans="2:19" ht="24" customHeight="1" x14ac:dyDescent="0.2">
      <c r="B126" s="102">
        <v>44371</v>
      </c>
      <c r="C126" s="67" t="s">
        <v>376</v>
      </c>
      <c r="D126" s="14" t="s">
        <v>124</v>
      </c>
      <c r="E126" s="22" t="s">
        <v>17</v>
      </c>
      <c r="F126" s="103" t="s">
        <v>18</v>
      </c>
      <c r="G126" s="15">
        <v>83</v>
      </c>
      <c r="H126" s="40">
        <v>5425300</v>
      </c>
      <c r="I126" s="41">
        <f>List3[[#This Row],[Pengajuan Donasi]]</f>
        <v>5425300</v>
      </c>
      <c r="J126" s="16" t="s">
        <v>19</v>
      </c>
      <c r="K126" s="100" t="str">
        <f>IF(List3[[#This Row],[TRF]]="Done","Sudah Transfer","Proses PP/Pengajuan Approval")</f>
        <v>Sudah Transfer</v>
      </c>
      <c r="L126" s="101">
        <v>44376</v>
      </c>
      <c r="M126" s="100" t="s">
        <v>332</v>
      </c>
      <c r="N126" s="105">
        <f>MONTH(List3[[#This Row],[Tanggal Pengajuan]])</f>
        <v>6</v>
      </c>
      <c r="O126" s="101"/>
      <c r="P126" s="105" t="s">
        <v>373</v>
      </c>
      <c r="Q126" s="111"/>
      <c r="R126" s="230" t="s">
        <v>958</v>
      </c>
      <c r="S126" s="577"/>
    </row>
    <row r="127" spans="2:19" ht="24" customHeight="1" x14ac:dyDescent="0.2">
      <c r="B127" s="102">
        <v>44371</v>
      </c>
      <c r="C127" s="67" t="s">
        <v>376</v>
      </c>
      <c r="D127" s="14" t="s">
        <v>855</v>
      </c>
      <c r="E127" s="22" t="s">
        <v>17</v>
      </c>
      <c r="F127" s="103" t="s">
        <v>18</v>
      </c>
      <c r="G127" s="15">
        <v>91</v>
      </c>
      <c r="H127" s="40">
        <v>5484400</v>
      </c>
      <c r="I127" s="41">
        <f>List3[[#This Row],[Pengajuan Donasi]]</f>
        <v>5484400</v>
      </c>
      <c r="J127" s="16" t="s">
        <v>19</v>
      </c>
      <c r="K127" s="100" t="str">
        <f>IF(List3[[#This Row],[TRF]]="Done","Sudah Transfer","Proses PP/Pengajuan Approval")</f>
        <v>Sudah Transfer</v>
      </c>
      <c r="L127" s="101">
        <v>44376</v>
      </c>
      <c r="M127" s="100" t="s">
        <v>332</v>
      </c>
      <c r="N127" s="105">
        <f>MONTH(List3[[#This Row],[Tanggal Pengajuan]])</f>
        <v>6</v>
      </c>
      <c r="O127" s="101"/>
      <c r="P127" s="105" t="s">
        <v>373</v>
      </c>
      <c r="Q127" s="111"/>
      <c r="R127" s="230" t="s">
        <v>958</v>
      </c>
      <c r="S127" s="577"/>
    </row>
    <row r="128" spans="2:19" ht="24" customHeight="1" x14ac:dyDescent="0.2">
      <c r="B128" s="102">
        <v>44371</v>
      </c>
      <c r="C128" s="67" t="s">
        <v>376</v>
      </c>
      <c r="D128" s="14" t="s">
        <v>871</v>
      </c>
      <c r="E128" s="22" t="s">
        <v>17</v>
      </c>
      <c r="F128" s="103" t="s">
        <v>18</v>
      </c>
      <c r="G128" s="15">
        <v>40</v>
      </c>
      <c r="H128" s="40">
        <v>5165500</v>
      </c>
      <c r="I128" s="41">
        <f>List3[[#This Row],[Pengajuan Donasi]]</f>
        <v>5165500</v>
      </c>
      <c r="J128" s="16" t="s">
        <v>19</v>
      </c>
      <c r="K128" s="100" t="str">
        <f>IF(List3[[#This Row],[TRF]]="Done","Sudah Transfer","Proses PP/Pengajuan Approval")</f>
        <v>Sudah Transfer</v>
      </c>
      <c r="L128" s="101">
        <v>44376</v>
      </c>
      <c r="M128" s="100" t="s">
        <v>332</v>
      </c>
      <c r="N128" s="105">
        <f>MONTH(List3[[#This Row],[Tanggal Pengajuan]])</f>
        <v>6</v>
      </c>
      <c r="O128" s="101"/>
      <c r="P128" s="105" t="s">
        <v>373</v>
      </c>
      <c r="Q128" s="111"/>
      <c r="R128" s="230" t="s">
        <v>958</v>
      </c>
      <c r="S128" s="577"/>
    </row>
    <row r="129" spans="2:19" ht="24" customHeight="1" x14ac:dyDescent="0.2">
      <c r="B129" s="102">
        <v>44371</v>
      </c>
      <c r="C129" s="67" t="s">
        <v>376</v>
      </c>
      <c r="D129" s="14" t="s">
        <v>851</v>
      </c>
      <c r="E129" s="22" t="s">
        <v>17</v>
      </c>
      <c r="F129" s="103" t="s">
        <v>18</v>
      </c>
      <c r="G129" s="15">
        <v>57</v>
      </c>
      <c r="H129" s="40">
        <v>5446300</v>
      </c>
      <c r="I129" s="41">
        <f>List3[[#This Row],[Pengajuan Donasi]]</f>
        <v>5446300</v>
      </c>
      <c r="J129" s="16" t="s">
        <v>19</v>
      </c>
      <c r="K129" s="100" t="str">
        <f>IF(List3[[#This Row],[TRF]]="Done","Sudah Transfer","Proses PP/Pengajuan Approval")</f>
        <v>Sudah Transfer</v>
      </c>
      <c r="L129" s="101">
        <v>44376</v>
      </c>
      <c r="M129" s="100" t="s">
        <v>332</v>
      </c>
      <c r="N129" s="105">
        <f>MONTH(List3[[#This Row],[Tanggal Pengajuan]])</f>
        <v>6</v>
      </c>
      <c r="O129" s="101"/>
      <c r="P129" s="105" t="s">
        <v>373</v>
      </c>
      <c r="Q129" s="111"/>
      <c r="R129" s="230" t="s">
        <v>958</v>
      </c>
      <c r="S129" s="577"/>
    </row>
    <row r="130" spans="2:19" ht="24" customHeight="1" x14ac:dyDescent="0.2">
      <c r="B130" s="102">
        <v>44371</v>
      </c>
      <c r="C130" s="67" t="s">
        <v>376</v>
      </c>
      <c r="D130" s="14" t="s">
        <v>869</v>
      </c>
      <c r="E130" s="22" t="s">
        <v>17</v>
      </c>
      <c r="F130" s="103" t="s">
        <v>18</v>
      </c>
      <c r="G130" s="15">
        <v>22</v>
      </c>
      <c r="H130" s="40">
        <v>5475600</v>
      </c>
      <c r="I130" s="41">
        <f>List3[[#This Row],[Pengajuan Donasi]]</f>
        <v>5475600</v>
      </c>
      <c r="J130" s="16" t="s">
        <v>19</v>
      </c>
      <c r="K130" s="100" t="str">
        <f>IF(List3[[#This Row],[TRF]]="Done","Sudah Transfer","Proses PP/Pengajuan Approval")</f>
        <v>Sudah Transfer</v>
      </c>
      <c r="L130" s="101">
        <v>44376</v>
      </c>
      <c r="M130" s="100" t="s">
        <v>332</v>
      </c>
      <c r="N130" s="105">
        <f>MONTH(List3[[#This Row],[Tanggal Pengajuan]])</f>
        <v>6</v>
      </c>
      <c r="O130" s="101"/>
      <c r="P130" s="105" t="s">
        <v>373</v>
      </c>
      <c r="Q130" s="111"/>
      <c r="R130" s="230" t="s">
        <v>958</v>
      </c>
      <c r="S130" s="577"/>
    </row>
    <row r="131" spans="2:19" ht="24" customHeight="1" x14ac:dyDescent="0.2">
      <c r="B131" s="102">
        <v>44371</v>
      </c>
      <c r="C131" s="67" t="s">
        <v>376</v>
      </c>
      <c r="D131" s="14" t="s">
        <v>848</v>
      </c>
      <c r="E131" s="22" t="s">
        <v>17</v>
      </c>
      <c r="F131" s="103" t="s">
        <v>18</v>
      </c>
      <c r="G131" s="15">
        <v>42</v>
      </c>
      <c r="H131" s="40">
        <v>5424600</v>
      </c>
      <c r="I131" s="41">
        <f>List3[[#This Row],[Pengajuan Donasi]]</f>
        <v>5424600</v>
      </c>
      <c r="J131" s="16" t="s">
        <v>19</v>
      </c>
      <c r="K131" s="100" t="str">
        <f>IF(List3[[#This Row],[TRF]]="Done","Sudah Transfer","Proses PP/Pengajuan Approval")</f>
        <v>Sudah Transfer</v>
      </c>
      <c r="L131" s="101">
        <v>44376</v>
      </c>
      <c r="M131" s="100" t="s">
        <v>332</v>
      </c>
      <c r="N131" s="105">
        <f>MONTH(List3[[#This Row],[Tanggal Pengajuan]])</f>
        <v>6</v>
      </c>
      <c r="O131" s="101"/>
      <c r="P131" s="105" t="s">
        <v>373</v>
      </c>
      <c r="Q131" s="111"/>
      <c r="R131" s="230" t="s">
        <v>958</v>
      </c>
      <c r="S131" s="577"/>
    </row>
    <row r="132" spans="2:19" ht="24" customHeight="1" x14ac:dyDescent="0.2">
      <c r="B132" s="102">
        <v>44371</v>
      </c>
      <c r="C132" s="67" t="s">
        <v>376</v>
      </c>
      <c r="D132" s="14" t="s">
        <v>229</v>
      </c>
      <c r="E132" s="22" t="s">
        <v>17</v>
      </c>
      <c r="F132" s="103" t="s">
        <v>18</v>
      </c>
      <c r="G132" s="15">
        <v>28</v>
      </c>
      <c r="H132" s="40">
        <v>5425300</v>
      </c>
      <c r="I132" s="41">
        <f>List3[[#This Row],[Pengajuan Donasi]]</f>
        <v>5425300</v>
      </c>
      <c r="J132" s="16" t="s">
        <v>19</v>
      </c>
      <c r="K132" s="100" t="str">
        <f>IF(List3[[#This Row],[TRF]]="Done","Sudah Transfer","Proses PP/Pengajuan Approval")</f>
        <v>Sudah Transfer</v>
      </c>
      <c r="L132" s="101">
        <v>44376</v>
      </c>
      <c r="M132" s="100" t="s">
        <v>332</v>
      </c>
      <c r="N132" s="105">
        <f>MONTH(List3[[#This Row],[Tanggal Pengajuan]])</f>
        <v>6</v>
      </c>
      <c r="O132" s="101"/>
      <c r="P132" s="105" t="s">
        <v>373</v>
      </c>
      <c r="Q132" s="111"/>
      <c r="R132" s="230" t="s">
        <v>958</v>
      </c>
      <c r="S132" s="577"/>
    </row>
    <row r="133" spans="2:19" ht="24" customHeight="1" x14ac:dyDescent="0.2">
      <c r="B133" s="102">
        <v>44371</v>
      </c>
      <c r="C133" s="67" t="s">
        <v>376</v>
      </c>
      <c r="D133" s="14" t="s">
        <v>228</v>
      </c>
      <c r="E133" s="22" t="s">
        <v>17</v>
      </c>
      <c r="F133" s="103" t="s">
        <v>18</v>
      </c>
      <c r="G133" s="15">
        <v>64</v>
      </c>
      <c r="H133" s="40">
        <v>5564000</v>
      </c>
      <c r="I133" s="41">
        <f>List3[[#This Row],[Pengajuan Donasi]]</f>
        <v>5564000</v>
      </c>
      <c r="J133" s="16" t="s">
        <v>19</v>
      </c>
      <c r="K133" s="100" t="str">
        <f>IF(List3[[#This Row],[TRF]]="Done","Sudah Transfer","Proses PP/Pengajuan Approval")</f>
        <v>Sudah Transfer</v>
      </c>
      <c r="L133" s="101">
        <v>44376</v>
      </c>
      <c r="M133" s="100" t="s">
        <v>332</v>
      </c>
      <c r="N133" s="105">
        <f>MONTH(List3[[#This Row],[Tanggal Pengajuan]])</f>
        <v>6</v>
      </c>
      <c r="O133" s="101"/>
      <c r="P133" s="105" t="s">
        <v>373</v>
      </c>
      <c r="Q133" s="111"/>
      <c r="R133" s="230" t="s">
        <v>958</v>
      </c>
      <c r="S133" s="577"/>
    </row>
    <row r="134" spans="2:19" ht="24" customHeight="1" x14ac:dyDescent="0.2">
      <c r="B134" s="102">
        <v>44371</v>
      </c>
      <c r="C134" s="67" t="s">
        <v>376</v>
      </c>
      <c r="D134" s="14" t="s">
        <v>858</v>
      </c>
      <c r="E134" s="22" t="s">
        <v>17</v>
      </c>
      <c r="F134" s="103" t="s">
        <v>18</v>
      </c>
      <c r="G134" s="15">
        <v>12</v>
      </c>
      <c r="H134" s="40">
        <v>5392900</v>
      </c>
      <c r="I134" s="41">
        <f>List3[[#This Row],[Pengajuan Donasi]]</f>
        <v>5392900</v>
      </c>
      <c r="J134" s="16" t="s">
        <v>19</v>
      </c>
      <c r="K134" s="100" t="str">
        <f>IF(List3[[#This Row],[TRF]]="Done","Sudah Transfer","Proses PP/Pengajuan Approval")</f>
        <v>Sudah Transfer</v>
      </c>
      <c r="L134" s="101">
        <v>44376</v>
      </c>
      <c r="M134" s="100" t="s">
        <v>332</v>
      </c>
      <c r="N134" s="105">
        <f>MONTH(List3[[#This Row],[Tanggal Pengajuan]])</f>
        <v>6</v>
      </c>
      <c r="O134" s="101"/>
      <c r="P134" s="105" t="s">
        <v>373</v>
      </c>
      <c r="Q134" s="111"/>
      <c r="R134" s="230" t="s">
        <v>958</v>
      </c>
      <c r="S134" s="577"/>
    </row>
    <row r="135" spans="2:19" ht="24" customHeight="1" x14ac:dyDescent="0.2">
      <c r="B135" s="102">
        <v>44371</v>
      </c>
      <c r="C135" s="67" t="s">
        <v>376</v>
      </c>
      <c r="D135" s="14" t="s">
        <v>856</v>
      </c>
      <c r="E135" s="22" t="s">
        <v>17</v>
      </c>
      <c r="F135" s="103" t="s">
        <v>18</v>
      </c>
      <c r="G135" s="15">
        <v>28</v>
      </c>
      <c r="H135" s="40">
        <v>5438100</v>
      </c>
      <c r="I135" s="41">
        <f>List3[[#This Row],[Pengajuan Donasi]]</f>
        <v>5438100</v>
      </c>
      <c r="J135" s="16" t="s">
        <v>19</v>
      </c>
      <c r="K135" s="100" t="str">
        <f>IF(List3[[#This Row],[TRF]]="Done","Sudah Transfer","Proses PP/Pengajuan Approval")</f>
        <v>Sudah Transfer</v>
      </c>
      <c r="L135" s="101">
        <v>44376</v>
      </c>
      <c r="M135" s="100" t="s">
        <v>332</v>
      </c>
      <c r="N135" s="105">
        <f>MONTH(List3[[#This Row],[Tanggal Pengajuan]])</f>
        <v>6</v>
      </c>
      <c r="O135" s="101"/>
      <c r="P135" s="105" t="s">
        <v>373</v>
      </c>
      <c r="Q135" s="111"/>
      <c r="R135" s="230" t="s">
        <v>958</v>
      </c>
      <c r="S135" s="577"/>
    </row>
    <row r="136" spans="2:19" ht="24" customHeight="1" x14ac:dyDescent="0.2">
      <c r="B136" s="102">
        <v>44371</v>
      </c>
      <c r="C136" s="67" t="s">
        <v>376</v>
      </c>
      <c r="D136" s="14" t="s">
        <v>854</v>
      </c>
      <c r="E136" s="22" t="s">
        <v>17</v>
      </c>
      <c r="F136" s="103" t="s">
        <v>18</v>
      </c>
      <c r="G136" s="15">
        <v>150</v>
      </c>
      <c r="H136" s="40">
        <v>5438200</v>
      </c>
      <c r="I136" s="41">
        <f>List3[[#This Row],[Pengajuan Donasi]]</f>
        <v>5438200</v>
      </c>
      <c r="J136" s="16" t="s">
        <v>19</v>
      </c>
      <c r="K136" s="100" t="str">
        <f>IF(List3[[#This Row],[TRF]]="Done","Sudah Transfer","Proses PP/Pengajuan Approval")</f>
        <v>Sudah Transfer</v>
      </c>
      <c r="L136" s="101">
        <v>44376</v>
      </c>
      <c r="M136" s="100" t="s">
        <v>332</v>
      </c>
      <c r="N136" s="105">
        <f>MONTH(List3[[#This Row],[Tanggal Pengajuan]])</f>
        <v>6</v>
      </c>
      <c r="O136" s="101"/>
      <c r="P136" s="105" t="s">
        <v>373</v>
      </c>
      <c r="Q136" s="111"/>
      <c r="R136" s="230" t="s">
        <v>958</v>
      </c>
      <c r="S136" s="577"/>
    </row>
    <row r="137" spans="2:19" ht="24" customHeight="1" x14ac:dyDescent="0.2">
      <c r="B137" s="102">
        <v>44371</v>
      </c>
      <c r="C137" s="67" t="s">
        <v>376</v>
      </c>
      <c r="D137" s="14" t="s">
        <v>328</v>
      </c>
      <c r="E137" s="22" t="s">
        <v>17</v>
      </c>
      <c r="F137" s="103" t="s">
        <v>18</v>
      </c>
      <c r="G137" s="15">
        <v>14</v>
      </c>
      <c r="H137" s="40">
        <v>5396300</v>
      </c>
      <c r="I137" s="41">
        <f>List3[[#This Row],[Pengajuan Donasi]]</f>
        <v>5396300</v>
      </c>
      <c r="J137" s="16" t="s">
        <v>19</v>
      </c>
      <c r="K137" s="100" t="str">
        <f>IF(List3[[#This Row],[TRF]]="Done","Sudah Transfer","Proses PP/Pengajuan Approval")</f>
        <v>Sudah Transfer</v>
      </c>
      <c r="L137" s="101">
        <v>44376</v>
      </c>
      <c r="M137" s="100" t="s">
        <v>332</v>
      </c>
      <c r="N137" s="105">
        <f>MONTH(List3[[#This Row],[Tanggal Pengajuan]])</f>
        <v>6</v>
      </c>
      <c r="O137" s="101"/>
      <c r="P137" s="105" t="s">
        <v>373</v>
      </c>
      <c r="Q137" s="111"/>
      <c r="R137" s="230" t="s">
        <v>958</v>
      </c>
      <c r="S137" s="577"/>
    </row>
    <row r="138" spans="2:19" ht="24" customHeight="1" x14ac:dyDescent="0.2">
      <c r="B138" s="102">
        <v>44371</v>
      </c>
      <c r="C138" s="67" t="s">
        <v>376</v>
      </c>
      <c r="D138" s="14" t="s">
        <v>857</v>
      </c>
      <c r="E138" s="22" t="s">
        <v>17</v>
      </c>
      <c r="F138" s="103" t="s">
        <v>18</v>
      </c>
      <c r="G138" s="15">
        <v>52</v>
      </c>
      <c r="H138" s="40">
        <v>5440600</v>
      </c>
      <c r="I138" s="41">
        <f>List3[[#This Row],[Pengajuan Donasi]]</f>
        <v>5440600</v>
      </c>
      <c r="J138" s="16" t="s">
        <v>19</v>
      </c>
      <c r="K138" s="100" t="str">
        <f>IF(List3[[#This Row],[TRF]]="Done","Sudah Transfer","Proses PP/Pengajuan Approval")</f>
        <v>Sudah Transfer</v>
      </c>
      <c r="L138" s="101">
        <v>44376</v>
      </c>
      <c r="M138" s="100" t="s">
        <v>332</v>
      </c>
      <c r="N138" s="105">
        <f>MONTH(List3[[#This Row],[Tanggal Pengajuan]])</f>
        <v>6</v>
      </c>
      <c r="O138" s="101"/>
      <c r="P138" s="105" t="s">
        <v>373</v>
      </c>
      <c r="Q138" s="111"/>
      <c r="R138" s="230" t="s">
        <v>958</v>
      </c>
      <c r="S138" s="577"/>
    </row>
    <row r="139" spans="2:19" ht="24" customHeight="1" x14ac:dyDescent="0.2">
      <c r="B139" s="102">
        <v>44371</v>
      </c>
      <c r="C139" s="67" t="s">
        <v>376</v>
      </c>
      <c r="D139" s="14" t="s">
        <v>853</v>
      </c>
      <c r="E139" s="22" t="s">
        <v>17</v>
      </c>
      <c r="F139" s="103" t="s">
        <v>18</v>
      </c>
      <c r="G139" s="15">
        <v>25</v>
      </c>
      <c r="H139" s="40">
        <v>5447600</v>
      </c>
      <c r="I139" s="41">
        <f>List3[[#This Row],[Pengajuan Donasi]]</f>
        <v>5447600</v>
      </c>
      <c r="J139" s="16" t="s">
        <v>19</v>
      </c>
      <c r="K139" s="100" t="str">
        <f>IF(List3[[#This Row],[TRF]]="Done","Sudah Transfer","Proses PP/Pengajuan Approval")</f>
        <v>Sudah Transfer</v>
      </c>
      <c r="L139" s="101">
        <v>44376</v>
      </c>
      <c r="M139" s="100" t="s">
        <v>332</v>
      </c>
      <c r="N139" s="105">
        <f>MONTH(List3[[#This Row],[Tanggal Pengajuan]])</f>
        <v>6</v>
      </c>
      <c r="O139" s="101"/>
      <c r="P139" s="105" t="s">
        <v>373</v>
      </c>
      <c r="Q139" s="111"/>
      <c r="R139" s="230" t="s">
        <v>958</v>
      </c>
      <c r="S139" s="577"/>
    </row>
    <row r="140" spans="2:19" ht="24" customHeight="1" x14ac:dyDescent="0.2">
      <c r="B140" s="102">
        <v>44371</v>
      </c>
      <c r="C140" s="67" t="s">
        <v>376</v>
      </c>
      <c r="D140" s="14" t="s">
        <v>362</v>
      </c>
      <c r="E140" s="22" t="s">
        <v>17</v>
      </c>
      <c r="F140" s="103" t="s">
        <v>18</v>
      </c>
      <c r="G140" s="15">
        <v>128</v>
      </c>
      <c r="H140" s="40">
        <v>7416200</v>
      </c>
      <c r="I140" s="41">
        <f>List3[[#This Row],[Pengajuan Donasi]]</f>
        <v>7416200</v>
      </c>
      <c r="J140" s="16" t="s">
        <v>19</v>
      </c>
      <c r="K140" s="100" t="str">
        <f>IF(List3[[#This Row],[TRF]]="Done","Sudah Transfer","Proses PP/Pengajuan Approval")</f>
        <v>Sudah Transfer</v>
      </c>
      <c r="L140" s="101">
        <v>44376</v>
      </c>
      <c r="M140" s="100" t="s">
        <v>332</v>
      </c>
      <c r="N140" s="105">
        <f>MONTH(List3[[#This Row],[Tanggal Pengajuan]])</f>
        <v>6</v>
      </c>
      <c r="O140" s="101"/>
      <c r="P140" s="105" t="s">
        <v>373</v>
      </c>
      <c r="Q140" s="111"/>
      <c r="R140" s="230" t="s">
        <v>958</v>
      </c>
      <c r="S140" s="577"/>
    </row>
    <row r="141" spans="2:19" ht="24" customHeight="1" x14ac:dyDescent="0.2">
      <c r="B141" s="102">
        <v>44371</v>
      </c>
      <c r="C141" s="67" t="s">
        <v>376</v>
      </c>
      <c r="D141" s="14" t="s">
        <v>391</v>
      </c>
      <c r="E141" s="22" t="s">
        <v>17</v>
      </c>
      <c r="F141" s="103" t="s">
        <v>18</v>
      </c>
      <c r="G141" s="15">
        <v>40</v>
      </c>
      <c r="H141" s="40">
        <v>5366500</v>
      </c>
      <c r="I141" s="41">
        <f>List3[[#This Row],[Pengajuan Donasi]]-26</f>
        <v>5366474</v>
      </c>
      <c r="J141" s="16" t="s">
        <v>19</v>
      </c>
      <c r="K141" s="100" t="str">
        <f>IF(List3[[#This Row],[TRF]]="Done","Sudah Transfer","Proses PP/Pengajuan Approval")</f>
        <v>Sudah Transfer</v>
      </c>
      <c r="L141" s="101">
        <v>44376</v>
      </c>
      <c r="M141" s="100" t="s">
        <v>332</v>
      </c>
      <c r="N141" s="105">
        <f>MONTH(List3[[#This Row],[Tanggal Pengajuan]])</f>
        <v>6</v>
      </c>
      <c r="O141" s="101"/>
      <c r="P141" s="105" t="s">
        <v>373</v>
      </c>
      <c r="Q141" s="111"/>
      <c r="R141" s="230" t="s">
        <v>958</v>
      </c>
      <c r="S141" s="577"/>
    </row>
    <row r="142" spans="2:19" ht="24" customHeight="1" x14ac:dyDescent="0.2">
      <c r="B142" s="102">
        <v>44740</v>
      </c>
      <c r="C142" s="67" t="s">
        <v>377</v>
      </c>
      <c r="D142" s="105" t="s">
        <v>1609</v>
      </c>
      <c r="E142" s="103" t="s">
        <v>1054</v>
      </c>
      <c r="F142" s="103" t="s">
        <v>18</v>
      </c>
      <c r="G142" s="15">
        <v>0</v>
      </c>
      <c r="H142" s="40"/>
      <c r="I142" s="41">
        <f>List3[[#This Row],[Pengajuan Donasi]]</f>
        <v>0</v>
      </c>
      <c r="J142" s="104"/>
      <c r="K142" s="100"/>
      <c r="L142" s="101"/>
      <c r="M142" s="105"/>
      <c r="N142" s="105">
        <f>MONTH(List3[[#This Row],[Tanggal Pengajuan]])</f>
        <v>6</v>
      </c>
      <c r="O142" s="101"/>
      <c r="P142" s="105" t="s">
        <v>1608</v>
      </c>
      <c r="Q142" s="111"/>
      <c r="R142" s="230" t="s">
        <v>958</v>
      </c>
      <c r="S142" s="577"/>
    </row>
    <row r="143" spans="2:19" ht="24" customHeight="1" x14ac:dyDescent="0.2">
      <c r="B143" s="102">
        <v>44742</v>
      </c>
      <c r="C143" s="67" t="s">
        <v>378</v>
      </c>
      <c r="D143" s="105" t="s">
        <v>1059</v>
      </c>
      <c r="E143" s="22" t="s">
        <v>1055</v>
      </c>
      <c r="F143" s="103" t="s">
        <v>18</v>
      </c>
      <c r="G143" s="15">
        <v>0</v>
      </c>
      <c r="H143" s="40">
        <v>4015200</v>
      </c>
      <c r="I143" s="41">
        <f>List3[[#This Row],[Pengajuan Donasi]]</f>
        <v>4015200</v>
      </c>
      <c r="J143" s="104"/>
      <c r="K143" s="14" t="s">
        <v>968</v>
      </c>
      <c r="L143" s="101"/>
      <c r="M143" s="105" t="s">
        <v>146</v>
      </c>
      <c r="N143" s="105">
        <f>MONTH(List3[[#This Row],[Tanggal Pengajuan]])</f>
        <v>6</v>
      </c>
      <c r="O143" s="101"/>
      <c r="P143" s="105" t="s">
        <v>25</v>
      </c>
      <c r="Q143" s="111"/>
      <c r="R143" s="230" t="s">
        <v>958</v>
      </c>
      <c r="S143" s="577"/>
    </row>
    <row r="144" spans="2:19" ht="24" customHeight="1" x14ac:dyDescent="0.2">
      <c r="B144" s="102">
        <v>44742</v>
      </c>
      <c r="C144" s="67" t="s">
        <v>379</v>
      </c>
      <c r="D144" s="105" t="s">
        <v>1059</v>
      </c>
      <c r="E144" s="22" t="s">
        <v>1055</v>
      </c>
      <c r="F144" s="103" t="s">
        <v>18</v>
      </c>
      <c r="G144" s="15">
        <v>0</v>
      </c>
      <c r="H144" s="40">
        <v>2002900</v>
      </c>
      <c r="I144" s="41">
        <f>List3[[#This Row],[Pengajuan Donasi]]</f>
        <v>2002900</v>
      </c>
      <c r="J144" s="104"/>
      <c r="K144" s="14" t="s">
        <v>969</v>
      </c>
      <c r="L144" s="101"/>
      <c r="M144" s="105"/>
      <c r="N144" s="105">
        <f>MONTH(List3[[#This Row],[Tanggal Pengajuan]])</f>
        <v>6</v>
      </c>
      <c r="O144" s="101"/>
      <c r="P144" s="105" t="s">
        <v>25</v>
      </c>
      <c r="Q144" s="111"/>
      <c r="R144" s="230" t="s">
        <v>958</v>
      </c>
      <c r="S144" s="577"/>
    </row>
    <row r="145" spans="2:19" ht="24" customHeight="1" x14ac:dyDescent="0.2">
      <c r="B145" s="102">
        <v>44391</v>
      </c>
      <c r="C145" s="67" t="s">
        <v>375</v>
      </c>
      <c r="D145" s="14" t="s">
        <v>859</v>
      </c>
      <c r="E145" s="22" t="s">
        <v>17</v>
      </c>
      <c r="F145" s="103" t="s">
        <v>28</v>
      </c>
      <c r="G145" s="15">
        <v>23</v>
      </c>
      <c r="H145" s="40">
        <v>6000000</v>
      </c>
      <c r="I145" s="41">
        <f>List3[[#This Row],[Pengajuan Donasi]]</f>
        <v>6000000</v>
      </c>
      <c r="J145" s="104" t="s">
        <v>19</v>
      </c>
      <c r="K145" s="100" t="str">
        <f>IF(List3[[#This Row],[TRF]]="Done","Sudah Transfer","Proses PP/Pengajuan Approval")</f>
        <v>Sudah Transfer</v>
      </c>
      <c r="L145" s="101">
        <v>44399</v>
      </c>
      <c r="M145" s="105" t="s">
        <v>381</v>
      </c>
      <c r="N145" s="105">
        <f>MONTH(List3[[#This Row],[Tanggal Pengajuan]])</f>
        <v>7</v>
      </c>
      <c r="O145" s="101"/>
      <c r="P145" s="105" t="s">
        <v>380</v>
      </c>
      <c r="Q145" s="111"/>
      <c r="R145" s="230" t="s">
        <v>958</v>
      </c>
      <c r="S145" s="577"/>
    </row>
    <row r="146" spans="2:19" ht="24" customHeight="1" x14ac:dyDescent="0.2">
      <c r="B146" s="102">
        <v>44391</v>
      </c>
      <c r="C146" s="67" t="s">
        <v>385</v>
      </c>
      <c r="D146" s="14" t="s">
        <v>386</v>
      </c>
      <c r="E146" s="22" t="s">
        <v>26</v>
      </c>
      <c r="F146" s="103" t="s">
        <v>28</v>
      </c>
      <c r="G146" s="15">
        <v>63</v>
      </c>
      <c r="H146" s="40">
        <v>7500000</v>
      </c>
      <c r="I146" s="41">
        <f>List3[[#This Row],[Pengajuan Donasi]]</f>
        <v>7500000</v>
      </c>
      <c r="J146" s="104" t="s">
        <v>19</v>
      </c>
      <c r="K146" s="100" t="str">
        <f>IF(List3[[#This Row],[TRF]]="Done","Sudah Transfer","Proses PP/Pengajuan Approval")</f>
        <v>Sudah Transfer</v>
      </c>
      <c r="L146" s="101">
        <v>44399</v>
      </c>
      <c r="M146" s="105" t="s">
        <v>386</v>
      </c>
      <c r="N146" s="105">
        <f>MONTH(List3[[#This Row],[Tanggal Pengajuan]])</f>
        <v>7</v>
      </c>
      <c r="O146" s="101"/>
      <c r="P146" s="105" t="s">
        <v>387</v>
      </c>
      <c r="Q146" s="111"/>
      <c r="R146" s="230" t="s">
        <v>958</v>
      </c>
      <c r="S146" s="577"/>
    </row>
    <row r="147" spans="2:19" ht="24" customHeight="1" x14ac:dyDescent="0.2">
      <c r="B147" s="102">
        <v>44392</v>
      </c>
      <c r="C147" s="67" t="s">
        <v>389</v>
      </c>
      <c r="D147" s="14" t="s">
        <v>392</v>
      </c>
      <c r="E147" s="22" t="s">
        <v>57</v>
      </c>
      <c r="F147" s="103" t="s">
        <v>28</v>
      </c>
      <c r="G147" s="15">
        <v>75</v>
      </c>
      <c r="H147" s="40">
        <v>10000000</v>
      </c>
      <c r="I147" s="41">
        <f>List3[[#This Row],[Pengajuan Donasi]]</f>
        <v>10000000</v>
      </c>
      <c r="J147" s="104" t="s">
        <v>19</v>
      </c>
      <c r="K147" s="100" t="str">
        <f>IF(List3[[#This Row],[TRF]]="Done","Sudah Transfer","Proses PP/Pengajuan Approval")</f>
        <v>Sudah Transfer</v>
      </c>
      <c r="L147" s="101">
        <v>44409</v>
      </c>
      <c r="M147" s="105" t="s">
        <v>392</v>
      </c>
      <c r="N147" s="105">
        <f>MONTH(List3[[#This Row],[Tanggal Pengajuan]])</f>
        <v>7</v>
      </c>
      <c r="O147" s="101"/>
      <c r="P147" s="105" t="s">
        <v>432</v>
      </c>
      <c r="Q147" s="111"/>
      <c r="R147" s="230" t="s">
        <v>958</v>
      </c>
      <c r="S147" s="577"/>
    </row>
    <row r="148" spans="2:19" ht="36.75" customHeight="1" x14ac:dyDescent="0.2">
      <c r="B148" s="102">
        <v>44392</v>
      </c>
      <c r="C148" s="67" t="s">
        <v>388</v>
      </c>
      <c r="D148" s="14" t="str">
        <f>D114</f>
        <v>Yayasan Kharisma Pertiwi</v>
      </c>
      <c r="E148" s="14" t="str">
        <f>E114</f>
        <v>Panti Asuhan / Jompo</v>
      </c>
      <c r="F148" s="14" t="str">
        <f>F114</f>
        <v>Rutin (bulan)</v>
      </c>
      <c r="G148" s="15">
        <v>86</v>
      </c>
      <c r="H148" s="40">
        <f t="shared" ref="H148:M148" si="0">H114</f>
        <v>8500000</v>
      </c>
      <c r="I148" s="41">
        <f t="shared" si="0"/>
        <v>8500000</v>
      </c>
      <c r="J148" s="104" t="s">
        <v>19</v>
      </c>
      <c r="K148" s="100" t="str">
        <f>IF(List3[[#This Row],[TRF]]="Done","Sudah Transfer","Proses PP/Pengajuan Approval")</f>
        <v>Sudah Transfer</v>
      </c>
      <c r="L148" s="101">
        <v>44399</v>
      </c>
      <c r="M148" s="105" t="str">
        <f t="shared" si="0"/>
        <v>Jeffry</v>
      </c>
      <c r="N148" s="105">
        <v>7</v>
      </c>
      <c r="O148" s="101"/>
      <c r="P148" s="105" t="s">
        <v>390</v>
      </c>
      <c r="Q148" s="111"/>
      <c r="R148" s="230" t="s">
        <v>958</v>
      </c>
      <c r="S148" s="577"/>
    </row>
    <row r="149" spans="2:19" ht="36.75" customHeight="1" x14ac:dyDescent="0.2">
      <c r="B149" s="102">
        <v>44392</v>
      </c>
      <c r="C149" s="67" t="s">
        <v>388</v>
      </c>
      <c r="D149" s="14" t="str">
        <f t="shared" ref="D149:F151" si="1">D115</f>
        <v xml:space="preserve">Joint Adulam Ministry </v>
      </c>
      <c r="E149" s="14" t="str">
        <f t="shared" si="1"/>
        <v>Panti Asuhan / Jompo</v>
      </c>
      <c r="F149" s="14" t="str">
        <f t="shared" si="1"/>
        <v>Rutin (bulan)</v>
      </c>
      <c r="G149" s="15">
        <v>128</v>
      </c>
      <c r="H149" s="40">
        <f t="shared" ref="H149:M149" si="2">H115</f>
        <v>5500000</v>
      </c>
      <c r="I149" s="41">
        <f t="shared" si="2"/>
        <v>5500000</v>
      </c>
      <c r="J149" s="104" t="s">
        <v>19</v>
      </c>
      <c r="K149" s="100" t="str">
        <f>IF(List3[[#This Row],[TRF]]="Done","Sudah Transfer","Proses PP/Pengajuan Approval")</f>
        <v>Sudah Transfer</v>
      </c>
      <c r="L149" s="101">
        <v>44399</v>
      </c>
      <c r="M149" s="105" t="str">
        <f t="shared" si="2"/>
        <v>Jeffry</v>
      </c>
      <c r="N149" s="105">
        <v>7</v>
      </c>
      <c r="O149" s="101"/>
      <c r="P149" s="105" t="s">
        <v>390</v>
      </c>
      <c r="Q149" s="111"/>
      <c r="R149" s="230" t="s">
        <v>958</v>
      </c>
      <c r="S149" s="577"/>
    </row>
    <row r="150" spans="2:19" ht="31.5" customHeight="1" x14ac:dyDescent="0.2">
      <c r="B150" s="102">
        <v>44392</v>
      </c>
      <c r="C150" s="67" t="s">
        <v>388</v>
      </c>
      <c r="D150" s="14" t="str">
        <f t="shared" si="1"/>
        <v>Rumah Lansia dan Yatim Piatu FJPK</v>
      </c>
      <c r="E150" s="14" t="str">
        <f t="shared" si="1"/>
        <v>Panti Asuhan / Jompo</v>
      </c>
      <c r="F150" s="14" t="str">
        <f t="shared" si="1"/>
        <v>Rutin (bulan)</v>
      </c>
      <c r="G150" s="15">
        <v>26</v>
      </c>
      <c r="H150" s="40">
        <f t="shared" ref="H150:M150" si="3">H116</f>
        <v>5500000</v>
      </c>
      <c r="I150" s="41">
        <f t="shared" si="3"/>
        <v>5500000</v>
      </c>
      <c r="J150" s="104" t="s">
        <v>19</v>
      </c>
      <c r="K150" s="100" t="str">
        <f>IF(List3[[#This Row],[TRF]]="Done","Sudah Transfer","Proses PP/Pengajuan Approval")</f>
        <v>Sudah Transfer</v>
      </c>
      <c r="L150" s="101">
        <v>44399</v>
      </c>
      <c r="M150" s="105" t="str">
        <f t="shared" si="3"/>
        <v>Jeffry</v>
      </c>
      <c r="N150" s="105">
        <v>7</v>
      </c>
      <c r="O150" s="101"/>
      <c r="P150" s="105" t="s">
        <v>367</v>
      </c>
      <c r="Q150" s="111"/>
      <c r="R150" s="230" t="s">
        <v>958</v>
      </c>
      <c r="S150" s="577"/>
    </row>
    <row r="151" spans="2:19" ht="24" customHeight="1" x14ac:dyDescent="0.2">
      <c r="B151" s="102">
        <v>44770</v>
      </c>
      <c r="C151" s="67" t="s">
        <v>399</v>
      </c>
      <c r="D151" s="105" t="s">
        <v>1011</v>
      </c>
      <c r="E151" s="103" t="s">
        <v>1054</v>
      </c>
      <c r="F151" s="14" t="str">
        <f t="shared" si="1"/>
        <v>Non Rutin</v>
      </c>
      <c r="G151" s="15">
        <v>1</v>
      </c>
      <c r="H151" s="40"/>
      <c r="I151" s="41">
        <f>List3[[#This Row],[Pengajuan Donasi]]</f>
        <v>0</v>
      </c>
      <c r="J151" s="104"/>
      <c r="K151" s="100"/>
      <c r="L151" s="101"/>
      <c r="M151" s="105"/>
      <c r="N151" s="105">
        <f>MONTH(List3[[#This Row],[Tanggal Pengajuan]])</f>
        <v>7</v>
      </c>
      <c r="O151" s="101"/>
      <c r="P151" s="105" t="s">
        <v>25</v>
      </c>
      <c r="Q151" s="111"/>
      <c r="R151" s="230" t="s">
        <v>958</v>
      </c>
      <c r="S151" s="577"/>
    </row>
    <row r="152" spans="2:19" ht="24" customHeight="1" x14ac:dyDescent="0.2">
      <c r="B152" s="102">
        <v>44406</v>
      </c>
      <c r="C152" s="67" t="s">
        <v>398</v>
      </c>
      <c r="D152" s="14" t="s">
        <v>420</v>
      </c>
      <c r="E152" s="22" t="s">
        <v>57</v>
      </c>
      <c r="F152" s="103" t="s">
        <v>18</v>
      </c>
      <c r="G152" s="15">
        <v>29</v>
      </c>
      <c r="H152" s="40">
        <v>10000000</v>
      </c>
      <c r="I152" s="41">
        <f>List3[[#This Row],[Pengajuan Donasi]]</f>
        <v>10000000</v>
      </c>
      <c r="J152" s="104" t="s">
        <v>19</v>
      </c>
      <c r="K152" s="100" t="str">
        <f>IF(List3[[#This Row],[TRF]]="Done","Sudah Transfer","Proses PP/Pengajuan Approval")</f>
        <v>Sudah Transfer</v>
      </c>
      <c r="L152" s="101">
        <v>44410</v>
      </c>
      <c r="M152" s="105" t="s">
        <v>422</v>
      </c>
      <c r="N152" s="105">
        <f>MONTH(List3[[#This Row],[Tanggal Pengajuan]])</f>
        <v>7</v>
      </c>
      <c r="O152" s="101"/>
      <c r="P152" s="105" t="s">
        <v>421</v>
      </c>
      <c r="Q152" s="111"/>
      <c r="R152" s="230" t="s">
        <v>958</v>
      </c>
      <c r="S152" s="577"/>
    </row>
    <row r="153" spans="2:19" ht="36" customHeight="1" x14ac:dyDescent="0.2">
      <c r="B153" s="102">
        <v>44406</v>
      </c>
      <c r="C153" s="67" t="s">
        <v>394</v>
      </c>
      <c r="D153" s="14" t="s">
        <v>423</v>
      </c>
      <c r="E153" s="22" t="s">
        <v>57</v>
      </c>
      <c r="F153" s="103" t="s">
        <v>18</v>
      </c>
      <c r="G153" s="15">
        <v>35</v>
      </c>
      <c r="H153" s="40">
        <v>35000000</v>
      </c>
      <c r="I153" s="41">
        <f>List3[[#This Row],[Pengajuan Donasi]]</f>
        <v>35000000</v>
      </c>
      <c r="J153" s="104" t="s">
        <v>19</v>
      </c>
      <c r="K153" s="100" t="str">
        <f>IF(List3[[#This Row],[TRF]]="Done","Sudah Transfer","Proses PP/Pengajuan Approval")</f>
        <v>Sudah Transfer</v>
      </c>
      <c r="L153" s="101">
        <v>44409</v>
      </c>
      <c r="M153" s="105" t="s">
        <v>424</v>
      </c>
      <c r="N153" s="105">
        <f>MONTH(List3[[#This Row],[Tanggal Pengajuan]])</f>
        <v>7</v>
      </c>
      <c r="O153" s="101">
        <v>44433</v>
      </c>
      <c r="P153" s="105" t="s">
        <v>425</v>
      </c>
      <c r="Q153" s="111"/>
      <c r="R153" s="230" t="s">
        <v>958</v>
      </c>
      <c r="S153" s="577"/>
    </row>
    <row r="154" spans="2:19" ht="32.25" customHeight="1" x14ac:dyDescent="0.2">
      <c r="B154" s="102">
        <v>44406</v>
      </c>
      <c r="C154" s="67" t="s">
        <v>395</v>
      </c>
      <c r="D154" s="14" t="s">
        <v>426</v>
      </c>
      <c r="E154" s="22" t="s">
        <v>57</v>
      </c>
      <c r="F154" s="103" t="s">
        <v>18</v>
      </c>
      <c r="G154" s="15">
        <v>31</v>
      </c>
      <c r="H154" s="40">
        <v>30000000</v>
      </c>
      <c r="I154" s="41">
        <f>List3[[#This Row],[Pengajuan Donasi]]</f>
        <v>30000000</v>
      </c>
      <c r="J154" s="104" t="s">
        <v>19</v>
      </c>
      <c r="K154" s="100" t="str">
        <f>IF(List3[[#This Row],[TRF]]="Done","Sudah Transfer","Proses PP/Pengajuan Approval")</f>
        <v>Sudah Transfer</v>
      </c>
      <c r="L154" s="101">
        <v>44409</v>
      </c>
      <c r="M154" s="105" t="s">
        <v>427</v>
      </c>
      <c r="N154" s="105">
        <f>MONTH(List3[[#This Row],[Tanggal Pengajuan]])</f>
        <v>7</v>
      </c>
      <c r="O154" s="101"/>
      <c r="P154" s="105" t="s">
        <v>428</v>
      </c>
      <c r="Q154" s="154" t="s">
        <v>435</v>
      </c>
      <c r="R154" s="230" t="s">
        <v>958</v>
      </c>
      <c r="S154" s="577"/>
    </row>
    <row r="155" spans="2:19" ht="30" customHeight="1" x14ac:dyDescent="0.2">
      <c r="B155" s="102">
        <v>44406</v>
      </c>
      <c r="C155" s="67" t="s">
        <v>396</v>
      </c>
      <c r="D155" s="14" t="s">
        <v>429</v>
      </c>
      <c r="E155" s="22" t="s">
        <v>57</v>
      </c>
      <c r="F155" s="103" t="s">
        <v>18</v>
      </c>
      <c r="G155" s="15">
        <v>38</v>
      </c>
      <c r="H155" s="40">
        <v>35000000</v>
      </c>
      <c r="I155" s="41">
        <f>List3[[#This Row],[Pengajuan Donasi]]</f>
        <v>35000000</v>
      </c>
      <c r="J155" s="104" t="s">
        <v>19</v>
      </c>
      <c r="K155" s="100" t="str">
        <f>IF(List3[[#This Row],[TRF]]="Done","Sudah Transfer","Proses PP/Pengajuan Approval")</f>
        <v>Sudah Transfer</v>
      </c>
      <c r="L155" s="101">
        <v>44409</v>
      </c>
      <c r="M155" s="105" t="s">
        <v>430</v>
      </c>
      <c r="N155" s="105">
        <f>MONTH(List3[[#This Row],[Tanggal Pengajuan]])</f>
        <v>7</v>
      </c>
      <c r="O155" s="101">
        <v>44439</v>
      </c>
      <c r="P155" s="105" t="s">
        <v>431</v>
      </c>
      <c r="Q155" s="111"/>
      <c r="R155" s="230" t="s">
        <v>958</v>
      </c>
      <c r="S155" s="577"/>
    </row>
    <row r="156" spans="2:19" ht="24" customHeight="1" x14ac:dyDescent="0.2">
      <c r="B156" s="102">
        <v>44414</v>
      </c>
      <c r="C156" s="67" t="s">
        <v>397</v>
      </c>
      <c r="D156" s="14" t="s">
        <v>872</v>
      </c>
      <c r="E156" s="22" t="s">
        <v>17</v>
      </c>
      <c r="F156" s="103" t="s">
        <v>18</v>
      </c>
      <c r="G156" s="469">
        <v>70</v>
      </c>
      <c r="H156" s="40">
        <v>5998800</v>
      </c>
      <c r="I156" s="41">
        <f>List3[[#This Row],[Pengajuan Donasi]]</f>
        <v>5998800</v>
      </c>
      <c r="J156" s="104" t="s">
        <v>19</v>
      </c>
      <c r="K156" s="100" t="str">
        <f>IF(List3[[#This Row],[TRF]]="Done","Sudah Transfer","Proses PP/Pengajuan Approval")</f>
        <v>Sudah Transfer</v>
      </c>
      <c r="L156" s="101">
        <v>44449</v>
      </c>
      <c r="M156" s="105" t="s">
        <v>443</v>
      </c>
      <c r="N156" s="105">
        <f>MONTH(List3[[#This Row],[Tanggal Pengajuan]])</f>
        <v>8</v>
      </c>
      <c r="O156" s="101">
        <v>44481</v>
      </c>
      <c r="P156" s="105" t="s">
        <v>441</v>
      </c>
      <c r="Q156" s="111" t="s">
        <v>442</v>
      </c>
      <c r="R156" s="230" t="s">
        <v>958</v>
      </c>
      <c r="S156" s="577"/>
    </row>
    <row r="157" spans="2:19" ht="24" customHeight="1" x14ac:dyDescent="0.2">
      <c r="B157" s="102">
        <v>44414</v>
      </c>
      <c r="C157" s="67" t="s">
        <v>397</v>
      </c>
      <c r="D157" s="103" t="s">
        <v>870</v>
      </c>
      <c r="E157" s="22" t="s">
        <v>17</v>
      </c>
      <c r="F157" s="103" t="s">
        <v>18</v>
      </c>
      <c r="G157" s="469">
        <v>98</v>
      </c>
      <c r="H157" s="40">
        <v>5998300</v>
      </c>
      <c r="I157" s="41">
        <f>List3[[#This Row],[Pengajuan Donasi]]</f>
        <v>5998300</v>
      </c>
      <c r="J157" s="104" t="s">
        <v>19</v>
      </c>
      <c r="K157" s="100"/>
      <c r="L157" s="183">
        <v>44449</v>
      </c>
      <c r="M157" s="105"/>
      <c r="N157" s="105">
        <f>MONTH(List3[[#This Row],[Tanggal Pengajuan]])</f>
        <v>8</v>
      </c>
      <c r="O157" s="101"/>
      <c r="P157" s="105"/>
      <c r="Q157" s="111"/>
      <c r="R157" s="230" t="s">
        <v>958</v>
      </c>
      <c r="S157" s="577"/>
    </row>
    <row r="158" spans="2:19" ht="24" customHeight="1" x14ac:dyDescent="0.2">
      <c r="B158" s="102">
        <v>44414</v>
      </c>
      <c r="C158" s="67" t="s">
        <v>397</v>
      </c>
      <c r="D158" s="103" t="s">
        <v>849</v>
      </c>
      <c r="E158" s="176" t="s">
        <v>17</v>
      </c>
      <c r="F158" s="103" t="s">
        <v>18</v>
      </c>
      <c r="G158" s="469">
        <v>63</v>
      </c>
      <c r="H158" s="40">
        <v>5999800</v>
      </c>
      <c r="I158" s="40">
        <f>List3[[#This Row],[Pengajuan Donasi]]</f>
        <v>5999800</v>
      </c>
      <c r="J158" s="104" t="s">
        <v>19</v>
      </c>
      <c r="K158" s="176"/>
      <c r="L158" s="183">
        <v>44449</v>
      </c>
      <c r="M158" s="20"/>
      <c r="N158" s="20">
        <f>MONTH(List3[[#This Row],[Tanggal Pengajuan]])</f>
        <v>8</v>
      </c>
      <c r="O158" s="101"/>
      <c r="P158" s="20"/>
      <c r="Q158" s="177"/>
      <c r="R158" s="230" t="s">
        <v>958</v>
      </c>
      <c r="S158" s="577"/>
    </row>
    <row r="159" spans="2:19" ht="24" customHeight="1" x14ac:dyDescent="0.2">
      <c r="B159" s="102">
        <v>44414</v>
      </c>
      <c r="C159" s="67" t="s">
        <v>397</v>
      </c>
      <c r="D159" s="103" t="s">
        <v>850</v>
      </c>
      <c r="E159" s="176" t="s">
        <v>17</v>
      </c>
      <c r="F159" s="103" t="s">
        <v>18</v>
      </c>
      <c r="G159" s="469">
        <v>19</v>
      </c>
      <c r="H159" s="40">
        <v>5999900</v>
      </c>
      <c r="I159" s="40">
        <f>List3[[#This Row],[Pengajuan Donasi]]</f>
        <v>5999900</v>
      </c>
      <c r="J159" s="104" t="s">
        <v>19</v>
      </c>
      <c r="K159" s="176"/>
      <c r="L159" s="183">
        <v>44449</v>
      </c>
      <c r="M159" s="20"/>
      <c r="N159" s="20">
        <f>MONTH(List3[[#This Row],[Tanggal Pengajuan]])</f>
        <v>8</v>
      </c>
      <c r="O159" s="101"/>
      <c r="P159" s="20"/>
      <c r="Q159" s="177"/>
      <c r="R159" s="230" t="s">
        <v>958</v>
      </c>
      <c r="S159" s="577"/>
    </row>
    <row r="160" spans="2:19" ht="24" customHeight="1" x14ac:dyDescent="0.2">
      <c r="B160" s="102">
        <v>44414</v>
      </c>
      <c r="C160" s="67" t="s">
        <v>397</v>
      </c>
      <c r="D160" s="103" t="s">
        <v>852</v>
      </c>
      <c r="E160" s="176" t="s">
        <v>17</v>
      </c>
      <c r="F160" s="103" t="s">
        <v>18</v>
      </c>
      <c r="G160" s="469">
        <v>40</v>
      </c>
      <c r="H160" s="40">
        <v>5999700</v>
      </c>
      <c r="I160" s="40">
        <f>List3[[#This Row],[Pengajuan Donasi]]</f>
        <v>5999700</v>
      </c>
      <c r="J160" s="104" t="s">
        <v>19</v>
      </c>
      <c r="K160" s="176"/>
      <c r="L160" s="183">
        <v>44449</v>
      </c>
      <c r="M160" s="20"/>
      <c r="N160" s="20">
        <f>MONTH(List3[[#This Row],[Tanggal Pengajuan]])</f>
        <v>8</v>
      </c>
      <c r="O160" s="101"/>
      <c r="P160" s="20"/>
      <c r="Q160" s="177"/>
      <c r="R160" s="230" t="s">
        <v>958</v>
      </c>
      <c r="S160" s="577"/>
    </row>
    <row r="161" spans="2:19" ht="24" customHeight="1" x14ac:dyDescent="0.2">
      <c r="B161" s="102">
        <v>44414</v>
      </c>
      <c r="C161" s="67" t="s">
        <v>397</v>
      </c>
      <c r="D161" s="103" t="s">
        <v>238</v>
      </c>
      <c r="E161" s="176" t="s">
        <v>17</v>
      </c>
      <c r="F161" s="103" t="s">
        <v>18</v>
      </c>
      <c r="G161" s="469">
        <v>119</v>
      </c>
      <c r="H161" s="40">
        <v>5999900</v>
      </c>
      <c r="I161" s="40">
        <f>List3[[#This Row],[Pengajuan Donasi]]</f>
        <v>5999900</v>
      </c>
      <c r="J161" s="104" t="s">
        <v>19</v>
      </c>
      <c r="K161" s="176"/>
      <c r="L161" s="183">
        <v>44449</v>
      </c>
      <c r="M161" s="20"/>
      <c r="N161" s="20">
        <f>MONTH(List3[[#This Row],[Tanggal Pengajuan]])</f>
        <v>8</v>
      </c>
      <c r="O161" s="101"/>
      <c r="P161" s="20"/>
      <c r="Q161" s="177"/>
      <c r="R161" s="230" t="s">
        <v>958</v>
      </c>
      <c r="S161" s="577"/>
    </row>
    <row r="162" spans="2:19" ht="24" customHeight="1" x14ac:dyDescent="0.2">
      <c r="B162" s="102">
        <v>44414</v>
      </c>
      <c r="C162" s="67" t="s">
        <v>397</v>
      </c>
      <c r="D162" s="103" t="s">
        <v>867</v>
      </c>
      <c r="E162" s="176" t="s">
        <v>17</v>
      </c>
      <c r="F162" s="103" t="s">
        <v>18</v>
      </c>
      <c r="G162" s="469">
        <v>77</v>
      </c>
      <c r="H162" s="40">
        <v>5998900</v>
      </c>
      <c r="I162" s="40">
        <f>List3[[#This Row],[Pengajuan Donasi]]</f>
        <v>5998900</v>
      </c>
      <c r="J162" s="104" t="s">
        <v>19</v>
      </c>
      <c r="K162" s="176"/>
      <c r="L162" s="183">
        <v>44449</v>
      </c>
      <c r="M162" s="20"/>
      <c r="N162" s="20">
        <f>MONTH(List3[[#This Row],[Tanggal Pengajuan]])</f>
        <v>8</v>
      </c>
      <c r="O162" s="101"/>
      <c r="P162" s="20"/>
      <c r="Q162" s="177"/>
      <c r="R162" s="230" t="s">
        <v>958</v>
      </c>
      <c r="S162" s="577"/>
    </row>
    <row r="163" spans="2:19" ht="24" customHeight="1" x14ac:dyDescent="0.2">
      <c r="B163" s="102">
        <v>44414</v>
      </c>
      <c r="C163" s="67" t="s">
        <v>397</v>
      </c>
      <c r="D163" s="103" t="s">
        <v>868</v>
      </c>
      <c r="E163" s="176" t="s">
        <v>17</v>
      </c>
      <c r="F163" s="103" t="s">
        <v>18</v>
      </c>
      <c r="G163" s="469">
        <v>36</v>
      </c>
      <c r="H163" s="40">
        <v>5998800</v>
      </c>
      <c r="I163" s="40">
        <f>List3[[#This Row],[Pengajuan Donasi]]</f>
        <v>5998800</v>
      </c>
      <c r="J163" s="104" t="s">
        <v>19</v>
      </c>
      <c r="K163" s="176"/>
      <c r="L163" s="183">
        <v>44449</v>
      </c>
      <c r="M163" s="20"/>
      <c r="N163" s="20">
        <f>MONTH(List3[[#This Row],[Tanggal Pengajuan]])</f>
        <v>8</v>
      </c>
      <c r="O163" s="101"/>
      <c r="P163" s="20"/>
      <c r="Q163" s="177"/>
      <c r="R163" s="230" t="s">
        <v>958</v>
      </c>
      <c r="S163" s="577"/>
    </row>
    <row r="164" spans="2:19" ht="24" customHeight="1" x14ac:dyDescent="0.2">
      <c r="B164" s="102">
        <v>44414</v>
      </c>
      <c r="C164" s="67" t="s">
        <v>397</v>
      </c>
      <c r="D164" s="103" t="s">
        <v>124</v>
      </c>
      <c r="E164" s="176" t="s">
        <v>17</v>
      </c>
      <c r="F164" s="103" t="s">
        <v>18</v>
      </c>
      <c r="G164" s="469">
        <v>83</v>
      </c>
      <c r="H164" s="40">
        <v>5999800</v>
      </c>
      <c r="I164" s="40">
        <f>List3[[#This Row],[Pengajuan Donasi]]</f>
        <v>5999800</v>
      </c>
      <c r="J164" s="104" t="s">
        <v>19</v>
      </c>
      <c r="K164" s="176"/>
      <c r="L164" s="183">
        <v>44449</v>
      </c>
      <c r="M164" s="20"/>
      <c r="N164" s="20">
        <f>MONTH(List3[[#This Row],[Tanggal Pengajuan]])</f>
        <v>8</v>
      </c>
      <c r="O164" s="101"/>
      <c r="P164" s="20"/>
      <c r="Q164" s="177"/>
      <c r="R164" s="230" t="s">
        <v>958</v>
      </c>
      <c r="S164" s="577"/>
    </row>
    <row r="165" spans="2:19" ht="24" customHeight="1" x14ac:dyDescent="0.2">
      <c r="B165" s="102">
        <v>44414</v>
      </c>
      <c r="C165" s="67" t="s">
        <v>397</v>
      </c>
      <c r="D165" s="103" t="s">
        <v>855</v>
      </c>
      <c r="E165" s="176" t="s">
        <v>17</v>
      </c>
      <c r="F165" s="103" t="s">
        <v>18</v>
      </c>
      <c r="G165" s="469">
        <v>91</v>
      </c>
      <c r="H165" s="40">
        <v>5999000</v>
      </c>
      <c r="I165" s="40">
        <f>List3[[#This Row],[Pengajuan Donasi]]</f>
        <v>5999000</v>
      </c>
      <c r="J165" s="104" t="s">
        <v>19</v>
      </c>
      <c r="K165" s="176"/>
      <c r="L165" s="183">
        <v>44449</v>
      </c>
      <c r="M165" s="20"/>
      <c r="N165" s="20">
        <f>MONTH(List3[[#This Row],[Tanggal Pengajuan]])</f>
        <v>8</v>
      </c>
      <c r="O165" s="101"/>
      <c r="P165" s="20"/>
      <c r="Q165" s="177"/>
      <c r="R165" s="230" t="s">
        <v>958</v>
      </c>
      <c r="S165" s="577"/>
    </row>
    <row r="166" spans="2:19" ht="24" customHeight="1" x14ac:dyDescent="0.2">
      <c r="B166" s="102">
        <v>44414</v>
      </c>
      <c r="C166" s="67" t="s">
        <v>397</v>
      </c>
      <c r="D166" s="103" t="s">
        <v>871</v>
      </c>
      <c r="E166" s="176" t="s">
        <v>17</v>
      </c>
      <c r="F166" s="103" t="s">
        <v>18</v>
      </c>
      <c r="G166" s="469">
        <v>40</v>
      </c>
      <c r="H166" s="40">
        <v>5999800</v>
      </c>
      <c r="I166" s="40">
        <f>List3[[#This Row],[Pengajuan Donasi]]</f>
        <v>5999800</v>
      </c>
      <c r="J166" s="104" t="s">
        <v>19</v>
      </c>
      <c r="K166" s="176"/>
      <c r="L166" s="183">
        <v>44449</v>
      </c>
      <c r="M166" s="20"/>
      <c r="N166" s="20">
        <f>MONTH(List3[[#This Row],[Tanggal Pengajuan]])</f>
        <v>8</v>
      </c>
      <c r="O166" s="101"/>
      <c r="P166" s="20"/>
      <c r="Q166" s="177"/>
      <c r="R166" s="230" t="s">
        <v>958</v>
      </c>
      <c r="S166" s="577"/>
    </row>
    <row r="167" spans="2:19" ht="24" customHeight="1" x14ac:dyDescent="0.2">
      <c r="B167" s="102">
        <v>44414</v>
      </c>
      <c r="C167" s="67" t="s">
        <v>397</v>
      </c>
      <c r="D167" s="103" t="s">
        <v>851</v>
      </c>
      <c r="E167" s="176" t="s">
        <v>17</v>
      </c>
      <c r="F167" s="103" t="s">
        <v>18</v>
      </c>
      <c r="G167" s="469">
        <v>57</v>
      </c>
      <c r="H167" s="40">
        <v>5999100</v>
      </c>
      <c r="I167" s="40">
        <f>List3[[#This Row],[Pengajuan Donasi]]</f>
        <v>5999100</v>
      </c>
      <c r="J167" s="104" t="s">
        <v>19</v>
      </c>
      <c r="K167" s="176"/>
      <c r="L167" s="183">
        <v>44449</v>
      </c>
      <c r="M167" s="20"/>
      <c r="N167" s="20">
        <f>MONTH(List3[[#This Row],[Tanggal Pengajuan]])</f>
        <v>8</v>
      </c>
      <c r="O167" s="101"/>
      <c r="P167" s="20"/>
      <c r="Q167" s="177"/>
      <c r="R167" s="230" t="s">
        <v>958</v>
      </c>
      <c r="S167" s="577"/>
    </row>
    <row r="168" spans="2:19" ht="24" customHeight="1" x14ac:dyDescent="0.2">
      <c r="B168" s="102">
        <v>44414</v>
      </c>
      <c r="C168" s="67" t="s">
        <v>397</v>
      </c>
      <c r="D168" s="103" t="s">
        <v>869</v>
      </c>
      <c r="E168" s="176" t="s">
        <v>17</v>
      </c>
      <c r="F168" s="103" t="s">
        <v>18</v>
      </c>
      <c r="G168" s="469">
        <v>22</v>
      </c>
      <c r="H168" s="40">
        <v>5998900</v>
      </c>
      <c r="I168" s="40">
        <f>List3[[#This Row],[Pengajuan Donasi]]</f>
        <v>5998900</v>
      </c>
      <c r="J168" s="104" t="s">
        <v>19</v>
      </c>
      <c r="K168" s="176"/>
      <c r="L168" s="183">
        <v>44449</v>
      </c>
      <c r="M168" s="20"/>
      <c r="N168" s="20">
        <f>MONTH(List3[[#This Row],[Tanggal Pengajuan]])</f>
        <v>8</v>
      </c>
      <c r="O168" s="101"/>
      <c r="P168" s="20"/>
      <c r="Q168" s="177"/>
      <c r="R168" s="230" t="s">
        <v>958</v>
      </c>
      <c r="S168" s="577"/>
    </row>
    <row r="169" spans="2:19" ht="24" customHeight="1" x14ac:dyDescent="0.2">
      <c r="B169" s="102">
        <v>44414</v>
      </c>
      <c r="C169" s="67" t="s">
        <v>397</v>
      </c>
      <c r="D169" s="103" t="s">
        <v>848</v>
      </c>
      <c r="E169" s="176" t="s">
        <v>17</v>
      </c>
      <c r="F169" s="103" t="s">
        <v>18</v>
      </c>
      <c r="G169" s="469">
        <v>42</v>
      </c>
      <c r="H169" s="40">
        <v>5999900</v>
      </c>
      <c r="I169" s="40">
        <f>List3[[#This Row],[Pengajuan Donasi]]</f>
        <v>5999900</v>
      </c>
      <c r="J169" s="104" t="s">
        <v>19</v>
      </c>
      <c r="K169" s="176"/>
      <c r="L169" s="183">
        <v>44449</v>
      </c>
      <c r="M169" s="20"/>
      <c r="N169" s="20">
        <f>MONTH(List3[[#This Row],[Tanggal Pengajuan]])</f>
        <v>8</v>
      </c>
      <c r="O169" s="101"/>
      <c r="P169" s="20"/>
      <c r="Q169" s="177"/>
      <c r="R169" s="230" t="s">
        <v>958</v>
      </c>
      <c r="S169" s="577"/>
    </row>
    <row r="170" spans="2:19" ht="24" customHeight="1" x14ac:dyDescent="0.2">
      <c r="B170" s="102">
        <v>44414</v>
      </c>
      <c r="C170" s="67" t="s">
        <v>397</v>
      </c>
      <c r="D170" s="103" t="s">
        <v>229</v>
      </c>
      <c r="E170" s="176" t="s">
        <v>17</v>
      </c>
      <c r="F170" s="103" t="s">
        <v>18</v>
      </c>
      <c r="G170" s="469">
        <v>28</v>
      </c>
      <c r="H170" s="40">
        <v>5999700</v>
      </c>
      <c r="I170" s="40">
        <f>List3[[#This Row],[Pengajuan Donasi]]</f>
        <v>5999700</v>
      </c>
      <c r="J170" s="104" t="s">
        <v>19</v>
      </c>
      <c r="K170" s="176"/>
      <c r="L170" s="183">
        <v>44449</v>
      </c>
      <c r="M170" s="20"/>
      <c r="N170" s="20">
        <f>MONTH(List3[[#This Row],[Tanggal Pengajuan]])</f>
        <v>8</v>
      </c>
      <c r="O170" s="101"/>
      <c r="P170" s="20"/>
      <c r="Q170" s="177"/>
      <c r="R170" s="230" t="s">
        <v>958</v>
      </c>
      <c r="S170" s="577"/>
    </row>
    <row r="171" spans="2:19" ht="24" customHeight="1" x14ac:dyDescent="0.2">
      <c r="B171" s="102">
        <v>44414</v>
      </c>
      <c r="C171" s="67" t="s">
        <v>397</v>
      </c>
      <c r="D171" s="103" t="s">
        <v>228</v>
      </c>
      <c r="E171" s="176" t="s">
        <v>17</v>
      </c>
      <c r="F171" s="103" t="s">
        <v>18</v>
      </c>
      <c r="G171" s="469">
        <v>64</v>
      </c>
      <c r="H171" s="40">
        <v>5998200</v>
      </c>
      <c r="I171" s="40">
        <f>List3[[#This Row],[Pengajuan Donasi]]</f>
        <v>5998200</v>
      </c>
      <c r="J171" s="104" t="s">
        <v>19</v>
      </c>
      <c r="K171" s="176"/>
      <c r="L171" s="183">
        <v>44449</v>
      </c>
      <c r="M171" s="20"/>
      <c r="N171" s="20">
        <f>MONTH(List3[[#This Row],[Tanggal Pengajuan]])</f>
        <v>8</v>
      </c>
      <c r="O171" s="101"/>
      <c r="P171" s="20"/>
      <c r="Q171" s="177"/>
      <c r="R171" s="230" t="s">
        <v>958</v>
      </c>
      <c r="S171" s="577"/>
    </row>
    <row r="172" spans="2:19" ht="24" customHeight="1" x14ac:dyDescent="0.2">
      <c r="B172" s="102">
        <v>44414</v>
      </c>
      <c r="C172" s="67" t="s">
        <v>397</v>
      </c>
      <c r="D172" s="103" t="s">
        <v>858</v>
      </c>
      <c r="E172" s="176" t="s">
        <v>17</v>
      </c>
      <c r="F172" s="103" t="s">
        <v>18</v>
      </c>
      <c r="G172" s="469">
        <v>12</v>
      </c>
      <c r="H172" s="40">
        <v>5998900</v>
      </c>
      <c r="I172" s="40">
        <f>List3[[#This Row],[Pengajuan Donasi]]</f>
        <v>5998900</v>
      </c>
      <c r="J172" s="104" t="s">
        <v>19</v>
      </c>
      <c r="K172" s="176"/>
      <c r="L172" s="183">
        <v>44449</v>
      </c>
      <c r="M172" s="20"/>
      <c r="N172" s="20">
        <f>MONTH(List3[[#This Row],[Tanggal Pengajuan]])</f>
        <v>8</v>
      </c>
      <c r="O172" s="101"/>
      <c r="P172" s="20"/>
      <c r="Q172" s="177"/>
      <c r="R172" s="230" t="s">
        <v>958</v>
      </c>
      <c r="S172" s="577"/>
    </row>
    <row r="173" spans="2:19" ht="24" customHeight="1" x14ac:dyDescent="0.2">
      <c r="B173" s="102">
        <v>44414</v>
      </c>
      <c r="C173" s="67" t="s">
        <v>397</v>
      </c>
      <c r="D173" s="103" t="s">
        <v>856</v>
      </c>
      <c r="E173" s="176" t="s">
        <v>17</v>
      </c>
      <c r="F173" s="103" t="s">
        <v>18</v>
      </c>
      <c r="G173" s="469">
        <v>28</v>
      </c>
      <c r="H173" s="40">
        <v>5999400</v>
      </c>
      <c r="I173" s="40">
        <f>List3[[#This Row],[Pengajuan Donasi]]</f>
        <v>5999400</v>
      </c>
      <c r="J173" s="104" t="s">
        <v>19</v>
      </c>
      <c r="K173" s="176"/>
      <c r="L173" s="183">
        <v>44449</v>
      </c>
      <c r="M173" s="20"/>
      <c r="N173" s="20">
        <f>MONTH(List3[[#This Row],[Tanggal Pengajuan]])</f>
        <v>8</v>
      </c>
      <c r="O173" s="101"/>
      <c r="P173" s="20"/>
      <c r="Q173" s="177"/>
      <c r="R173" s="230" t="s">
        <v>958</v>
      </c>
      <c r="S173" s="577"/>
    </row>
    <row r="174" spans="2:19" ht="24" customHeight="1" x14ac:dyDescent="0.2">
      <c r="B174" s="102">
        <v>44414</v>
      </c>
      <c r="C174" s="67" t="s">
        <v>397</v>
      </c>
      <c r="D174" s="103" t="s">
        <v>854</v>
      </c>
      <c r="E174" s="176" t="s">
        <v>17</v>
      </c>
      <c r="F174" s="103" t="s">
        <v>18</v>
      </c>
      <c r="G174" s="469">
        <v>150</v>
      </c>
      <c r="H174" s="40">
        <v>5999800</v>
      </c>
      <c r="I174" s="40">
        <f>List3[[#This Row],[Pengajuan Donasi]]</f>
        <v>5999800</v>
      </c>
      <c r="J174" s="104" t="s">
        <v>19</v>
      </c>
      <c r="K174" s="176"/>
      <c r="L174" s="183">
        <v>44449</v>
      </c>
      <c r="M174" s="20"/>
      <c r="N174" s="20">
        <f>MONTH(List3[[#This Row],[Tanggal Pengajuan]])</f>
        <v>8</v>
      </c>
      <c r="O174" s="101"/>
      <c r="P174" s="20"/>
      <c r="Q174" s="177"/>
      <c r="R174" s="230" t="s">
        <v>958</v>
      </c>
      <c r="S174" s="577"/>
    </row>
    <row r="175" spans="2:19" ht="24" customHeight="1" x14ac:dyDescent="0.2">
      <c r="B175" s="102">
        <v>44414</v>
      </c>
      <c r="C175" s="67" t="s">
        <v>397</v>
      </c>
      <c r="D175" s="103" t="s">
        <v>328</v>
      </c>
      <c r="E175" s="176" t="s">
        <v>17</v>
      </c>
      <c r="F175" s="103" t="s">
        <v>18</v>
      </c>
      <c r="G175" s="469">
        <v>14</v>
      </c>
      <c r="H175" s="40">
        <v>5998900</v>
      </c>
      <c r="I175" s="40">
        <f>List3[[#This Row],[Pengajuan Donasi]]</f>
        <v>5998900</v>
      </c>
      <c r="J175" s="104" t="s">
        <v>19</v>
      </c>
      <c r="K175" s="176"/>
      <c r="L175" s="183">
        <v>44449</v>
      </c>
      <c r="M175" s="20"/>
      <c r="N175" s="20">
        <f>MONTH(List3[[#This Row],[Tanggal Pengajuan]])</f>
        <v>8</v>
      </c>
      <c r="O175" s="101"/>
      <c r="P175" s="20"/>
      <c r="Q175" s="177"/>
      <c r="R175" s="230" t="s">
        <v>958</v>
      </c>
      <c r="S175" s="577"/>
    </row>
    <row r="176" spans="2:19" ht="24" customHeight="1" x14ac:dyDescent="0.2">
      <c r="B176" s="102">
        <v>44414</v>
      </c>
      <c r="C176" s="67" t="s">
        <v>397</v>
      </c>
      <c r="D176" s="103" t="s">
        <v>857</v>
      </c>
      <c r="E176" s="176" t="s">
        <v>17</v>
      </c>
      <c r="F176" s="103" t="s">
        <v>18</v>
      </c>
      <c r="G176" s="469">
        <v>52</v>
      </c>
      <c r="H176" s="40">
        <v>5999100</v>
      </c>
      <c r="I176" s="40">
        <f>List3[[#This Row],[Pengajuan Donasi]]</f>
        <v>5999100</v>
      </c>
      <c r="J176" s="104" t="s">
        <v>19</v>
      </c>
      <c r="K176" s="176"/>
      <c r="L176" s="183">
        <v>44449</v>
      </c>
      <c r="M176" s="20"/>
      <c r="N176" s="20">
        <f>MONTH(List3[[#This Row],[Tanggal Pengajuan]])</f>
        <v>8</v>
      </c>
      <c r="O176" s="101"/>
      <c r="P176" s="20"/>
      <c r="Q176" s="177"/>
      <c r="R176" s="230" t="s">
        <v>958</v>
      </c>
      <c r="S176" s="577"/>
    </row>
    <row r="177" spans="2:19" ht="24" customHeight="1" x14ac:dyDescent="0.2">
      <c r="B177" s="102">
        <v>44414</v>
      </c>
      <c r="C177" s="67" t="s">
        <v>397</v>
      </c>
      <c r="D177" s="103" t="s">
        <v>853</v>
      </c>
      <c r="E177" s="176" t="s">
        <v>17</v>
      </c>
      <c r="F177" s="103" t="s">
        <v>18</v>
      </c>
      <c r="G177" s="469">
        <v>25</v>
      </c>
      <c r="H177" s="40">
        <v>5998400</v>
      </c>
      <c r="I177" s="40">
        <f>List3[[#This Row],[Pengajuan Donasi]]</f>
        <v>5998400</v>
      </c>
      <c r="J177" s="104" t="s">
        <v>19</v>
      </c>
      <c r="K177" s="176"/>
      <c r="L177" s="183">
        <v>44449</v>
      </c>
      <c r="M177" s="20"/>
      <c r="N177" s="20">
        <f>MONTH(List3[[#This Row],[Tanggal Pengajuan]])</f>
        <v>8</v>
      </c>
      <c r="O177" s="101"/>
      <c r="P177" s="20"/>
      <c r="Q177" s="177"/>
      <c r="R177" s="230" t="s">
        <v>958</v>
      </c>
      <c r="S177" s="577"/>
    </row>
    <row r="178" spans="2:19" ht="24" customHeight="1" x14ac:dyDescent="0.2">
      <c r="B178" s="102">
        <v>44414</v>
      </c>
      <c r="C178" s="67" t="s">
        <v>397</v>
      </c>
      <c r="D178" s="103" t="s">
        <v>362</v>
      </c>
      <c r="E178" s="176" t="s">
        <v>17</v>
      </c>
      <c r="F178" s="103" t="s">
        <v>18</v>
      </c>
      <c r="G178" s="469">
        <v>128</v>
      </c>
      <c r="H178" s="40">
        <v>5998600</v>
      </c>
      <c r="I178" s="40">
        <f>List3[[#This Row],[Pengajuan Donasi]]</f>
        <v>5998600</v>
      </c>
      <c r="J178" s="104" t="s">
        <v>19</v>
      </c>
      <c r="K178" s="176"/>
      <c r="L178" s="183">
        <v>44449</v>
      </c>
      <c r="M178" s="20"/>
      <c r="N178" s="20">
        <f>MONTH(List3[[#This Row],[Tanggal Pengajuan]])</f>
        <v>8</v>
      </c>
      <c r="O178" s="101"/>
      <c r="P178" s="20"/>
      <c r="Q178" s="177"/>
      <c r="R178" s="230" t="s">
        <v>958</v>
      </c>
      <c r="S178" s="577"/>
    </row>
    <row r="179" spans="2:19" ht="24" customHeight="1" x14ac:dyDescent="0.2">
      <c r="B179" s="102">
        <v>44414</v>
      </c>
      <c r="C179" s="67" t="s">
        <v>397</v>
      </c>
      <c r="D179" s="103" t="s">
        <v>391</v>
      </c>
      <c r="E179" s="176" t="s">
        <v>17</v>
      </c>
      <c r="F179" s="103" t="s">
        <v>18</v>
      </c>
      <c r="G179" s="469">
        <v>40</v>
      </c>
      <c r="H179" s="40">
        <v>6000200</v>
      </c>
      <c r="I179" s="40">
        <f>List3[[#This Row],[Pengajuan Donasi]]</f>
        <v>6000200</v>
      </c>
      <c r="J179" s="104" t="s">
        <v>19</v>
      </c>
      <c r="K179" s="176"/>
      <c r="L179" s="183">
        <v>44449</v>
      </c>
      <c r="M179" s="20"/>
      <c r="N179" s="20">
        <f>MONTH(List3[[#This Row],[Tanggal Pengajuan]])</f>
        <v>8</v>
      </c>
      <c r="O179" s="101"/>
      <c r="P179" s="20"/>
      <c r="Q179" s="177"/>
      <c r="R179" s="230" t="s">
        <v>958</v>
      </c>
      <c r="S179" s="577"/>
    </row>
    <row r="180" spans="2:19" ht="24" customHeight="1" x14ac:dyDescent="0.2">
      <c r="B180" s="102">
        <v>44414</v>
      </c>
      <c r="C180" s="67" t="s">
        <v>397</v>
      </c>
      <c r="D180" s="14" t="s">
        <v>860</v>
      </c>
      <c r="E180" s="176" t="s">
        <v>17</v>
      </c>
      <c r="F180" s="103" t="s">
        <v>18</v>
      </c>
      <c r="G180" s="469">
        <v>69</v>
      </c>
      <c r="H180" s="40">
        <v>6000700</v>
      </c>
      <c r="I180" s="40">
        <f>List3[[#This Row],[Pengajuan Donasi]]</f>
        <v>6000700</v>
      </c>
      <c r="J180" s="104" t="s">
        <v>19</v>
      </c>
      <c r="K180" s="176"/>
      <c r="L180" s="183">
        <v>44449</v>
      </c>
      <c r="M180" s="20"/>
      <c r="N180" s="20">
        <f>MONTH(List3[[#This Row],[Tanggal Pengajuan]])</f>
        <v>8</v>
      </c>
      <c r="O180" s="101"/>
      <c r="P180" s="20"/>
      <c r="Q180" s="177"/>
      <c r="R180" s="230" t="s">
        <v>958</v>
      </c>
      <c r="S180" s="577"/>
    </row>
    <row r="181" spans="2:19" ht="24" customHeight="1" x14ac:dyDescent="0.2">
      <c r="B181" s="102">
        <v>44414</v>
      </c>
      <c r="C181" s="67" t="s">
        <v>397</v>
      </c>
      <c r="D181" s="14" t="s">
        <v>861</v>
      </c>
      <c r="E181" s="176" t="s">
        <v>17</v>
      </c>
      <c r="F181" s="103" t="s">
        <v>18</v>
      </c>
      <c r="G181" s="469">
        <v>54</v>
      </c>
      <c r="H181" s="40">
        <v>5999100</v>
      </c>
      <c r="I181" s="40">
        <f>List3[[#This Row],[Pengajuan Donasi]]</f>
        <v>5999100</v>
      </c>
      <c r="J181" s="104" t="s">
        <v>19</v>
      </c>
      <c r="K181" s="176"/>
      <c r="L181" s="183">
        <v>44449</v>
      </c>
      <c r="M181" s="20"/>
      <c r="N181" s="20">
        <f>MONTH(List3[[#This Row],[Tanggal Pengajuan]])</f>
        <v>8</v>
      </c>
      <c r="O181" s="101"/>
      <c r="P181" s="20"/>
      <c r="Q181" s="177"/>
      <c r="R181" s="230" t="s">
        <v>958</v>
      </c>
      <c r="S181" s="577"/>
    </row>
    <row r="182" spans="2:19" ht="24" customHeight="1" x14ac:dyDescent="0.2">
      <c r="B182" s="102">
        <v>44414</v>
      </c>
      <c r="C182" s="67" t="s">
        <v>397</v>
      </c>
      <c r="D182" s="14" t="s">
        <v>862</v>
      </c>
      <c r="E182" s="176" t="s">
        <v>17</v>
      </c>
      <c r="F182" s="103" t="s">
        <v>18</v>
      </c>
      <c r="G182" s="469">
        <v>40</v>
      </c>
      <c r="H182" s="40">
        <v>5999800</v>
      </c>
      <c r="I182" s="40">
        <f>List3[[#This Row],[Pengajuan Donasi]]</f>
        <v>5999800</v>
      </c>
      <c r="J182" s="104" t="s">
        <v>19</v>
      </c>
      <c r="K182" s="176"/>
      <c r="L182" s="183">
        <v>44449</v>
      </c>
      <c r="M182" s="20"/>
      <c r="N182" s="20">
        <f>MONTH(List3[[#This Row],[Tanggal Pengajuan]])</f>
        <v>8</v>
      </c>
      <c r="O182" s="101"/>
      <c r="P182" s="20"/>
      <c r="Q182" s="177"/>
      <c r="R182" s="230" t="s">
        <v>958</v>
      </c>
      <c r="S182" s="577"/>
    </row>
    <row r="183" spans="2:19" ht="24" customHeight="1" x14ac:dyDescent="0.2">
      <c r="B183" s="102">
        <v>44414</v>
      </c>
      <c r="C183" s="67" t="s">
        <v>397</v>
      </c>
      <c r="D183" s="14" t="s">
        <v>863</v>
      </c>
      <c r="E183" s="176" t="s">
        <v>17</v>
      </c>
      <c r="F183" s="103" t="s">
        <v>18</v>
      </c>
      <c r="G183" s="469">
        <v>128</v>
      </c>
      <c r="H183" s="40">
        <v>5999800</v>
      </c>
      <c r="I183" s="40">
        <f>List3[[#This Row],[Pengajuan Donasi]]</f>
        <v>5999800</v>
      </c>
      <c r="J183" s="104" t="s">
        <v>19</v>
      </c>
      <c r="K183" s="176"/>
      <c r="L183" s="183">
        <v>44449</v>
      </c>
      <c r="M183" s="20"/>
      <c r="N183" s="20">
        <f>MONTH(List3[[#This Row],[Tanggal Pengajuan]])</f>
        <v>8</v>
      </c>
      <c r="O183" s="101"/>
      <c r="P183" s="20"/>
      <c r="Q183" s="177"/>
      <c r="R183" s="230" t="s">
        <v>958</v>
      </c>
      <c r="S183" s="577"/>
    </row>
    <row r="184" spans="2:19" ht="24" customHeight="1" x14ac:dyDescent="0.2">
      <c r="B184" s="102">
        <v>44414</v>
      </c>
      <c r="C184" s="67" t="s">
        <v>397</v>
      </c>
      <c r="D184" s="14" t="s">
        <v>864</v>
      </c>
      <c r="E184" s="176" t="s">
        <v>17</v>
      </c>
      <c r="F184" s="103" t="s">
        <v>18</v>
      </c>
      <c r="G184" s="469">
        <v>140</v>
      </c>
      <c r="H184" s="40">
        <v>5999700</v>
      </c>
      <c r="I184" s="40">
        <f>List3[[#This Row],[Pengajuan Donasi]]</f>
        <v>5999700</v>
      </c>
      <c r="J184" s="104" t="s">
        <v>19</v>
      </c>
      <c r="K184" s="176"/>
      <c r="L184" s="183">
        <v>44449</v>
      </c>
      <c r="M184" s="20"/>
      <c r="N184" s="20">
        <f>MONTH(List3[[#This Row],[Tanggal Pengajuan]])</f>
        <v>8</v>
      </c>
      <c r="O184" s="101"/>
      <c r="P184" s="20"/>
      <c r="Q184" s="177"/>
      <c r="R184" s="230" t="s">
        <v>958</v>
      </c>
      <c r="S184" s="577"/>
    </row>
    <row r="185" spans="2:19" ht="24" customHeight="1" x14ac:dyDescent="0.2">
      <c r="B185" s="102">
        <v>44414</v>
      </c>
      <c r="C185" s="67" t="s">
        <v>397</v>
      </c>
      <c r="D185" s="14" t="s">
        <v>865</v>
      </c>
      <c r="E185" s="176" t="s">
        <v>17</v>
      </c>
      <c r="F185" s="103" t="s">
        <v>18</v>
      </c>
      <c r="G185" s="469">
        <v>71</v>
      </c>
      <c r="H185" s="40">
        <v>5999500</v>
      </c>
      <c r="I185" s="40">
        <f>List3[[#This Row],[Pengajuan Donasi]]</f>
        <v>5999500</v>
      </c>
      <c r="J185" s="104" t="s">
        <v>19</v>
      </c>
      <c r="K185" s="176"/>
      <c r="L185" s="183">
        <v>44449</v>
      </c>
      <c r="M185" s="20"/>
      <c r="N185" s="20">
        <f>MONTH(List3[[#This Row],[Tanggal Pengajuan]])</f>
        <v>8</v>
      </c>
      <c r="O185" s="101"/>
      <c r="P185" s="20"/>
      <c r="Q185" s="177"/>
      <c r="R185" s="230" t="s">
        <v>958</v>
      </c>
      <c r="S185" s="577"/>
    </row>
    <row r="186" spans="2:19" ht="24" customHeight="1" x14ac:dyDescent="0.2">
      <c r="B186" s="102">
        <v>44414</v>
      </c>
      <c r="C186" s="67" t="s">
        <v>397</v>
      </c>
      <c r="D186" s="14" t="s">
        <v>866</v>
      </c>
      <c r="E186" s="176" t="s">
        <v>17</v>
      </c>
      <c r="F186" s="103" t="s">
        <v>18</v>
      </c>
      <c r="G186" s="469">
        <v>56</v>
      </c>
      <c r="H186" s="40">
        <v>6000400</v>
      </c>
      <c r="I186" s="40">
        <f>List3[[#This Row],[Pengajuan Donasi]]</f>
        <v>6000400</v>
      </c>
      <c r="J186" s="104" t="s">
        <v>19</v>
      </c>
      <c r="K186" s="176"/>
      <c r="L186" s="183">
        <v>44449</v>
      </c>
      <c r="M186" s="20"/>
      <c r="N186" s="20">
        <f>MONTH(List3[[#This Row],[Tanggal Pengajuan]])</f>
        <v>8</v>
      </c>
      <c r="O186" s="101"/>
      <c r="P186" s="20"/>
      <c r="Q186" s="177"/>
      <c r="R186" s="230" t="s">
        <v>958</v>
      </c>
      <c r="S186" s="577"/>
    </row>
    <row r="187" spans="2:19" ht="24" customHeight="1" x14ac:dyDescent="0.2">
      <c r="B187" s="102">
        <v>44418</v>
      </c>
      <c r="C187" s="67" t="s">
        <v>393</v>
      </c>
      <c r="D187" s="14" t="s">
        <v>910</v>
      </c>
      <c r="E187" s="22" t="s">
        <v>26</v>
      </c>
      <c r="F187" s="103" t="s">
        <v>28</v>
      </c>
      <c r="G187" s="178">
        <v>0</v>
      </c>
      <c r="H187" s="40">
        <v>6000000</v>
      </c>
      <c r="I187" s="41">
        <f>List3[[#This Row],[Pengajuan Donasi]]</f>
        <v>6000000</v>
      </c>
      <c r="J187" s="104" t="s">
        <v>19</v>
      </c>
      <c r="K187" s="100" t="s">
        <v>20</v>
      </c>
      <c r="L187" s="101">
        <v>44421</v>
      </c>
      <c r="M187" s="105" t="s">
        <v>21</v>
      </c>
      <c r="N187" s="105">
        <f>MONTH(List3[[#This Row],[Tanggal Pengajuan]])</f>
        <v>8</v>
      </c>
      <c r="O187" s="101"/>
      <c r="P187" s="105" t="s">
        <v>418</v>
      </c>
      <c r="Q187" s="111"/>
      <c r="R187" s="230" t="s">
        <v>958</v>
      </c>
      <c r="S187" s="577"/>
    </row>
    <row r="188" spans="2:19" ht="24" customHeight="1" x14ac:dyDescent="0.2">
      <c r="B188" s="102">
        <v>44421</v>
      </c>
      <c r="C188" s="163" t="s">
        <v>400</v>
      </c>
      <c r="D188" s="164" t="s">
        <v>407</v>
      </c>
      <c r="E188" s="165" t="s">
        <v>57</v>
      </c>
      <c r="F188" s="168" t="s">
        <v>28</v>
      </c>
      <c r="G188" s="178">
        <v>64</v>
      </c>
      <c r="H188" s="171">
        <v>10000000</v>
      </c>
      <c r="I188" s="180">
        <f>List3[[#This Row],[Pengajuan Donasi]]</f>
        <v>10000000</v>
      </c>
      <c r="J188" s="104" t="s">
        <v>19</v>
      </c>
      <c r="K188" s="100" t="s">
        <v>20</v>
      </c>
      <c r="L188" s="101">
        <v>44432</v>
      </c>
      <c r="M188" s="105" t="s">
        <v>406</v>
      </c>
      <c r="N188" s="105">
        <f>MONTH(List3[[#This Row],[Tanggal Pengajuan]])</f>
        <v>8</v>
      </c>
      <c r="O188" s="101"/>
      <c r="P188" s="105" t="s">
        <v>405</v>
      </c>
      <c r="Q188" s="105"/>
      <c r="R188" s="230" t="s">
        <v>958</v>
      </c>
      <c r="S188" s="577"/>
    </row>
    <row r="189" spans="2:19" ht="24" customHeight="1" x14ac:dyDescent="0.2">
      <c r="B189" s="102">
        <v>44421</v>
      </c>
      <c r="C189" s="163" t="s">
        <v>401</v>
      </c>
      <c r="D189" s="164" t="s">
        <v>410</v>
      </c>
      <c r="E189" s="165" t="s">
        <v>57</v>
      </c>
      <c r="F189" s="168" t="s">
        <v>28</v>
      </c>
      <c r="G189" s="178">
        <v>78</v>
      </c>
      <c r="H189" s="171">
        <v>35000000</v>
      </c>
      <c r="I189" s="180">
        <f>List3[[#This Row],[Pengajuan Donasi]]</f>
        <v>35000000</v>
      </c>
      <c r="J189" s="104" t="s">
        <v>19</v>
      </c>
      <c r="K189" s="100" t="s">
        <v>20</v>
      </c>
      <c r="L189" s="101">
        <v>44432</v>
      </c>
      <c r="M189" s="105" t="s">
        <v>408</v>
      </c>
      <c r="N189" s="105">
        <f>MONTH(List3[[#This Row],[Tanggal Pengajuan]])</f>
        <v>8</v>
      </c>
      <c r="O189" s="101"/>
      <c r="P189" s="105" t="s">
        <v>409</v>
      </c>
      <c r="Q189" s="105"/>
      <c r="R189" s="230" t="s">
        <v>958</v>
      </c>
      <c r="S189" s="577"/>
    </row>
    <row r="190" spans="2:19" ht="24" customHeight="1" x14ac:dyDescent="0.2">
      <c r="B190" s="102">
        <v>44421</v>
      </c>
      <c r="C190" s="163" t="s">
        <v>402</v>
      </c>
      <c r="D190" s="164" t="s">
        <v>413</v>
      </c>
      <c r="E190" s="165" t="s">
        <v>57</v>
      </c>
      <c r="F190" s="168" t="s">
        <v>28</v>
      </c>
      <c r="G190" s="178">
        <v>16</v>
      </c>
      <c r="H190" s="171">
        <v>10000000</v>
      </c>
      <c r="I190" s="180">
        <f>List3[[#This Row],[Pengajuan Donasi]]</f>
        <v>10000000</v>
      </c>
      <c r="J190" s="104" t="s">
        <v>19</v>
      </c>
      <c r="K190" s="100" t="s">
        <v>209</v>
      </c>
      <c r="L190" s="101"/>
      <c r="M190" s="105" t="s">
        <v>411</v>
      </c>
      <c r="N190" s="105">
        <f>MONTH(List3[[#This Row],[Tanggal Pengajuan]])</f>
        <v>8</v>
      </c>
      <c r="O190" s="101"/>
      <c r="P190" s="105" t="s">
        <v>412</v>
      </c>
      <c r="Q190" s="105"/>
      <c r="R190" s="230" t="s">
        <v>958</v>
      </c>
      <c r="S190" s="577"/>
    </row>
    <row r="191" spans="2:19" ht="24" customHeight="1" x14ac:dyDescent="0.2">
      <c r="B191" s="102">
        <v>44424</v>
      </c>
      <c r="C191" s="163" t="s">
        <v>403</v>
      </c>
      <c r="D191" s="164" t="s">
        <v>414</v>
      </c>
      <c r="E191" s="165" t="s">
        <v>71</v>
      </c>
      <c r="F191" s="168" t="s">
        <v>28</v>
      </c>
      <c r="G191" s="178">
        <v>1</v>
      </c>
      <c r="H191" s="171">
        <v>660000</v>
      </c>
      <c r="I191" s="180">
        <f>List3[[#This Row],[Pengajuan Donasi]]</f>
        <v>660000</v>
      </c>
      <c r="J191" s="104" t="s">
        <v>19</v>
      </c>
      <c r="K191" s="100" t="s">
        <v>209</v>
      </c>
      <c r="L191" s="101"/>
      <c r="M191" s="105" t="s">
        <v>227</v>
      </c>
      <c r="N191" s="105">
        <f>MONTH(List3[[#This Row],[Tanggal Pengajuan]])</f>
        <v>8</v>
      </c>
      <c r="O191" s="101"/>
      <c r="P191" s="105"/>
      <c r="Q191" s="111"/>
      <c r="R191" s="230" t="s">
        <v>958</v>
      </c>
      <c r="S191" s="577"/>
    </row>
    <row r="192" spans="2:19" ht="24" customHeight="1" x14ac:dyDescent="0.2">
      <c r="B192" s="102">
        <v>44426</v>
      </c>
      <c r="C192" s="67" t="s">
        <v>404</v>
      </c>
      <c r="D192" s="14" t="s">
        <v>859</v>
      </c>
      <c r="E192" s="22" t="s">
        <v>17</v>
      </c>
      <c r="F192" s="14" t="s">
        <v>18</v>
      </c>
      <c r="G192" s="178">
        <v>23</v>
      </c>
      <c r="H192" s="160">
        <v>6000000</v>
      </c>
      <c r="I192" s="41">
        <f>List3[[#This Row],[Pengajuan Donasi]]</f>
        <v>6000000</v>
      </c>
      <c r="J192" s="104" t="s">
        <v>19</v>
      </c>
      <c r="K192" s="100"/>
      <c r="L192" s="101">
        <v>44428</v>
      </c>
      <c r="M192" s="105" t="s">
        <v>887</v>
      </c>
      <c r="N192" s="105">
        <v>8</v>
      </c>
      <c r="O192" s="101"/>
      <c r="P192" s="105" t="s">
        <v>888</v>
      </c>
      <c r="Q192" s="111"/>
      <c r="R192" s="230" t="s">
        <v>958</v>
      </c>
      <c r="S192" s="577"/>
    </row>
    <row r="193" spans="2:19" ht="24" customHeight="1" x14ac:dyDescent="0.2">
      <c r="B193" s="102">
        <v>44427</v>
      </c>
      <c r="C193" s="67" t="s">
        <v>415</v>
      </c>
      <c r="D193" s="14" t="s">
        <v>911</v>
      </c>
      <c r="E193" s="22" t="s">
        <v>26</v>
      </c>
      <c r="F193" s="103" t="s">
        <v>18</v>
      </c>
      <c r="G193" s="178">
        <v>0</v>
      </c>
      <c r="H193" s="40">
        <v>6000000</v>
      </c>
      <c r="I193" s="41">
        <v>6000000</v>
      </c>
      <c r="J193" s="104" t="s">
        <v>19</v>
      </c>
      <c r="K193" s="100" t="s">
        <v>209</v>
      </c>
      <c r="L193" s="101"/>
      <c r="M193" s="105" t="s">
        <v>21</v>
      </c>
      <c r="N193" s="105">
        <f>MONTH(List3[[#This Row],[Tanggal Pengajuan]])</f>
        <v>8</v>
      </c>
      <c r="O193" s="101"/>
      <c r="P193" s="105" t="s">
        <v>417</v>
      </c>
      <c r="Q193" s="105"/>
      <c r="R193" s="230" t="s">
        <v>958</v>
      </c>
      <c r="S193" s="577"/>
    </row>
    <row r="194" spans="2:19" ht="24" customHeight="1" x14ac:dyDescent="0.2">
      <c r="B194" s="102">
        <v>44427</v>
      </c>
      <c r="C194" s="67" t="s">
        <v>416</v>
      </c>
      <c r="D194" s="14" t="s">
        <v>912</v>
      </c>
      <c r="E194" s="22" t="s">
        <v>26</v>
      </c>
      <c r="F194" s="103" t="s">
        <v>18</v>
      </c>
      <c r="G194" s="178">
        <v>0</v>
      </c>
      <c r="H194" s="40">
        <v>6000000</v>
      </c>
      <c r="I194" s="41">
        <v>6000000</v>
      </c>
      <c r="J194" s="104" t="s">
        <v>19</v>
      </c>
      <c r="K194" s="100" t="s">
        <v>209</v>
      </c>
      <c r="L194" s="101"/>
      <c r="M194" s="105" t="s">
        <v>21</v>
      </c>
      <c r="N194" s="105">
        <f>MONTH(List3[[#This Row],[Tanggal Pengajuan]])</f>
        <v>8</v>
      </c>
      <c r="O194" s="101"/>
      <c r="P194" s="105" t="s">
        <v>419</v>
      </c>
      <c r="Q194" s="111"/>
      <c r="R194" s="230" t="s">
        <v>958</v>
      </c>
      <c r="S194" s="577"/>
    </row>
    <row r="195" spans="2:19" ht="24" customHeight="1" x14ac:dyDescent="0.2">
      <c r="B195" s="102">
        <v>44433</v>
      </c>
      <c r="C195" s="163" t="s">
        <v>433</v>
      </c>
      <c r="D195" s="164" t="s">
        <v>386</v>
      </c>
      <c r="E195" s="165" t="s">
        <v>26</v>
      </c>
      <c r="F195" s="168" t="s">
        <v>28</v>
      </c>
      <c r="G195" s="178">
        <v>63</v>
      </c>
      <c r="H195" s="171">
        <v>2500000</v>
      </c>
      <c r="I195" s="180">
        <f>List3[[#This Row],[Pengajuan Donasi]]</f>
        <v>2500000</v>
      </c>
      <c r="J195" s="104" t="s">
        <v>19</v>
      </c>
      <c r="K195" s="100" t="s">
        <v>209</v>
      </c>
      <c r="L195" s="101">
        <v>44436</v>
      </c>
      <c r="M195" s="105" t="s">
        <v>386</v>
      </c>
      <c r="N195" s="105">
        <f>MONTH(List3[[#This Row],[Tanggal Pengajuan]])</f>
        <v>8</v>
      </c>
      <c r="O195" s="101"/>
      <c r="P195" s="105"/>
      <c r="Q195" s="111"/>
      <c r="R195" s="230" t="s">
        <v>958</v>
      </c>
      <c r="S195" s="577"/>
    </row>
    <row r="196" spans="2:19" ht="24" customHeight="1" x14ac:dyDescent="0.2">
      <c r="B196" s="102">
        <v>44434</v>
      </c>
      <c r="C196" s="163" t="s">
        <v>434</v>
      </c>
      <c r="D196" s="164" t="s">
        <v>423</v>
      </c>
      <c r="E196" s="165" t="s">
        <v>57</v>
      </c>
      <c r="F196" s="168" t="s">
        <v>28</v>
      </c>
      <c r="G196" s="178">
        <v>35</v>
      </c>
      <c r="H196" s="171">
        <v>5000000</v>
      </c>
      <c r="I196" s="180">
        <v>5000000</v>
      </c>
      <c r="J196" s="104" t="s">
        <v>19</v>
      </c>
      <c r="K196" s="100" t="s">
        <v>209</v>
      </c>
      <c r="L196" s="101"/>
      <c r="M196" s="105" t="str">
        <f>M153</f>
        <v>Keuskupan Tanjung Selor</v>
      </c>
      <c r="N196" s="105">
        <f>MONTH(List3[[#This Row],[Tanggal Pengajuan]])</f>
        <v>8</v>
      </c>
      <c r="O196" s="101"/>
      <c r="P196" s="105" t="str">
        <f>P153</f>
        <v>Donasi Studi Seminari Menengah Santo Yosef Tarakan Keuskupan Tanjung Selor (seminaris 35 (tiga puluh lima) Siswa, tenaga Pembina 2 (dua) orang (Rektor &amp; Frater); 6 (enam) guru awam, 2 (dua) karyawan dapur</v>
      </c>
      <c r="Q196" s="111"/>
      <c r="R196" s="230" t="s">
        <v>958</v>
      </c>
      <c r="S196" s="577"/>
    </row>
    <row r="197" spans="2:19" ht="24" customHeight="1" x14ac:dyDescent="0.2">
      <c r="B197" s="102">
        <v>44436</v>
      </c>
      <c r="C197" s="163" t="s">
        <v>1610</v>
      </c>
      <c r="D197" s="105" t="s">
        <v>1609</v>
      </c>
      <c r="E197" s="103" t="s">
        <v>1054</v>
      </c>
      <c r="F197" s="168" t="s">
        <v>18</v>
      </c>
      <c r="G197" s="178">
        <f>IFERROR(VLOOKUP(List3[[#This Row],[Site / Lokasi]],Data!B:C,2,0),0)</f>
        <v>0</v>
      </c>
      <c r="H197" s="171"/>
      <c r="I197" s="180">
        <f>List3[[#This Row],[Pengajuan Donasi]]</f>
        <v>0</v>
      </c>
      <c r="J197" s="104"/>
      <c r="K197" s="100"/>
      <c r="L197" s="183"/>
      <c r="M197" s="105" t="s">
        <v>21</v>
      </c>
      <c r="N197" s="105">
        <f>MONTH(List3[[#This Row],[Tanggal Pengajuan]])</f>
        <v>8</v>
      </c>
      <c r="O197" s="183"/>
      <c r="P197" s="105"/>
      <c r="Q197" s="111"/>
      <c r="R197" s="230"/>
      <c r="S197" s="577"/>
    </row>
    <row r="198" spans="2:19" ht="24" customHeight="1" x14ac:dyDescent="0.2">
      <c r="B198" s="102">
        <v>44438</v>
      </c>
      <c r="C198" s="163" t="s">
        <v>1611</v>
      </c>
      <c r="D198" s="164" t="s">
        <v>1612</v>
      </c>
      <c r="E198" s="165" t="s">
        <v>26</v>
      </c>
      <c r="F198" s="168" t="s">
        <v>28</v>
      </c>
      <c r="G198" s="178">
        <f>IFERROR(VLOOKUP(List3[[#This Row],[Site / Lokasi]],Data!B:C,2,0),0)</f>
        <v>0</v>
      </c>
      <c r="H198" s="171">
        <v>8000023</v>
      </c>
      <c r="I198" s="180">
        <f>List3[[#This Row],[Pengajuan Donasi]]</f>
        <v>8000023</v>
      </c>
      <c r="J198" s="104"/>
      <c r="K198" s="100" t="s">
        <v>1612</v>
      </c>
      <c r="L198" s="183">
        <v>44442</v>
      </c>
      <c r="M198" s="105"/>
      <c r="N198" s="105">
        <f>MONTH(List3[[#This Row],[Tanggal Pengajuan]])</f>
        <v>8</v>
      </c>
      <c r="O198" s="183"/>
      <c r="P198" s="105"/>
      <c r="Q198" s="111"/>
      <c r="R198" s="230"/>
      <c r="S198" s="577"/>
    </row>
    <row r="199" spans="2:19" ht="24" customHeight="1" x14ac:dyDescent="0.2">
      <c r="B199" s="102">
        <v>44439</v>
      </c>
      <c r="C199" s="163" t="s">
        <v>436</v>
      </c>
      <c r="D199" s="164" t="s">
        <v>420</v>
      </c>
      <c r="E199" s="165" t="s">
        <v>57</v>
      </c>
      <c r="F199" s="168" t="s">
        <v>18</v>
      </c>
      <c r="G199" s="178">
        <v>29</v>
      </c>
      <c r="H199" s="171">
        <v>10000000</v>
      </c>
      <c r="I199" s="180">
        <v>10000000</v>
      </c>
      <c r="J199" s="104" t="s">
        <v>19</v>
      </c>
      <c r="K199" s="100" t="s">
        <v>20</v>
      </c>
      <c r="L199" s="101"/>
      <c r="M199" s="105" t="str">
        <f>M152</f>
        <v>Seminari Menegah Pasionis St. Gabriel</v>
      </c>
      <c r="N199" s="105">
        <f>MONTH(List3[[#This Row],[Tanggal Pengajuan]])</f>
        <v>8</v>
      </c>
      <c r="O199" s="101"/>
      <c r="P199" s="105"/>
      <c r="Q199" s="111"/>
      <c r="R199" s="230" t="s">
        <v>958</v>
      </c>
      <c r="S199" s="577"/>
    </row>
    <row r="200" spans="2:19" ht="24" customHeight="1" x14ac:dyDescent="0.2">
      <c r="B200" s="102">
        <v>44439</v>
      </c>
      <c r="C200" s="163" t="s">
        <v>437</v>
      </c>
      <c r="D200" s="166" t="str">
        <f>D154</f>
        <v>Seminari Menengah St Laurentius</v>
      </c>
      <c r="E200" s="165" t="s">
        <v>57</v>
      </c>
      <c r="F200" s="168" t="s">
        <v>18</v>
      </c>
      <c r="G200" s="178">
        <v>31</v>
      </c>
      <c r="H200" s="171"/>
      <c r="I200" s="180"/>
      <c r="J200" s="104" t="s">
        <v>72</v>
      </c>
      <c r="K200" s="100" t="s">
        <v>73</v>
      </c>
      <c r="L200" s="101"/>
      <c r="M200" s="105" t="str">
        <f>M154</f>
        <v>Keuskupan Ketapang</v>
      </c>
      <c r="N200" s="105">
        <f>MONTH(List3[[#This Row],[Tanggal Pengajuan]])</f>
        <v>8</v>
      </c>
      <c r="O200" s="101"/>
      <c r="P200" s="105"/>
      <c r="Q200" s="111"/>
      <c r="R200" s="230" t="s">
        <v>958</v>
      </c>
      <c r="S200" s="577"/>
    </row>
    <row r="201" spans="2:19" ht="24" customHeight="1" x14ac:dyDescent="0.2">
      <c r="B201" s="102">
        <v>44439</v>
      </c>
      <c r="C201" s="163" t="s">
        <v>438</v>
      </c>
      <c r="D201" s="166" t="str">
        <f>D155</f>
        <v>Seminari Menengah Raja Damai Keuskupan Palangkaraya</v>
      </c>
      <c r="E201" s="165" t="s">
        <v>57</v>
      </c>
      <c r="F201" s="168" t="s">
        <v>18</v>
      </c>
      <c r="G201" s="178">
        <v>38</v>
      </c>
      <c r="H201" s="171">
        <v>5000000</v>
      </c>
      <c r="I201" s="180">
        <v>5000000</v>
      </c>
      <c r="J201" s="104" t="s">
        <v>19</v>
      </c>
      <c r="K201" s="100" t="s">
        <v>20</v>
      </c>
      <c r="L201" s="101"/>
      <c r="M201" s="105" t="str">
        <f>M155</f>
        <v>Seminari Raja Damai PLK</v>
      </c>
      <c r="N201" s="105">
        <f>MONTH(List3[[#This Row],[Tanggal Pengajuan]])</f>
        <v>8</v>
      </c>
      <c r="O201" s="101"/>
      <c r="P201" s="105"/>
      <c r="Q201" s="111"/>
      <c r="R201" s="230" t="s">
        <v>958</v>
      </c>
      <c r="S201" s="577"/>
    </row>
    <row r="202" spans="2:19" ht="24" customHeight="1" x14ac:dyDescent="0.2">
      <c r="B202" s="102">
        <v>44439</v>
      </c>
      <c r="C202" s="163" t="s">
        <v>439</v>
      </c>
      <c r="D202" s="164" t="s">
        <v>392</v>
      </c>
      <c r="E202" s="165" t="s">
        <v>57</v>
      </c>
      <c r="F202" s="168" t="s">
        <v>18</v>
      </c>
      <c r="G202" s="178">
        <v>75</v>
      </c>
      <c r="H202" s="171">
        <v>10000000</v>
      </c>
      <c r="I202" s="180">
        <v>10000000</v>
      </c>
      <c r="J202" s="104" t="s">
        <v>19</v>
      </c>
      <c r="K202" s="100" t="s">
        <v>20</v>
      </c>
      <c r="L202" s="101"/>
      <c r="M202" s="105" t="s">
        <v>440</v>
      </c>
      <c r="N202" s="105">
        <f>MONTH(List3[[#This Row],[Tanggal Pengajuan]])</f>
        <v>8</v>
      </c>
      <c r="O202" s="101"/>
      <c r="P202" s="105"/>
      <c r="Q202" s="111"/>
      <c r="R202" s="230" t="s">
        <v>958</v>
      </c>
      <c r="S202" s="577"/>
    </row>
    <row r="203" spans="2:19" ht="24" customHeight="1" x14ac:dyDescent="0.2">
      <c r="B203" s="102">
        <v>44445</v>
      </c>
      <c r="C203" s="163" t="s">
        <v>444</v>
      </c>
      <c r="D203" s="168" t="s">
        <v>48</v>
      </c>
      <c r="E203" s="165" t="s">
        <v>179</v>
      </c>
      <c r="F203" s="168" t="s">
        <v>49</v>
      </c>
      <c r="G203" s="178">
        <v>32</v>
      </c>
      <c r="H203" s="167">
        <v>10290000</v>
      </c>
      <c r="I203" s="167">
        <v>10290000</v>
      </c>
      <c r="J203" s="104" t="s">
        <v>19</v>
      </c>
      <c r="K203" s="100" t="s">
        <v>20</v>
      </c>
      <c r="L203" s="161"/>
      <c r="M203" s="105" t="s">
        <v>445</v>
      </c>
      <c r="N203" s="105">
        <f>MONTH(List3[[#This Row],[Tanggal Pengajuan]])</f>
        <v>9</v>
      </c>
      <c r="O203" s="101"/>
      <c r="P203" s="105" t="s">
        <v>446</v>
      </c>
      <c r="Q203" s="111"/>
      <c r="R203" s="230" t="s">
        <v>958</v>
      </c>
      <c r="S203" s="577"/>
    </row>
    <row r="204" spans="2:19" ht="24" customHeight="1" x14ac:dyDescent="0.2">
      <c r="B204" s="102">
        <v>44445</v>
      </c>
      <c r="C204" s="163" t="s">
        <v>502</v>
      </c>
      <c r="D204" s="168" t="s">
        <v>129</v>
      </c>
      <c r="E204" s="165" t="s">
        <v>179</v>
      </c>
      <c r="F204" s="168" t="s">
        <v>49</v>
      </c>
      <c r="G204" s="178">
        <v>32</v>
      </c>
      <c r="H204" s="167">
        <v>16110000</v>
      </c>
      <c r="I204" s="167">
        <f>List3[[#This Row],[Pengajuan Donasi]]</f>
        <v>16110000</v>
      </c>
      <c r="J204" s="104" t="s">
        <v>19</v>
      </c>
      <c r="K204" s="100" t="s">
        <v>20</v>
      </c>
      <c r="L204" s="161">
        <v>44491</v>
      </c>
      <c r="M204" s="105" t="s">
        <v>503</v>
      </c>
      <c r="N204" s="105">
        <f>MONTH(List3[[#This Row],[Tanggal Pengajuan]])</f>
        <v>9</v>
      </c>
      <c r="O204" s="101"/>
      <c r="P204" s="105" t="s">
        <v>504</v>
      </c>
      <c r="Q204" s="111"/>
      <c r="R204" s="230" t="s">
        <v>958</v>
      </c>
      <c r="S204" s="577"/>
    </row>
    <row r="205" spans="2:19" ht="24" customHeight="1" x14ac:dyDescent="0.2">
      <c r="B205" s="102">
        <v>44446</v>
      </c>
      <c r="C205" s="67" t="s">
        <v>1613</v>
      </c>
      <c r="D205" s="105" t="s">
        <v>1059</v>
      </c>
      <c r="E205" s="22" t="s">
        <v>1055</v>
      </c>
      <c r="F205" s="103" t="s">
        <v>18</v>
      </c>
      <c r="G205" s="15">
        <v>0</v>
      </c>
      <c r="H205" s="40">
        <v>3012300</v>
      </c>
      <c r="I205" s="41">
        <f>List3[[#This Row],[Pengajuan Donasi]]</f>
        <v>3012300</v>
      </c>
      <c r="J205" s="104"/>
      <c r="K205" s="14" t="s">
        <v>1615</v>
      </c>
      <c r="L205" s="183">
        <v>44814</v>
      </c>
      <c r="M205" s="105" t="s">
        <v>146</v>
      </c>
      <c r="N205" s="105">
        <f>MONTH(List3[[#This Row],[Tanggal Pengajuan]])</f>
        <v>9</v>
      </c>
      <c r="O205" s="183"/>
      <c r="P205" s="105" t="s">
        <v>25</v>
      </c>
      <c r="Q205" s="111"/>
      <c r="R205" s="230"/>
      <c r="S205" s="577"/>
    </row>
    <row r="206" spans="2:19" ht="24" customHeight="1" x14ac:dyDescent="0.2">
      <c r="B206" s="102">
        <v>44446</v>
      </c>
      <c r="C206" s="67" t="s">
        <v>1614</v>
      </c>
      <c r="D206" s="105" t="s">
        <v>1059</v>
      </c>
      <c r="E206" s="22" t="s">
        <v>1055</v>
      </c>
      <c r="F206" s="103" t="s">
        <v>18</v>
      </c>
      <c r="G206" s="15">
        <v>0</v>
      </c>
      <c r="H206" s="40">
        <v>4022400</v>
      </c>
      <c r="I206" s="41">
        <f>List3[[#This Row],[Pengajuan Donasi]]</f>
        <v>4022400</v>
      </c>
      <c r="J206" s="104"/>
      <c r="K206" s="14" t="s">
        <v>1616</v>
      </c>
      <c r="L206" s="183">
        <v>44814</v>
      </c>
      <c r="M206" s="105" t="s">
        <v>146</v>
      </c>
      <c r="N206" s="105">
        <f>MONTH(List3[[#This Row],[Tanggal Pengajuan]])</f>
        <v>9</v>
      </c>
      <c r="O206" s="183"/>
      <c r="P206" s="105" t="s">
        <v>25</v>
      </c>
      <c r="Q206" s="111"/>
      <c r="R206" s="230"/>
      <c r="S206" s="577"/>
    </row>
    <row r="207" spans="2:19" ht="24" customHeight="1" x14ac:dyDescent="0.2">
      <c r="B207" s="102">
        <v>44452</v>
      </c>
      <c r="C207" s="67" t="s">
        <v>447</v>
      </c>
      <c r="D207" s="103" t="s">
        <v>876</v>
      </c>
      <c r="E207" s="22" t="s">
        <v>26</v>
      </c>
      <c r="F207" s="103" t="s">
        <v>18</v>
      </c>
      <c r="G207" s="178">
        <v>1</v>
      </c>
      <c r="H207" s="40">
        <v>5000000</v>
      </c>
      <c r="I207" s="160">
        <f>List3[[#This Row],[Pengajuan Donasi]]</f>
        <v>5000000</v>
      </c>
      <c r="J207" s="104" t="s">
        <v>19</v>
      </c>
      <c r="K207" s="100" t="s">
        <v>20</v>
      </c>
      <c r="L207" s="161">
        <v>44484</v>
      </c>
      <c r="M207" s="105" t="s">
        <v>448</v>
      </c>
      <c r="N207" s="105">
        <f>MONTH(List3[[#This Row],[Tanggal Pengajuan]])</f>
        <v>9</v>
      </c>
      <c r="O207" s="101"/>
      <c r="P207" s="105" t="s">
        <v>449</v>
      </c>
      <c r="Q207" s="111"/>
      <c r="R207" s="230" t="s">
        <v>958</v>
      </c>
      <c r="S207" s="577"/>
    </row>
    <row r="208" spans="2:19" ht="24" customHeight="1" x14ac:dyDescent="0.2">
      <c r="B208" s="102">
        <v>44452</v>
      </c>
      <c r="C208" s="67" t="s">
        <v>450</v>
      </c>
      <c r="D208" s="103" t="s">
        <v>909</v>
      </c>
      <c r="E208" s="22" t="s">
        <v>26</v>
      </c>
      <c r="F208" s="103" t="s">
        <v>18</v>
      </c>
      <c r="G208" s="178">
        <v>1</v>
      </c>
      <c r="H208" s="160">
        <v>1000000</v>
      </c>
      <c r="I208" s="160">
        <f>List3[[#This Row],[Pengajuan Donasi]]</f>
        <v>1000000</v>
      </c>
      <c r="J208" s="104" t="s">
        <v>19</v>
      </c>
      <c r="K208" s="100" t="s">
        <v>20</v>
      </c>
      <c r="L208" s="161">
        <v>44484</v>
      </c>
      <c r="M208" s="105" t="s">
        <v>451</v>
      </c>
      <c r="N208" s="105">
        <f>MONTH(List3[[#This Row],[Tanggal Pengajuan]])</f>
        <v>9</v>
      </c>
      <c r="O208" s="101"/>
      <c r="P208" s="105" t="s">
        <v>452</v>
      </c>
      <c r="Q208" s="111"/>
      <c r="R208" s="230" t="s">
        <v>958</v>
      </c>
      <c r="S208" s="577"/>
    </row>
    <row r="209" spans="2:19" ht="24" customHeight="1" x14ac:dyDescent="0.2">
      <c r="B209" s="102">
        <v>44452</v>
      </c>
      <c r="C209" s="67" t="s">
        <v>454</v>
      </c>
      <c r="D209" s="103" t="s">
        <v>875</v>
      </c>
      <c r="E209" s="22" t="s">
        <v>26</v>
      </c>
      <c r="F209" s="103" t="s">
        <v>18</v>
      </c>
      <c r="G209" s="178">
        <v>1</v>
      </c>
      <c r="H209" s="160">
        <v>1000000</v>
      </c>
      <c r="I209" s="160">
        <f>List3[[#This Row],[Pengajuan Donasi]]</f>
        <v>1000000</v>
      </c>
      <c r="J209" s="104" t="s">
        <v>19</v>
      </c>
      <c r="K209" s="100" t="s">
        <v>20</v>
      </c>
      <c r="L209" s="161">
        <v>44484</v>
      </c>
      <c r="M209" s="105" t="s">
        <v>453</v>
      </c>
      <c r="N209" s="105">
        <f>MONTH(List3[[#This Row],[Tanggal Pengajuan]])</f>
        <v>9</v>
      </c>
      <c r="O209" s="101"/>
      <c r="P209" s="105" t="s">
        <v>455</v>
      </c>
      <c r="Q209" s="111"/>
      <c r="R209" s="230" t="s">
        <v>958</v>
      </c>
      <c r="S209" s="577"/>
    </row>
    <row r="210" spans="2:19" ht="24" customHeight="1" x14ac:dyDescent="0.2">
      <c r="B210" s="102">
        <v>44452</v>
      </c>
      <c r="C210" s="67" t="s">
        <v>456</v>
      </c>
      <c r="D210" s="103" t="s">
        <v>877</v>
      </c>
      <c r="E210" s="22" t="s">
        <v>26</v>
      </c>
      <c r="F210" s="103" t="s">
        <v>18</v>
      </c>
      <c r="G210" s="178">
        <v>1</v>
      </c>
      <c r="H210" s="160">
        <v>1000000</v>
      </c>
      <c r="I210" s="160">
        <f>List3[[#This Row],[Pengajuan Donasi]]</f>
        <v>1000000</v>
      </c>
      <c r="J210" s="104" t="s">
        <v>19</v>
      </c>
      <c r="K210" s="100" t="s">
        <v>20</v>
      </c>
      <c r="L210" s="161">
        <v>44484</v>
      </c>
      <c r="M210" s="105" t="s">
        <v>458</v>
      </c>
      <c r="N210" s="105">
        <f>MONTH(List3[[#This Row],[Tanggal Pengajuan]])</f>
        <v>9</v>
      </c>
      <c r="O210" s="101"/>
      <c r="P210" s="105" t="s">
        <v>457</v>
      </c>
      <c r="Q210" s="111"/>
      <c r="R210" s="230" t="s">
        <v>958</v>
      </c>
      <c r="S210" s="577"/>
    </row>
    <row r="211" spans="2:19" ht="24" customHeight="1" x14ac:dyDescent="0.2">
      <c r="B211" s="102">
        <v>44452</v>
      </c>
      <c r="C211" s="67" t="s">
        <v>459</v>
      </c>
      <c r="D211" s="103" t="s">
        <v>878</v>
      </c>
      <c r="E211" s="22" t="s">
        <v>26</v>
      </c>
      <c r="F211" s="103" t="s">
        <v>18</v>
      </c>
      <c r="G211" s="178">
        <v>1</v>
      </c>
      <c r="H211" s="160">
        <v>1000000</v>
      </c>
      <c r="I211" s="160">
        <f>List3[[#This Row],[Pengajuan Donasi]]</f>
        <v>1000000</v>
      </c>
      <c r="J211" s="104" t="s">
        <v>19</v>
      </c>
      <c r="K211" s="100" t="s">
        <v>20</v>
      </c>
      <c r="L211" s="161">
        <v>44484</v>
      </c>
      <c r="M211" s="105" t="s">
        <v>460</v>
      </c>
      <c r="N211" s="105">
        <f>MONTH(List3[[#This Row],[Tanggal Pengajuan]])</f>
        <v>9</v>
      </c>
      <c r="O211" s="101"/>
      <c r="P211" s="105" t="s">
        <v>461</v>
      </c>
      <c r="Q211" s="111"/>
      <c r="R211" s="230" t="s">
        <v>958</v>
      </c>
      <c r="S211" s="577"/>
    </row>
    <row r="212" spans="2:19" ht="24" customHeight="1" x14ac:dyDescent="0.2">
      <c r="B212" s="102">
        <v>44452</v>
      </c>
      <c r="C212" s="67" t="s">
        <v>463</v>
      </c>
      <c r="D212" s="103" t="s">
        <v>879</v>
      </c>
      <c r="E212" s="22" t="s">
        <v>26</v>
      </c>
      <c r="F212" s="103" t="s">
        <v>18</v>
      </c>
      <c r="G212" s="178">
        <v>1</v>
      </c>
      <c r="H212" s="160">
        <v>1000000</v>
      </c>
      <c r="I212" s="160">
        <f>List3[[#This Row],[Pengajuan Donasi]]</f>
        <v>1000000</v>
      </c>
      <c r="J212" s="104" t="s">
        <v>19</v>
      </c>
      <c r="K212" s="100" t="s">
        <v>20</v>
      </c>
      <c r="L212" s="161">
        <v>44484</v>
      </c>
      <c r="M212" s="105" t="s">
        <v>462</v>
      </c>
      <c r="N212" s="105">
        <f>MONTH(List3[[#This Row],[Tanggal Pengajuan]])</f>
        <v>9</v>
      </c>
      <c r="O212" s="101"/>
      <c r="P212" s="105" t="s">
        <v>464</v>
      </c>
      <c r="Q212" s="111"/>
      <c r="R212" s="230" t="s">
        <v>958</v>
      </c>
      <c r="S212" s="577"/>
    </row>
    <row r="213" spans="2:19" ht="24" customHeight="1" x14ac:dyDescent="0.2">
      <c r="B213" s="102">
        <v>44452</v>
      </c>
      <c r="C213" s="67" t="s">
        <v>465</v>
      </c>
      <c r="D213" s="103" t="s">
        <v>951</v>
      </c>
      <c r="E213" s="22" t="s">
        <v>26</v>
      </c>
      <c r="F213" s="103" t="s">
        <v>18</v>
      </c>
      <c r="G213" s="178">
        <v>1</v>
      </c>
      <c r="H213" s="160">
        <v>1000000</v>
      </c>
      <c r="I213" s="160">
        <f>List3[[#This Row],[Pengajuan Donasi]]</f>
        <v>1000000</v>
      </c>
      <c r="J213" s="104" t="s">
        <v>19</v>
      </c>
      <c r="K213" s="100" t="s">
        <v>20</v>
      </c>
      <c r="L213" s="161">
        <v>44484</v>
      </c>
      <c r="M213" s="105" t="s">
        <v>466</v>
      </c>
      <c r="N213" s="105">
        <f>MONTH(List3[[#This Row],[Tanggal Pengajuan]])</f>
        <v>9</v>
      </c>
      <c r="O213" s="101"/>
      <c r="P213" s="105" t="s">
        <v>467</v>
      </c>
      <c r="Q213" s="111"/>
      <c r="R213" s="230" t="s">
        <v>958</v>
      </c>
      <c r="S213" s="577"/>
    </row>
    <row r="214" spans="2:19" ht="24" customHeight="1" x14ac:dyDescent="0.2">
      <c r="B214" s="102">
        <v>44452</v>
      </c>
      <c r="C214" s="67" t="s">
        <v>468</v>
      </c>
      <c r="D214" s="103" t="s">
        <v>880</v>
      </c>
      <c r="E214" s="22" t="s">
        <v>26</v>
      </c>
      <c r="F214" s="103" t="s">
        <v>18</v>
      </c>
      <c r="G214" s="178">
        <v>1</v>
      </c>
      <c r="H214" s="160">
        <v>1000000</v>
      </c>
      <c r="I214" s="160">
        <f>List3[[#This Row],[Pengajuan Donasi]]</f>
        <v>1000000</v>
      </c>
      <c r="J214" s="104" t="s">
        <v>19</v>
      </c>
      <c r="K214" s="100" t="s">
        <v>20</v>
      </c>
      <c r="L214" s="161">
        <v>44484</v>
      </c>
      <c r="M214" s="105" t="s">
        <v>470</v>
      </c>
      <c r="N214" s="105">
        <f>MONTH(List3[[#This Row],[Tanggal Pengajuan]])</f>
        <v>9</v>
      </c>
      <c r="O214" s="101"/>
      <c r="P214" s="105" t="s">
        <v>469</v>
      </c>
      <c r="Q214" s="111"/>
      <c r="R214" s="230" t="s">
        <v>958</v>
      </c>
      <c r="S214" s="577"/>
    </row>
    <row r="215" spans="2:19" ht="24" customHeight="1" x14ac:dyDescent="0.2">
      <c r="B215" s="102">
        <v>44452</v>
      </c>
      <c r="C215" s="67" t="s">
        <v>473</v>
      </c>
      <c r="D215" s="103" t="s">
        <v>952</v>
      </c>
      <c r="E215" s="22" t="s">
        <v>26</v>
      </c>
      <c r="F215" s="103" t="s">
        <v>18</v>
      </c>
      <c r="G215" s="178">
        <v>1</v>
      </c>
      <c r="H215" s="160">
        <v>1000000</v>
      </c>
      <c r="I215" s="160">
        <f>List3[[#This Row],[Pengajuan Donasi]]</f>
        <v>1000000</v>
      </c>
      <c r="J215" s="104" t="s">
        <v>19</v>
      </c>
      <c r="K215" s="100" t="s">
        <v>20</v>
      </c>
      <c r="L215" s="161">
        <v>44484</v>
      </c>
      <c r="M215" s="105" t="s">
        <v>472</v>
      </c>
      <c r="N215" s="105">
        <f>MONTH(List3[[#This Row],[Tanggal Pengajuan]])</f>
        <v>9</v>
      </c>
      <c r="O215" s="101"/>
      <c r="P215" s="105" t="s">
        <v>471</v>
      </c>
      <c r="Q215" s="111"/>
      <c r="R215" s="230" t="s">
        <v>958</v>
      </c>
      <c r="S215" s="577"/>
    </row>
    <row r="216" spans="2:19" ht="24" customHeight="1" x14ac:dyDescent="0.2">
      <c r="B216" s="102">
        <v>44452</v>
      </c>
      <c r="C216" s="67" t="s">
        <v>474</v>
      </c>
      <c r="D216" s="103" t="s">
        <v>881</v>
      </c>
      <c r="E216" s="22" t="s">
        <v>26</v>
      </c>
      <c r="F216" s="103" t="s">
        <v>18</v>
      </c>
      <c r="G216" s="178">
        <v>1</v>
      </c>
      <c r="H216" s="160">
        <v>1000000</v>
      </c>
      <c r="I216" s="160">
        <f>List3[[#This Row],[Pengajuan Donasi]]</f>
        <v>1000000</v>
      </c>
      <c r="J216" s="104" t="s">
        <v>19</v>
      </c>
      <c r="K216" s="100" t="s">
        <v>20</v>
      </c>
      <c r="L216" s="161">
        <v>44484</v>
      </c>
      <c r="M216" s="105" t="s">
        <v>476</v>
      </c>
      <c r="N216" s="105">
        <f>MONTH(List3[[#This Row],[Tanggal Pengajuan]])</f>
        <v>9</v>
      </c>
      <c r="O216" s="101"/>
      <c r="P216" s="105" t="s">
        <v>475</v>
      </c>
      <c r="Q216" s="111"/>
      <c r="R216" s="230" t="s">
        <v>958</v>
      </c>
      <c r="S216" s="577"/>
    </row>
    <row r="217" spans="2:19" ht="24" customHeight="1" x14ac:dyDescent="0.2">
      <c r="B217" s="102">
        <v>44452</v>
      </c>
      <c r="C217" s="67" t="s">
        <v>477</v>
      </c>
      <c r="D217" s="103" t="s">
        <v>882</v>
      </c>
      <c r="E217" s="22" t="s">
        <v>26</v>
      </c>
      <c r="F217" s="103" t="s">
        <v>18</v>
      </c>
      <c r="G217" s="178">
        <v>1</v>
      </c>
      <c r="H217" s="160">
        <v>750000</v>
      </c>
      <c r="I217" s="160">
        <f>List3[[#This Row],[Pengajuan Donasi]]</f>
        <v>750000</v>
      </c>
      <c r="J217" s="104" t="s">
        <v>19</v>
      </c>
      <c r="K217" s="100" t="s">
        <v>20</v>
      </c>
      <c r="L217" s="161">
        <v>44484</v>
      </c>
      <c r="M217" s="105" t="s">
        <v>479</v>
      </c>
      <c r="N217" s="105">
        <f>MONTH(List3[[#This Row],[Tanggal Pengajuan]])</f>
        <v>9</v>
      </c>
      <c r="O217" s="101"/>
      <c r="P217" s="105" t="s">
        <v>478</v>
      </c>
      <c r="Q217" s="111"/>
      <c r="R217" s="230" t="s">
        <v>958</v>
      </c>
      <c r="S217" s="577"/>
    </row>
    <row r="218" spans="2:19" ht="24" customHeight="1" x14ac:dyDescent="0.2">
      <c r="B218" s="102">
        <v>44452</v>
      </c>
      <c r="C218" s="67" t="s">
        <v>482</v>
      </c>
      <c r="D218" s="103" t="s">
        <v>883</v>
      </c>
      <c r="E218" s="22" t="s">
        <v>26</v>
      </c>
      <c r="F218" s="103" t="s">
        <v>18</v>
      </c>
      <c r="G218" s="178">
        <v>1</v>
      </c>
      <c r="H218" s="160">
        <v>750000</v>
      </c>
      <c r="I218" s="160">
        <f>List3[[#This Row],[Pengajuan Donasi]]</f>
        <v>750000</v>
      </c>
      <c r="J218" s="104" t="s">
        <v>19</v>
      </c>
      <c r="K218" s="100" t="s">
        <v>20</v>
      </c>
      <c r="L218" s="161">
        <v>44484</v>
      </c>
      <c r="M218" s="105" t="s">
        <v>481</v>
      </c>
      <c r="N218" s="105">
        <f>MONTH(List3[[#This Row],[Tanggal Pengajuan]])</f>
        <v>9</v>
      </c>
      <c r="O218" s="101"/>
      <c r="P218" s="105" t="s">
        <v>480</v>
      </c>
      <c r="Q218" s="111"/>
      <c r="R218" s="230" t="s">
        <v>958</v>
      </c>
      <c r="S218" s="577"/>
    </row>
    <row r="219" spans="2:19" ht="24" customHeight="1" x14ac:dyDescent="0.2">
      <c r="B219" s="102">
        <v>44454</v>
      </c>
      <c r="C219" s="163" t="s">
        <v>483</v>
      </c>
      <c r="D219" s="168" t="s">
        <v>486</v>
      </c>
      <c r="E219" s="165" t="s">
        <v>179</v>
      </c>
      <c r="F219" s="168" t="s">
        <v>49</v>
      </c>
      <c r="G219" s="178">
        <v>44</v>
      </c>
      <c r="H219" s="167">
        <v>13290000</v>
      </c>
      <c r="I219" s="167">
        <f>List3[[#This Row],[Pengajuan Donasi]]</f>
        <v>13290000</v>
      </c>
      <c r="J219" s="104" t="s">
        <v>19</v>
      </c>
      <c r="K219" s="105" t="s">
        <v>20</v>
      </c>
      <c r="L219" s="161">
        <v>44469</v>
      </c>
      <c r="M219" s="105" t="s">
        <v>484</v>
      </c>
      <c r="N219" s="105">
        <f>MONTH(List3[[#This Row],[Tanggal Pengajuan]])</f>
        <v>9</v>
      </c>
      <c r="O219" s="101"/>
      <c r="P219" s="105" t="s">
        <v>485</v>
      </c>
      <c r="Q219" s="111"/>
      <c r="R219" s="230" t="s">
        <v>958</v>
      </c>
      <c r="S219" s="577"/>
    </row>
    <row r="220" spans="2:19" ht="24" customHeight="1" x14ac:dyDescent="0.2">
      <c r="B220" s="102">
        <v>44456</v>
      </c>
      <c r="C220" s="163" t="s">
        <v>487</v>
      </c>
      <c r="D220" s="168" t="s">
        <v>75</v>
      </c>
      <c r="E220" s="165" t="s">
        <v>179</v>
      </c>
      <c r="F220" s="168" t="s">
        <v>49</v>
      </c>
      <c r="G220" s="178">
        <v>9</v>
      </c>
      <c r="H220" s="167">
        <v>18408000</v>
      </c>
      <c r="I220" s="167">
        <f>List3[[#This Row],[Pengajuan Donasi]]</f>
        <v>18408000</v>
      </c>
      <c r="J220" s="104" t="s">
        <v>19</v>
      </c>
      <c r="K220" s="105" t="s">
        <v>20</v>
      </c>
      <c r="L220" s="161">
        <v>44496</v>
      </c>
      <c r="M220" s="105" t="s">
        <v>488</v>
      </c>
      <c r="N220" s="105">
        <f>MONTH(List3[[#This Row],[Tanggal Pengajuan]])</f>
        <v>9</v>
      </c>
      <c r="O220" s="101"/>
      <c r="P220" s="105" t="s">
        <v>489</v>
      </c>
      <c r="Q220" s="111" t="s">
        <v>491</v>
      </c>
      <c r="R220" s="230" t="s">
        <v>958</v>
      </c>
      <c r="S220" s="577"/>
    </row>
    <row r="221" spans="2:19" ht="24" customHeight="1" x14ac:dyDescent="0.2">
      <c r="B221" s="102">
        <v>44456</v>
      </c>
      <c r="C221" s="163" t="s">
        <v>490</v>
      </c>
      <c r="D221" s="168" t="s">
        <v>87</v>
      </c>
      <c r="E221" s="165" t="s">
        <v>179</v>
      </c>
      <c r="F221" s="168" t="s">
        <v>49</v>
      </c>
      <c r="G221" s="178">
        <v>20</v>
      </c>
      <c r="H221" s="167">
        <v>30525000</v>
      </c>
      <c r="I221" s="167">
        <v>30525000</v>
      </c>
      <c r="J221" s="104" t="s">
        <v>19</v>
      </c>
      <c r="K221" s="100" t="s">
        <v>20</v>
      </c>
      <c r="L221" s="161"/>
      <c r="M221" s="105" t="s">
        <v>493</v>
      </c>
      <c r="N221" s="105">
        <f>MONTH(List3[[#This Row],[Tanggal Pengajuan]])</f>
        <v>9</v>
      </c>
      <c r="O221" s="101"/>
      <c r="P221" s="105" t="s">
        <v>492</v>
      </c>
      <c r="Q221" s="111"/>
      <c r="R221" s="230" t="s">
        <v>958</v>
      </c>
      <c r="S221" s="577"/>
    </row>
    <row r="222" spans="2:19" ht="24" customHeight="1" x14ac:dyDescent="0.2">
      <c r="B222" s="102">
        <v>44461</v>
      </c>
      <c r="C222" s="163" t="s">
        <v>1617</v>
      </c>
      <c r="D222" s="164" t="s">
        <v>256</v>
      </c>
      <c r="E222" s="174" t="s">
        <v>17</v>
      </c>
      <c r="F222" s="164" t="s">
        <v>18</v>
      </c>
      <c r="G222" s="178">
        <v>86</v>
      </c>
      <c r="H222" s="171">
        <v>8500000</v>
      </c>
      <c r="I222" s="167">
        <f>List3[[#This Row],[Pengajuan Donasi]]</f>
        <v>8500000</v>
      </c>
      <c r="J222" s="179" t="s">
        <v>19</v>
      </c>
      <c r="K222" s="105" t="s">
        <v>20</v>
      </c>
      <c r="L222" s="161">
        <v>44470</v>
      </c>
      <c r="M222" s="105" t="s">
        <v>136</v>
      </c>
      <c r="N222" s="105">
        <f>MONTH(List3[[#This Row],[Tanggal Pengajuan]])</f>
        <v>9</v>
      </c>
      <c r="O222" s="101"/>
      <c r="P222" s="105" t="s">
        <v>494</v>
      </c>
      <c r="Q222" s="111" t="s">
        <v>491</v>
      </c>
      <c r="R222" s="230" t="s">
        <v>958</v>
      </c>
      <c r="S222" s="577"/>
    </row>
    <row r="223" spans="2:19" ht="24" customHeight="1" x14ac:dyDescent="0.2">
      <c r="B223" s="102">
        <v>44461</v>
      </c>
      <c r="C223" s="163" t="s">
        <v>1617</v>
      </c>
      <c r="D223" s="164" t="s">
        <v>257</v>
      </c>
      <c r="E223" s="174" t="s">
        <v>17</v>
      </c>
      <c r="F223" s="164" t="s">
        <v>18</v>
      </c>
      <c r="G223" s="178">
        <v>134</v>
      </c>
      <c r="H223" s="171">
        <v>5500000</v>
      </c>
      <c r="I223" s="167">
        <f>List3[[#This Row],[Pengajuan Donasi]]</f>
        <v>5500000</v>
      </c>
      <c r="J223" s="179" t="s">
        <v>19</v>
      </c>
      <c r="K223" s="105" t="s">
        <v>20</v>
      </c>
      <c r="L223" s="161">
        <v>44470</v>
      </c>
      <c r="M223" s="105" t="s">
        <v>136</v>
      </c>
      <c r="N223" s="105">
        <f>MONTH(List3[[#This Row],[Tanggal Pengajuan]])</f>
        <v>9</v>
      </c>
      <c r="O223" s="101"/>
      <c r="P223" s="105" t="s">
        <v>494</v>
      </c>
      <c r="Q223" s="111"/>
      <c r="R223" s="230" t="s">
        <v>958</v>
      </c>
      <c r="S223" s="577"/>
    </row>
    <row r="224" spans="2:19" ht="24" customHeight="1" x14ac:dyDescent="0.2">
      <c r="B224" s="102">
        <v>44461</v>
      </c>
      <c r="C224" s="163" t="s">
        <v>1617</v>
      </c>
      <c r="D224" s="164" t="s">
        <v>222</v>
      </c>
      <c r="E224" s="174" t="s">
        <v>17</v>
      </c>
      <c r="F224" s="164" t="s">
        <v>18</v>
      </c>
      <c r="G224" s="178">
        <v>38</v>
      </c>
      <c r="H224" s="171">
        <v>5500000</v>
      </c>
      <c r="I224" s="167">
        <f>List3[[#This Row],[Pengajuan Donasi]]</f>
        <v>5500000</v>
      </c>
      <c r="J224" s="179" t="s">
        <v>19</v>
      </c>
      <c r="K224" s="105" t="s">
        <v>20</v>
      </c>
      <c r="L224" s="161">
        <v>44470</v>
      </c>
      <c r="M224" s="105" t="s">
        <v>136</v>
      </c>
      <c r="N224" s="105">
        <f>MONTH(List3[[#This Row],[Tanggal Pengajuan]])</f>
        <v>9</v>
      </c>
      <c r="O224" s="101"/>
      <c r="P224" s="105" t="s">
        <v>494</v>
      </c>
      <c r="Q224" s="111"/>
      <c r="R224" s="230" t="s">
        <v>958</v>
      </c>
      <c r="S224" s="577"/>
    </row>
    <row r="225" spans="2:19" ht="24" customHeight="1" x14ac:dyDescent="0.2">
      <c r="B225" s="102">
        <v>44467</v>
      </c>
      <c r="C225" s="163" t="s">
        <v>1618</v>
      </c>
      <c r="D225" s="105" t="s">
        <v>1609</v>
      </c>
      <c r="E225" s="103" t="s">
        <v>1054</v>
      </c>
      <c r="F225" s="168" t="s">
        <v>18</v>
      </c>
      <c r="G225" s="178">
        <f>IFERROR(VLOOKUP(List3[[#This Row],[Site / Lokasi]],Data!B:C,2,0),0)</f>
        <v>0</v>
      </c>
      <c r="H225" s="171">
        <v>6268542</v>
      </c>
      <c r="I225" s="180">
        <f>List3[[#This Row],[Pengajuan Donasi]]</f>
        <v>6268542</v>
      </c>
      <c r="J225" s="104"/>
      <c r="K225" s="100"/>
      <c r="L225" s="183"/>
      <c r="M225" s="105" t="s">
        <v>21</v>
      </c>
      <c r="N225" s="105">
        <f>MONTH(List3[[#This Row],[Tanggal Pengajuan]])</f>
        <v>9</v>
      </c>
      <c r="O225" s="183"/>
      <c r="P225" s="105" t="s">
        <v>1619</v>
      </c>
      <c r="Q225" s="111"/>
      <c r="R225" s="230"/>
      <c r="S225" s="577"/>
    </row>
    <row r="226" spans="2:19" ht="24" customHeight="1" x14ac:dyDescent="0.2">
      <c r="B226" s="102">
        <v>44467</v>
      </c>
      <c r="C226" s="163" t="s">
        <v>495</v>
      </c>
      <c r="D226" s="168" t="s">
        <v>496</v>
      </c>
      <c r="E226" s="165" t="s">
        <v>26</v>
      </c>
      <c r="F226" s="164" t="s">
        <v>28</v>
      </c>
      <c r="G226" s="178">
        <v>0</v>
      </c>
      <c r="H226" s="167">
        <v>25000000</v>
      </c>
      <c r="I226" s="167">
        <v>25000000</v>
      </c>
      <c r="J226" s="104" t="s">
        <v>19</v>
      </c>
      <c r="K226" s="100" t="s">
        <v>20</v>
      </c>
      <c r="L226" s="161"/>
      <c r="M226" s="105" t="s">
        <v>496</v>
      </c>
      <c r="N226" s="105">
        <f>MONTH(List3[[#This Row],[Tanggal Pengajuan]])</f>
        <v>9</v>
      </c>
      <c r="O226" s="101"/>
      <c r="P226" s="105" t="s">
        <v>497</v>
      </c>
      <c r="Q226" s="111"/>
      <c r="R226" s="230" t="s">
        <v>958</v>
      </c>
      <c r="S226" s="577"/>
    </row>
    <row r="227" spans="2:19" ht="24" customHeight="1" x14ac:dyDescent="0.2">
      <c r="B227" s="102">
        <v>44468</v>
      </c>
      <c r="C227" s="67" t="s">
        <v>500</v>
      </c>
      <c r="D227" s="14" t="s">
        <v>859</v>
      </c>
      <c r="E227" s="22" t="s">
        <v>17</v>
      </c>
      <c r="F227" s="14" t="s">
        <v>18</v>
      </c>
      <c r="G227" s="178">
        <v>23</v>
      </c>
      <c r="H227" s="160">
        <v>6000000</v>
      </c>
      <c r="I227" s="160">
        <v>6000000</v>
      </c>
      <c r="J227" s="104" t="s">
        <v>19</v>
      </c>
      <c r="K227" s="100" t="s">
        <v>20</v>
      </c>
      <c r="L227" s="161">
        <v>44475</v>
      </c>
      <c r="M227" s="105" t="s">
        <v>501</v>
      </c>
      <c r="N227" s="105">
        <f>MONTH(List3[[#This Row],[Tanggal Pengajuan]])</f>
        <v>9</v>
      </c>
      <c r="O227" s="101"/>
      <c r="P227" s="105" t="s">
        <v>889</v>
      </c>
      <c r="Q227" s="111"/>
      <c r="R227" s="230" t="s">
        <v>958</v>
      </c>
      <c r="S227" s="577"/>
    </row>
    <row r="228" spans="2:19" ht="24" customHeight="1" x14ac:dyDescent="0.2">
      <c r="B228" s="102">
        <v>44470</v>
      </c>
      <c r="C228" s="163" t="s">
        <v>498</v>
      </c>
      <c r="D228" s="168" t="s">
        <v>423</v>
      </c>
      <c r="E228" s="165" t="s">
        <v>57</v>
      </c>
      <c r="F228" s="164" t="s">
        <v>18</v>
      </c>
      <c r="G228" s="178">
        <v>35</v>
      </c>
      <c r="H228" s="167">
        <v>10000000</v>
      </c>
      <c r="I228" s="160">
        <v>10000000</v>
      </c>
      <c r="J228" s="104" t="s">
        <v>19</v>
      </c>
      <c r="K228" s="100" t="s">
        <v>20</v>
      </c>
      <c r="L228" s="161"/>
      <c r="M228" s="105" t="s">
        <v>424</v>
      </c>
      <c r="N228" s="105">
        <f>MONTH(List3[[#This Row],[Tanggal Pengajuan]])</f>
        <v>10</v>
      </c>
      <c r="O228" s="101"/>
      <c r="P228" s="105" t="s">
        <v>499</v>
      </c>
      <c r="Q228" s="111"/>
      <c r="R228" s="230" t="s">
        <v>958</v>
      </c>
      <c r="S228" s="577"/>
    </row>
    <row r="229" spans="2:19" ht="24" customHeight="1" x14ac:dyDescent="0.2">
      <c r="B229" s="102">
        <v>44482</v>
      </c>
      <c r="C229" s="67" t="s">
        <v>505</v>
      </c>
      <c r="D229" s="14" t="s">
        <v>876</v>
      </c>
      <c r="E229" s="22" t="s">
        <v>26</v>
      </c>
      <c r="F229" s="105" t="s">
        <v>18</v>
      </c>
      <c r="G229" s="178">
        <v>1</v>
      </c>
      <c r="H229" s="160">
        <v>5000000</v>
      </c>
      <c r="I229" s="160">
        <v>5000000</v>
      </c>
      <c r="J229" s="104" t="s">
        <v>19</v>
      </c>
      <c r="K229" s="100" t="s">
        <v>20</v>
      </c>
      <c r="L229" s="161"/>
      <c r="M229" s="105" t="s">
        <v>448</v>
      </c>
      <c r="N229" s="105">
        <f>MONTH(List3[[#This Row],[Tanggal Pengajuan]])</f>
        <v>10</v>
      </c>
      <c r="O229" s="101"/>
      <c r="P229" s="105" t="s">
        <v>449</v>
      </c>
      <c r="Q229" s="111"/>
      <c r="R229" s="230" t="s">
        <v>958</v>
      </c>
      <c r="S229" s="577"/>
    </row>
    <row r="230" spans="2:19" ht="24" customHeight="1" x14ac:dyDescent="0.2">
      <c r="B230" s="102">
        <v>44482</v>
      </c>
      <c r="C230" s="67" t="s">
        <v>506</v>
      </c>
      <c r="D230" s="14" t="s">
        <v>909</v>
      </c>
      <c r="E230" s="22" t="s">
        <v>26</v>
      </c>
      <c r="F230" s="105" t="s">
        <v>18</v>
      </c>
      <c r="G230" s="178">
        <v>1</v>
      </c>
      <c r="H230" s="160">
        <v>1000000</v>
      </c>
      <c r="I230" s="160">
        <v>1000000</v>
      </c>
      <c r="J230" s="104" t="s">
        <v>19</v>
      </c>
      <c r="K230" s="100" t="s">
        <v>20</v>
      </c>
      <c r="L230" s="161"/>
      <c r="M230" s="105" t="s">
        <v>451</v>
      </c>
      <c r="N230" s="105">
        <f>MONTH(List3[[#This Row],[Tanggal Pengajuan]])</f>
        <v>10</v>
      </c>
      <c r="O230" s="101"/>
      <c r="P230" s="105" t="s">
        <v>507</v>
      </c>
      <c r="Q230" s="111"/>
      <c r="R230" s="230" t="s">
        <v>958</v>
      </c>
      <c r="S230" s="577"/>
    </row>
    <row r="231" spans="2:19" ht="24" customHeight="1" x14ac:dyDescent="0.2">
      <c r="B231" s="102">
        <v>44482</v>
      </c>
      <c r="C231" s="67" t="s">
        <v>508</v>
      </c>
      <c r="D231" s="14" t="s">
        <v>875</v>
      </c>
      <c r="E231" s="22" t="s">
        <v>26</v>
      </c>
      <c r="F231" s="105" t="s">
        <v>18</v>
      </c>
      <c r="G231" s="178">
        <v>1</v>
      </c>
      <c r="H231" s="160">
        <v>1000000</v>
      </c>
      <c r="I231" s="160">
        <v>1000000</v>
      </c>
      <c r="J231" s="104" t="s">
        <v>19</v>
      </c>
      <c r="K231" s="100" t="s">
        <v>20</v>
      </c>
      <c r="L231" s="161"/>
      <c r="M231" s="105" t="s">
        <v>453</v>
      </c>
      <c r="N231" s="105">
        <f>MONTH(List3[[#This Row],[Tanggal Pengajuan]])</f>
        <v>10</v>
      </c>
      <c r="O231" s="101"/>
      <c r="P231" s="105" t="s">
        <v>509</v>
      </c>
      <c r="Q231" s="111"/>
      <c r="R231" s="230" t="s">
        <v>958</v>
      </c>
      <c r="S231" s="577"/>
    </row>
    <row r="232" spans="2:19" ht="24" customHeight="1" x14ac:dyDescent="0.2">
      <c r="B232" s="102">
        <v>44482</v>
      </c>
      <c r="C232" s="67" t="s">
        <v>510</v>
      </c>
      <c r="D232" s="14" t="s">
        <v>877</v>
      </c>
      <c r="E232" s="22" t="s">
        <v>26</v>
      </c>
      <c r="F232" s="105" t="s">
        <v>18</v>
      </c>
      <c r="G232" s="178">
        <v>1</v>
      </c>
      <c r="H232" s="160">
        <v>1000000</v>
      </c>
      <c r="I232" s="160">
        <v>1000000</v>
      </c>
      <c r="J232" s="104" t="s">
        <v>19</v>
      </c>
      <c r="K232" s="100" t="s">
        <v>20</v>
      </c>
      <c r="L232" s="161"/>
      <c r="M232" s="105" t="s">
        <v>458</v>
      </c>
      <c r="N232" s="105">
        <f>MONTH(List3[[#This Row],[Tanggal Pengajuan]])</f>
        <v>10</v>
      </c>
      <c r="O232" s="101"/>
      <c r="P232" s="105" t="s">
        <v>511</v>
      </c>
      <c r="Q232" s="111"/>
      <c r="R232" s="230" t="s">
        <v>958</v>
      </c>
      <c r="S232" s="577"/>
    </row>
    <row r="233" spans="2:19" ht="24" customHeight="1" x14ac:dyDescent="0.2">
      <c r="B233" s="102">
        <v>44482</v>
      </c>
      <c r="C233" s="67" t="s">
        <v>512</v>
      </c>
      <c r="D233" s="14" t="s">
        <v>878</v>
      </c>
      <c r="E233" s="22" t="s">
        <v>26</v>
      </c>
      <c r="F233" s="105" t="s">
        <v>18</v>
      </c>
      <c r="G233" s="178">
        <v>1</v>
      </c>
      <c r="H233" s="160">
        <v>1000000</v>
      </c>
      <c r="I233" s="160">
        <v>1000000</v>
      </c>
      <c r="J233" s="104" t="s">
        <v>19</v>
      </c>
      <c r="K233" s="100" t="s">
        <v>20</v>
      </c>
      <c r="L233" s="161"/>
      <c r="M233" s="105" t="s">
        <v>460</v>
      </c>
      <c r="N233" s="105">
        <f>MONTH(List3[[#This Row],[Tanggal Pengajuan]])</f>
        <v>10</v>
      </c>
      <c r="O233" s="101"/>
      <c r="P233" s="105" t="s">
        <v>513</v>
      </c>
      <c r="Q233" s="111"/>
      <c r="R233" s="230" t="s">
        <v>958</v>
      </c>
      <c r="S233" s="577"/>
    </row>
    <row r="234" spans="2:19" ht="24" customHeight="1" x14ac:dyDescent="0.2">
      <c r="B234" s="102">
        <v>44482</v>
      </c>
      <c r="C234" s="67" t="s">
        <v>514</v>
      </c>
      <c r="D234" s="14" t="s">
        <v>879</v>
      </c>
      <c r="E234" s="22" t="s">
        <v>26</v>
      </c>
      <c r="F234" s="105" t="s">
        <v>18</v>
      </c>
      <c r="G234" s="178">
        <v>1</v>
      </c>
      <c r="H234" s="160">
        <v>1000000</v>
      </c>
      <c r="I234" s="160">
        <v>1000000</v>
      </c>
      <c r="J234" s="104" t="s">
        <v>19</v>
      </c>
      <c r="K234" s="100" t="s">
        <v>20</v>
      </c>
      <c r="L234" s="161"/>
      <c r="M234" s="105" t="s">
        <v>462</v>
      </c>
      <c r="N234" s="105">
        <f>MONTH(List3[[#This Row],[Tanggal Pengajuan]])</f>
        <v>10</v>
      </c>
      <c r="O234" s="101"/>
      <c r="P234" s="105" t="s">
        <v>515</v>
      </c>
      <c r="Q234" s="111"/>
      <c r="R234" s="230" t="s">
        <v>958</v>
      </c>
      <c r="S234" s="577"/>
    </row>
    <row r="235" spans="2:19" ht="24" customHeight="1" x14ac:dyDescent="0.2">
      <c r="B235" s="102">
        <v>44482</v>
      </c>
      <c r="C235" s="67" t="s">
        <v>516</v>
      </c>
      <c r="D235" s="14" t="s">
        <v>951</v>
      </c>
      <c r="E235" s="22" t="s">
        <v>26</v>
      </c>
      <c r="F235" s="105" t="s">
        <v>18</v>
      </c>
      <c r="G235" s="178">
        <v>1</v>
      </c>
      <c r="H235" s="160">
        <v>1000000</v>
      </c>
      <c r="I235" s="160">
        <v>1000000</v>
      </c>
      <c r="J235" s="104" t="s">
        <v>19</v>
      </c>
      <c r="K235" s="100" t="s">
        <v>20</v>
      </c>
      <c r="L235" s="161"/>
      <c r="M235" s="105" t="s">
        <v>466</v>
      </c>
      <c r="N235" s="105">
        <f>MONTH(List3[[#This Row],[Tanggal Pengajuan]])</f>
        <v>10</v>
      </c>
      <c r="O235" s="101"/>
      <c r="P235" s="105" t="s">
        <v>467</v>
      </c>
      <c r="Q235" s="111"/>
      <c r="R235" s="230" t="s">
        <v>958</v>
      </c>
      <c r="S235" s="577"/>
    </row>
    <row r="236" spans="2:19" ht="24" customHeight="1" x14ac:dyDescent="0.2">
      <c r="B236" s="102">
        <v>44482</v>
      </c>
      <c r="C236" s="67" t="s">
        <v>518</v>
      </c>
      <c r="D236" s="14" t="s">
        <v>880</v>
      </c>
      <c r="E236" s="22" t="s">
        <v>26</v>
      </c>
      <c r="F236" s="105" t="s">
        <v>18</v>
      </c>
      <c r="G236" s="178">
        <v>1</v>
      </c>
      <c r="H236" s="160">
        <v>1000000</v>
      </c>
      <c r="I236" s="160">
        <v>1000000</v>
      </c>
      <c r="J236" s="104" t="s">
        <v>19</v>
      </c>
      <c r="K236" s="100" t="s">
        <v>20</v>
      </c>
      <c r="L236" s="161"/>
      <c r="M236" s="105" t="s">
        <v>470</v>
      </c>
      <c r="N236" s="105">
        <f>MONTH(List3[[#This Row],[Tanggal Pengajuan]])</f>
        <v>10</v>
      </c>
      <c r="O236" s="101"/>
      <c r="P236" s="105" t="s">
        <v>517</v>
      </c>
      <c r="Q236" s="111"/>
      <c r="R236" s="230" t="s">
        <v>958</v>
      </c>
      <c r="S236" s="577"/>
    </row>
    <row r="237" spans="2:19" ht="24" customHeight="1" x14ac:dyDescent="0.2">
      <c r="B237" s="102">
        <v>44482</v>
      </c>
      <c r="C237" s="67" t="s">
        <v>520</v>
      </c>
      <c r="D237" s="14" t="s">
        <v>952</v>
      </c>
      <c r="E237" s="22" t="s">
        <v>26</v>
      </c>
      <c r="F237" s="105" t="s">
        <v>18</v>
      </c>
      <c r="G237" s="178">
        <v>1</v>
      </c>
      <c r="H237" s="160">
        <v>1000000</v>
      </c>
      <c r="I237" s="160">
        <v>1000000</v>
      </c>
      <c r="J237" s="104" t="s">
        <v>19</v>
      </c>
      <c r="K237" s="100" t="s">
        <v>20</v>
      </c>
      <c r="L237" s="161"/>
      <c r="M237" s="105" t="s">
        <v>519</v>
      </c>
      <c r="N237" s="105">
        <f>MONTH(List3[[#This Row],[Tanggal Pengajuan]])</f>
        <v>10</v>
      </c>
      <c r="O237" s="101"/>
      <c r="P237" s="105" t="s">
        <v>471</v>
      </c>
      <c r="Q237" s="111"/>
      <c r="R237" s="230" t="s">
        <v>958</v>
      </c>
      <c r="S237" s="577"/>
    </row>
    <row r="238" spans="2:19" ht="24" customHeight="1" x14ac:dyDescent="0.2">
      <c r="B238" s="102">
        <v>44482</v>
      </c>
      <c r="C238" s="67" t="s">
        <v>521</v>
      </c>
      <c r="D238" s="14" t="s">
        <v>881</v>
      </c>
      <c r="E238" s="22" t="s">
        <v>26</v>
      </c>
      <c r="F238" s="105" t="s">
        <v>18</v>
      </c>
      <c r="G238" s="178">
        <v>1</v>
      </c>
      <c r="H238" s="160">
        <v>1000000</v>
      </c>
      <c r="I238" s="160">
        <v>1000000</v>
      </c>
      <c r="J238" s="104" t="s">
        <v>19</v>
      </c>
      <c r="K238" s="100" t="s">
        <v>20</v>
      </c>
      <c r="L238" s="161"/>
      <c r="M238" s="105" t="s">
        <v>476</v>
      </c>
      <c r="N238" s="105">
        <f>MONTH(List3[[#This Row],[Tanggal Pengajuan]])</f>
        <v>10</v>
      </c>
      <c r="O238" s="101"/>
      <c r="P238" s="105" t="s">
        <v>522</v>
      </c>
      <c r="Q238" s="111"/>
      <c r="R238" s="230" t="s">
        <v>958</v>
      </c>
      <c r="S238" s="577"/>
    </row>
    <row r="239" spans="2:19" ht="24" customHeight="1" x14ac:dyDescent="0.2">
      <c r="B239" s="102">
        <v>44482</v>
      </c>
      <c r="C239" s="67" t="s">
        <v>523</v>
      </c>
      <c r="D239" s="14" t="s">
        <v>882</v>
      </c>
      <c r="E239" s="22" t="s">
        <v>26</v>
      </c>
      <c r="F239" s="105" t="s">
        <v>18</v>
      </c>
      <c r="G239" s="178">
        <v>1</v>
      </c>
      <c r="H239" s="160">
        <v>750000</v>
      </c>
      <c r="I239" s="160">
        <v>750000</v>
      </c>
      <c r="J239" s="104" t="s">
        <v>19</v>
      </c>
      <c r="K239" s="100" t="s">
        <v>20</v>
      </c>
      <c r="L239" s="161"/>
      <c r="M239" s="105" t="s">
        <v>479</v>
      </c>
      <c r="N239" s="105">
        <f>MONTH(List3[[#This Row],[Tanggal Pengajuan]])</f>
        <v>10</v>
      </c>
      <c r="O239" s="101"/>
      <c r="P239" s="105" t="s">
        <v>478</v>
      </c>
      <c r="Q239" s="111"/>
      <c r="R239" s="230" t="s">
        <v>958</v>
      </c>
      <c r="S239" s="577"/>
    </row>
    <row r="240" spans="2:19" ht="24" customHeight="1" x14ac:dyDescent="0.2">
      <c r="B240" s="102">
        <v>44482</v>
      </c>
      <c r="C240" s="67" t="s">
        <v>524</v>
      </c>
      <c r="D240" s="14" t="s">
        <v>883</v>
      </c>
      <c r="E240" s="22" t="s">
        <v>26</v>
      </c>
      <c r="F240" s="105" t="s">
        <v>18</v>
      </c>
      <c r="G240" s="178">
        <v>1</v>
      </c>
      <c r="H240" s="160">
        <v>750000</v>
      </c>
      <c r="I240" s="160">
        <v>750000</v>
      </c>
      <c r="J240" s="104" t="s">
        <v>19</v>
      </c>
      <c r="K240" s="100" t="s">
        <v>20</v>
      </c>
      <c r="L240" s="161"/>
      <c r="M240" s="105" t="s">
        <v>481</v>
      </c>
      <c r="N240" s="105">
        <f>MONTH(List3[[#This Row],[Tanggal Pengajuan]])</f>
        <v>10</v>
      </c>
      <c r="O240" s="101"/>
      <c r="P240" s="105" t="s">
        <v>480</v>
      </c>
      <c r="Q240" s="111"/>
      <c r="R240" s="230" t="s">
        <v>958</v>
      </c>
      <c r="S240" s="577"/>
    </row>
    <row r="241" spans="2:19" ht="24" customHeight="1" x14ac:dyDescent="0.2">
      <c r="B241" s="102">
        <v>44483</v>
      </c>
      <c r="C241" s="67" t="s">
        <v>559</v>
      </c>
      <c r="D241" s="209" t="s">
        <v>859</v>
      </c>
      <c r="E241" s="22" t="s">
        <v>17</v>
      </c>
      <c r="F241" s="105" t="s">
        <v>18</v>
      </c>
      <c r="G241" s="178">
        <v>23</v>
      </c>
      <c r="H241" s="160">
        <v>6000000</v>
      </c>
      <c r="I241" s="160">
        <v>6000000</v>
      </c>
      <c r="J241" s="104" t="s">
        <v>19</v>
      </c>
      <c r="K241" s="100" t="s">
        <v>20</v>
      </c>
      <c r="L241" s="161">
        <v>44503</v>
      </c>
      <c r="M241" s="105" t="s">
        <v>887</v>
      </c>
      <c r="N241" s="105">
        <v>10</v>
      </c>
      <c r="O241" s="101"/>
      <c r="P241" s="105" t="s">
        <v>890</v>
      </c>
      <c r="Q241" s="111"/>
      <c r="R241" s="230" t="s">
        <v>958</v>
      </c>
      <c r="S241" s="577"/>
    </row>
    <row r="242" spans="2:19" ht="24" customHeight="1" x14ac:dyDescent="0.2">
      <c r="B242" s="102">
        <v>44483</v>
      </c>
      <c r="C242" s="163" t="s">
        <v>533</v>
      </c>
      <c r="D242" s="164" t="s">
        <v>420</v>
      </c>
      <c r="E242" s="165" t="s">
        <v>57</v>
      </c>
      <c r="F242" s="166" t="s">
        <v>18</v>
      </c>
      <c r="G242" s="178">
        <v>29</v>
      </c>
      <c r="H242" s="171">
        <v>20000000</v>
      </c>
      <c r="I242" s="167">
        <f>List3[[#This Row],[Pengajuan Donasi]]</f>
        <v>20000000</v>
      </c>
      <c r="J242" s="104" t="s">
        <v>19</v>
      </c>
      <c r="K242" s="100" t="s">
        <v>20</v>
      </c>
      <c r="L242" s="161">
        <v>44490</v>
      </c>
      <c r="M242" s="105" t="s">
        <v>534</v>
      </c>
      <c r="N242" s="105">
        <f>MONTH(List3[[#This Row],[Tanggal Pengajuan]])</f>
        <v>10</v>
      </c>
      <c r="O242" s="101"/>
      <c r="P242" s="105" t="s">
        <v>535</v>
      </c>
      <c r="Q242" s="111"/>
      <c r="R242" s="230" t="s">
        <v>958</v>
      </c>
      <c r="S242" s="577"/>
    </row>
    <row r="243" spans="2:19" ht="24" customHeight="1" x14ac:dyDescent="0.2">
      <c r="B243" s="102">
        <v>44483</v>
      </c>
      <c r="C243" s="163" t="s">
        <v>536</v>
      </c>
      <c r="D243" s="164" t="s">
        <v>429</v>
      </c>
      <c r="E243" s="165" t="s">
        <v>57</v>
      </c>
      <c r="F243" s="166" t="s">
        <v>18</v>
      </c>
      <c r="G243" s="178">
        <v>38</v>
      </c>
      <c r="H243" s="171">
        <v>10000000</v>
      </c>
      <c r="I243" s="169">
        <v>10000000</v>
      </c>
      <c r="J243" s="104" t="s">
        <v>19</v>
      </c>
      <c r="K243" s="100" t="s">
        <v>20</v>
      </c>
      <c r="L243" s="161"/>
      <c r="M243" s="105" t="s">
        <v>537</v>
      </c>
      <c r="N243" s="105">
        <f>MONTH(List3[[#This Row],[Tanggal Pengajuan]])</f>
        <v>10</v>
      </c>
      <c r="O243" s="101"/>
      <c r="P243" s="105" t="s">
        <v>538</v>
      </c>
      <c r="Q243" s="111"/>
      <c r="R243" s="230" t="s">
        <v>958</v>
      </c>
      <c r="S243" s="577"/>
    </row>
    <row r="244" spans="2:19" ht="24" customHeight="1" x14ac:dyDescent="0.2">
      <c r="B244" s="102">
        <v>44483</v>
      </c>
      <c r="C244" s="163" t="s">
        <v>539</v>
      </c>
      <c r="D244" s="164" t="s">
        <v>392</v>
      </c>
      <c r="E244" s="165" t="s">
        <v>57</v>
      </c>
      <c r="F244" s="166" t="s">
        <v>18</v>
      </c>
      <c r="G244" s="178">
        <v>75</v>
      </c>
      <c r="H244" s="171">
        <v>20000000</v>
      </c>
      <c r="I244" s="167">
        <f>List3[[#This Row],[Pengajuan Donasi]]</f>
        <v>20000000</v>
      </c>
      <c r="J244" s="104" t="s">
        <v>19</v>
      </c>
      <c r="K244" s="100" t="s">
        <v>20</v>
      </c>
      <c r="L244" s="161">
        <v>44490</v>
      </c>
      <c r="M244" s="105" t="s">
        <v>540</v>
      </c>
      <c r="N244" s="105">
        <f>MONTH(List3[[#This Row],[Tanggal Pengajuan]])</f>
        <v>10</v>
      </c>
      <c r="O244" s="101"/>
      <c r="P244" s="105" t="s">
        <v>541</v>
      </c>
      <c r="Q244" s="111"/>
      <c r="R244" s="230" t="s">
        <v>958</v>
      </c>
      <c r="S244" s="577"/>
    </row>
    <row r="245" spans="2:19" ht="24" customHeight="1" x14ac:dyDescent="0.2">
      <c r="B245" s="102">
        <v>44484</v>
      </c>
      <c r="C245" s="163" t="s">
        <v>528</v>
      </c>
      <c r="D245" s="164" t="s">
        <v>48</v>
      </c>
      <c r="E245" s="165" t="s">
        <v>179</v>
      </c>
      <c r="F245" s="166" t="s">
        <v>49</v>
      </c>
      <c r="G245" s="178">
        <v>32</v>
      </c>
      <c r="H245" s="167">
        <v>3325000</v>
      </c>
      <c r="I245" s="167">
        <f>List3[[#This Row],[Pengajuan Donasi]]</f>
        <v>3325000</v>
      </c>
      <c r="J245" s="104" t="s">
        <v>19</v>
      </c>
      <c r="K245" s="100" t="s">
        <v>20</v>
      </c>
      <c r="L245" s="161">
        <v>44491</v>
      </c>
      <c r="M245" s="105" t="s">
        <v>529</v>
      </c>
      <c r="N245" s="105">
        <f>MONTH(List3[[#This Row],[Tanggal Pengajuan]])</f>
        <v>10</v>
      </c>
      <c r="O245" s="101"/>
      <c r="P245" s="105" t="s">
        <v>530</v>
      </c>
      <c r="Q245" s="111"/>
      <c r="R245" s="230" t="s">
        <v>958</v>
      </c>
      <c r="S245" s="577"/>
    </row>
    <row r="246" spans="2:19" ht="24" customHeight="1" x14ac:dyDescent="0.2">
      <c r="B246" s="102">
        <v>44484</v>
      </c>
      <c r="C246" s="163" t="s">
        <v>531</v>
      </c>
      <c r="D246" s="164" t="s">
        <v>87</v>
      </c>
      <c r="E246" s="165" t="s">
        <v>179</v>
      </c>
      <c r="F246" s="166" t="s">
        <v>49</v>
      </c>
      <c r="G246" s="178">
        <v>20</v>
      </c>
      <c r="H246" s="167">
        <v>2400000</v>
      </c>
      <c r="I246" s="167">
        <f>List3[[#This Row],[Pengajuan Donasi]]</f>
        <v>2400000</v>
      </c>
      <c r="J246" s="104" t="s">
        <v>19</v>
      </c>
      <c r="K246" s="100" t="s">
        <v>20</v>
      </c>
      <c r="L246" s="161">
        <v>44490</v>
      </c>
      <c r="M246" s="105" t="s">
        <v>493</v>
      </c>
      <c r="N246" s="105">
        <f>MONTH(List3[[#This Row],[Tanggal Pengajuan]])</f>
        <v>10</v>
      </c>
      <c r="O246" s="101"/>
      <c r="P246" s="105" t="s">
        <v>532</v>
      </c>
      <c r="Q246" s="111"/>
      <c r="R246" s="230" t="s">
        <v>958</v>
      </c>
      <c r="S246" s="577"/>
    </row>
    <row r="247" spans="2:19" ht="24" customHeight="1" x14ac:dyDescent="0.2">
      <c r="B247" s="102">
        <v>44484</v>
      </c>
      <c r="C247" s="163" t="s">
        <v>525</v>
      </c>
      <c r="D247" s="164" t="s">
        <v>407</v>
      </c>
      <c r="E247" s="165" t="s">
        <v>57</v>
      </c>
      <c r="F247" s="168" t="s">
        <v>28</v>
      </c>
      <c r="G247" s="178">
        <v>64</v>
      </c>
      <c r="H247" s="171">
        <v>20000000</v>
      </c>
      <c r="I247" s="160">
        <v>20000000</v>
      </c>
      <c r="J247" s="104" t="s">
        <v>19</v>
      </c>
      <c r="K247" s="100" t="s">
        <v>20</v>
      </c>
      <c r="L247" s="161"/>
      <c r="M247" s="105" t="s">
        <v>526</v>
      </c>
      <c r="N247" s="105">
        <f>MONTH(List3[[#This Row],[Tanggal Pengajuan]])</f>
        <v>10</v>
      </c>
      <c r="O247" s="101"/>
      <c r="P247" s="105" t="s">
        <v>527</v>
      </c>
      <c r="Q247" s="111"/>
      <c r="R247" s="230" t="s">
        <v>958</v>
      </c>
      <c r="S247" s="577"/>
    </row>
    <row r="248" spans="2:19" ht="24" customHeight="1" x14ac:dyDescent="0.2">
      <c r="B248" s="102">
        <v>44484</v>
      </c>
      <c r="C248" s="163" t="s">
        <v>542</v>
      </c>
      <c r="D248" s="168" t="s">
        <v>413</v>
      </c>
      <c r="E248" s="165" t="s">
        <v>57</v>
      </c>
      <c r="F248" s="166" t="s">
        <v>18</v>
      </c>
      <c r="G248" s="178">
        <v>16</v>
      </c>
      <c r="H248" s="171">
        <v>20000000</v>
      </c>
      <c r="I248" s="167">
        <v>20000000</v>
      </c>
      <c r="J248" s="104" t="s">
        <v>19</v>
      </c>
      <c r="K248" s="100" t="s">
        <v>20</v>
      </c>
      <c r="L248" s="161"/>
      <c r="M248" s="105" t="s">
        <v>544</v>
      </c>
      <c r="N248" s="105">
        <f>MONTH(List3[[#This Row],[Tanggal Pengajuan]])</f>
        <v>10</v>
      </c>
      <c r="O248" s="101"/>
      <c r="P248" s="105" t="s">
        <v>543</v>
      </c>
      <c r="Q248" s="111"/>
      <c r="R248" s="230" t="s">
        <v>958</v>
      </c>
      <c r="S248" s="577"/>
    </row>
    <row r="249" spans="2:19" ht="24" customHeight="1" x14ac:dyDescent="0.2">
      <c r="B249" s="102">
        <v>44491</v>
      </c>
      <c r="C249" s="163" t="s">
        <v>545</v>
      </c>
      <c r="D249" s="168" t="s">
        <v>75</v>
      </c>
      <c r="E249" s="165" t="s">
        <v>179</v>
      </c>
      <c r="F249" s="166" t="s">
        <v>49</v>
      </c>
      <c r="G249" s="178">
        <v>9</v>
      </c>
      <c r="H249" s="167">
        <v>9784000</v>
      </c>
      <c r="I249" s="170">
        <v>9784000</v>
      </c>
      <c r="J249" s="104" t="s">
        <v>19</v>
      </c>
      <c r="K249" s="100" t="s">
        <v>20</v>
      </c>
      <c r="L249" s="161"/>
      <c r="M249" s="105" t="s">
        <v>488</v>
      </c>
      <c r="N249" s="105">
        <f>MONTH(List3[[#This Row],[Tanggal Pengajuan]])</f>
        <v>10</v>
      </c>
      <c r="O249" s="101"/>
      <c r="P249" s="105" t="s">
        <v>546</v>
      </c>
      <c r="Q249" s="111"/>
      <c r="R249" s="230" t="s">
        <v>958</v>
      </c>
      <c r="S249" s="577"/>
    </row>
    <row r="250" spans="2:19" ht="24" customHeight="1" x14ac:dyDescent="0.2">
      <c r="B250" s="102"/>
      <c r="C250" s="163" t="s">
        <v>547</v>
      </c>
      <c r="D250" s="168" t="s">
        <v>129</v>
      </c>
      <c r="E250" s="165" t="s">
        <v>179</v>
      </c>
      <c r="F250" s="166" t="s">
        <v>18</v>
      </c>
      <c r="G250" s="178">
        <v>32</v>
      </c>
      <c r="H250" s="167">
        <v>7950000</v>
      </c>
      <c r="I250" s="167">
        <v>7950000</v>
      </c>
      <c r="J250" s="104" t="s">
        <v>19</v>
      </c>
      <c r="K250" s="105" t="s">
        <v>20</v>
      </c>
      <c r="L250" s="161"/>
      <c r="M250" s="105"/>
      <c r="N250" s="105">
        <v>10</v>
      </c>
      <c r="O250" s="101"/>
      <c r="P250" s="105"/>
      <c r="Q250" s="111"/>
      <c r="R250" s="230" t="s">
        <v>958</v>
      </c>
      <c r="S250" s="577"/>
    </row>
    <row r="251" spans="2:19" ht="24" customHeight="1" x14ac:dyDescent="0.2">
      <c r="B251" s="102"/>
      <c r="C251" s="163" t="s">
        <v>548</v>
      </c>
      <c r="D251" s="168" t="s">
        <v>486</v>
      </c>
      <c r="E251" s="165" t="s">
        <v>179</v>
      </c>
      <c r="F251" s="168" t="s">
        <v>49</v>
      </c>
      <c r="G251" s="178">
        <v>44</v>
      </c>
      <c r="H251" s="167">
        <v>2640000</v>
      </c>
      <c r="I251" s="167">
        <v>2640000</v>
      </c>
      <c r="J251" s="104" t="s">
        <v>19</v>
      </c>
      <c r="K251" s="100" t="s">
        <v>20</v>
      </c>
      <c r="L251" s="161"/>
      <c r="M251" s="105"/>
      <c r="N251" s="105">
        <v>10</v>
      </c>
      <c r="O251" s="101"/>
      <c r="P251" s="105" t="s">
        <v>551</v>
      </c>
      <c r="Q251" s="111"/>
      <c r="R251" s="230" t="s">
        <v>958</v>
      </c>
      <c r="S251" s="577"/>
    </row>
    <row r="252" spans="2:19" ht="24" customHeight="1" x14ac:dyDescent="0.2">
      <c r="B252" s="102">
        <v>44495</v>
      </c>
      <c r="C252" s="163" t="s">
        <v>549</v>
      </c>
      <c r="D252" s="164" t="s">
        <v>256</v>
      </c>
      <c r="E252" s="174" t="s">
        <v>17</v>
      </c>
      <c r="F252" s="164" t="s">
        <v>18</v>
      </c>
      <c r="G252" s="178">
        <v>86</v>
      </c>
      <c r="H252" s="171">
        <v>8500000</v>
      </c>
      <c r="I252" s="40">
        <v>8500000</v>
      </c>
      <c r="J252" s="104" t="s">
        <v>19</v>
      </c>
      <c r="K252" s="100" t="s">
        <v>20</v>
      </c>
      <c r="L252" s="102">
        <v>44506</v>
      </c>
      <c r="M252" s="105" t="s">
        <v>136</v>
      </c>
      <c r="N252" s="105">
        <f>MONTH(List3[[#This Row],[Tanggal Pengajuan]])</f>
        <v>10</v>
      </c>
      <c r="O252" s="101"/>
      <c r="P252" s="105" t="s">
        <v>550</v>
      </c>
      <c r="Q252" s="111"/>
      <c r="R252" s="230" t="s">
        <v>958</v>
      </c>
      <c r="S252" s="577"/>
    </row>
    <row r="253" spans="2:19" ht="24" customHeight="1" x14ac:dyDescent="0.2">
      <c r="B253" s="102">
        <v>44495</v>
      </c>
      <c r="C253" s="163" t="s">
        <v>549</v>
      </c>
      <c r="D253" s="164" t="s">
        <v>257</v>
      </c>
      <c r="E253" s="174" t="s">
        <v>17</v>
      </c>
      <c r="F253" s="164" t="s">
        <v>18</v>
      </c>
      <c r="G253" s="178">
        <v>134</v>
      </c>
      <c r="H253" s="171">
        <v>5500000</v>
      </c>
      <c r="I253" s="40">
        <v>5500000</v>
      </c>
      <c r="J253" s="104" t="s">
        <v>19</v>
      </c>
      <c r="K253" s="100" t="s">
        <v>20</v>
      </c>
      <c r="L253" s="102">
        <v>44506</v>
      </c>
      <c r="M253" s="105" t="s">
        <v>136</v>
      </c>
      <c r="N253" s="105">
        <f>MONTH(List3[[#This Row],[Tanggal Pengajuan]])</f>
        <v>10</v>
      </c>
      <c r="O253" s="101"/>
      <c r="P253" s="105" t="s">
        <v>550</v>
      </c>
      <c r="Q253" s="111"/>
      <c r="R253" s="230" t="s">
        <v>958</v>
      </c>
      <c r="S253" s="577"/>
    </row>
    <row r="254" spans="2:19" ht="24" customHeight="1" x14ac:dyDescent="0.2">
      <c r="B254" s="102">
        <v>44495</v>
      </c>
      <c r="C254" s="163" t="s">
        <v>549</v>
      </c>
      <c r="D254" s="164" t="s">
        <v>222</v>
      </c>
      <c r="E254" s="174" t="s">
        <v>17</v>
      </c>
      <c r="F254" s="164" t="s">
        <v>18</v>
      </c>
      <c r="G254" s="178">
        <v>38</v>
      </c>
      <c r="H254" s="171">
        <v>5500000</v>
      </c>
      <c r="I254" s="40">
        <v>5500000</v>
      </c>
      <c r="J254" s="104" t="s">
        <v>19</v>
      </c>
      <c r="K254" s="100" t="s">
        <v>20</v>
      </c>
      <c r="L254" s="102">
        <v>44506</v>
      </c>
      <c r="M254" s="105" t="s">
        <v>136</v>
      </c>
      <c r="N254" s="105">
        <f>MONTH(List3[[#This Row],[Tanggal Pengajuan]])</f>
        <v>10</v>
      </c>
      <c r="O254" s="101"/>
      <c r="P254" s="105" t="s">
        <v>550</v>
      </c>
      <c r="Q254" s="111"/>
      <c r="R254" s="230" t="s">
        <v>958</v>
      </c>
      <c r="S254" s="577"/>
    </row>
    <row r="255" spans="2:19" ht="24" customHeight="1" x14ac:dyDescent="0.2">
      <c r="B255" s="102">
        <v>44495</v>
      </c>
      <c r="C255" s="163" t="s">
        <v>552</v>
      </c>
      <c r="D255" s="173" t="s">
        <v>560</v>
      </c>
      <c r="E255" s="165" t="s">
        <v>26</v>
      </c>
      <c r="F255" s="166" t="s">
        <v>28</v>
      </c>
      <c r="G255" s="178">
        <v>0</v>
      </c>
      <c r="H255" s="167">
        <v>25000000</v>
      </c>
      <c r="I255" s="160">
        <v>25000000</v>
      </c>
      <c r="J255" s="104" t="s">
        <v>19</v>
      </c>
      <c r="K255" s="100" t="s">
        <v>20</v>
      </c>
      <c r="L255" s="102">
        <v>44503</v>
      </c>
      <c r="M255" s="105" t="s">
        <v>553</v>
      </c>
      <c r="N255" s="105">
        <f>MONTH(List3[[#This Row],[Tanggal Pengajuan]])</f>
        <v>10</v>
      </c>
      <c r="O255" s="101"/>
      <c r="P255" s="105" t="s">
        <v>554</v>
      </c>
      <c r="Q255" s="111"/>
      <c r="R255" s="230" t="s">
        <v>958</v>
      </c>
      <c r="S255" s="577"/>
    </row>
    <row r="256" spans="2:19" ht="24" customHeight="1" x14ac:dyDescent="0.2">
      <c r="B256" s="102">
        <v>44496</v>
      </c>
      <c r="C256" s="67" t="s">
        <v>561</v>
      </c>
      <c r="D256" s="103"/>
      <c r="E256" s="22"/>
      <c r="F256" s="105"/>
      <c r="G256" s="15">
        <v>0</v>
      </c>
      <c r="H256" s="160"/>
      <c r="I256" s="160"/>
      <c r="J256" s="104"/>
      <c r="K256" s="100"/>
      <c r="L256" s="161"/>
      <c r="M256" s="105"/>
      <c r="N256" s="105">
        <f>MONTH(List3[[#This Row],[Tanggal Pengajuan]])</f>
        <v>10</v>
      </c>
      <c r="O256" s="101"/>
      <c r="P256" s="105"/>
      <c r="Q256" s="111"/>
      <c r="R256" s="237"/>
      <c r="S256" s="577"/>
    </row>
    <row r="257" spans="2:19" ht="24" customHeight="1" x14ac:dyDescent="0.2">
      <c r="B257" s="102">
        <v>44497</v>
      </c>
      <c r="C257" s="163" t="s">
        <v>555</v>
      </c>
      <c r="D257" s="168" t="s">
        <v>558</v>
      </c>
      <c r="E257" s="165" t="s">
        <v>57</v>
      </c>
      <c r="F257" s="166" t="s">
        <v>28</v>
      </c>
      <c r="G257" s="178">
        <v>40</v>
      </c>
      <c r="H257" s="167">
        <v>30000000</v>
      </c>
      <c r="I257" s="160">
        <v>30000000</v>
      </c>
      <c r="J257" s="104" t="s">
        <v>19</v>
      </c>
      <c r="K257" s="100" t="s">
        <v>20</v>
      </c>
      <c r="L257" s="102">
        <v>44509</v>
      </c>
      <c r="M257" s="105" t="s">
        <v>556</v>
      </c>
      <c r="N257" s="105">
        <f>MONTH(List3[[#This Row],[Tanggal Pengajuan]])</f>
        <v>10</v>
      </c>
      <c r="O257" s="101"/>
      <c r="P257" s="105" t="s">
        <v>557</v>
      </c>
      <c r="Q257" s="111"/>
      <c r="R257" s="230" t="s">
        <v>958</v>
      </c>
      <c r="S257" s="577"/>
    </row>
    <row r="258" spans="2:19" ht="24" customHeight="1" x14ac:dyDescent="0.2">
      <c r="B258" s="19"/>
      <c r="C258" s="163" t="s">
        <v>562</v>
      </c>
      <c r="D258" s="176"/>
      <c r="E258" s="176"/>
      <c r="F258" s="103"/>
      <c r="G258" s="469">
        <v>0</v>
      </c>
      <c r="H258" s="40"/>
      <c r="I258" s="40">
        <f>List3[[#This Row],[Pengajuan Donasi]]</f>
        <v>0</v>
      </c>
      <c r="J258" s="16"/>
      <c r="K258" s="176"/>
      <c r="L258" s="153"/>
      <c r="M258" s="20"/>
      <c r="N258" s="20">
        <f>MONTH(List3[[#This Row],[Tanggal Pengajuan]])</f>
        <v>1</v>
      </c>
      <c r="O258" s="101"/>
      <c r="P258" s="20"/>
      <c r="Q258" s="177"/>
      <c r="R258" s="237"/>
      <c r="S258" s="577"/>
    </row>
    <row r="259" spans="2:19" ht="24" customHeight="1" x14ac:dyDescent="0.2">
      <c r="B259" s="19"/>
      <c r="C259" s="163" t="s">
        <v>563</v>
      </c>
      <c r="D259" s="176"/>
      <c r="E259" s="176"/>
      <c r="F259" s="103"/>
      <c r="G259" s="469">
        <v>0</v>
      </c>
      <c r="H259" s="40"/>
      <c r="I259" s="40">
        <f>List3[[#This Row],[Pengajuan Donasi]]</f>
        <v>0</v>
      </c>
      <c r="J259" s="16"/>
      <c r="K259" s="176"/>
      <c r="L259" s="153"/>
      <c r="M259" s="20"/>
      <c r="N259" s="20">
        <f>MONTH(List3[[#This Row],[Tanggal Pengajuan]])</f>
        <v>1</v>
      </c>
      <c r="O259" s="101"/>
      <c r="P259" s="20"/>
      <c r="Q259" s="177"/>
      <c r="R259" s="237"/>
      <c r="S259" s="577"/>
    </row>
    <row r="260" spans="2:19" ht="24" customHeight="1" x14ac:dyDescent="0.2">
      <c r="B260" s="19">
        <v>44502</v>
      </c>
      <c r="C260" s="163" t="s">
        <v>564</v>
      </c>
      <c r="D260" s="103" t="s">
        <v>872</v>
      </c>
      <c r="E260" s="176" t="s">
        <v>17</v>
      </c>
      <c r="F260" s="103" t="s">
        <v>18</v>
      </c>
      <c r="G260" s="469">
        <v>70</v>
      </c>
      <c r="H260" s="40">
        <v>6016800</v>
      </c>
      <c r="I260" s="40">
        <f>List3[[#This Row],[Pengajuan Donasi]]</f>
        <v>6016800</v>
      </c>
      <c r="J260" s="16" t="s">
        <v>19</v>
      </c>
      <c r="K260" s="176" t="s">
        <v>20</v>
      </c>
      <c r="L260" s="102">
        <v>44516</v>
      </c>
      <c r="M260" s="20"/>
      <c r="N260" s="105">
        <f>MONTH(List3[[#This Row],[Tanggal Pengajuan]])</f>
        <v>11</v>
      </c>
      <c r="O260" s="101"/>
      <c r="P260" s="20"/>
      <c r="Q260" s="177"/>
      <c r="R260" s="230" t="s">
        <v>958</v>
      </c>
      <c r="S260" s="577"/>
    </row>
    <row r="261" spans="2:19" ht="24" customHeight="1" x14ac:dyDescent="0.2">
      <c r="B261" s="19">
        <v>44502</v>
      </c>
      <c r="C261" s="163" t="s">
        <v>564</v>
      </c>
      <c r="D261" s="103" t="s">
        <v>870</v>
      </c>
      <c r="E261" s="176" t="s">
        <v>17</v>
      </c>
      <c r="F261" s="103" t="s">
        <v>18</v>
      </c>
      <c r="G261" s="469">
        <v>98</v>
      </c>
      <c r="H261" s="40">
        <v>6145300</v>
      </c>
      <c r="I261" s="40">
        <f>List3[[#This Row],[Pengajuan Donasi]]</f>
        <v>6145300</v>
      </c>
      <c r="J261" s="16" t="s">
        <v>19</v>
      </c>
      <c r="K261" s="176" t="s">
        <v>20</v>
      </c>
      <c r="L261" s="102">
        <v>44516</v>
      </c>
      <c r="M261" s="20"/>
      <c r="N261" s="105">
        <f>MONTH(List3[[#This Row],[Tanggal Pengajuan]])</f>
        <v>11</v>
      </c>
      <c r="O261" s="101"/>
      <c r="P261" s="20"/>
      <c r="Q261" s="177"/>
      <c r="R261" s="230" t="s">
        <v>958</v>
      </c>
      <c r="S261" s="577"/>
    </row>
    <row r="262" spans="2:19" ht="24" customHeight="1" x14ac:dyDescent="0.2">
      <c r="B262" s="19">
        <v>44502</v>
      </c>
      <c r="C262" s="163" t="s">
        <v>564</v>
      </c>
      <c r="D262" s="103" t="s">
        <v>849</v>
      </c>
      <c r="E262" s="176" t="s">
        <v>17</v>
      </c>
      <c r="F262" s="103" t="s">
        <v>18</v>
      </c>
      <c r="G262" s="469">
        <v>63</v>
      </c>
      <c r="H262" s="40">
        <v>6039400</v>
      </c>
      <c r="I262" s="40">
        <f>List3[[#This Row],[Pengajuan Donasi]]</f>
        <v>6039400</v>
      </c>
      <c r="J262" s="16" t="s">
        <v>19</v>
      </c>
      <c r="K262" s="176" t="s">
        <v>20</v>
      </c>
      <c r="L262" s="102">
        <v>44516</v>
      </c>
      <c r="M262" s="20"/>
      <c r="N262" s="105">
        <f>MONTH(List3[[#This Row],[Tanggal Pengajuan]])</f>
        <v>11</v>
      </c>
      <c r="O262" s="101"/>
      <c r="P262" s="20"/>
      <c r="Q262" s="177"/>
      <c r="R262" s="230" t="s">
        <v>958</v>
      </c>
      <c r="S262" s="577"/>
    </row>
    <row r="263" spans="2:19" ht="24" customHeight="1" x14ac:dyDescent="0.2">
      <c r="B263" s="19">
        <v>44502</v>
      </c>
      <c r="C263" s="163" t="s">
        <v>564</v>
      </c>
      <c r="D263" s="103" t="s">
        <v>850</v>
      </c>
      <c r="E263" s="176" t="s">
        <v>17</v>
      </c>
      <c r="F263" s="103" t="s">
        <v>18</v>
      </c>
      <c r="G263" s="469">
        <v>19</v>
      </c>
      <c r="H263" s="40">
        <v>5998600</v>
      </c>
      <c r="I263" s="40">
        <f>List3[[#This Row],[Pengajuan Donasi]]</f>
        <v>5998600</v>
      </c>
      <c r="J263" s="16" t="s">
        <v>19</v>
      </c>
      <c r="K263" s="176" t="s">
        <v>20</v>
      </c>
      <c r="L263" s="102">
        <v>44516</v>
      </c>
      <c r="M263" s="20"/>
      <c r="N263" s="20">
        <f>MONTH(List3[[#This Row],[Tanggal Pengajuan]])</f>
        <v>11</v>
      </c>
      <c r="O263" s="101"/>
      <c r="P263" s="20"/>
      <c r="Q263" s="177"/>
      <c r="R263" s="230" t="s">
        <v>958</v>
      </c>
      <c r="S263" s="577"/>
    </row>
    <row r="264" spans="2:19" ht="24" customHeight="1" x14ac:dyDescent="0.2">
      <c r="B264" s="19">
        <v>44502</v>
      </c>
      <c r="C264" s="163" t="s">
        <v>564</v>
      </c>
      <c r="D264" s="103" t="s">
        <v>852</v>
      </c>
      <c r="E264" s="176" t="s">
        <v>17</v>
      </c>
      <c r="F264" s="103" t="s">
        <v>18</v>
      </c>
      <c r="G264" s="469">
        <v>40</v>
      </c>
      <c r="H264" s="40">
        <v>6005900</v>
      </c>
      <c r="I264" s="40">
        <f>List3[[#This Row],[Pengajuan Donasi]]</f>
        <v>6005900</v>
      </c>
      <c r="J264" s="16" t="s">
        <v>19</v>
      </c>
      <c r="K264" s="176" t="s">
        <v>20</v>
      </c>
      <c r="L264" s="102">
        <v>44516</v>
      </c>
      <c r="M264" s="20"/>
      <c r="N264" s="20">
        <f>MONTH(List3[[#This Row],[Tanggal Pengajuan]])</f>
        <v>11</v>
      </c>
      <c r="O264" s="101"/>
      <c r="P264" s="20"/>
      <c r="Q264" s="177"/>
      <c r="R264" s="230" t="s">
        <v>958</v>
      </c>
      <c r="S264" s="577"/>
    </row>
    <row r="265" spans="2:19" ht="24" customHeight="1" x14ac:dyDescent="0.2">
      <c r="B265" s="19">
        <v>44502</v>
      </c>
      <c r="C265" s="163" t="s">
        <v>564</v>
      </c>
      <c r="D265" s="103" t="s">
        <v>238</v>
      </c>
      <c r="E265" s="176" t="s">
        <v>17</v>
      </c>
      <c r="F265" s="103" t="s">
        <v>18</v>
      </c>
      <c r="G265" s="469">
        <v>119</v>
      </c>
      <c r="H265" s="40">
        <v>5998900</v>
      </c>
      <c r="I265" s="40">
        <f>List3[[#This Row],[Pengajuan Donasi]]</f>
        <v>5998900</v>
      </c>
      <c r="J265" s="16" t="s">
        <v>19</v>
      </c>
      <c r="K265" s="176" t="s">
        <v>20</v>
      </c>
      <c r="L265" s="102">
        <v>44516</v>
      </c>
      <c r="M265" s="20"/>
      <c r="N265" s="20">
        <f>MONTH(List3[[#This Row],[Tanggal Pengajuan]])</f>
        <v>11</v>
      </c>
      <c r="O265" s="101"/>
      <c r="P265" s="20"/>
      <c r="Q265" s="177"/>
      <c r="R265" s="230" t="s">
        <v>958</v>
      </c>
      <c r="S265" s="577"/>
    </row>
    <row r="266" spans="2:19" ht="24" customHeight="1" x14ac:dyDescent="0.2">
      <c r="B266" s="19">
        <v>44502</v>
      </c>
      <c r="C266" s="163" t="s">
        <v>564</v>
      </c>
      <c r="D266" s="103" t="s">
        <v>867</v>
      </c>
      <c r="E266" s="176" t="s">
        <v>17</v>
      </c>
      <c r="F266" s="103" t="s">
        <v>18</v>
      </c>
      <c r="G266" s="469">
        <v>77</v>
      </c>
      <c r="H266" s="40">
        <v>5998800</v>
      </c>
      <c r="I266" s="40">
        <f>List3[[#This Row],[Pengajuan Donasi]]</f>
        <v>5998800</v>
      </c>
      <c r="J266" s="16" t="s">
        <v>19</v>
      </c>
      <c r="K266" s="176" t="s">
        <v>20</v>
      </c>
      <c r="L266" s="102">
        <v>44516</v>
      </c>
      <c r="M266" s="20"/>
      <c r="N266" s="20">
        <f>MONTH(List3[[#This Row],[Tanggal Pengajuan]])</f>
        <v>11</v>
      </c>
      <c r="O266" s="101"/>
      <c r="P266" s="20"/>
      <c r="Q266" s="177"/>
      <c r="R266" s="230" t="s">
        <v>958</v>
      </c>
      <c r="S266" s="577"/>
    </row>
    <row r="267" spans="2:19" ht="24" customHeight="1" x14ac:dyDescent="0.2">
      <c r="B267" s="19">
        <v>44502</v>
      </c>
      <c r="C267" s="163" t="s">
        <v>564</v>
      </c>
      <c r="D267" s="103" t="s">
        <v>868</v>
      </c>
      <c r="E267" s="176" t="s">
        <v>17</v>
      </c>
      <c r="F267" s="103" t="s">
        <v>18</v>
      </c>
      <c r="G267" s="469">
        <v>36</v>
      </c>
      <c r="H267" s="40">
        <v>5999700</v>
      </c>
      <c r="I267" s="40">
        <f>List3[[#This Row],[Pengajuan Donasi]]</f>
        <v>5999700</v>
      </c>
      <c r="J267" s="16" t="s">
        <v>19</v>
      </c>
      <c r="K267" s="176" t="s">
        <v>20</v>
      </c>
      <c r="L267" s="102">
        <v>44516</v>
      </c>
      <c r="M267" s="20"/>
      <c r="N267" s="20">
        <f>MONTH(List3[[#This Row],[Tanggal Pengajuan]])</f>
        <v>11</v>
      </c>
      <c r="O267" s="101"/>
      <c r="P267" s="20"/>
      <c r="Q267" s="177"/>
      <c r="R267" s="230" t="s">
        <v>958</v>
      </c>
      <c r="S267" s="577"/>
    </row>
    <row r="268" spans="2:19" ht="24" customHeight="1" x14ac:dyDescent="0.2">
      <c r="B268" s="19">
        <v>44502</v>
      </c>
      <c r="C268" s="163" t="s">
        <v>564</v>
      </c>
      <c r="D268" s="103" t="s">
        <v>124</v>
      </c>
      <c r="E268" s="176" t="s">
        <v>17</v>
      </c>
      <c r="F268" s="103" t="s">
        <v>18</v>
      </c>
      <c r="G268" s="469">
        <v>83</v>
      </c>
      <c r="H268" s="40">
        <v>5999900</v>
      </c>
      <c r="I268" s="40">
        <f>List3[[#This Row],[Pengajuan Donasi]]</f>
        <v>5999900</v>
      </c>
      <c r="J268" s="16" t="s">
        <v>19</v>
      </c>
      <c r="K268" s="176" t="s">
        <v>20</v>
      </c>
      <c r="L268" s="102">
        <v>44516</v>
      </c>
      <c r="M268" s="20"/>
      <c r="N268" s="20">
        <f>MONTH(List3[[#This Row],[Tanggal Pengajuan]])</f>
        <v>11</v>
      </c>
      <c r="O268" s="101"/>
      <c r="P268" s="20"/>
      <c r="Q268" s="177"/>
      <c r="R268" s="230" t="s">
        <v>958</v>
      </c>
      <c r="S268" s="577"/>
    </row>
    <row r="269" spans="2:19" ht="24" customHeight="1" x14ac:dyDescent="0.2">
      <c r="B269" s="19">
        <v>44502</v>
      </c>
      <c r="C269" s="163" t="s">
        <v>564</v>
      </c>
      <c r="D269" s="103" t="s">
        <v>855</v>
      </c>
      <c r="E269" s="176" t="s">
        <v>17</v>
      </c>
      <c r="F269" s="103" t="s">
        <v>18</v>
      </c>
      <c r="G269" s="469">
        <v>91</v>
      </c>
      <c r="H269" s="40">
        <v>6286900</v>
      </c>
      <c r="I269" s="40">
        <f>List3[[#This Row],[Pengajuan Donasi]]</f>
        <v>6286900</v>
      </c>
      <c r="J269" s="16" t="s">
        <v>19</v>
      </c>
      <c r="K269" s="176" t="s">
        <v>20</v>
      </c>
      <c r="L269" s="102">
        <v>44516</v>
      </c>
      <c r="M269" s="20"/>
      <c r="N269" s="20">
        <f>MONTH(List3[[#This Row],[Tanggal Pengajuan]])</f>
        <v>11</v>
      </c>
      <c r="O269" s="101"/>
      <c r="P269" s="20"/>
      <c r="Q269" s="177"/>
      <c r="R269" s="230" t="s">
        <v>958</v>
      </c>
      <c r="S269" s="577"/>
    </row>
    <row r="270" spans="2:19" ht="24" customHeight="1" x14ac:dyDescent="0.2">
      <c r="B270" s="19">
        <v>44502</v>
      </c>
      <c r="C270" s="163" t="s">
        <v>564</v>
      </c>
      <c r="D270" s="103" t="s">
        <v>871</v>
      </c>
      <c r="E270" s="176" t="s">
        <v>17</v>
      </c>
      <c r="F270" s="103" t="s">
        <v>18</v>
      </c>
      <c r="G270" s="469">
        <v>40</v>
      </c>
      <c r="H270" s="40">
        <v>6460600</v>
      </c>
      <c r="I270" s="40">
        <f>List3[[#This Row],[Pengajuan Donasi]]</f>
        <v>6460600</v>
      </c>
      <c r="J270" s="16" t="s">
        <v>19</v>
      </c>
      <c r="K270" s="176" t="s">
        <v>20</v>
      </c>
      <c r="L270" s="102">
        <v>44516</v>
      </c>
      <c r="M270" s="20"/>
      <c r="N270" s="20">
        <f>MONTH(List3[[#This Row],[Tanggal Pengajuan]])</f>
        <v>11</v>
      </c>
      <c r="O270" s="101"/>
      <c r="P270" s="20"/>
      <c r="Q270" s="177"/>
      <c r="R270" s="230" t="s">
        <v>958</v>
      </c>
      <c r="S270" s="577"/>
    </row>
    <row r="271" spans="2:19" ht="24" customHeight="1" x14ac:dyDescent="0.2">
      <c r="B271" s="19">
        <v>44502</v>
      </c>
      <c r="C271" s="163" t="s">
        <v>564</v>
      </c>
      <c r="D271" s="103" t="s">
        <v>851</v>
      </c>
      <c r="E271" s="176" t="s">
        <v>17</v>
      </c>
      <c r="F271" s="103" t="s">
        <v>18</v>
      </c>
      <c r="G271" s="469">
        <v>57</v>
      </c>
      <c r="H271" s="40">
        <v>6000900</v>
      </c>
      <c r="I271" s="40">
        <f>List3[[#This Row],[Pengajuan Donasi]]</f>
        <v>6000900</v>
      </c>
      <c r="J271" s="16" t="s">
        <v>19</v>
      </c>
      <c r="K271" s="176" t="s">
        <v>20</v>
      </c>
      <c r="L271" s="102">
        <v>44516</v>
      </c>
      <c r="M271" s="20"/>
      <c r="N271" s="20">
        <f>MONTH(List3[[#This Row],[Tanggal Pengajuan]])</f>
        <v>11</v>
      </c>
      <c r="O271" s="101"/>
      <c r="P271" s="20"/>
      <c r="Q271" s="177"/>
      <c r="R271" s="230" t="s">
        <v>958</v>
      </c>
      <c r="S271" s="577"/>
    </row>
    <row r="272" spans="2:19" ht="24" customHeight="1" x14ac:dyDescent="0.2">
      <c r="B272" s="19">
        <v>44502</v>
      </c>
      <c r="C272" s="163" t="s">
        <v>564</v>
      </c>
      <c r="D272" s="103" t="s">
        <v>869</v>
      </c>
      <c r="E272" s="176" t="s">
        <v>17</v>
      </c>
      <c r="F272" s="103" t="s">
        <v>18</v>
      </c>
      <c r="G272" s="469">
        <v>22</v>
      </c>
      <c r="H272" s="40">
        <v>6084000</v>
      </c>
      <c r="I272" s="40">
        <f>List3[[#This Row],[Pengajuan Donasi]]</f>
        <v>6084000</v>
      </c>
      <c r="J272" s="16" t="s">
        <v>19</v>
      </c>
      <c r="K272" s="176" t="s">
        <v>20</v>
      </c>
      <c r="L272" s="102">
        <v>44516</v>
      </c>
      <c r="M272" s="20"/>
      <c r="N272" s="20">
        <f>MONTH(List3[[#This Row],[Tanggal Pengajuan]])</f>
        <v>11</v>
      </c>
      <c r="O272" s="101"/>
      <c r="P272" s="20"/>
      <c r="Q272" s="177"/>
      <c r="R272" s="230" t="s">
        <v>958</v>
      </c>
      <c r="S272" s="577"/>
    </row>
    <row r="273" spans="2:19" ht="24" customHeight="1" x14ac:dyDescent="0.2">
      <c r="B273" s="19">
        <v>44502</v>
      </c>
      <c r="C273" s="163" t="s">
        <v>564</v>
      </c>
      <c r="D273" s="103" t="s">
        <v>848</v>
      </c>
      <c r="E273" s="176" t="s">
        <v>17</v>
      </c>
      <c r="F273" s="103" t="s">
        <v>18</v>
      </c>
      <c r="G273" s="469">
        <v>42</v>
      </c>
      <c r="H273" s="40">
        <v>6314900</v>
      </c>
      <c r="I273" s="40">
        <f>List3[[#This Row],[Pengajuan Donasi]]</f>
        <v>6314900</v>
      </c>
      <c r="J273" s="16" t="s">
        <v>19</v>
      </c>
      <c r="K273" s="176" t="s">
        <v>20</v>
      </c>
      <c r="L273" s="102">
        <v>44516</v>
      </c>
      <c r="M273" s="20"/>
      <c r="N273" s="20">
        <f>MONTH(List3[[#This Row],[Tanggal Pengajuan]])</f>
        <v>11</v>
      </c>
      <c r="O273" s="101"/>
      <c r="P273" s="20"/>
      <c r="Q273" s="177"/>
      <c r="R273" s="230" t="s">
        <v>958</v>
      </c>
      <c r="S273" s="577"/>
    </row>
    <row r="274" spans="2:19" ht="24" customHeight="1" x14ac:dyDescent="0.2">
      <c r="B274" s="19">
        <v>44502</v>
      </c>
      <c r="C274" s="163" t="s">
        <v>564</v>
      </c>
      <c r="D274" s="103" t="s">
        <v>229</v>
      </c>
      <c r="E274" s="176" t="s">
        <v>17</v>
      </c>
      <c r="F274" s="103" t="s">
        <v>18</v>
      </c>
      <c r="G274" s="469">
        <v>28</v>
      </c>
      <c r="H274" s="40">
        <v>6038400</v>
      </c>
      <c r="I274" s="40">
        <f>List3[[#This Row],[Pengajuan Donasi]]</f>
        <v>6038400</v>
      </c>
      <c r="J274" s="16" t="s">
        <v>19</v>
      </c>
      <c r="K274" s="176" t="s">
        <v>20</v>
      </c>
      <c r="L274" s="102">
        <v>44516</v>
      </c>
      <c r="M274" s="20"/>
      <c r="N274" s="20">
        <f>MONTH(List3[[#This Row],[Tanggal Pengajuan]])</f>
        <v>11</v>
      </c>
      <c r="O274" s="101"/>
      <c r="P274" s="20"/>
      <c r="Q274" s="177"/>
      <c r="R274" s="230" t="s">
        <v>958</v>
      </c>
      <c r="S274" s="577"/>
    </row>
    <row r="275" spans="2:19" ht="24" customHeight="1" x14ac:dyDescent="0.2">
      <c r="B275" s="19">
        <v>44502</v>
      </c>
      <c r="C275" s="163" t="s">
        <v>564</v>
      </c>
      <c r="D275" s="103" t="s">
        <v>228</v>
      </c>
      <c r="E275" s="176" t="s">
        <v>17</v>
      </c>
      <c r="F275" s="103" t="s">
        <v>18</v>
      </c>
      <c r="G275" s="469">
        <v>64</v>
      </c>
      <c r="H275" s="40">
        <v>6006800</v>
      </c>
      <c r="I275" s="40">
        <f>List3[[#This Row],[Pengajuan Donasi]]</f>
        <v>6006800</v>
      </c>
      <c r="J275" s="16" t="s">
        <v>19</v>
      </c>
      <c r="K275" s="176" t="s">
        <v>20</v>
      </c>
      <c r="L275" s="102">
        <v>44516</v>
      </c>
      <c r="M275" s="20"/>
      <c r="N275" s="20">
        <f>MONTH(List3[[#This Row],[Tanggal Pengajuan]])</f>
        <v>11</v>
      </c>
      <c r="O275" s="101"/>
      <c r="P275" s="20"/>
      <c r="Q275" s="177"/>
      <c r="R275" s="230" t="s">
        <v>958</v>
      </c>
      <c r="S275" s="577"/>
    </row>
    <row r="276" spans="2:19" ht="24" customHeight="1" x14ac:dyDescent="0.2">
      <c r="B276" s="19">
        <v>44502</v>
      </c>
      <c r="C276" s="163" t="s">
        <v>564</v>
      </c>
      <c r="D276" s="103" t="s">
        <v>858</v>
      </c>
      <c r="E276" s="176" t="s">
        <v>17</v>
      </c>
      <c r="F276" s="103" t="s">
        <v>18</v>
      </c>
      <c r="G276" s="469">
        <v>12</v>
      </c>
      <c r="H276" s="40">
        <v>6181000</v>
      </c>
      <c r="I276" s="40">
        <f>List3[[#This Row],[Pengajuan Donasi]]</f>
        <v>6181000</v>
      </c>
      <c r="J276" s="16" t="s">
        <v>19</v>
      </c>
      <c r="K276" s="176" t="s">
        <v>20</v>
      </c>
      <c r="L276" s="102">
        <v>44516</v>
      </c>
      <c r="M276" s="20"/>
      <c r="N276" s="20">
        <f>MONTH(List3[[#This Row],[Tanggal Pengajuan]])</f>
        <v>11</v>
      </c>
      <c r="O276" s="101"/>
      <c r="P276" s="20"/>
      <c r="Q276" s="177"/>
      <c r="R276" s="230" t="s">
        <v>958</v>
      </c>
      <c r="S276" s="577"/>
    </row>
    <row r="277" spans="2:19" ht="24" customHeight="1" x14ac:dyDescent="0.2">
      <c r="B277" s="19">
        <v>44502</v>
      </c>
      <c r="C277" s="163" t="s">
        <v>564</v>
      </c>
      <c r="D277" s="103" t="s">
        <v>856</v>
      </c>
      <c r="E277" s="176" t="s">
        <v>17</v>
      </c>
      <c r="F277" s="103" t="s">
        <v>18</v>
      </c>
      <c r="G277" s="469">
        <v>28</v>
      </c>
      <c r="H277" s="40">
        <v>6449800</v>
      </c>
      <c r="I277" s="40">
        <f>List3[[#This Row],[Pengajuan Donasi]]</f>
        <v>6449800</v>
      </c>
      <c r="J277" s="16" t="s">
        <v>19</v>
      </c>
      <c r="K277" s="176" t="s">
        <v>20</v>
      </c>
      <c r="L277" s="102">
        <v>44516</v>
      </c>
      <c r="M277" s="20"/>
      <c r="N277" s="20">
        <f>MONTH(List3[[#This Row],[Tanggal Pengajuan]])</f>
        <v>11</v>
      </c>
      <c r="O277" s="101"/>
      <c r="P277" s="20"/>
      <c r="Q277" s="177"/>
      <c r="R277" s="230" t="s">
        <v>958</v>
      </c>
      <c r="S277" s="577"/>
    </row>
    <row r="278" spans="2:19" ht="24" customHeight="1" x14ac:dyDescent="0.2">
      <c r="B278" s="19">
        <v>44502</v>
      </c>
      <c r="C278" s="163" t="s">
        <v>564</v>
      </c>
      <c r="D278" s="103" t="s">
        <v>854</v>
      </c>
      <c r="E278" s="176" t="s">
        <v>17</v>
      </c>
      <c r="F278" s="103" t="s">
        <v>18</v>
      </c>
      <c r="G278" s="469">
        <v>150</v>
      </c>
      <c r="H278" s="40">
        <v>6108800</v>
      </c>
      <c r="I278" s="40">
        <f>List3[[#This Row],[Pengajuan Donasi]]</f>
        <v>6108800</v>
      </c>
      <c r="J278" s="16" t="s">
        <v>19</v>
      </c>
      <c r="K278" s="176" t="s">
        <v>20</v>
      </c>
      <c r="L278" s="102">
        <v>44516</v>
      </c>
      <c r="M278" s="20"/>
      <c r="N278" s="20">
        <f>MONTH(List3[[#This Row],[Tanggal Pengajuan]])</f>
        <v>11</v>
      </c>
      <c r="O278" s="101"/>
      <c r="P278" s="20"/>
      <c r="Q278" s="177"/>
      <c r="R278" s="230" t="s">
        <v>958</v>
      </c>
      <c r="S278" s="577"/>
    </row>
    <row r="279" spans="2:19" ht="24" customHeight="1" x14ac:dyDescent="0.2">
      <c r="B279" s="19">
        <v>44502</v>
      </c>
      <c r="C279" s="163" t="s">
        <v>564</v>
      </c>
      <c r="D279" s="103" t="s">
        <v>328</v>
      </c>
      <c r="E279" s="176" t="s">
        <v>17</v>
      </c>
      <c r="F279" s="103" t="s">
        <v>18</v>
      </c>
      <c r="G279" s="469">
        <v>14</v>
      </c>
      <c r="H279" s="40">
        <v>5999100</v>
      </c>
      <c r="I279" s="40">
        <f>List3[[#This Row],[Pengajuan Donasi]]</f>
        <v>5999100</v>
      </c>
      <c r="J279" s="16" t="s">
        <v>19</v>
      </c>
      <c r="K279" s="176" t="s">
        <v>20</v>
      </c>
      <c r="L279" s="102">
        <v>44516</v>
      </c>
      <c r="M279" s="20"/>
      <c r="N279" s="20">
        <f>MONTH(List3[[#This Row],[Tanggal Pengajuan]])</f>
        <v>11</v>
      </c>
      <c r="O279" s="101"/>
      <c r="P279" s="20"/>
      <c r="Q279" s="177"/>
      <c r="R279" s="230" t="s">
        <v>958</v>
      </c>
      <c r="S279" s="577"/>
    </row>
    <row r="280" spans="2:19" ht="24" customHeight="1" x14ac:dyDescent="0.2">
      <c r="B280" s="19">
        <v>44502</v>
      </c>
      <c r="C280" s="163" t="s">
        <v>564</v>
      </c>
      <c r="D280" s="103" t="s">
        <v>857</v>
      </c>
      <c r="E280" s="176" t="s">
        <v>17</v>
      </c>
      <c r="F280" s="103" t="s">
        <v>18</v>
      </c>
      <c r="G280" s="469">
        <v>52</v>
      </c>
      <c r="H280" s="40">
        <v>6132100</v>
      </c>
      <c r="I280" s="40">
        <f>List3[[#This Row],[Pengajuan Donasi]]</f>
        <v>6132100</v>
      </c>
      <c r="J280" s="16" t="s">
        <v>19</v>
      </c>
      <c r="K280" s="176" t="s">
        <v>20</v>
      </c>
      <c r="L280" s="102">
        <v>44516</v>
      </c>
      <c r="M280" s="20"/>
      <c r="N280" s="20">
        <f>MONTH(List3[[#This Row],[Tanggal Pengajuan]])</f>
        <v>11</v>
      </c>
      <c r="O280" s="101"/>
      <c r="P280" s="20"/>
      <c r="Q280" s="177"/>
      <c r="R280" s="230" t="s">
        <v>958</v>
      </c>
      <c r="S280" s="577"/>
    </row>
    <row r="281" spans="2:19" ht="24" customHeight="1" x14ac:dyDescent="0.2">
      <c r="B281" s="19">
        <v>44502</v>
      </c>
      <c r="C281" s="163" t="s">
        <v>564</v>
      </c>
      <c r="D281" s="103" t="s">
        <v>853</v>
      </c>
      <c r="E281" s="176" t="s">
        <v>17</v>
      </c>
      <c r="F281" s="103" t="s">
        <v>18</v>
      </c>
      <c r="G281" s="469">
        <v>25</v>
      </c>
      <c r="H281" s="40">
        <v>5998600</v>
      </c>
      <c r="I281" s="40">
        <f>List3[[#This Row],[Pengajuan Donasi]]</f>
        <v>5998600</v>
      </c>
      <c r="J281" s="16" t="s">
        <v>19</v>
      </c>
      <c r="K281" s="176" t="s">
        <v>20</v>
      </c>
      <c r="L281" s="102">
        <v>44516</v>
      </c>
      <c r="M281" s="20"/>
      <c r="N281" s="20">
        <f>MONTH(List3[[#This Row],[Tanggal Pengajuan]])</f>
        <v>11</v>
      </c>
      <c r="O281" s="101"/>
      <c r="P281" s="20"/>
      <c r="Q281" s="177"/>
      <c r="R281" s="230" t="s">
        <v>958</v>
      </c>
      <c r="S281" s="577"/>
    </row>
    <row r="282" spans="2:19" ht="24" customHeight="1" x14ac:dyDescent="0.2">
      <c r="B282" s="19">
        <v>44502</v>
      </c>
      <c r="C282" s="163" t="s">
        <v>564</v>
      </c>
      <c r="D282" s="103" t="s">
        <v>362</v>
      </c>
      <c r="E282" s="176" t="s">
        <v>17</v>
      </c>
      <c r="F282" s="103" t="s">
        <v>18</v>
      </c>
      <c r="G282" s="469">
        <v>128</v>
      </c>
      <c r="H282" s="40">
        <v>6030400</v>
      </c>
      <c r="I282" s="40">
        <f>List3[[#This Row],[Pengajuan Donasi]]</f>
        <v>6030400</v>
      </c>
      <c r="J282" s="16" t="s">
        <v>19</v>
      </c>
      <c r="K282" s="176" t="s">
        <v>20</v>
      </c>
      <c r="L282" s="102">
        <v>44516</v>
      </c>
      <c r="M282" s="20"/>
      <c r="N282" s="20">
        <f>MONTH(List3[[#This Row],[Tanggal Pengajuan]])</f>
        <v>11</v>
      </c>
      <c r="O282" s="101"/>
      <c r="P282" s="20"/>
      <c r="Q282" s="177"/>
      <c r="R282" s="230" t="s">
        <v>958</v>
      </c>
      <c r="S282" s="577"/>
    </row>
    <row r="283" spans="2:19" ht="24" customHeight="1" x14ac:dyDescent="0.2">
      <c r="B283" s="19">
        <v>44502</v>
      </c>
      <c r="C283" s="163" t="s">
        <v>564</v>
      </c>
      <c r="D283" s="103" t="s">
        <v>391</v>
      </c>
      <c r="E283" s="176" t="s">
        <v>17</v>
      </c>
      <c r="F283" s="103" t="s">
        <v>18</v>
      </c>
      <c r="G283" s="469">
        <v>40</v>
      </c>
      <c r="H283" s="40">
        <v>6000500</v>
      </c>
      <c r="I283" s="40">
        <f>List3[[#This Row],[Pengajuan Donasi]]</f>
        <v>6000500</v>
      </c>
      <c r="J283" s="16" t="s">
        <v>19</v>
      </c>
      <c r="K283" s="176" t="s">
        <v>20</v>
      </c>
      <c r="L283" s="102">
        <v>44516</v>
      </c>
      <c r="M283" s="20"/>
      <c r="N283" s="20">
        <f>MONTH(List3[[#This Row],[Tanggal Pengajuan]])</f>
        <v>11</v>
      </c>
      <c r="O283" s="101"/>
      <c r="P283" s="20"/>
      <c r="Q283" s="177"/>
      <c r="R283" s="230" t="s">
        <v>958</v>
      </c>
      <c r="S283" s="577"/>
    </row>
    <row r="284" spans="2:19" ht="24" customHeight="1" x14ac:dyDescent="0.2">
      <c r="B284" s="19">
        <v>44502</v>
      </c>
      <c r="C284" s="163" t="s">
        <v>564</v>
      </c>
      <c r="D284" s="103" t="s">
        <v>860</v>
      </c>
      <c r="E284" s="176" t="s">
        <v>17</v>
      </c>
      <c r="F284" s="103" t="s">
        <v>18</v>
      </c>
      <c r="G284" s="469">
        <v>69</v>
      </c>
      <c r="H284" s="40">
        <v>6000700</v>
      </c>
      <c r="I284" s="40">
        <f>List3[[#This Row],[Pengajuan Donasi]]</f>
        <v>6000700</v>
      </c>
      <c r="J284" s="16" t="s">
        <v>19</v>
      </c>
      <c r="K284" s="176" t="s">
        <v>20</v>
      </c>
      <c r="L284" s="102">
        <v>44516</v>
      </c>
      <c r="M284" s="20"/>
      <c r="N284" s="20">
        <f>MONTH(List3[[#This Row],[Tanggal Pengajuan]])</f>
        <v>11</v>
      </c>
      <c r="O284" s="101"/>
      <c r="P284" s="20"/>
      <c r="Q284" s="177"/>
      <c r="R284" s="230" t="s">
        <v>958</v>
      </c>
      <c r="S284" s="577"/>
    </row>
    <row r="285" spans="2:19" ht="24" customHeight="1" x14ac:dyDescent="0.2">
      <c r="B285" s="19">
        <v>44502</v>
      </c>
      <c r="C285" s="163" t="s">
        <v>564</v>
      </c>
      <c r="D285" s="103" t="s">
        <v>861</v>
      </c>
      <c r="E285" s="176" t="s">
        <v>17</v>
      </c>
      <c r="F285" s="103" t="s">
        <v>18</v>
      </c>
      <c r="G285" s="469">
        <v>54</v>
      </c>
      <c r="H285" s="40">
        <v>6600900</v>
      </c>
      <c r="I285" s="40">
        <f>List3[[#This Row],[Pengajuan Donasi]]</f>
        <v>6600900</v>
      </c>
      <c r="J285" s="16" t="s">
        <v>19</v>
      </c>
      <c r="K285" s="176" t="s">
        <v>20</v>
      </c>
      <c r="L285" s="102">
        <v>44516</v>
      </c>
      <c r="M285" s="20"/>
      <c r="N285" s="20">
        <f>MONTH(List3[[#This Row],[Tanggal Pengajuan]])</f>
        <v>11</v>
      </c>
      <c r="O285" s="101"/>
      <c r="P285" s="20"/>
      <c r="Q285" s="177"/>
      <c r="R285" s="230" t="s">
        <v>958</v>
      </c>
      <c r="S285" s="577"/>
    </row>
    <row r="286" spans="2:19" ht="24" customHeight="1" x14ac:dyDescent="0.2">
      <c r="B286" s="19">
        <v>44502</v>
      </c>
      <c r="C286" s="163" t="s">
        <v>564</v>
      </c>
      <c r="D286" s="103" t="s">
        <v>862</v>
      </c>
      <c r="E286" s="176" t="s">
        <v>17</v>
      </c>
      <c r="F286" s="103" t="s">
        <v>18</v>
      </c>
      <c r="G286" s="469">
        <v>40</v>
      </c>
      <c r="H286" s="40">
        <v>5999800</v>
      </c>
      <c r="I286" s="40">
        <f>List3[[#This Row],[Pengajuan Donasi]]</f>
        <v>5999800</v>
      </c>
      <c r="J286" s="16" t="s">
        <v>19</v>
      </c>
      <c r="K286" s="176" t="s">
        <v>20</v>
      </c>
      <c r="L286" s="102">
        <v>44516</v>
      </c>
      <c r="M286" s="20"/>
      <c r="N286" s="20">
        <f>MONTH(List3[[#This Row],[Tanggal Pengajuan]])</f>
        <v>11</v>
      </c>
      <c r="O286" s="101"/>
      <c r="P286" s="20"/>
      <c r="Q286" s="177"/>
      <c r="R286" s="230" t="s">
        <v>958</v>
      </c>
      <c r="S286" s="577"/>
    </row>
    <row r="287" spans="2:19" ht="24" customHeight="1" x14ac:dyDescent="0.2">
      <c r="B287" s="19">
        <v>44502</v>
      </c>
      <c r="C287" s="163" t="s">
        <v>564</v>
      </c>
      <c r="D287" s="103" t="s">
        <v>863</v>
      </c>
      <c r="E287" s="176" t="s">
        <v>17</v>
      </c>
      <c r="F287" s="103" t="s">
        <v>18</v>
      </c>
      <c r="G287" s="469">
        <v>128</v>
      </c>
      <c r="H287" s="40">
        <v>6012600</v>
      </c>
      <c r="I287" s="40">
        <f>List3[[#This Row],[Pengajuan Donasi]]</f>
        <v>6012600</v>
      </c>
      <c r="J287" s="16" t="s">
        <v>19</v>
      </c>
      <c r="K287" s="176" t="s">
        <v>20</v>
      </c>
      <c r="L287" s="102">
        <v>44516</v>
      </c>
      <c r="M287" s="20"/>
      <c r="N287" s="20">
        <f>MONTH(List3[[#This Row],[Tanggal Pengajuan]])</f>
        <v>11</v>
      </c>
      <c r="O287" s="101"/>
      <c r="P287" s="20"/>
      <c r="Q287" s="177"/>
      <c r="R287" s="230" t="s">
        <v>958</v>
      </c>
      <c r="S287" s="577"/>
    </row>
    <row r="288" spans="2:19" ht="24" customHeight="1" x14ac:dyDescent="0.2">
      <c r="B288" s="19">
        <v>44502</v>
      </c>
      <c r="C288" s="163" t="s">
        <v>564</v>
      </c>
      <c r="D288" s="103" t="s">
        <v>864</v>
      </c>
      <c r="E288" s="176" t="s">
        <v>17</v>
      </c>
      <c r="F288" s="103" t="s">
        <v>18</v>
      </c>
      <c r="G288" s="469">
        <v>140</v>
      </c>
      <c r="H288" s="40">
        <v>5999700</v>
      </c>
      <c r="I288" s="40">
        <f>List3[[#This Row],[Pengajuan Donasi]]</f>
        <v>5999700</v>
      </c>
      <c r="J288" s="16" t="s">
        <v>19</v>
      </c>
      <c r="K288" s="176" t="s">
        <v>20</v>
      </c>
      <c r="L288" s="102">
        <v>44516</v>
      </c>
      <c r="M288" s="20"/>
      <c r="N288" s="20">
        <f>MONTH(List3[[#This Row],[Tanggal Pengajuan]])</f>
        <v>11</v>
      </c>
      <c r="O288" s="101"/>
      <c r="P288" s="20"/>
      <c r="Q288" s="177"/>
      <c r="R288" s="230" t="s">
        <v>958</v>
      </c>
      <c r="S288" s="577"/>
    </row>
    <row r="289" spans="2:19" ht="24" customHeight="1" x14ac:dyDescent="0.2">
      <c r="B289" s="19">
        <v>44502</v>
      </c>
      <c r="C289" s="163" t="s">
        <v>564</v>
      </c>
      <c r="D289" s="103" t="s">
        <v>865</v>
      </c>
      <c r="E289" s="176" t="s">
        <v>17</v>
      </c>
      <c r="F289" s="103" t="s">
        <v>18</v>
      </c>
      <c r="G289" s="469">
        <v>71</v>
      </c>
      <c r="H289" s="40">
        <v>6021900</v>
      </c>
      <c r="I289" s="40">
        <f>List3[[#This Row],[Pengajuan Donasi]]</f>
        <v>6021900</v>
      </c>
      <c r="J289" s="16" t="s">
        <v>19</v>
      </c>
      <c r="K289" s="176" t="s">
        <v>20</v>
      </c>
      <c r="L289" s="102">
        <v>44516</v>
      </c>
      <c r="M289" s="20"/>
      <c r="N289" s="20">
        <f>MONTH(List3[[#This Row],[Tanggal Pengajuan]])</f>
        <v>11</v>
      </c>
      <c r="O289" s="101"/>
      <c r="P289" s="20"/>
      <c r="Q289" s="177"/>
      <c r="R289" s="230" t="s">
        <v>958</v>
      </c>
      <c r="S289" s="577"/>
    </row>
    <row r="290" spans="2:19" ht="24" customHeight="1" x14ac:dyDescent="0.2">
      <c r="B290" s="19">
        <v>44502</v>
      </c>
      <c r="C290" s="163" t="s">
        <v>564</v>
      </c>
      <c r="D290" s="103" t="s">
        <v>866</v>
      </c>
      <c r="E290" s="176" t="s">
        <v>17</v>
      </c>
      <c r="F290" s="103" t="s">
        <v>18</v>
      </c>
      <c r="G290" s="469">
        <v>56</v>
      </c>
      <c r="H290" s="40">
        <v>5999600</v>
      </c>
      <c r="I290" s="40">
        <f>List3[[#This Row],[Pengajuan Donasi]]</f>
        <v>5999600</v>
      </c>
      <c r="J290" s="16" t="s">
        <v>19</v>
      </c>
      <c r="K290" s="176" t="s">
        <v>20</v>
      </c>
      <c r="L290" s="102">
        <v>44516</v>
      </c>
      <c r="M290" s="20"/>
      <c r="N290" s="20">
        <f>MONTH(List3[[#This Row],[Tanggal Pengajuan]])</f>
        <v>11</v>
      </c>
      <c r="O290" s="101"/>
      <c r="P290" s="20"/>
      <c r="Q290" s="177"/>
      <c r="R290" s="230" t="s">
        <v>958</v>
      </c>
      <c r="S290" s="577"/>
    </row>
    <row r="291" spans="2:19" ht="24" customHeight="1" x14ac:dyDescent="0.2">
      <c r="B291" s="19">
        <v>44504</v>
      </c>
      <c r="C291" s="163" t="s">
        <v>565</v>
      </c>
      <c r="D291" s="176" t="s">
        <v>25</v>
      </c>
      <c r="E291" s="176" t="s">
        <v>179</v>
      </c>
      <c r="F291" s="103" t="s">
        <v>18</v>
      </c>
      <c r="G291" s="469">
        <v>12</v>
      </c>
      <c r="H291" s="40">
        <v>4010000</v>
      </c>
      <c r="I291" s="40">
        <f>List3[[#This Row],[Pengajuan Donasi]]</f>
        <v>4010000</v>
      </c>
      <c r="J291" s="16" t="s">
        <v>19</v>
      </c>
      <c r="K291" s="176" t="s">
        <v>20</v>
      </c>
      <c r="L291" s="102">
        <v>44506</v>
      </c>
      <c r="M291" s="20"/>
      <c r="N291" s="20">
        <f>MONTH(List3[[#This Row],[Tanggal Pengajuan]])</f>
        <v>11</v>
      </c>
      <c r="O291" s="101"/>
      <c r="P291" s="20" t="s">
        <v>1397</v>
      </c>
      <c r="Q291" s="177"/>
      <c r="R291" s="230" t="s">
        <v>958</v>
      </c>
      <c r="S291" s="577"/>
    </row>
    <row r="292" spans="2:19" ht="24" customHeight="1" x14ac:dyDescent="0.2">
      <c r="B292" s="19">
        <v>44504</v>
      </c>
      <c r="C292" s="163" t="s">
        <v>566</v>
      </c>
      <c r="D292" s="176" t="s">
        <v>64</v>
      </c>
      <c r="E292" s="176" t="s">
        <v>179</v>
      </c>
      <c r="F292" s="103" t="s">
        <v>18</v>
      </c>
      <c r="G292" s="469">
        <v>15</v>
      </c>
      <c r="H292" s="40">
        <v>46500000</v>
      </c>
      <c r="I292" s="40">
        <f>List3[[#This Row],[Pengajuan Donasi]]</f>
        <v>46500000</v>
      </c>
      <c r="J292" s="16" t="s">
        <v>19</v>
      </c>
      <c r="K292" s="176" t="s">
        <v>20</v>
      </c>
      <c r="L292" s="102">
        <v>44530</v>
      </c>
      <c r="M292" s="20"/>
      <c r="N292" s="20">
        <f>MONTH(List3[[#This Row],[Tanggal Pengajuan]])</f>
        <v>11</v>
      </c>
      <c r="O292" s="101"/>
      <c r="P292" s="20"/>
      <c r="Q292" s="177"/>
      <c r="R292" s="230" t="s">
        <v>958</v>
      </c>
      <c r="S292" s="577"/>
    </row>
    <row r="293" spans="2:19" ht="24" customHeight="1" x14ac:dyDescent="0.2">
      <c r="B293" s="19">
        <v>44506</v>
      </c>
      <c r="C293" s="163" t="s">
        <v>567</v>
      </c>
      <c r="D293" s="176" t="s">
        <v>568</v>
      </c>
      <c r="E293" s="176" t="s">
        <v>26</v>
      </c>
      <c r="F293" s="103" t="s">
        <v>28</v>
      </c>
      <c r="G293" s="469">
        <v>0</v>
      </c>
      <c r="H293" s="40">
        <v>3599000</v>
      </c>
      <c r="I293" s="40">
        <f>List3[[#This Row],[Pengajuan Donasi]]</f>
        <v>3599000</v>
      </c>
      <c r="J293" s="16" t="s">
        <v>19</v>
      </c>
      <c r="K293" s="176" t="s">
        <v>20</v>
      </c>
      <c r="L293" s="102">
        <v>44510</v>
      </c>
      <c r="M293" s="20"/>
      <c r="N293" s="20">
        <f>MONTH(List3[[#This Row],[Tanggal Pengajuan]])</f>
        <v>11</v>
      </c>
      <c r="O293" s="101"/>
      <c r="P293" s="20"/>
      <c r="Q293" s="177"/>
      <c r="R293" s="230" t="s">
        <v>958</v>
      </c>
      <c r="S293" s="577"/>
    </row>
    <row r="294" spans="2:19" ht="24" customHeight="1" x14ac:dyDescent="0.2">
      <c r="B294" s="19">
        <v>44508</v>
      </c>
      <c r="C294" s="163" t="s">
        <v>569</v>
      </c>
      <c r="D294" s="176" t="s">
        <v>48</v>
      </c>
      <c r="E294" s="176" t="s">
        <v>179</v>
      </c>
      <c r="F294" s="103" t="s">
        <v>18</v>
      </c>
      <c r="G294" s="469">
        <v>32</v>
      </c>
      <c r="H294" s="40">
        <v>3325000</v>
      </c>
      <c r="I294" s="40">
        <f>List3[[#This Row],[Pengajuan Donasi]]</f>
        <v>3325000</v>
      </c>
      <c r="J294" s="16" t="s">
        <v>19</v>
      </c>
      <c r="K294" s="176" t="s">
        <v>20</v>
      </c>
      <c r="L294" s="102">
        <v>44516</v>
      </c>
      <c r="M294" s="20"/>
      <c r="N294" s="20">
        <f>MONTH(List3[[#This Row],[Tanggal Pengajuan]])</f>
        <v>11</v>
      </c>
      <c r="O294" s="101"/>
      <c r="P294" s="20"/>
      <c r="Q294" s="177"/>
      <c r="R294" s="230" t="s">
        <v>958</v>
      </c>
      <c r="S294" s="577"/>
    </row>
    <row r="295" spans="2:19" ht="24" customHeight="1" x14ac:dyDescent="0.2">
      <c r="B295" s="19">
        <v>44508</v>
      </c>
      <c r="C295" s="163" t="s">
        <v>570</v>
      </c>
      <c r="D295" s="176" t="s">
        <v>876</v>
      </c>
      <c r="E295" s="176" t="s">
        <v>26</v>
      </c>
      <c r="F295" s="103" t="s">
        <v>18</v>
      </c>
      <c r="G295" s="469">
        <v>1</v>
      </c>
      <c r="H295" s="206">
        <v>5000000</v>
      </c>
      <c r="I295" s="40">
        <f>List3[[#This Row],[Pengajuan Donasi]]</f>
        <v>5000000</v>
      </c>
      <c r="J295" s="16" t="s">
        <v>19</v>
      </c>
      <c r="K295" s="176" t="s">
        <v>20</v>
      </c>
      <c r="L295" s="102">
        <v>44511</v>
      </c>
      <c r="M295" s="203" t="s">
        <v>448</v>
      </c>
      <c r="N295" s="20">
        <f>MONTH(List3[[#This Row],[Tanggal Pengajuan]])</f>
        <v>11</v>
      </c>
      <c r="O295" s="183"/>
      <c r="P295" s="20"/>
      <c r="Q295" s="177"/>
      <c r="R295" s="230" t="s">
        <v>958</v>
      </c>
      <c r="S295" s="577"/>
    </row>
    <row r="296" spans="2:19" ht="24" customHeight="1" x14ac:dyDescent="0.2">
      <c r="B296" s="19">
        <v>44508</v>
      </c>
      <c r="C296" s="163"/>
      <c r="D296" s="176" t="s">
        <v>875</v>
      </c>
      <c r="E296" s="176" t="s">
        <v>26</v>
      </c>
      <c r="F296" s="103" t="s">
        <v>18</v>
      </c>
      <c r="G296" s="469">
        <v>1</v>
      </c>
      <c r="H296" s="207">
        <v>1000000</v>
      </c>
      <c r="I296" s="40">
        <f>List3[[#This Row],[Pengajuan Donasi]]</f>
        <v>1000000</v>
      </c>
      <c r="J296" s="16" t="s">
        <v>19</v>
      </c>
      <c r="K296" s="176" t="s">
        <v>20</v>
      </c>
      <c r="L296" s="102">
        <v>44511</v>
      </c>
      <c r="M296" s="208" t="s">
        <v>453</v>
      </c>
      <c r="N296" s="20">
        <f>MONTH(List3[[#This Row],[Tanggal Pengajuan]])</f>
        <v>11</v>
      </c>
      <c r="O296" s="183"/>
      <c r="P296" s="20"/>
      <c r="Q296" s="177"/>
      <c r="R296" s="230" t="s">
        <v>958</v>
      </c>
      <c r="S296" s="577"/>
    </row>
    <row r="297" spans="2:19" ht="24" customHeight="1" x14ac:dyDescent="0.2">
      <c r="B297" s="19">
        <v>44508</v>
      </c>
      <c r="C297" s="163"/>
      <c r="D297" s="176" t="s">
        <v>877</v>
      </c>
      <c r="E297" s="176" t="s">
        <v>26</v>
      </c>
      <c r="F297" s="103" t="s">
        <v>18</v>
      </c>
      <c r="G297" s="469">
        <v>1</v>
      </c>
      <c r="H297" s="206">
        <v>1000000</v>
      </c>
      <c r="I297" s="40">
        <f>List3[[#This Row],[Pengajuan Donasi]]</f>
        <v>1000000</v>
      </c>
      <c r="J297" s="16" t="s">
        <v>19</v>
      </c>
      <c r="K297" s="176" t="s">
        <v>20</v>
      </c>
      <c r="L297" s="102">
        <v>44511</v>
      </c>
      <c r="M297" s="184" t="s">
        <v>458</v>
      </c>
      <c r="N297" s="20">
        <f>MONTH(List3[[#This Row],[Tanggal Pengajuan]])</f>
        <v>11</v>
      </c>
      <c r="O297" s="183"/>
      <c r="P297" s="20"/>
      <c r="Q297" s="177"/>
      <c r="R297" s="230" t="s">
        <v>958</v>
      </c>
      <c r="S297" s="577"/>
    </row>
    <row r="298" spans="2:19" ht="24" customHeight="1" x14ac:dyDescent="0.2">
      <c r="B298" s="19">
        <v>44508</v>
      </c>
      <c r="C298" s="163"/>
      <c r="D298" s="176" t="s">
        <v>878</v>
      </c>
      <c r="E298" s="176" t="s">
        <v>26</v>
      </c>
      <c r="F298" s="103" t="s">
        <v>18</v>
      </c>
      <c r="G298" s="469">
        <v>1</v>
      </c>
      <c r="H298" s="207">
        <v>1000000</v>
      </c>
      <c r="I298" s="40">
        <f>List3[[#This Row],[Pengajuan Donasi]]</f>
        <v>1000000</v>
      </c>
      <c r="J298" s="16" t="s">
        <v>19</v>
      </c>
      <c r="K298" s="176" t="s">
        <v>20</v>
      </c>
      <c r="L298" s="102">
        <v>44511</v>
      </c>
      <c r="M298" s="208" t="s">
        <v>460</v>
      </c>
      <c r="N298" s="20">
        <f>MONTH(List3[[#This Row],[Tanggal Pengajuan]])</f>
        <v>11</v>
      </c>
      <c r="O298" s="183"/>
      <c r="P298" s="20"/>
      <c r="Q298" s="177"/>
      <c r="R298" s="230" t="s">
        <v>958</v>
      </c>
      <c r="S298" s="577"/>
    </row>
    <row r="299" spans="2:19" ht="24" customHeight="1" x14ac:dyDescent="0.2">
      <c r="B299" s="19">
        <v>44508</v>
      </c>
      <c r="C299" s="163"/>
      <c r="D299" s="176" t="s">
        <v>879</v>
      </c>
      <c r="E299" s="176" t="s">
        <v>26</v>
      </c>
      <c r="F299" s="103" t="s">
        <v>18</v>
      </c>
      <c r="G299" s="469">
        <v>1</v>
      </c>
      <c r="H299" s="206">
        <v>1000000</v>
      </c>
      <c r="I299" s="40">
        <f>List3[[#This Row],[Pengajuan Donasi]]</f>
        <v>1000000</v>
      </c>
      <c r="J299" s="16" t="s">
        <v>19</v>
      </c>
      <c r="K299" s="176" t="s">
        <v>20</v>
      </c>
      <c r="L299" s="102">
        <v>44511</v>
      </c>
      <c r="M299" s="184" t="s">
        <v>462</v>
      </c>
      <c r="N299" s="20">
        <f>MONTH(List3[[#This Row],[Tanggal Pengajuan]])</f>
        <v>11</v>
      </c>
      <c r="O299" s="183"/>
      <c r="P299" s="20"/>
      <c r="Q299" s="177"/>
      <c r="R299" s="230" t="s">
        <v>958</v>
      </c>
      <c r="S299" s="577"/>
    </row>
    <row r="300" spans="2:19" ht="24" customHeight="1" x14ac:dyDescent="0.2">
      <c r="B300" s="19">
        <v>44508</v>
      </c>
      <c r="C300" s="163"/>
      <c r="D300" s="176" t="s">
        <v>951</v>
      </c>
      <c r="E300" s="176" t="s">
        <v>26</v>
      </c>
      <c r="F300" s="103" t="s">
        <v>18</v>
      </c>
      <c r="G300" s="469">
        <v>1</v>
      </c>
      <c r="H300" s="207">
        <v>1000000</v>
      </c>
      <c r="I300" s="40">
        <f>List3[[#This Row],[Pengajuan Donasi]]</f>
        <v>1000000</v>
      </c>
      <c r="J300" s="16" t="s">
        <v>19</v>
      </c>
      <c r="K300" s="176" t="s">
        <v>20</v>
      </c>
      <c r="L300" s="102">
        <v>44511</v>
      </c>
      <c r="M300" s="208" t="s">
        <v>466</v>
      </c>
      <c r="N300" s="20">
        <f>MONTH(List3[[#This Row],[Tanggal Pengajuan]])</f>
        <v>11</v>
      </c>
      <c r="O300" s="183"/>
      <c r="P300" s="20"/>
      <c r="Q300" s="177"/>
      <c r="R300" s="230" t="s">
        <v>958</v>
      </c>
      <c r="S300" s="577"/>
    </row>
    <row r="301" spans="2:19" ht="24" customHeight="1" x14ac:dyDescent="0.2">
      <c r="B301" s="19">
        <v>44508</v>
      </c>
      <c r="C301" s="163"/>
      <c r="D301" s="176" t="s">
        <v>880</v>
      </c>
      <c r="E301" s="176" t="s">
        <v>26</v>
      </c>
      <c r="F301" s="103" t="s">
        <v>18</v>
      </c>
      <c r="G301" s="469">
        <v>1</v>
      </c>
      <c r="H301" s="206">
        <v>1000000</v>
      </c>
      <c r="I301" s="40">
        <f>List3[[#This Row],[Pengajuan Donasi]]</f>
        <v>1000000</v>
      </c>
      <c r="J301" s="16" t="s">
        <v>19</v>
      </c>
      <c r="K301" s="176" t="s">
        <v>20</v>
      </c>
      <c r="L301" s="102">
        <v>44511</v>
      </c>
      <c r="M301" s="184" t="s">
        <v>470</v>
      </c>
      <c r="N301" s="20">
        <f>MONTH(List3[[#This Row],[Tanggal Pengajuan]])</f>
        <v>11</v>
      </c>
      <c r="O301" s="183"/>
      <c r="P301" s="20"/>
      <c r="Q301" s="177"/>
      <c r="R301" s="230" t="s">
        <v>958</v>
      </c>
      <c r="S301" s="577"/>
    </row>
    <row r="302" spans="2:19" ht="24" customHeight="1" x14ac:dyDescent="0.2">
      <c r="B302" s="19">
        <v>44508</v>
      </c>
      <c r="C302" s="163"/>
      <c r="D302" s="176" t="s">
        <v>952</v>
      </c>
      <c r="E302" s="176" t="s">
        <v>26</v>
      </c>
      <c r="F302" s="103" t="s">
        <v>18</v>
      </c>
      <c r="G302" s="469">
        <v>1</v>
      </c>
      <c r="H302" s="207">
        <v>1000000</v>
      </c>
      <c r="I302" s="40">
        <f>List3[[#This Row],[Pengajuan Donasi]]</f>
        <v>1000000</v>
      </c>
      <c r="J302" s="16" t="s">
        <v>19</v>
      </c>
      <c r="K302" s="176" t="s">
        <v>20</v>
      </c>
      <c r="L302" s="102">
        <v>44511</v>
      </c>
      <c r="M302" s="208" t="s">
        <v>519</v>
      </c>
      <c r="N302" s="20">
        <f>MONTH(List3[[#This Row],[Tanggal Pengajuan]])</f>
        <v>11</v>
      </c>
      <c r="O302" s="183"/>
      <c r="P302" s="20"/>
      <c r="Q302" s="177"/>
      <c r="R302" s="230" t="s">
        <v>958</v>
      </c>
      <c r="S302" s="577"/>
    </row>
    <row r="303" spans="2:19" ht="24" customHeight="1" x14ac:dyDescent="0.2">
      <c r="B303" s="19">
        <v>44508</v>
      </c>
      <c r="C303" s="163"/>
      <c r="D303" s="176" t="s">
        <v>881</v>
      </c>
      <c r="E303" s="176" t="s">
        <v>26</v>
      </c>
      <c r="F303" s="103" t="s">
        <v>18</v>
      </c>
      <c r="G303" s="469">
        <v>1</v>
      </c>
      <c r="H303" s="206">
        <v>1000000</v>
      </c>
      <c r="I303" s="40">
        <f>List3[[#This Row],[Pengajuan Donasi]]</f>
        <v>1000000</v>
      </c>
      <c r="J303" s="16" t="s">
        <v>19</v>
      </c>
      <c r="K303" s="176" t="s">
        <v>20</v>
      </c>
      <c r="L303" s="102">
        <v>44511</v>
      </c>
      <c r="M303" s="184" t="s">
        <v>476</v>
      </c>
      <c r="N303" s="20">
        <f>MONTH(List3[[#This Row],[Tanggal Pengajuan]])</f>
        <v>11</v>
      </c>
      <c r="O303" s="183"/>
      <c r="P303" s="20"/>
      <c r="Q303" s="177"/>
      <c r="R303" s="230" t="s">
        <v>958</v>
      </c>
      <c r="S303" s="577"/>
    </row>
    <row r="304" spans="2:19" ht="24" customHeight="1" x14ac:dyDescent="0.2">
      <c r="B304" s="19">
        <v>44508</v>
      </c>
      <c r="C304" s="163"/>
      <c r="D304" s="176" t="s">
        <v>882</v>
      </c>
      <c r="E304" s="176" t="s">
        <v>26</v>
      </c>
      <c r="F304" s="103" t="s">
        <v>18</v>
      </c>
      <c r="G304" s="469">
        <v>1</v>
      </c>
      <c r="H304" s="207">
        <v>750000</v>
      </c>
      <c r="I304" s="40">
        <f>List3[[#This Row],[Pengajuan Donasi]]</f>
        <v>750000</v>
      </c>
      <c r="J304" s="16" t="s">
        <v>19</v>
      </c>
      <c r="K304" s="176" t="s">
        <v>20</v>
      </c>
      <c r="L304" s="102">
        <v>44511</v>
      </c>
      <c r="M304" s="208" t="s">
        <v>479</v>
      </c>
      <c r="N304" s="20">
        <f>MONTH(List3[[#This Row],[Tanggal Pengajuan]])</f>
        <v>11</v>
      </c>
      <c r="O304" s="183"/>
      <c r="P304" s="20"/>
      <c r="Q304" s="177"/>
      <c r="R304" s="230" t="s">
        <v>958</v>
      </c>
      <c r="S304" s="577"/>
    </row>
    <row r="305" spans="2:19" ht="24" customHeight="1" x14ac:dyDescent="0.2">
      <c r="B305" s="19">
        <v>44508</v>
      </c>
      <c r="C305" s="163"/>
      <c r="D305" s="176" t="s">
        <v>883</v>
      </c>
      <c r="E305" s="176" t="s">
        <v>26</v>
      </c>
      <c r="F305" s="103" t="s">
        <v>18</v>
      </c>
      <c r="G305" s="469">
        <v>1</v>
      </c>
      <c r="H305" s="206">
        <v>750000</v>
      </c>
      <c r="I305" s="40">
        <f>List3[[#This Row],[Pengajuan Donasi]]</f>
        <v>750000</v>
      </c>
      <c r="J305" s="16" t="s">
        <v>19</v>
      </c>
      <c r="K305" s="176" t="s">
        <v>20</v>
      </c>
      <c r="L305" s="102">
        <v>44511</v>
      </c>
      <c r="M305" s="184" t="s">
        <v>481</v>
      </c>
      <c r="N305" s="20">
        <f>MONTH(List3[[#This Row],[Tanggal Pengajuan]])</f>
        <v>11</v>
      </c>
      <c r="O305" s="183"/>
      <c r="P305" s="20"/>
      <c r="Q305" s="177"/>
      <c r="R305" s="230" t="s">
        <v>958</v>
      </c>
      <c r="S305" s="577"/>
    </row>
    <row r="306" spans="2:19" ht="24" customHeight="1" x14ac:dyDescent="0.2">
      <c r="B306" s="19">
        <v>44508</v>
      </c>
      <c r="C306" s="163"/>
      <c r="D306" s="176" t="s">
        <v>956</v>
      </c>
      <c r="E306" s="176" t="s">
        <v>26</v>
      </c>
      <c r="F306" s="103" t="s">
        <v>18</v>
      </c>
      <c r="G306" s="469">
        <v>1</v>
      </c>
      <c r="H306" s="207">
        <v>1000000</v>
      </c>
      <c r="I306" s="40">
        <f>List3[[#This Row],[Pengajuan Donasi]]</f>
        <v>1000000</v>
      </c>
      <c r="J306" s="16" t="s">
        <v>19</v>
      </c>
      <c r="K306" s="176" t="s">
        <v>20</v>
      </c>
      <c r="L306" s="102">
        <v>44511</v>
      </c>
      <c r="M306" s="208" t="s">
        <v>873</v>
      </c>
      <c r="N306" s="20">
        <f>MONTH(List3[[#This Row],[Tanggal Pengajuan]])</f>
        <v>11</v>
      </c>
      <c r="O306" s="183"/>
      <c r="P306" s="20"/>
      <c r="Q306" s="177"/>
      <c r="R306" s="230" t="s">
        <v>958</v>
      </c>
      <c r="S306" s="577"/>
    </row>
    <row r="307" spans="2:19" ht="24" customHeight="1" x14ac:dyDescent="0.2">
      <c r="B307" s="19">
        <v>44508</v>
      </c>
      <c r="C307" s="163"/>
      <c r="D307" s="176" t="s">
        <v>884</v>
      </c>
      <c r="E307" s="176" t="s">
        <v>26</v>
      </c>
      <c r="F307" s="103" t="s">
        <v>18</v>
      </c>
      <c r="G307" s="469">
        <v>1</v>
      </c>
      <c r="H307" s="206">
        <v>1000000</v>
      </c>
      <c r="I307" s="40">
        <f>List3[[#This Row],[Pengajuan Donasi]]</f>
        <v>1000000</v>
      </c>
      <c r="J307" s="16" t="s">
        <v>19</v>
      </c>
      <c r="K307" s="176" t="s">
        <v>20</v>
      </c>
      <c r="L307" s="102">
        <v>44511</v>
      </c>
      <c r="M307" s="204" t="s">
        <v>874</v>
      </c>
      <c r="N307" s="20">
        <f>MONTH(List3[[#This Row],[Tanggal Pengajuan]])</f>
        <v>11</v>
      </c>
      <c r="O307" s="183"/>
      <c r="P307" s="20"/>
      <c r="Q307" s="177"/>
      <c r="R307" s="230" t="s">
        <v>958</v>
      </c>
      <c r="S307" s="577"/>
    </row>
    <row r="308" spans="2:19" ht="24" customHeight="1" x14ac:dyDescent="0.2">
      <c r="B308" s="19">
        <v>44510</v>
      </c>
      <c r="C308" s="163" t="s">
        <v>571</v>
      </c>
      <c r="D308" s="176" t="s">
        <v>410</v>
      </c>
      <c r="E308" s="176" t="s">
        <v>57</v>
      </c>
      <c r="F308" s="103" t="s">
        <v>18</v>
      </c>
      <c r="G308" s="469">
        <v>78</v>
      </c>
      <c r="H308" s="40">
        <v>15000000</v>
      </c>
      <c r="I308" s="40">
        <f>List3[[#This Row],[Pengajuan Donasi]]</f>
        <v>15000000</v>
      </c>
      <c r="J308" s="16" t="s">
        <v>19</v>
      </c>
      <c r="K308" s="176" t="s">
        <v>20</v>
      </c>
      <c r="L308" s="19">
        <v>44532</v>
      </c>
      <c r="M308" s="20"/>
      <c r="N308" s="20">
        <f>MONTH(List3[[#This Row],[Tanggal Pengajuan]])</f>
        <v>11</v>
      </c>
      <c r="O308" s="101"/>
      <c r="P308" s="20"/>
      <c r="Q308" s="177"/>
      <c r="R308" s="230" t="s">
        <v>958</v>
      </c>
      <c r="S308" s="577"/>
    </row>
    <row r="309" spans="2:19" ht="24" customHeight="1" x14ac:dyDescent="0.2">
      <c r="B309" s="19">
        <v>44512</v>
      </c>
      <c r="C309" s="163" t="s">
        <v>572</v>
      </c>
      <c r="D309" s="176" t="s">
        <v>573</v>
      </c>
      <c r="E309" s="176" t="s">
        <v>26</v>
      </c>
      <c r="F309" s="103" t="s">
        <v>28</v>
      </c>
      <c r="G309" s="469">
        <v>0</v>
      </c>
      <c r="H309" s="40">
        <v>20307500</v>
      </c>
      <c r="I309" s="40">
        <f>List3[[#This Row],[Pengajuan Donasi]]</f>
        <v>20307500</v>
      </c>
      <c r="J309" s="16" t="s">
        <v>19</v>
      </c>
      <c r="K309" s="176" t="s">
        <v>20</v>
      </c>
      <c r="L309" s="102">
        <v>44518</v>
      </c>
      <c r="M309" s="20"/>
      <c r="N309" s="20">
        <f>MONTH(List3[[#This Row],[Tanggal Pengajuan]])</f>
        <v>11</v>
      </c>
      <c r="O309" s="101"/>
      <c r="P309" s="20"/>
      <c r="Q309" s="177"/>
      <c r="R309" s="230" t="s">
        <v>958</v>
      </c>
      <c r="S309" s="577"/>
    </row>
    <row r="310" spans="2:19" ht="24" customHeight="1" x14ac:dyDescent="0.2">
      <c r="B310" s="19"/>
      <c r="C310" s="163" t="s">
        <v>574</v>
      </c>
      <c r="D310" s="176"/>
      <c r="E310" s="176"/>
      <c r="F310" s="103"/>
      <c r="G310" s="469">
        <v>0</v>
      </c>
      <c r="H310" s="40"/>
      <c r="I310" s="40">
        <f>List3[[#This Row],[Pengajuan Donasi]]</f>
        <v>0</v>
      </c>
      <c r="J310" s="16"/>
      <c r="K310" s="176"/>
      <c r="L310" s="153"/>
      <c r="M310" s="20"/>
      <c r="N310" s="20">
        <f>MONTH(List3[[#This Row],[Tanggal Pengajuan]])</f>
        <v>1</v>
      </c>
      <c r="O310" s="101"/>
      <c r="P310" s="20"/>
      <c r="Q310" s="177"/>
      <c r="R310" s="237"/>
      <c r="S310" s="577"/>
    </row>
    <row r="311" spans="2:19" ht="24" customHeight="1" x14ac:dyDescent="0.2">
      <c r="B311" s="19">
        <v>44508</v>
      </c>
      <c r="C311" s="163" t="s">
        <v>628</v>
      </c>
      <c r="D311" s="176" t="s">
        <v>426</v>
      </c>
      <c r="E311" s="176" t="s">
        <v>57</v>
      </c>
      <c r="F311" s="103" t="s">
        <v>18</v>
      </c>
      <c r="G311" s="469">
        <v>31</v>
      </c>
      <c r="H311" s="40">
        <v>16500000</v>
      </c>
      <c r="I311" s="40">
        <f>List3[[#This Row],[Pengajuan Donasi]]</f>
        <v>16500000</v>
      </c>
      <c r="J311" s="16" t="s">
        <v>19</v>
      </c>
      <c r="K311" s="176" t="s">
        <v>20</v>
      </c>
      <c r="L311" s="19">
        <v>44532</v>
      </c>
      <c r="M311" s="20"/>
      <c r="N311" s="20">
        <f>MONTH(List3[[#This Row],[Tanggal Pengajuan]])</f>
        <v>11</v>
      </c>
      <c r="O311" s="183"/>
      <c r="P311" s="20"/>
      <c r="Q311" s="177"/>
      <c r="R311" s="230" t="s">
        <v>958</v>
      </c>
      <c r="S311" s="577"/>
    </row>
    <row r="312" spans="2:19" ht="24" customHeight="1" x14ac:dyDescent="0.2">
      <c r="B312" s="19">
        <v>44508</v>
      </c>
      <c r="C312" s="67" t="s">
        <v>575</v>
      </c>
      <c r="D312" s="176" t="s">
        <v>859</v>
      </c>
      <c r="E312" s="176" t="s">
        <v>17</v>
      </c>
      <c r="F312" s="103" t="s">
        <v>18</v>
      </c>
      <c r="G312" s="469">
        <v>23</v>
      </c>
      <c r="H312" s="40">
        <v>6000000</v>
      </c>
      <c r="I312" s="40">
        <f>List3[[#This Row],[Pengajuan Donasi]]</f>
        <v>6000000</v>
      </c>
      <c r="J312" s="16" t="s">
        <v>19</v>
      </c>
      <c r="K312" s="176" t="s">
        <v>20</v>
      </c>
      <c r="L312" s="102">
        <v>44510</v>
      </c>
      <c r="M312" s="20" t="s">
        <v>887</v>
      </c>
      <c r="N312" s="20">
        <f>MONTH(List3[[#This Row],[Tanggal Pengajuan]])</f>
        <v>11</v>
      </c>
      <c r="O312" s="101"/>
      <c r="P312" s="20" t="s">
        <v>891</v>
      </c>
      <c r="Q312" s="177"/>
      <c r="R312" s="230" t="s">
        <v>958</v>
      </c>
      <c r="S312" s="577"/>
    </row>
    <row r="313" spans="2:19" ht="24" customHeight="1" x14ac:dyDescent="0.2">
      <c r="B313" s="19">
        <v>44508</v>
      </c>
      <c r="C313" s="163" t="s">
        <v>576</v>
      </c>
      <c r="D313" s="176" t="s">
        <v>129</v>
      </c>
      <c r="E313" s="176" t="s">
        <v>179</v>
      </c>
      <c r="F313" s="103" t="s">
        <v>18</v>
      </c>
      <c r="G313" s="469">
        <v>32</v>
      </c>
      <c r="H313" s="40">
        <v>7950000</v>
      </c>
      <c r="I313" s="40">
        <f>List3[[#This Row],[Pengajuan Donasi]]</f>
        <v>7950000</v>
      </c>
      <c r="J313" s="16" t="s">
        <v>19</v>
      </c>
      <c r="K313" s="176" t="s">
        <v>20</v>
      </c>
      <c r="L313" s="102">
        <v>44510</v>
      </c>
      <c r="M313" s="20"/>
      <c r="N313" s="20">
        <f>MONTH(List3[[#This Row],[Tanggal Pengajuan]])</f>
        <v>11</v>
      </c>
      <c r="O313" s="101"/>
      <c r="P313" s="20"/>
      <c r="Q313" s="177"/>
      <c r="R313" s="230" t="s">
        <v>958</v>
      </c>
      <c r="S313" s="577"/>
    </row>
    <row r="314" spans="2:19" ht="24" customHeight="1" x14ac:dyDescent="0.2">
      <c r="B314" s="19">
        <v>44508</v>
      </c>
      <c r="C314" s="163" t="s">
        <v>577</v>
      </c>
      <c r="D314" s="176" t="s">
        <v>35</v>
      </c>
      <c r="E314" s="176" t="s">
        <v>179</v>
      </c>
      <c r="F314" s="103" t="s">
        <v>18</v>
      </c>
      <c r="G314" s="469">
        <v>57</v>
      </c>
      <c r="H314" s="40">
        <v>31350000</v>
      </c>
      <c r="I314" s="40">
        <f>List3[[#This Row],[Pengajuan Donasi]]</f>
        <v>31350000</v>
      </c>
      <c r="J314" s="16" t="s">
        <v>19</v>
      </c>
      <c r="K314" s="176" t="s">
        <v>20</v>
      </c>
      <c r="L314" s="102">
        <v>44518</v>
      </c>
      <c r="M314" s="20"/>
      <c r="N314" s="20">
        <f>MONTH(List3[[#This Row],[Tanggal Pengajuan]])</f>
        <v>11</v>
      </c>
      <c r="O314" s="101"/>
      <c r="P314" s="20"/>
      <c r="Q314" s="177"/>
      <c r="R314" s="230" t="s">
        <v>958</v>
      </c>
      <c r="S314" s="577"/>
    </row>
    <row r="315" spans="2:19" ht="24" customHeight="1" x14ac:dyDescent="0.2">
      <c r="B315" s="19">
        <v>44508</v>
      </c>
      <c r="C315" s="163" t="s">
        <v>578</v>
      </c>
      <c r="D315" s="176" t="s">
        <v>75</v>
      </c>
      <c r="E315" s="176" t="s">
        <v>179</v>
      </c>
      <c r="F315" s="103" t="s">
        <v>18</v>
      </c>
      <c r="G315" s="469">
        <v>9</v>
      </c>
      <c r="H315" s="40">
        <v>14586000</v>
      </c>
      <c r="I315" s="40">
        <f>List3[[#This Row],[Pengajuan Donasi]]</f>
        <v>14586000</v>
      </c>
      <c r="J315" s="16" t="s">
        <v>19</v>
      </c>
      <c r="K315" s="176" t="s">
        <v>20</v>
      </c>
      <c r="L315" s="153"/>
      <c r="M315" s="20"/>
      <c r="N315" s="20">
        <f>MONTH(List3[[#This Row],[Tanggal Pengajuan]])</f>
        <v>11</v>
      </c>
      <c r="O315" s="101"/>
      <c r="P315" s="20"/>
      <c r="Q315" s="177"/>
      <c r="R315" s="230" t="s">
        <v>958</v>
      </c>
      <c r="S315" s="577"/>
    </row>
    <row r="316" spans="2:19" ht="24" customHeight="1" x14ac:dyDescent="0.2">
      <c r="B316" s="19">
        <v>44508</v>
      </c>
      <c r="C316" s="163" t="s">
        <v>579</v>
      </c>
      <c r="D316" s="176" t="s">
        <v>87</v>
      </c>
      <c r="E316" s="176" t="s">
        <v>179</v>
      </c>
      <c r="F316" s="103" t="s">
        <v>18</v>
      </c>
      <c r="G316" s="469">
        <v>20</v>
      </c>
      <c r="H316" s="40">
        <v>2400000</v>
      </c>
      <c r="I316" s="40">
        <f>List3[[#This Row],[Pengajuan Donasi]]</f>
        <v>2400000</v>
      </c>
      <c r="J316" s="16" t="s">
        <v>19</v>
      </c>
      <c r="K316" s="176" t="s">
        <v>20</v>
      </c>
      <c r="L316" s="102">
        <v>44510</v>
      </c>
      <c r="M316" s="20"/>
      <c r="N316" s="20">
        <f>MONTH(List3[[#This Row],[Tanggal Pengajuan]])</f>
        <v>11</v>
      </c>
      <c r="O316" s="101"/>
      <c r="P316" s="20"/>
      <c r="Q316" s="177"/>
      <c r="R316" s="230" t="s">
        <v>958</v>
      </c>
      <c r="S316" s="577"/>
    </row>
    <row r="317" spans="2:19" ht="24" customHeight="1" x14ac:dyDescent="0.2">
      <c r="B317" s="19">
        <v>44508</v>
      </c>
      <c r="C317" s="163" t="s">
        <v>580</v>
      </c>
      <c r="D317" s="176" t="s">
        <v>392</v>
      </c>
      <c r="E317" s="176" t="s">
        <v>57</v>
      </c>
      <c r="F317" s="103" t="s">
        <v>18</v>
      </c>
      <c r="G317" s="469">
        <v>75</v>
      </c>
      <c r="H317" s="40">
        <v>10000000</v>
      </c>
      <c r="I317" s="40">
        <f>List3[[#This Row],[Pengajuan Donasi]]</f>
        <v>10000000</v>
      </c>
      <c r="J317" s="16" t="s">
        <v>19</v>
      </c>
      <c r="K317" s="176" t="s">
        <v>20</v>
      </c>
      <c r="L317" s="102">
        <v>44510</v>
      </c>
      <c r="M317" s="20"/>
      <c r="N317" s="20">
        <f>MONTH(List3[[#This Row],[Tanggal Pengajuan]])</f>
        <v>11</v>
      </c>
      <c r="O317" s="101"/>
      <c r="P317" s="20"/>
      <c r="Q317" s="177"/>
      <c r="R317" s="230" t="s">
        <v>958</v>
      </c>
      <c r="S317" s="577"/>
    </row>
    <row r="318" spans="2:19" ht="24" customHeight="1" x14ac:dyDescent="0.2">
      <c r="B318" s="19">
        <v>44509</v>
      </c>
      <c r="C318" s="163" t="s">
        <v>581</v>
      </c>
      <c r="D318" s="176" t="s">
        <v>407</v>
      </c>
      <c r="E318" s="176" t="s">
        <v>57</v>
      </c>
      <c r="F318" s="103" t="s">
        <v>18</v>
      </c>
      <c r="G318" s="469">
        <v>64</v>
      </c>
      <c r="H318" s="40">
        <v>10000000</v>
      </c>
      <c r="I318" s="40">
        <f>List3[[#This Row],[Pengajuan Donasi]]</f>
        <v>10000000</v>
      </c>
      <c r="J318" s="16" t="s">
        <v>19</v>
      </c>
      <c r="K318" s="176" t="s">
        <v>20</v>
      </c>
      <c r="L318" s="102">
        <v>44516</v>
      </c>
      <c r="M318" s="20"/>
      <c r="N318" s="20">
        <f>MONTH(List3[[#This Row],[Tanggal Pengajuan]])</f>
        <v>11</v>
      </c>
      <c r="O318" s="101"/>
      <c r="P318" s="20"/>
      <c r="Q318" s="177"/>
      <c r="R318" s="230" t="s">
        <v>958</v>
      </c>
      <c r="S318" s="577"/>
    </row>
    <row r="319" spans="2:19" ht="24" customHeight="1" x14ac:dyDescent="0.2">
      <c r="B319" s="19">
        <v>44509</v>
      </c>
      <c r="C319" s="163" t="s">
        <v>582</v>
      </c>
      <c r="D319" s="176" t="s">
        <v>420</v>
      </c>
      <c r="E319" s="176" t="s">
        <v>57</v>
      </c>
      <c r="F319" s="103" t="s">
        <v>18</v>
      </c>
      <c r="G319" s="469">
        <v>29</v>
      </c>
      <c r="H319" s="40">
        <v>10000000</v>
      </c>
      <c r="I319" s="40">
        <f>List3[[#This Row],[Pengajuan Donasi]]</f>
        <v>10000000</v>
      </c>
      <c r="J319" s="16" t="s">
        <v>19</v>
      </c>
      <c r="K319" s="176" t="s">
        <v>20</v>
      </c>
      <c r="L319" s="102">
        <v>44526</v>
      </c>
      <c r="M319" s="20"/>
      <c r="N319" s="20">
        <f>MONTH(List3[[#This Row],[Tanggal Pengajuan]])</f>
        <v>11</v>
      </c>
      <c r="O319" s="101"/>
      <c r="P319" s="20"/>
      <c r="Q319" s="177"/>
      <c r="R319" s="230" t="s">
        <v>958</v>
      </c>
      <c r="S319" s="577"/>
    </row>
    <row r="320" spans="2:19" ht="24" customHeight="1" x14ac:dyDescent="0.2">
      <c r="B320" s="19">
        <v>44509</v>
      </c>
      <c r="C320" s="163" t="s">
        <v>583</v>
      </c>
      <c r="D320" s="176" t="s">
        <v>872</v>
      </c>
      <c r="E320" s="176" t="s">
        <v>17</v>
      </c>
      <c r="F320" s="103" t="s">
        <v>18</v>
      </c>
      <c r="G320" s="469">
        <v>70</v>
      </c>
      <c r="H320" s="40">
        <v>6016800</v>
      </c>
      <c r="I320" s="40">
        <f>List3[[#This Row],[Pengajuan Donasi]]</f>
        <v>6016800</v>
      </c>
      <c r="J320" s="16" t="s">
        <v>19</v>
      </c>
      <c r="K320" s="176" t="s">
        <v>20</v>
      </c>
      <c r="L320" s="102">
        <v>44518</v>
      </c>
      <c r="M320" s="20"/>
      <c r="N320" s="20">
        <f>MONTH(List3[[#This Row],[Tanggal Pengajuan]])</f>
        <v>11</v>
      </c>
      <c r="O320" s="101"/>
      <c r="P320" s="20"/>
      <c r="Q320" s="177"/>
      <c r="R320" s="230" t="s">
        <v>958</v>
      </c>
      <c r="S320" s="577"/>
    </row>
    <row r="321" spans="2:19" ht="24" customHeight="1" x14ac:dyDescent="0.2">
      <c r="B321" s="19">
        <v>44509</v>
      </c>
      <c r="C321" s="163" t="s">
        <v>583</v>
      </c>
      <c r="D321" s="176" t="s">
        <v>870</v>
      </c>
      <c r="E321" s="176" t="s">
        <v>17</v>
      </c>
      <c r="F321" s="103" t="s">
        <v>18</v>
      </c>
      <c r="G321" s="469">
        <v>98</v>
      </c>
      <c r="H321" s="40">
        <v>6145300</v>
      </c>
      <c r="I321" s="40">
        <f>List3[[#This Row],[Pengajuan Donasi]]</f>
        <v>6145300</v>
      </c>
      <c r="J321" s="16" t="s">
        <v>19</v>
      </c>
      <c r="K321" s="176" t="s">
        <v>20</v>
      </c>
      <c r="L321" s="102">
        <v>44518</v>
      </c>
      <c r="M321" s="20"/>
      <c r="N321" s="20">
        <f>MONTH(List3[[#This Row],[Tanggal Pengajuan]])</f>
        <v>11</v>
      </c>
      <c r="O321" s="101"/>
      <c r="P321" s="20"/>
      <c r="Q321" s="177"/>
      <c r="R321" s="230" t="s">
        <v>958</v>
      </c>
      <c r="S321" s="577"/>
    </row>
    <row r="322" spans="2:19" ht="24" customHeight="1" x14ac:dyDescent="0.2">
      <c r="B322" s="19">
        <v>44509</v>
      </c>
      <c r="C322" s="163" t="s">
        <v>583</v>
      </c>
      <c r="D322" s="176" t="s">
        <v>849</v>
      </c>
      <c r="E322" s="176" t="s">
        <v>17</v>
      </c>
      <c r="F322" s="103" t="s">
        <v>18</v>
      </c>
      <c r="G322" s="469">
        <v>63</v>
      </c>
      <c r="H322" s="40">
        <v>6039400</v>
      </c>
      <c r="I322" s="40">
        <f>List3[[#This Row],[Pengajuan Donasi]]</f>
        <v>6039400</v>
      </c>
      <c r="J322" s="16" t="s">
        <v>19</v>
      </c>
      <c r="K322" s="176" t="s">
        <v>20</v>
      </c>
      <c r="L322" s="102">
        <v>44518</v>
      </c>
      <c r="M322" s="20"/>
      <c r="N322" s="20">
        <f>MONTH(List3[[#This Row],[Tanggal Pengajuan]])</f>
        <v>11</v>
      </c>
      <c r="O322" s="101"/>
      <c r="P322" s="20"/>
      <c r="Q322" s="177"/>
      <c r="R322" s="230" t="s">
        <v>958</v>
      </c>
      <c r="S322" s="577"/>
    </row>
    <row r="323" spans="2:19" ht="24" customHeight="1" x14ac:dyDescent="0.2">
      <c r="B323" s="19">
        <v>44509</v>
      </c>
      <c r="C323" s="163" t="s">
        <v>583</v>
      </c>
      <c r="D323" s="176" t="s">
        <v>850</v>
      </c>
      <c r="E323" s="176" t="s">
        <v>17</v>
      </c>
      <c r="F323" s="103" t="s">
        <v>18</v>
      </c>
      <c r="G323" s="469">
        <v>19</v>
      </c>
      <c r="H323" s="40">
        <v>5998600</v>
      </c>
      <c r="I323" s="40">
        <f>List3[[#This Row],[Pengajuan Donasi]]</f>
        <v>5998600</v>
      </c>
      <c r="J323" s="16" t="s">
        <v>19</v>
      </c>
      <c r="K323" s="176" t="s">
        <v>20</v>
      </c>
      <c r="L323" s="102">
        <v>44518</v>
      </c>
      <c r="M323" s="20"/>
      <c r="N323" s="20">
        <f>MONTH(List3[[#This Row],[Tanggal Pengajuan]])</f>
        <v>11</v>
      </c>
      <c r="O323" s="101"/>
      <c r="P323" s="20"/>
      <c r="Q323" s="177"/>
      <c r="R323" s="230" t="s">
        <v>958</v>
      </c>
      <c r="S323" s="577"/>
    </row>
    <row r="324" spans="2:19" ht="24" customHeight="1" x14ac:dyDescent="0.2">
      <c r="B324" s="19">
        <v>44509</v>
      </c>
      <c r="C324" s="163" t="s">
        <v>583</v>
      </c>
      <c r="D324" s="176" t="s">
        <v>852</v>
      </c>
      <c r="E324" s="176" t="s">
        <v>17</v>
      </c>
      <c r="F324" s="103" t="s">
        <v>18</v>
      </c>
      <c r="G324" s="469">
        <v>40</v>
      </c>
      <c r="H324" s="40">
        <v>6005900</v>
      </c>
      <c r="I324" s="40">
        <f>List3[[#This Row],[Pengajuan Donasi]]</f>
        <v>6005900</v>
      </c>
      <c r="J324" s="16" t="s">
        <v>19</v>
      </c>
      <c r="K324" s="176" t="s">
        <v>20</v>
      </c>
      <c r="L324" s="102">
        <v>44518</v>
      </c>
      <c r="M324" s="20"/>
      <c r="N324" s="20">
        <f>MONTH(List3[[#This Row],[Tanggal Pengajuan]])</f>
        <v>11</v>
      </c>
      <c r="O324" s="101"/>
      <c r="P324" s="20"/>
      <c r="Q324" s="177"/>
      <c r="R324" s="230" t="s">
        <v>958</v>
      </c>
      <c r="S324" s="577"/>
    </row>
    <row r="325" spans="2:19" ht="24" customHeight="1" x14ac:dyDescent="0.2">
      <c r="B325" s="19">
        <v>44509</v>
      </c>
      <c r="C325" s="163" t="s">
        <v>583</v>
      </c>
      <c r="D325" s="176" t="s">
        <v>238</v>
      </c>
      <c r="E325" s="176" t="s">
        <v>17</v>
      </c>
      <c r="F325" s="103" t="s">
        <v>18</v>
      </c>
      <c r="G325" s="469">
        <v>119</v>
      </c>
      <c r="H325" s="40">
        <v>5998900</v>
      </c>
      <c r="I325" s="40">
        <f>List3[[#This Row],[Pengajuan Donasi]]</f>
        <v>5998900</v>
      </c>
      <c r="J325" s="16" t="s">
        <v>19</v>
      </c>
      <c r="K325" s="176" t="s">
        <v>20</v>
      </c>
      <c r="L325" s="102">
        <v>44518</v>
      </c>
      <c r="M325" s="20"/>
      <c r="N325" s="20">
        <f>MONTH(List3[[#This Row],[Tanggal Pengajuan]])</f>
        <v>11</v>
      </c>
      <c r="O325" s="101"/>
      <c r="P325" s="20"/>
      <c r="Q325" s="177"/>
      <c r="R325" s="230" t="s">
        <v>958</v>
      </c>
      <c r="S325" s="577"/>
    </row>
    <row r="326" spans="2:19" ht="24" customHeight="1" x14ac:dyDescent="0.2">
      <c r="B326" s="19">
        <v>44509</v>
      </c>
      <c r="C326" s="163" t="s">
        <v>583</v>
      </c>
      <c r="D326" s="176" t="s">
        <v>867</v>
      </c>
      <c r="E326" s="176" t="s">
        <v>17</v>
      </c>
      <c r="F326" s="103" t="s">
        <v>18</v>
      </c>
      <c r="G326" s="469">
        <v>77</v>
      </c>
      <c r="H326" s="40">
        <v>5998800</v>
      </c>
      <c r="I326" s="40">
        <f>List3[[#This Row],[Pengajuan Donasi]]</f>
        <v>5998800</v>
      </c>
      <c r="J326" s="16" t="s">
        <v>19</v>
      </c>
      <c r="K326" s="176" t="s">
        <v>20</v>
      </c>
      <c r="L326" s="102">
        <v>44518</v>
      </c>
      <c r="M326" s="20"/>
      <c r="N326" s="20">
        <f>MONTH(List3[[#This Row],[Tanggal Pengajuan]])</f>
        <v>11</v>
      </c>
      <c r="O326" s="101"/>
      <c r="P326" s="20"/>
      <c r="Q326" s="177"/>
      <c r="R326" s="230" t="s">
        <v>958</v>
      </c>
      <c r="S326" s="577"/>
    </row>
    <row r="327" spans="2:19" ht="24" customHeight="1" x14ac:dyDescent="0.2">
      <c r="B327" s="19">
        <v>44509</v>
      </c>
      <c r="C327" s="163" t="s">
        <v>583</v>
      </c>
      <c r="D327" s="176" t="s">
        <v>868</v>
      </c>
      <c r="E327" s="176" t="s">
        <v>17</v>
      </c>
      <c r="F327" s="103" t="s">
        <v>18</v>
      </c>
      <c r="G327" s="469">
        <v>36</v>
      </c>
      <c r="H327" s="40">
        <v>5999700</v>
      </c>
      <c r="I327" s="40">
        <f>List3[[#This Row],[Pengajuan Donasi]]</f>
        <v>5999700</v>
      </c>
      <c r="J327" s="16" t="s">
        <v>19</v>
      </c>
      <c r="K327" s="176" t="s">
        <v>20</v>
      </c>
      <c r="L327" s="102">
        <v>44518</v>
      </c>
      <c r="M327" s="20"/>
      <c r="N327" s="20">
        <f>MONTH(List3[[#This Row],[Tanggal Pengajuan]])</f>
        <v>11</v>
      </c>
      <c r="O327" s="101"/>
      <c r="P327" s="20"/>
      <c r="Q327" s="177"/>
      <c r="R327" s="230" t="s">
        <v>958</v>
      </c>
      <c r="S327" s="577"/>
    </row>
    <row r="328" spans="2:19" ht="24" customHeight="1" x14ac:dyDescent="0.2">
      <c r="B328" s="19">
        <v>44509</v>
      </c>
      <c r="C328" s="163" t="s">
        <v>583</v>
      </c>
      <c r="D328" s="176" t="s">
        <v>124</v>
      </c>
      <c r="E328" s="176" t="s">
        <v>17</v>
      </c>
      <c r="F328" s="103" t="s">
        <v>18</v>
      </c>
      <c r="G328" s="469">
        <v>83</v>
      </c>
      <c r="H328" s="40">
        <v>5999900</v>
      </c>
      <c r="I328" s="40">
        <f>List3[[#This Row],[Pengajuan Donasi]]</f>
        <v>5999900</v>
      </c>
      <c r="J328" s="16" t="s">
        <v>19</v>
      </c>
      <c r="K328" s="176" t="s">
        <v>20</v>
      </c>
      <c r="L328" s="102">
        <v>44518</v>
      </c>
      <c r="M328" s="20"/>
      <c r="N328" s="20">
        <f>MONTH(List3[[#This Row],[Tanggal Pengajuan]])</f>
        <v>11</v>
      </c>
      <c r="O328" s="101"/>
      <c r="P328" s="20"/>
      <c r="Q328" s="177"/>
      <c r="R328" s="230" t="s">
        <v>958</v>
      </c>
      <c r="S328" s="577"/>
    </row>
    <row r="329" spans="2:19" ht="24" customHeight="1" x14ac:dyDescent="0.2">
      <c r="B329" s="19">
        <v>44509</v>
      </c>
      <c r="C329" s="163" t="s">
        <v>583</v>
      </c>
      <c r="D329" s="176" t="s">
        <v>855</v>
      </c>
      <c r="E329" s="176" t="s">
        <v>17</v>
      </c>
      <c r="F329" s="103" t="s">
        <v>18</v>
      </c>
      <c r="G329" s="469">
        <v>91</v>
      </c>
      <c r="H329" s="40">
        <v>6286900</v>
      </c>
      <c r="I329" s="40">
        <f>List3[[#This Row],[Pengajuan Donasi]]</f>
        <v>6286900</v>
      </c>
      <c r="J329" s="16" t="s">
        <v>19</v>
      </c>
      <c r="K329" s="176" t="s">
        <v>20</v>
      </c>
      <c r="L329" s="102">
        <v>44518</v>
      </c>
      <c r="M329" s="20"/>
      <c r="N329" s="20">
        <f>MONTH(List3[[#This Row],[Tanggal Pengajuan]])</f>
        <v>11</v>
      </c>
      <c r="O329" s="101"/>
      <c r="P329" s="20"/>
      <c r="Q329" s="177"/>
      <c r="R329" s="230" t="s">
        <v>958</v>
      </c>
      <c r="S329" s="577"/>
    </row>
    <row r="330" spans="2:19" ht="24" customHeight="1" x14ac:dyDescent="0.2">
      <c r="B330" s="19">
        <v>44509</v>
      </c>
      <c r="C330" s="163" t="s">
        <v>583</v>
      </c>
      <c r="D330" s="176" t="s">
        <v>871</v>
      </c>
      <c r="E330" s="176" t="s">
        <v>17</v>
      </c>
      <c r="F330" s="103" t="s">
        <v>18</v>
      </c>
      <c r="G330" s="469">
        <v>40</v>
      </c>
      <c r="H330" s="40">
        <v>6460600</v>
      </c>
      <c r="I330" s="40">
        <f>List3[[#This Row],[Pengajuan Donasi]]</f>
        <v>6460600</v>
      </c>
      <c r="J330" s="16" t="s">
        <v>19</v>
      </c>
      <c r="K330" s="176" t="s">
        <v>20</v>
      </c>
      <c r="L330" s="102">
        <v>44518</v>
      </c>
      <c r="M330" s="20"/>
      <c r="N330" s="20">
        <f>MONTH(List3[[#This Row],[Tanggal Pengajuan]])</f>
        <v>11</v>
      </c>
      <c r="O330" s="101"/>
      <c r="P330" s="20"/>
      <c r="Q330" s="177"/>
      <c r="R330" s="230" t="s">
        <v>958</v>
      </c>
      <c r="S330" s="577"/>
    </row>
    <row r="331" spans="2:19" ht="24" customHeight="1" x14ac:dyDescent="0.2">
      <c r="B331" s="19">
        <v>44509</v>
      </c>
      <c r="C331" s="163" t="s">
        <v>583</v>
      </c>
      <c r="D331" s="176" t="s">
        <v>851</v>
      </c>
      <c r="E331" s="176" t="s">
        <v>17</v>
      </c>
      <c r="F331" s="103" t="s">
        <v>18</v>
      </c>
      <c r="G331" s="469">
        <v>57</v>
      </c>
      <c r="H331" s="40">
        <v>6000900</v>
      </c>
      <c r="I331" s="40">
        <f>List3[[#This Row],[Pengajuan Donasi]]</f>
        <v>6000900</v>
      </c>
      <c r="J331" s="16" t="s">
        <v>19</v>
      </c>
      <c r="K331" s="176" t="s">
        <v>20</v>
      </c>
      <c r="L331" s="102">
        <v>44518</v>
      </c>
      <c r="M331" s="20"/>
      <c r="N331" s="20">
        <f>MONTH(List3[[#This Row],[Tanggal Pengajuan]])</f>
        <v>11</v>
      </c>
      <c r="O331" s="101"/>
      <c r="P331" s="20"/>
      <c r="Q331" s="177"/>
      <c r="R331" s="230" t="s">
        <v>958</v>
      </c>
      <c r="S331" s="577"/>
    </row>
    <row r="332" spans="2:19" ht="24" customHeight="1" x14ac:dyDescent="0.2">
      <c r="B332" s="19">
        <v>44509</v>
      </c>
      <c r="C332" s="163" t="s">
        <v>583</v>
      </c>
      <c r="D332" s="176" t="s">
        <v>869</v>
      </c>
      <c r="E332" s="176" t="s">
        <v>17</v>
      </c>
      <c r="F332" s="103" t="s">
        <v>18</v>
      </c>
      <c r="G332" s="469">
        <v>22</v>
      </c>
      <c r="H332" s="40">
        <v>6084000</v>
      </c>
      <c r="I332" s="40">
        <f>List3[[#This Row],[Pengajuan Donasi]]</f>
        <v>6084000</v>
      </c>
      <c r="J332" s="16" t="s">
        <v>19</v>
      </c>
      <c r="K332" s="176" t="s">
        <v>20</v>
      </c>
      <c r="L332" s="102">
        <v>44518</v>
      </c>
      <c r="M332" s="20"/>
      <c r="N332" s="20">
        <f>MONTH(List3[[#This Row],[Tanggal Pengajuan]])</f>
        <v>11</v>
      </c>
      <c r="O332" s="101"/>
      <c r="P332" s="20"/>
      <c r="Q332" s="177"/>
      <c r="R332" s="230" t="s">
        <v>958</v>
      </c>
      <c r="S332" s="577"/>
    </row>
    <row r="333" spans="2:19" ht="24" customHeight="1" x14ac:dyDescent="0.2">
      <c r="B333" s="19">
        <v>44509</v>
      </c>
      <c r="C333" s="163" t="s">
        <v>583</v>
      </c>
      <c r="D333" s="176" t="s">
        <v>848</v>
      </c>
      <c r="E333" s="176" t="s">
        <v>17</v>
      </c>
      <c r="F333" s="103" t="s">
        <v>18</v>
      </c>
      <c r="G333" s="469">
        <v>42</v>
      </c>
      <c r="H333" s="40">
        <v>6314900</v>
      </c>
      <c r="I333" s="40">
        <f>List3[[#This Row],[Pengajuan Donasi]]</f>
        <v>6314900</v>
      </c>
      <c r="J333" s="16" t="s">
        <v>19</v>
      </c>
      <c r="K333" s="176" t="s">
        <v>20</v>
      </c>
      <c r="L333" s="102">
        <v>44518</v>
      </c>
      <c r="M333" s="20"/>
      <c r="N333" s="20">
        <f>MONTH(List3[[#This Row],[Tanggal Pengajuan]])</f>
        <v>11</v>
      </c>
      <c r="O333" s="101"/>
      <c r="P333" s="20"/>
      <c r="Q333" s="177"/>
      <c r="R333" s="230" t="s">
        <v>958</v>
      </c>
      <c r="S333" s="577"/>
    </row>
    <row r="334" spans="2:19" ht="24" customHeight="1" x14ac:dyDescent="0.2">
      <c r="B334" s="19">
        <v>44509</v>
      </c>
      <c r="C334" s="163" t="s">
        <v>583</v>
      </c>
      <c r="D334" s="176" t="s">
        <v>229</v>
      </c>
      <c r="E334" s="176" t="s">
        <v>17</v>
      </c>
      <c r="F334" s="103" t="s">
        <v>18</v>
      </c>
      <c r="G334" s="469">
        <v>28</v>
      </c>
      <c r="H334" s="40">
        <v>6038400</v>
      </c>
      <c r="I334" s="40">
        <f>List3[[#This Row],[Pengajuan Donasi]]</f>
        <v>6038400</v>
      </c>
      <c r="J334" s="16" t="s">
        <v>19</v>
      </c>
      <c r="K334" s="176" t="s">
        <v>20</v>
      </c>
      <c r="L334" s="102">
        <v>44518</v>
      </c>
      <c r="M334" s="20"/>
      <c r="N334" s="20">
        <f>MONTH(List3[[#This Row],[Tanggal Pengajuan]])</f>
        <v>11</v>
      </c>
      <c r="O334" s="101"/>
      <c r="P334" s="20"/>
      <c r="Q334" s="177"/>
      <c r="R334" s="230" t="s">
        <v>958</v>
      </c>
      <c r="S334" s="577"/>
    </row>
    <row r="335" spans="2:19" ht="24" customHeight="1" x14ac:dyDescent="0.2">
      <c r="B335" s="19">
        <v>44509</v>
      </c>
      <c r="C335" s="163" t="s">
        <v>583</v>
      </c>
      <c r="D335" s="176" t="s">
        <v>228</v>
      </c>
      <c r="E335" s="176" t="s">
        <v>17</v>
      </c>
      <c r="F335" s="103" t="s">
        <v>18</v>
      </c>
      <c r="G335" s="469">
        <v>64</v>
      </c>
      <c r="H335" s="40">
        <v>6006800</v>
      </c>
      <c r="I335" s="40">
        <f>List3[[#This Row],[Pengajuan Donasi]]</f>
        <v>6006800</v>
      </c>
      <c r="J335" s="16" t="s">
        <v>19</v>
      </c>
      <c r="K335" s="176" t="s">
        <v>20</v>
      </c>
      <c r="L335" s="102">
        <v>44518</v>
      </c>
      <c r="M335" s="20"/>
      <c r="N335" s="20">
        <f>MONTH(List3[[#This Row],[Tanggal Pengajuan]])</f>
        <v>11</v>
      </c>
      <c r="O335" s="101"/>
      <c r="P335" s="20"/>
      <c r="Q335" s="177"/>
      <c r="R335" s="230" t="s">
        <v>958</v>
      </c>
      <c r="S335" s="577"/>
    </row>
    <row r="336" spans="2:19" ht="24" customHeight="1" x14ac:dyDescent="0.2">
      <c r="B336" s="19">
        <v>44509</v>
      </c>
      <c r="C336" s="163" t="s">
        <v>583</v>
      </c>
      <c r="D336" s="176" t="s">
        <v>858</v>
      </c>
      <c r="E336" s="176" t="s">
        <v>17</v>
      </c>
      <c r="F336" s="103" t="s">
        <v>18</v>
      </c>
      <c r="G336" s="469">
        <v>12</v>
      </c>
      <c r="H336" s="40">
        <v>6181000</v>
      </c>
      <c r="I336" s="40">
        <f>List3[[#This Row],[Pengajuan Donasi]]</f>
        <v>6181000</v>
      </c>
      <c r="J336" s="16" t="s">
        <v>19</v>
      </c>
      <c r="K336" s="176" t="s">
        <v>20</v>
      </c>
      <c r="L336" s="102">
        <v>44518</v>
      </c>
      <c r="M336" s="20"/>
      <c r="N336" s="20">
        <f>MONTH(List3[[#This Row],[Tanggal Pengajuan]])</f>
        <v>11</v>
      </c>
      <c r="O336" s="101"/>
      <c r="P336" s="20"/>
      <c r="Q336" s="177"/>
      <c r="R336" s="230" t="s">
        <v>958</v>
      </c>
      <c r="S336" s="577"/>
    </row>
    <row r="337" spans="2:19" ht="24" customHeight="1" x14ac:dyDescent="0.2">
      <c r="B337" s="19">
        <v>44509</v>
      </c>
      <c r="C337" s="163" t="s">
        <v>583</v>
      </c>
      <c r="D337" s="176" t="s">
        <v>856</v>
      </c>
      <c r="E337" s="176" t="s">
        <v>17</v>
      </c>
      <c r="F337" s="103" t="s">
        <v>18</v>
      </c>
      <c r="G337" s="469">
        <v>28</v>
      </c>
      <c r="H337" s="40">
        <v>6449800</v>
      </c>
      <c r="I337" s="40">
        <f>List3[[#This Row],[Pengajuan Donasi]]</f>
        <v>6449800</v>
      </c>
      <c r="J337" s="16" t="s">
        <v>19</v>
      </c>
      <c r="K337" s="176" t="s">
        <v>20</v>
      </c>
      <c r="L337" s="102">
        <v>44518</v>
      </c>
      <c r="M337" s="20"/>
      <c r="N337" s="20">
        <f>MONTH(List3[[#This Row],[Tanggal Pengajuan]])</f>
        <v>11</v>
      </c>
      <c r="O337" s="101"/>
      <c r="P337" s="20"/>
      <c r="Q337" s="177"/>
      <c r="R337" s="230" t="s">
        <v>958</v>
      </c>
      <c r="S337" s="577"/>
    </row>
    <row r="338" spans="2:19" ht="24" customHeight="1" x14ac:dyDescent="0.2">
      <c r="B338" s="19">
        <v>44509</v>
      </c>
      <c r="C338" s="163" t="s">
        <v>583</v>
      </c>
      <c r="D338" s="176" t="s">
        <v>854</v>
      </c>
      <c r="E338" s="176" t="s">
        <v>17</v>
      </c>
      <c r="F338" s="103" t="s">
        <v>18</v>
      </c>
      <c r="G338" s="469">
        <v>150</v>
      </c>
      <c r="H338" s="40">
        <v>6108800</v>
      </c>
      <c r="I338" s="40">
        <f>List3[[#This Row],[Pengajuan Donasi]]</f>
        <v>6108800</v>
      </c>
      <c r="J338" s="16" t="s">
        <v>19</v>
      </c>
      <c r="K338" s="176" t="s">
        <v>20</v>
      </c>
      <c r="L338" s="102">
        <v>44518</v>
      </c>
      <c r="M338" s="20"/>
      <c r="N338" s="20">
        <f>MONTH(List3[[#This Row],[Tanggal Pengajuan]])</f>
        <v>11</v>
      </c>
      <c r="O338" s="101"/>
      <c r="P338" s="20"/>
      <c r="Q338" s="177"/>
      <c r="R338" s="230" t="s">
        <v>958</v>
      </c>
      <c r="S338" s="577"/>
    </row>
    <row r="339" spans="2:19" ht="24" customHeight="1" x14ac:dyDescent="0.2">
      <c r="B339" s="19">
        <v>44509</v>
      </c>
      <c r="C339" s="163" t="s">
        <v>583</v>
      </c>
      <c r="D339" s="176" t="s">
        <v>328</v>
      </c>
      <c r="E339" s="176" t="s">
        <v>17</v>
      </c>
      <c r="F339" s="103" t="s">
        <v>18</v>
      </c>
      <c r="G339" s="469">
        <v>14</v>
      </c>
      <c r="H339" s="40">
        <v>5999100</v>
      </c>
      <c r="I339" s="40">
        <f>List3[[#This Row],[Pengajuan Donasi]]</f>
        <v>5999100</v>
      </c>
      <c r="J339" s="16" t="s">
        <v>19</v>
      </c>
      <c r="K339" s="176" t="s">
        <v>20</v>
      </c>
      <c r="L339" s="102">
        <v>44518</v>
      </c>
      <c r="M339" s="20"/>
      <c r="N339" s="20">
        <f>MONTH(List3[[#This Row],[Tanggal Pengajuan]])</f>
        <v>11</v>
      </c>
      <c r="O339" s="101"/>
      <c r="P339" s="20"/>
      <c r="Q339" s="177"/>
      <c r="R339" s="230" t="s">
        <v>958</v>
      </c>
      <c r="S339" s="577"/>
    </row>
    <row r="340" spans="2:19" ht="24" customHeight="1" x14ac:dyDescent="0.2">
      <c r="B340" s="19">
        <v>44509</v>
      </c>
      <c r="C340" s="163" t="s">
        <v>583</v>
      </c>
      <c r="D340" s="176" t="s">
        <v>857</v>
      </c>
      <c r="E340" s="176" t="s">
        <v>17</v>
      </c>
      <c r="F340" s="103" t="s">
        <v>18</v>
      </c>
      <c r="G340" s="469">
        <v>52</v>
      </c>
      <c r="H340" s="40">
        <v>6132100</v>
      </c>
      <c r="I340" s="40">
        <f>List3[[#This Row],[Pengajuan Donasi]]</f>
        <v>6132100</v>
      </c>
      <c r="J340" s="16" t="s">
        <v>19</v>
      </c>
      <c r="K340" s="176" t="s">
        <v>20</v>
      </c>
      <c r="L340" s="102">
        <v>44518</v>
      </c>
      <c r="M340" s="20"/>
      <c r="N340" s="20">
        <f>MONTH(List3[[#This Row],[Tanggal Pengajuan]])</f>
        <v>11</v>
      </c>
      <c r="O340" s="101"/>
      <c r="P340" s="20"/>
      <c r="Q340" s="177"/>
      <c r="R340" s="230" t="s">
        <v>958</v>
      </c>
      <c r="S340" s="577"/>
    </row>
    <row r="341" spans="2:19" ht="24" customHeight="1" x14ac:dyDescent="0.2">
      <c r="B341" s="19">
        <v>44509</v>
      </c>
      <c r="C341" s="163" t="s">
        <v>583</v>
      </c>
      <c r="D341" s="176" t="s">
        <v>853</v>
      </c>
      <c r="E341" s="176" t="s">
        <v>17</v>
      </c>
      <c r="F341" s="103" t="s">
        <v>18</v>
      </c>
      <c r="G341" s="469">
        <v>25</v>
      </c>
      <c r="H341" s="40">
        <v>5998600</v>
      </c>
      <c r="I341" s="40">
        <f>List3[[#This Row],[Pengajuan Donasi]]</f>
        <v>5998600</v>
      </c>
      <c r="J341" s="16" t="s">
        <v>19</v>
      </c>
      <c r="K341" s="176" t="s">
        <v>20</v>
      </c>
      <c r="L341" s="102">
        <v>44518</v>
      </c>
      <c r="M341" s="20"/>
      <c r="N341" s="20">
        <f>MONTH(List3[[#This Row],[Tanggal Pengajuan]])</f>
        <v>11</v>
      </c>
      <c r="O341" s="101"/>
      <c r="P341" s="20"/>
      <c r="Q341" s="177"/>
      <c r="R341" s="230" t="s">
        <v>958</v>
      </c>
      <c r="S341" s="577"/>
    </row>
    <row r="342" spans="2:19" ht="24" customHeight="1" x14ac:dyDescent="0.2">
      <c r="B342" s="19">
        <v>44509</v>
      </c>
      <c r="C342" s="163" t="s">
        <v>583</v>
      </c>
      <c r="D342" s="176" t="s">
        <v>362</v>
      </c>
      <c r="E342" s="176" t="s">
        <v>17</v>
      </c>
      <c r="F342" s="103" t="s">
        <v>18</v>
      </c>
      <c r="G342" s="469">
        <v>128</v>
      </c>
      <c r="H342" s="40">
        <v>6030400</v>
      </c>
      <c r="I342" s="40">
        <f>List3[[#This Row],[Pengajuan Donasi]]</f>
        <v>6030400</v>
      </c>
      <c r="J342" s="16" t="s">
        <v>19</v>
      </c>
      <c r="K342" s="176" t="s">
        <v>20</v>
      </c>
      <c r="L342" s="102">
        <v>44518</v>
      </c>
      <c r="M342" s="20"/>
      <c r="N342" s="20">
        <f>MONTH(List3[[#This Row],[Tanggal Pengajuan]])</f>
        <v>11</v>
      </c>
      <c r="O342" s="101"/>
      <c r="P342" s="20"/>
      <c r="Q342" s="177"/>
      <c r="R342" s="230" t="s">
        <v>958</v>
      </c>
      <c r="S342" s="577"/>
    </row>
    <row r="343" spans="2:19" ht="24" customHeight="1" x14ac:dyDescent="0.2">
      <c r="B343" s="19">
        <v>44509</v>
      </c>
      <c r="C343" s="163" t="s">
        <v>583</v>
      </c>
      <c r="D343" s="176" t="s">
        <v>391</v>
      </c>
      <c r="E343" s="176" t="s">
        <v>17</v>
      </c>
      <c r="F343" s="103" t="s">
        <v>18</v>
      </c>
      <c r="G343" s="469">
        <v>40</v>
      </c>
      <c r="H343" s="40">
        <v>6000500</v>
      </c>
      <c r="I343" s="40">
        <f>List3[[#This Row],[Pengajuan Donasi]]</f>
        <v>6000500</v>
      </c>
      <c r="J343" s="16" t="s">
        <v>19</v>
      </c>
      <c r="K343" s="176" t="s">
        <v>20</v>
      </c>
      <c r="L343" s="102">
        <v>44518</v>
      </c>
      <c r="M343" s="20"/>
      <c r="N343" s="20">
        <f>MONTH(List3[[#This Row],[Tanggal Pengajuan]])</f>
        <v>11</v>
      </c>
      <c r="O343" s="101"/>
      <c r="P343" s="20"/>
      <c r="Q343" s="177"/>
      <c r="R343" s="230" t="s">
        <v>958</v>
      </c>
      <c r="S343" s="577"/>
    </row>
    <row r="344" spans="2:19" ht="24" customHeight="1" x14ac:dyDescent="0.2">
      <c r="B344" s="19">
        <v>44509</v>
      </c>
      <c r="C344" s="163" t="s">
        <v>583</v>
      </c>
      <c r="D344" s="176" t="s">
        <v>860</v>
      </c>
      <c r="E344" s="176" t="s">
        <v>17</v>
      </c>
      <c r="F344" s="103" t="s">
        <v>18</v>
      </c>
      <c r="G344" s="469">
        <v>69</v>
      </c>
      <c r="H344" s="40">
        <v>6000700</v>
      </c>
      <c r="I344" s="40">
        <f>List3[[#This Row],[Pengajuan Donasi]]</f>
        <v>6000700</v>
      </c>
      <c r="J344" s="16" t="s">
        <v>19</v>
      </c>
      <c r="K344" s="176" t="s">
        <v>20</v>
      </c>
      <c r="L344" s="102">
        <v>44518</v>
      </c>
      <c r="M344" s="20"/>
      <c r="N344" s="20">
        <f>MONTH(List3[[#This Row],[Tanggal Pengajuan]])</f>
        <v>11</v>
      </c>
      <c r="O344" s="101"/>
      <c r="P344" s="20"/>
      <c r="Q344" s="177"/>
      <c r="R344" s="230" t="s">
        <v>958</v>
      </c>
      <c r="S344" s="577"/>
    </row>
    <row r="345" spans="2:19" ht="24" customHeight="1" x14ac:dyDescent="0.2">
      <c r="B345" s="19">
        <v>44509</v>
      </c>
      <c r="C345" s="163" t="s">
        <v>583</v>
      </c>
      <c r="D345" s="176" t="s">
        <v>861</v>
      </c>
      <c r="E345" s="176" t="s">
        <v>17</v>
      </c>
      <c r="F345" s="103" t="s">
        <v>18</v>
      </c>
      <c r="G345" s="469">
        <v>54</v>
      </c>
      <c r="H345" s="40">
        <v>6600900</v>
      </c>
      <c r="I345" s="40">
        <f>List3[[#This Row],[Pengajuan Donasi]]</f>
        <v>6600900</v>
      </c>
      <c r="J345" s="16" t="s">
        <v>19</v>
      </c>
      <c r="K345" s="176" t="s">
        <v>20</v>
      </c>
      <c r="L345" s="102">
        <v>44518</v>
      </c>
      <c r="M345" s="20"/>
      <c r="N345" s="20">
        <f>MONTH(List3[[#This Row],[Tanggal Pengajuan]])</f>
        <v>11</v>
      </c>
      <c r="O345" s="101"/>
      <c r="P345" s="20"/>
      <c r="Q345" s="177"/>
      <c r="R345" s="230" t="s">
        <v>958</v>
      </c>
      <c r="S345" s="577"/>
    </row>
    <row r="346" spans="2:19" ht="24" customHeight="1" x14ac:dyDescent="0.2">
      <c r="B346" s="19">
        <v>44509</v>
      </c>
      <c r="C346" s="163" t="s">
        <v>583</v>
      </c>
      <c r="D346" s="176" t="s">
        <v>862</v>
      </c>
      <c r="E346" s="176" t="s">
        <v>17</v>
      </c>
      <c r="F346" s="103" t="s">
        <v>18</v>
      </c>
      <c r="G346" s="469">
        <v>40</v>
      </c>
      <c r="H346" s="40">
        <v>5999800</v>
      </c>
      <c r="I346" s="40">
        <f>List3[[#This Row],[Pengajuan Donasi]]</f>
        <v>5999800</v>
      </c>
      <c r="J346" s="16" t="s">
        <v>19</v>
      </c>
      <c r="K346" s="176" t="s">
        <v>20</v>
      </c>
      <c r="L346" s="102">
        <v>44518</v>
      </c>
      <c r="M346" s="20"/>
      <c r="N346" s="20">
        <f>MONTH(List3[[#This Row],[Tanggal Pengajuan]])</f>
        <v>11</v>
      </c>
      <c r="O346" s="101"/>
      <c r="P346" s="20"/>
      <c r="Q346" s="177"/>
      <c r="R346" s="230" t="s">
        <v>958</v>
      </c>
      <c r="S346" s="577"/>
    </row>
    <row r="347" spans="2:19" ht="24" customHeight="1" x14ac:dyDescent="0.2">
      <c r="B347" s="19">
        <v>44509</v>
      </c>
      <c r="C347" s="163" t="s">
        <v>583</v>
      </c>
      <c r="D347" s="176" t="s">
        <v>863</v>
      </c>
      <c r="E347" s="176" t="s">
        <v>17</v>
      </c>
      <c r="F347" s="103" t="s">
        <v>18</v>
      </c>
      <c r="G347" s="469">
        <v>128</v>
      </c>
      <c r="H347" s="40">
        <v>6012600</v>
      </c>
      <c r="I347" s="40">
        <f>List3[[#This Row],[Pengajuan Donasi]]</f>
        <v>6012600</v>
      </c>
      <c r="J347" s="16" t="s">
        <v>19</v>
      </c>
      <c r="K347" s="176" t="s">
        <v>20</v>
      </c>
      <c r="L347" s="102">
        <v>44518</v>
      </c>
      <c r="M347" s="20"/>
      <c r="N347" s="20">
        <f>MONTH(List3[[#This Row],[Tanggal Pengajuan]])</f>
        <v>11</v>
      </c>
      <c r="O347" s="101"/>
      <c r="P347" s="20"/>
      <c r="Q347" s="177"/>
      <c r="R347" s="230" t="s">
        <v>958</v>
      </c>
      <c r="S347" s="577"/>
    </row>
    <row r="348" spans="2:19" ht="24" customHeight="1" x14ac:dyDescent="0.2">
      <c r="B348" s="19">
        <v>44509</v>
      </c>
      <c r="C348" s="163" t="s">
        <v>583</v>
      </c>
      <c r="D348" s="176" t="s">
        <v>864</v>
      </c>
      <c r="E348" s="176" t="s">
        <v>17</v>
      </c>
      <c r="F348" s="103" t="s">
        <v>18</v>
      </c>
      <c r="G348" s="469">
        <v>140</v>
      </c>
      <c r="H348" s="40">
        <v>5999700</v>
      </c>
      <c r="I348" s="40">
        <f>List3[[#This Row],[Pengajuan Donasi]]</f>
        <v>5999700</v>
      </c>
      <c r="J348" s="16" t="s">
        <v>19</v>
      </c>
      <c r="K348" s="176" t="s">
        <v>20</v>
      </c>
      <c r="L348" s="102">
        <v>44518</v>
      </c>
      <c r="M348" s="20"/>
      <c r="N348" s="20">
        <f>MONTH(List3[[#This Row],[Tanggal Pengajuan]])</f>
        <v>11</v>
      </c>
      <c r="O348" s="101"/>
      <c r="P348" s="20"/>
      <c r="Q348" s="177"/>
      <c r="R348" s="230" t="s">
        <v>958</v>
      </c>
      <c r="S348" s="577"/>
    </row>
    <row r="349" spans="2:19" ht="24" customHeight="1" x14ac:dyDescent="0.2">
      <c r="B349" s="19">
        <v>44509</v>
      </c>
      <c r="C349" s="163" t="s">
        <v>583</v>
      </c>
      <c r="D349" s="176" t="s">
        <v>865</v>
      </c>
      <c r="E349" s="176" t="s">
        <v>17</v>
      </c>
      <c r="F349" s="103" t="s">
        <v>18</v>
      </c>
      <c r="G349" s="469">
        <v>71</v>
      </c>
      <c r="H349" s="40">
        <v>6021900</v>
      </c>
      <c r="I349" s="40">
        <f>List3[[#This Row],[Pengajuan Donasi]]</f>
        <v>6021900</v>
      </c>
      <c r="J349" s="16" t="s">
        <v>19</v>
      </c>
      <c r="K349" s="176" t="s">
        <v>20</v>
      </c>
      <c r="L349" s="102">
        <v>44518</v>
      </c>
      <c r="M349" s="20"/>
      <c r="N349" s="20">
        <f>MONTH(List3[[#This Row],[Tanggal Pengajuan]])</f>
        <v>11</v>
      </c>
      <c r="O349" s="101"/>
      <c r="P349" s="20"/>
      <c r="Q349" s="177"/>
      <c r="R349" s="230" t="s">
        <v>958</v>
      </c>
      <c r="S349" s="577"/>
    </row>
    <row r="350" spans="2:19" ht="24" customHeight="1" x14ac:dyDescent="0.2">
      <c r="B350" s="19">
        <v>44509</v>
      </c>
      <c r="C350" s="163" t="s">
        <v>583</v>
      </c>
      <c r="D350" s="176" t="s">
        <v>866</v>
      </c>
      <c r="E350" s="176" t="s">
        <v>17</v>
      </c>
      <c r="F350" s="103" t="s">
        <v>18</v>
      </c>
      <c r="G350" s="469">
        <v>56</v>
      </c>
      <c r="H350" s="40">
        <v>5999600</v>
      </c>
      <c r="I350" s="40">
        <f>List3[[#This Row],[Pengajuan Donasi]]</f>
        <v>5999600</v>
      </c>
      <c r="J350" s="16" t="s">
        <v>19</v>
      </c>
      <c r="K350" s="176" t="s">
        <v>20</v>
      </c>
      <c r="L350" s="102">
        <v>44518</v>
      </c>
      <c r="M350" s="20"/>
      <c r="N350" s="20">
        <f>MONTH(List3[[#This Row],[Tanggal Pengajuan]])</f>
        <v>11</v>
      </c>
      <c r="O350" s="101"/>
      <c r="P350" s="20"/>
      <c r="Q350" s="177"/>
      <c r="R350" s="230" t="s">
        <v>958</v>
      </c>
      <c r="S350" s="577"/>
    </row>
    <row r="351" spans="2:19" ht="24" customHeight="1" x14ac:dyDescent="0.2">
      <c r="B351" s="19">
        <v>44509</v>
      </c>
      <c r="C351" s="163" t="s">
        <v>584</v>
      </c>
      <c r="D351" s="176" t="s">
        <v>486</v>
      </c>
      <c r="E351" s="176" t="s">
        <v>179</v>
      </c>
      <c r="F351" s="103" t="s">
        <v>18</v>
      </c>
      <c r="G351" s="469">
        <v>44</v>
      </c>
      <c r="H351" s="40">
        <v>2640000</v>
      </c>
      <c r="I351" s="40">
        <f>List3[[#This Row],[Pengajuan Donasi]]</f>
        <v>2640000</v>
      </c>
      <c r="J351" s="16" t="s">
        <v>19</v>
      </c>
      <c r="K351" s="176" t="s">
        <v>20</v>
      </c>
      <c r="L351" s="102">
        <v>44510</v>
      </c>
      <c r="M351" s="20"/>
      <c r="N351" s="20">
        <f>MONTH(List3[[#This Row],[Tanggal Pengajuan]])</f>
        <v>11</v>
      </c>
      <c r="O351" s="101"/>
      <c r="P351" s="20"/>
      <c r="Q351" s="177"/>
      <c r="R351" s="230" t="s">
        <v>958</v>
      </c>
      <c r="S351" s="577"/>
    </row>
    <row r="352" spans="2:19" ht="24" customHeight="1" x14ac:dyDescent="0.2">
      <c r="B352" s="19">
        <v>44509</v>
      </c>
      <c r="C352" s="163" t="s">
        <v>585</v>
      </c>
      <c r="D352" s="176" t="s">
        <v>429</v>
      </c>
      <c r="E352" s="176" t="s">
        <v>57</v>
      </c>
      <c r="F352" s="103" t="s">
        <v>18</v>
      </c>
      <c r="G352" s="469">
        <v>38</v>
      </c>
      <c r="H352" s="40">
        <v>5000000</v>
      </c>
      <c r="I352" s="40">
        <f>List3[[#This Row],[Pengajuan Donasi]]</f>
        <v>5000000</v>
      </c>
      <c r="J352" s="16" t="s">
        <v>19</v>
      </c>
      <c r="K352" s="176" t="s">
        <v>20</v>
      </c>
      <c r="L352" s="102">
        <v>44510</v>
      </c>
      <c r="M352" s="20"/>
      <c r="N352" s="20">
        <f>MONTH(List3[[#This Row],[Tanggal Pengajuan]])</f>
        <v>11</v>
      </c>
      <c r="O352" s="101"/>
      <c r="P352" s="20"/>
      <c r="Q352" s="177"/>
      <c r="R352" s="230" t="s">
        <v>958</v>
      </c>
      <c r="S352" s="577"/>
    </row>
    <row r="353" spans="1:19" ht="24" customHeight="1" x14ac:dyDescent="0.2">
      <c r="B353" s="19">
        <v>44529</v>
      </c>
      <c r="C353" s="163" t="s">
        <v>629</v>
      </c>
      <c r="D353" s="176" t="s">
        <v>53</v>
      </c>
      <c r="E353" s="176" t="s">
        <v>179</v>
      </c>
      <c r="F353" s="103" t="s">
        <v>18</v>
      </c>
      <c r="G353" s="469">
        <v>52</v>
      </c>
      <c r="H353" s="40">
        <v>31255000</v>
      </c>
      <c r="I353" s="40">
        <f>List3[[#This Row],[Pengajuan Donasi]]</f>
        <v>31255000</v>
      </c>
      <c r="J353" s="16"/>
      <c r="K353" s="176"/>
      <c r="L353" s="182"/>
      <c r="M353" s="20"/>
      <c r="N353" s="20">
        <f>MONTH(List3[[#This Row],[Tanggal Pengajuan]])</f>
        <v>11</v>
      </c>
      <c r="O353" s="183"/>
      <c r="P353" s="20"/>
      <c r="Q353" s="177"/>
      <c r="R353" s="230" t="s">
        <v>958</v>
      </c>
      <c r="S353" s="577"/>
    </row>
    <row r="354" spans="1:19" ht="24" customHeight="1" x14ac:dyDescent="0.2">
      <c r="B354" s="19">
        <v>44518</v>
      </c>
      <c r="C354" s="163" t="s">
        <v>586</v>
      </c>
      <c r="D354" s="176" t="s">
        <v>558</v>
      </c>
      <c r="E354" s="176" t="s">
        <v>57</v>
      </c>
      <c r="F354" s="103" t="s">
        <v>18</v>
      </c>
      <c r="G354" s="469">
        <v>0</v>
      </c>
      <c r="H354" s="40">
        <v>29100000</v>
      </c>
      <c r="I354" s="40">
        <f>List3[[#This Row],[Pengajuan Donasi]]</f>
        <v>29100000</v>
      </c>
      <c r="J354" s="16" t="s">
        <v>19</v>
      </c>
      <c r="K354" s="176" t="s">
        <v>20</v>
      </c>
      <c r="L354" s="102">
        <v>44526</v>
      </c>
      <c r="M354" s="20"/>
      <c r="N354" s="20">
        <f>MONTH(List3[[#This Row],[Tanggal Pengajuan]])</f>
        <v>11</v>
      </c>
      <c r="O354" s="101"/>
      <c r="P354" s="20"/>
      <c r="Q354" s="177"/>
      <c r="R354" s="230" t="s">
        <v>958</v>
      </c>
      <c r="S354" s="577"/>
    </row>
    <row r="355" spans="1:19" s="901" customFormat="1" ht="24" customHeight="1" x14ac:dyDescent="0.2">
      <c r="B355" s="902">
        <v>44518</v>
      </c>
      <c r="C355" s="903" t="s">
        <v>587</v>
      </c>
      <c r="D355" s="904" t="s">
        <v>588</v>
      </c>
      <c r="E355" s="904" t="s">
        <v>179</v>
      </c>
      <c r="F355" s="905" t="s">
        <v>18</v>
      </c>
      <c r="G355" s="906">
        <v>0</v>
      </c>
      <c r="H355" s="907">
        <v>0</v>
      </c>
      <c r="I355" s="907">
        <f>List3[[#This Row],[Pengajuan Donasi]]</f>
        <v>0</v>
      </c>
      <c r="J355" s="908" t="s">
        <v>72</v>
      </c>
      <c r="K355" s="904" t="s">
        <v>73</v>
      </c>
      <c r="L355" s="909"/>
      <c r="M355" s="910"/>
      <c r="N355" s="910">
        <f>MONTH(List3[[#This Row],[Tanggal Pengajuan]])</f>
        <v>11</v>
      </c>
      <c r="O355" s="909"/>
      <c r="P355" s="910" t="s">
        <v>1396</v>
      </c>
      <c r="Q355" s="911"/>
      <c r="R355" s="230" t="s">
        <v>958</v>
      </c>
      <c r="S355" s="577"/>
    </row>
    <row r="356" spans="1:19" ht="24" customHeight="1" x14ac:dyDescent="0.2">
      <c r="B356" s="19">
        <v>44518</v>
      </c>
      <c r="C356" s="163" t="s">
        <v>589</v>
      </c>
      <c r="D356" s="176" t="s">
        <v>256</v>
      </c>
      <c r="E356" s="176" t="s">
        <v>17</v>
      </c>
      <c r="F356" s="103" t="s">
        <v>18</v>
      </c>
      <c r="G356" s="469">
        <v>86</v>
      </c>
      <c r="H356" s="40">
        <v>8500000</v>
      </c>
      <c r="I356" s="40">
        <f>List3[[#This Row],[Pengajuan Donasi]]</f>
        <v>8500000</v>
      </c>
      <c r="J356" s="16" t="s">
        <v>19</v>
      </c>
      <c r="K356" s="176" t="s">
        <v>20</v>
      </c>
      <c r="L356" s="19">
        <v>44540</v>
      </c>
      <c r="M356" s="20"/>
      <c r="N356" s="20">
        <f>MONTH(List3[[#This Row],[Tanggal Pengajuan]])</f>
        <v>11</v>
      </c>
      <c r="O356" s="101"/>
      <c r="P356" s="20"/>
      <c r="Q356" s="177"/>
      <c r="R356" s="230" t="s">
        <v>958</v>
      </c>
      <c r="S356" s="577"/>
    </row>
    <row r="357" spans="1:19" ht="24" customHeight="1" x14ac:dyDescent="0.2">
      <c r="B357" s="19">
        <v>44518</v>
      </c>
      <c r="C357" s="163" t="s">
        <v>589</v>
      </c>
      <c r="D357" s="176" t="s">
        <v>222</v>
      </c>
      <c r="E357" s="176" t="s">
        <v>17</v>
      </c>
      <c r="F357" s="103" t="s">
        <v>18</v>
      </c>
      <c r="G357" s="469">
        <v>38</v>
      </c>
      <c r="H357" s="40">
        <v>5500000</v>
      </c>
      <c r="I357" s="40">
        <f>List3[[#This Row],[Pengajuan Donasi]]</f>
        <v>5500000</v>
      </c>
      <c r="J357" s="16" t="s">
        <v>19</v>
      </c>
      <c r="K357" s="176" t="s">
        <v>20</v>
      </c>
      <c r="L357" s="19">
        <v>44540</v>
      </c>
      <c r="M357" s="20"/>
      <c r="N357" s="20">
        <f>MONTH(List3[[#This Row],[Tanggal Pengajuan]])</f>
        <v>11</v>
      </c>
      <c r="O357" s="101"/>
      <c r="P357" s="20"/>
      <c r="Q357" s="177"/>
      <c r="R357" s="230" t="s">
        <v>958</v>
      </c>
      <c r="S357" s="577"/>
    </row>
    <row r="358" spans="1:19" ht="24" customHeight="1" x14ac:dyDescent="0.2">
      <c r="B358" s="19">
        <v>44518</v>
      </c>
      <c r="C358" s="163" t="s">
        <v>589</v>
      </c>
      <c r="D358" s="176" t="s">
        <v>257</v>
      </c>
      <c r="E358" s="176" t="s">
        <v>17</v>
      </c>
      <c r="F358" s="103" t="s">
        <v>18</v>
      </c>
      <c r="G358" s="469">
        <v>134</v>
      </c>
      <c r="H358" s="40">
        <v>5500000</v>
      </c>
      <c r="I358" s="40">
        <f>List3[[#This Row],[Pengajuan Donasi]]</f>
        <v>5500000</v>
      </c>
      <c r="J358" s="16" t="s">
        <v>19</v>
      </c>
      <c r="K358" s="176" t="s">
        <v>20</v>
      </c>
      <c r="L358" s="19">
        <v>44540</v>
      </c>
      <c r="M358" s="20"/>
      <c r="N358" s="20">
        <f>MONTH(List3[[#This Row],[Tanggal Pengajuan]])</f>
        <v>11</v>
      </c>
      <c r="O358" s="101"/>
      <c r="P358" s="20"/>
      <c r="Q358" s="177"/>
      <c r="R358" s="230" t="s">
        <v>958</v>
      </c>
      <c r="S358" s="577"/>
    </row>
    <row r="359" spans="1:19" ht="24" customHeight="1" x14ac:dyDescent="0.2">
      <c r="B359" s="19">
        <v>44518</v>
      </c>
      <c r="C359" s="163" t="s">
        <v>590</v>
      </c>
      <c r="D359" s="176" t="s">
        <v>423</v>
      </c>
      <c r="E359" s="176" t="s">
        <v>57</v>
      </c>
      <c r="F359" s="103" t="s">
        <v>18</v>
      </c>
      <c r="G359" s="469">
        <v>35</v>
      </c>
      <c r="H359" s="40">
        <v>5000000</v>
      </c>
      <c r="I359" s="40">
        <f>List3[[#This Row],[Pengajuan Donasi]]</f>
        <v>5000000</v>
      </c>
      <c r="J359" s="16" t="s">
        <v>19</v>
      </c>
      <c r="K359" s="176" t="s">
        <v>20</v>
      </c>
      <c r="L359" s="19">
        <v>44556</v>
      </c>
      <c r="M359" s="20"/>
      <c r="N359" s="20">
        <f>MONTH(List3[[#This Row],[Tanggal Pengajuan]])</f>
        <v>11</v>
      </c>
      <c r="O359" s="101"/>
      <c r="P359" s="20"/>
      <c r="Q359" s="177"/>
      <c r="R359" s="230" t="s">
        <v>958</v>
      </c>
      <c r="S359" s="577"/>
    </row>
    <row r="360" spans="1:19" ht="24" customHeight="1" x14ac:dyDescent="0.2">
      <c r="B360" s="19">
        <v>44531</v>
      </c>
      <c r="C360" s="181" t="s">
        <v>637</v>
      </c>
      <c r="D360" s="176" t="s">
        <v>876</v>
      </c>
      <c r="E360" s="176" t="s">
        <v>26</v>
      </c>
      <c r="F360" s="103" t="s">
        <v>18</v>
      </c>
      <c r="G360" s="469">
        <v>1</v>
      </c>
      <c r="H360" s="206">
        <v>5000000</v>
      </c>
      <c r="I360" s="40">
        <f>List3[[#This Row],[Pengajuan Donasi]]</f>
        <v>5000000</v>
      </c>
      <c r="J360" s="16" t="s">
        <v>19</v>
      </c>
      <c r="K360" s="176" t="s">
        <v>20</v>
      </c>
      <c r="L360" s="19">
        <v>44543</v>
      </c>
      <c r="M360" s="203" t="s">
        <v>448</v>
      </c>
      <c r="N360" s="20">
        <f>MONTH(List3[[#This Row],[Tanggal Pengajuan]])</f>
        <v>12</v>
      </c>
      <c r="O360" s="183"/>
      <c r="P360" s="20"/>
      <c r="Q360" s="177"/>
      <c r="R360" s="230" t="s">
        <v>958</v>
      </c>
      <c r="S360" s="577"/>
    </row>
    <row r="361" spans="1:19" ht="24" customHeight="1" x14ac:dyDescent="0.2">
      <c r="A361" s="226">
        <v>5000000</v>
      </c>
      <c r="B361" s="19">
        <v>44531</v>
      </c>
      <c r="C361" s="181"/>
      <c r="D361" s="176" t="s">
        <v>875</v>
      </c>
      <c r="E361" s="176" t="s">
        <v>26</v>
      </c>
      <c r="F361" s="103" t="s">
        <v>18</v>
      </c>
      <c r="G361" s="469">
        <v>1</v>
      </c>
      <c r="H361" s="227">
        <v>1000000</v>
      </c>
      <c r="I361" s="40">
        <f>List3[[#This Row],[Pengajuan Donasi]]</f>
        <v>1000000</v>
      </c>
      <c r="J361" s="16" t="s">
        <v>19</v>
      </c>
      <c r="K361" s="176" t="s">
        <v>20</v>
      </c>
      <c r="L361" s="19">
        <v>44543</v>
      </c>
      <c r="M361" s="205" t="s">
        <v>453</v>
      </c>
      <c r="N361" s="20">
        <f>MONTH(List3[[#This Row],[Tanggal Pengajuan]])</f>
        <v>12</v>
      </c>
      <c r="O361" s="183"/>
      <c r="P361" s="20"/>
      <c r="Q361" s="177"/>
      <c r="R361" s="230" t="s">
        <v>958</v>
      </c>
      <c r="S361" s="577"/>
    </row>
    <row r="362" spans="1:19" ht="24" customHeight="1" x14ac:dyDescent="0.2">
      <c r="A362" s="207">
        <v>1000000</v>
      </c>
      <c r="B362" s="19">
        <v>44531</v>
      </c>
      <c r="C362" s="181"/>
      <c r="D362" s="176" t="s">
        <v>877</v>
      </c>
      <c r="E362" s="176" t="s">
        <v>26</v>
      </c>
      <c r="F362" s="103" t="s">
        <v>18</v>
      </c>
      <c r="G362" s="469">
        <v>1</v>
      </c>
      <c r="H362" s="206">
        <v>1000000</v>
      </c>
      <c r="I362" s="40">
        <f>List3[[#This Row],[Pengajuan Donasi]]</f>
        <v>1000000</v>
      </c>
      <c r="J362" s="16" t="s">
        <v>19</v>
      </c>
      <c r="K362" s="176" t="s">
        <v>20</v>
      </c>
      <c r="L362" s="19">
        <v>44543</v>
      </c>
      <c r="M362" s="184" t="s">
        <v>458</v>
      </c>
      <c r="N362" s="20">
        <f>MONTH(List3[[#This Row],[Tanggal Pengajuan]])</f>
        <v>12</v>
      </c>
      <c r="O362" s="183"/>
      <c r="P362" s="20"/>
      <c r="Q362" s="177"/>
      <c r="R362" s="230" t="s">
        <v>958</v>
      </c>
      <c r="S362" s="577"/>
    </row>
    <row r="363" spans="1:19" ht="24" customHeight="1" x14ac:dyDescent="0.2">
      <c r="A363" s="226">
        <v>1000000</v>
      </c>
      <c r="B363" s="19">
        <v>44531</v>
      </c>
      <c r="C363" s="181"/>
      <c r="D363" s="176" t="s">
        <v>878</v>
      </c>
      <c r="E363" s="176" t="s">
        <v>26</v>
      </c>
      <c r="F363" s="103" t="s">
        <v>18</v>
      </c>
      <c r="G363" s="469">
        <v>1</v>
      </c>
      <c r="H363" s="227">
        <v>1000000</v>
      </c>
      <c r="I363" s="40">
        <f>List3[[#This Row],[Pengajuan Donasi]]</f>
        <v>1000000</v>
      </c>
      <c r="J363" s="16" t="s">
        <v>19</v>
      </c>
      <c r="K363" s="176" t="s">
        <v>20</v>
      </c>
      <c r="L363" s="19">
        <v>44543</v>
      </c>
      <c r="M363" s="205" t="s">
        <v>460</v>
      </c>
      <c r="N363" s="20">
        <f>MONTH(List3[[#This Row],[Tanggal Pengajuan]])</f>
        <v>12</v>
      </c>
      <c r="O363" s="183"/>
      <c r="P363" s="20"/>
      <c r="Q363" s="177"/>
      <c r="R363" s="230" t="s">
        <v>958</v>
      </c>
      <c r="S363" s="577"/>
    </row>
    <row r="364" spans="1:19" ht="24" customHeight="1" x14ac:dyDescent="0.2">
      <c r="A364" s="207">
        <v>1000000</v>
      </c>
      <c r="B364" s="19">
        <v>44531</v>
      </c>
      <c r="C364" s="181"/>
      <c r="D364" s="176" t="s">
        <v>879</v>
      </c>
      <c r="E364" s="176" t="s">
        <v>26</v>
      </c>
      <c r="F364" s="103" t="s">
        <v>18</v>
      </c>
      <c r="G364" s="469">
        <v>1</v>
      </c>
      <c r="H364" s="206">
        <v>1000000</v>
      </c>
      <c r="I364" s="40">
        <f>List3[[#This Row],[Pengajuan Donasi]]</f>
        <v>1000000</v>
      </c>
      <c r="J364" s="16" t="s">
        <v>19</v>
      </c>
      <c r="K364" s="176" t="s">
        <v>20</v>
      </c>
      <c r="L364" s="19">
        <v>44543</v>
      </c>
      <c r="M364" s="184" t="s">
        <v>462</v>
      </c>
      <c r="N364" s="20">
        <f>MONTH(List3[[#This Row],[Tanggal Pengajuan]])</f>
        <v>12</v>
      </c>
      <c r="O364" s="183"/>
      <c r="P364" s="20"/>
      <c r="Q364" s="177"/>
      <c r="R364" s="230" t="s">
        <v>958</v>
      </c>
      <c r="S364" s="577"/>
    </row>
    <row r="365" spans="1:19" ht="24" customHeight="1" x14ac:dyDescent="0.2">
      <c r="A365" s="226">
        <v>1000000</v>
      </c>
      <c r="B365" s="19">
        <v>44531</v>
      </c>
      <c r="C365" s="181"/>
      <c r="D365" s="176" t="s">
        <v>951</v>
      </c>
      <c r="E365" s="176" t="s">
        <v>26</v>
      </c>
      <c r="F365" s="103" t="s">
        <v>18</v>
      </c>
      <c r="G365" s="469">
        <v>1</v>
      </c>
      <c r="H365" s="227">
        <v>1000000</v>
      </c>
      <c r="I365" s="40">
        <f>List3[[#This Row],[Pengajuan Donasi]]</f>
        <v>1000000</v>
      </c>
      <c r="J365" s="16" t="s">
        <v>19</v>
      </c>
      <c r="K365" s="176" t="s">
        <v>20</v>
      </c>
      <c r="L365" s="19">
        <v>44543</v>
      </c>
      <c r="M365" s="205" t="s">
        <v>466</v>
      </c>
      <c r="N365" s="20">
        <f>MONTH(List3[[#This Row],[Tanggal Pengajuan]])</f>
        <v>12</v>
      </c>
      <c r="O365" s="183"/>
      <c r="P365" s="20"/>
      <c r="Q365" s="177"/>
      <c r="R365" s="230" t="s">
        <v>958</v>
      </c>
      <c r="S365" s="577"/>
    </row>
    <row r="366" spans="1:19" ht="24" customHeight="1" x14ac:dyDescent="0.2">
      <c r="A366" s="207">
        <v>1000000</v>
      </c>
      <c r="B366" s="19">
        <v>44531</v>
      </c>
      <c r="C366" s="181"/>
      <c r="D366" s="176" t="s">
        <v>880</v>
      </c>
      <c r="E366" s="176" t="s">
        <v>26</v>
      </c>
      <c r="F366" s="103" t="s">
        <v>18</v>
      </c>
      <c r="G366" s="469">
        <v>1</v>
      </c>
      <c r="H366" s="206">
        <v>1000000</v>
      </c>
      <c r="I366" s="40">
        <f>List3[[#This Row],[Pengajuan Donasi]]</f>
        <v>1000000</v>
      </c>
      <c r="J366" s="16" t="s">
        <v>19</v>
      </c>
      <c r="K366" s="176" t="s">
        <v>20</v>
      </c>
      <c r="L366" s="19">
        <v>44543</v>
      </c>
      <c r="M366" s="184" t="s">
        <v>470</v>
      </c>
      <c r="N366" s="20">
        <f>MONTH(List3[[#This Row],[Tanggal Pengajuan]])</f>
        <v>12</v>
      </c>
      <c r="O366" s="183"/>
      <c r="P366" s="20"/>
      <c r="Q366" s="177"/>
      <c r="R366" s="230" t="s">
        <v>958</v>
      </c>
      <c r="S366" s="577"/>
    </row>
    <row r="367" spans="1:19" ht="24" customHeight="1" x14ac:dyDescent="0.2">
      <c r="A367" s="226">
        <v>1000000</v>
      </c>
      <c r="B367" s="19">
        <v>44531</v>
      </c>
      <c r="C367" s="181"/>
      <c r="D367" s="176" t="s">
        <v>952</v>
      </c>
      <c r="E367" s="176" t="s">
        <v>26</v>
      </c>
      <c r="F367" s="103" t="s">
        <v>18</v>
      </c>
      <c r="G367" s="469">
        <v>1</v>
      </c>
      <c r="H367" s="227">
        <v>1000000</v>
      </c>
      <c r="I367" s="40">
        <f>List3[[#This Row],[Pengajuan Donasi]]</f>
        <v>1000000</v>
      </c>
      <c r="J367" s="16" t="s">
        <v>19</v>
      </c>
      <c r="K367" s="176" t="s">
        <v>20</v>
      </c>
      <c r="L367" s="19">
        <v>44543</v>
      </c>
      <c r="M367" s="205" t="s">
        <v>519</v>
      </c>
      <c r="N367" s="20">
        <f>MONTH(List3[[#This Row],[Tanggal Pengajuan]])</f>
        <v>12</v>
      </c>
      <c r="O367" s="183"/>
      <c r="P367" s="20"/>
      <c r="Q367" s="177"/>
      <c r="R367" s="230" t="s">
        <v>958</v>
      </c>
      <c r="S367" s="577"/>
    </row>
    <row r="368" spans="1:19" ht="24" customHeight="1" x14ac:dyDescent="0.2">
      <c r="A368" s="207">
        <v>1000000</v>
      </c>
      <c r="B368" s="19">
        <v>44531</v>
      </c>
      <c r="C368" s="181"/>
      <c r="D368" s="176" t="s">
        <v>881</v>
      </c>
      <c r="E368" s="176" t="s">
        <v>26</v>
      </c>
      <c r="F368" s="103" t="s">
        <v>18</v>
      </c>
      <c r="G368" s="469">
        <v>1</v>
      </c>
      <c r="H368" s="206">
        <v>1000000</v>
      </c>
      <c r="I368" s="40">
        <f>List3[[#This Row],[Pengajuan Donasi]]</f>
        <v>1000000</v>
      </c>
      <c r="J368" s="16" t="s">
        <v>19</v>
      </c>
      <c r="K368" s="176" t="s">
        <v>20</v>
      </c>
      <c r="L368" s="19">
        <v>44543</v>
      </c>
      <c r="M368" s="184" t="s">
        <v>476</v>
      </c>
      <c r="N368" s="20">
        <f>MONTH(List3[[#This Row],[Tanggal Pengajuan]])</f>
        <v>12</v>
      </c>
      <c r="O368" s="183"/>
      <c r="P368" s="20"/>
      <c r="Q368" s="177"/>
      <c r="R368" s="230" t="s">
        <v>958</v>
      </c>
      <c r="S368" s="577"/>
    </row>
    <row r="369" spans="1:19" ht="24" customHeight="1" x14ac:dyDescent="0.2">
      <c r="A369" s="226">
        <v>1000000</v>
      </c>
      <c r="B369" s="19">
        <v>44531</v>
      </c>
      <c r="C369" s="181"/>
      <c r="D369" s="176" t="s">
        <v>882</v>
      </c>
      <c r="E369" s="176" t="s">
        <v>26</v>
      </c>
      <c r="F369" s="103" t="s">
        <v>18</v>
      </c>
      <c r="G369" s="469">
        <v>1</v>
      </c>
      <c r="H369" s="227">
        <v>750000</v>
      </c>
      <c r="I369" s="40">
        <f>List3[[#This Row],[Pengajuan Donasi]]</f>
        <v>750000</v>
      </c>
      <c r="J369" s="16" t="s">
        <v>19</v>
      </c>
      <c r="K369" s="176" t="s">
        <v>20</v>
      </c>
      <c r="L369" s="19">
        <v>44543</v>
      </c>
      <c r="M369" s="205" t="s">
        <v>479</v>
      </c>
      <c r="N369" s="20">
        <f>MONTH(List3[[#This Row],[Tanggal Pengajuan]])</f>
        <v>12</v>
      </c>
      <c r="O369" s="183"/>
      <c r="P369" s="20"/>
      <c r="Q369" s="177"/>
      <c r="R369" s="230" t="s">
        <v>958</v>
      </c>
      <c r="S369" s="577"/>
    </row>
    <row r="370" spans="1:19" ht="24" customHeight="1" x14ac:dyDescent="0.2">
      <c r="A370" s="207">
        <v>750000</v>
      </c>
      <c r="B370" s="19">
        <v>44531</v>
      </c>
      <c r="C370" s="181"/>
      <c r="D370" s="176" t="s">
        <v>883</v>
      </c>
      <c r="E370" s="176" t="s">
        <v>26</v>
      </c>
      <c r="F370" s="103" t="s">
        <v>18</v>
      </c>
      <c r="G370" s="469">
        <v>1</v>
      </c>
      <c r="H370" s="206">
        <v>750000</v>
      </c>
      <c r="I370" s="40">
        <f>List3[[#This Row],[Pengajuan Donasi]]</f>
        <v>750000</v>
      </c>
      <c r="J370" s="16" t="s">
        <v>19</v>
      </c>
      <c r="K370" s="176" t="s">
        <v>20</v>
      </c>
      <c r="L370" s="19">
        <v>44543</v>
      </c>
      <c r="M370" s="184" t="s">
        <v>481</v>
      </c>
      <c r="N370" s="20">
        <f>MONTH(List3[[#This Row],[Tanggal Pengajuan]])</f>
        <v>12</v>
      </c>
      <c r="O370" s="183"/>
      <c r="P370" s="20"/>
      <c r="Q370" s="177"/>
      <c r="R370" s="230" t="s">
        <v>958</v>
      </c>
      <c r="S370" s="577"/>
    </row>
    <row r="371" spans="1:19" ht="24" customHeight="1" x14ac:dyDescent="0.2">
      <c r="A371" s="207"/>
      <c r="B371" s="19">
        <v>44531</v>
      </c>
      <c r="C371" s="181"/>
      <c r="D371" s="176" t="s">
        <v>956</v>
      </c>
      <c r="E371" s="176" t="s">
        <v>26</v>
      </c>
      <c r="F371" s="103" t="s">
        <v>18</v>
      </c>
      <c r="G371" s="469">
        <v>1</v>
      </c>
      <c r="H371" s="227">
        <v>1000000</v>
      </c>
      <c r="I371" s="40">
        <f>List3[[#This Row],[Pengajuan Donasi]]</f>
        <v>1000000</v>
      </c>
      <c r="J371" s="16" t="s">
        <v>19</v>
      </c>
      <c r="K371" s="176" t="s">
        <v>20</v>
      </c>
      <c r="L371" s="19">
        <v>44543</v>
      </c>
      <c r="M371" s="205" t="s">
        <v>873</v>
      </c>
      <c r="N371" s="20">
        <f>MONTH(List3[[#This Row],[Tanggal Pengajuan]])</f>
        <v>12</v>
      </c>
      <c r="O371" s="183"/>
      <c r="P371" s="20"/>
      <c r="Q371" s="177"/>
      <c r="R371" s="230" t="s">
        <v>958</v>
      </c>
      <c r="S371" s="577"/>
    </row>
    <row r="372" spans="1:19" ht="24" customHeight="1" x14ac:dyDescent="0.2">
      <c r="A372" s="207"/>
      <c r="B372" s="19">
        <v>44531</v>
      </c>
      <c r="C372" s="181"/>
      <c r="D372" s="176" t="s">
        <v>884</v>
      </c>
      <c r="E372" s="176" t="s">
        <v>26</v>
      </c>
      <c r="F372" s="103" t="s">
        <v>18</v>
      </c>
      <c r="G372" s="469">
        <v>1</v>
      </c>
      <c r="H372" s="206">
        <v>1000000</v>
      </c>
      <c r="I372" s="40">
        <f>List3[[#This Row],[Pengajuan Donasi]]</f>
        <v>1000000</v>
      </c>
      <c r="J372" s="16" t="s">
        <v>19</v>
      </c>
      <c r="K372" s="176" t="s">
        <v>20</v>
      </c>
      <c r="L372" s="19">
        <v>44543</v>
      </c>
      <c r="M372" s="204" t="s">
        <v>874</v>
      </c>
      <c r="N372" s="20">
        <f>MONTH(List3[[#This Row],[Tanggal Pengajuan]])</f>
        <v>12</v>
      </c>
      <c r="O372" s="183"/>
      <c r="P372" s="20"/>
      <c r="Q372" s="177"/>
      <c r="R372" s="230" t="s">
        <v>958</v>
      </c>
      <c r="S372" s="577"/>
    </row>
    <row r="373" spans="1:19" ht="24" customHeight="1" x14ac:dyDescent="0.2">
      <c r="B373" s="19">
        <v>44531</v>
      </c>
      <c r="C373" s="181" t="s">
        <v>613</v>
      </c>
      <c r="D373" s="176" t="s">
        <v>413</v>
      </c>
      <c r="E373" s="176" t="s">
        <v>57</v>
      </c>
      <c r="F373" s="103" t="s">
        <v>18</v>
      </c>
      <c r="G373" s="469">
        <v>16</v>
      </c>
      <c r="H373" s="40">
        <v>20000000</v>
      </c>
      <c r="I373" s="40">
        <f>List3[[#This Row],[Pengajuan Donasi]]</f>
        <v>20000000</v>
      </c>
      <c r="J373" s="16" t="s">
        <v>19</v>
      </c>
      <c r="K373" s="176" t="s">
        <v>20</v>
      </c>
      <c r="L373" s="19">
        <v>44554</v>
      </c>
      <c r="M373" s="20"/>
      <c r="N373" s="20">
        <f>MONTH(List3[[#This Row],[Tanggal Pengajuan]])</f>
        <v>12</v>
      </c>
      <c r="O373" s="101"/>
      <c r="P373" s="20"/>
      <c r="Q373" s="177"/>
      <c r="R373" s="230" t="s">
        <v>958</v>
      </c>
      <c r="S373" s="577"/>
    </row>
    <row r="374" spans="1:19" ht="24" customHeight="1" x14ac:dyDescent="0.2">
      <c r="B374" s="19">
        <v>44531</v>
      </c>
      <c r="C374" s="181" t="s">
        <v>603</v>
      </c>
      <c r="D374" s="176" t="s">
        <v>382</v>
      </c>
      <c r="E374" s="176" t="s">
        <v>17</v>
      </c>
      <c r="F374" s="103" t="s">
        <v>18</v>
      </c>
      <c r="G374" s="469">
        <v>23</v>
      </c>
      <c r="H374" s="40">
        <v>6000000</v>
      </c>
      <c r="I374" s="40">
        <f>List3[[#This Row],[Pengajuan Donasi]]</f>
        <v>6000000</v>
      </c>
      <c r="J374" s="16" t="s">
        <v>19</v>
      </c>
      <c r="K374" s="176" t="s">
        <v>20</v>
      </c>
      <c r="L374" s="19">
        <v>44553</v>
      </c>
      <c r="M374" s="20" t="s">
        <v>887</v>
      </c>
      <c r="N374" s="20">
        <f>MONTH(List3[[#This Row],[Tanggal Pengajuan]])</f>
        <v>12</v>
      </c>
      <c r="O374" s="101"/>
      <c r="P374" s="20" t="s">
        <v>892</v>
      </c>
      <c r="Q374" s="177"/>
      <c r="R374" s="230" t="s">
        <v>958</v>
      </c>
      <c r="S374" s="577"/>
    </row>
    <row r="375" spans="1:19" ht="24" customHeight="1" x14ac:dyDescent="0.2">
      <c r="B375" s="19">
        <v>44531</v>
      </c>
      <c r="C375" s="181" t="s">
        <v>608</v>
      </c>
      <c r="D375" s="176" t="s">
        <v>392</v>
      </c>
      <c r="E375" s="176" t="s">
        <v>57</v>
      </c>
      <c r="F375" s="103" t="s">
        <v>18</v>
      </c>
      <c r="G375" s="469">
        <v>75</v>
      </c>
      <c r="H375" s="40">
        <v>10000000</v>
      </c>
      <c r="I375" s="40">
        <f>List3[[#This Row],[Pengajuan Donasi]]</f>
        <v>10000000</v>
      </c>
      <c r="J375" s="16" t="s">
        <v>19</v>
      </c>
      <c r="K375" s="176" t="s">
        <v>20</v>
      </c>
      <c r="L375" s="19">
        <v>44537</v>
      </c>
      <c r="M375" s="20"/>
      <c r="N375" s="20">
        <f>MONTH(List3[[#This Row],[Tanggal Pengajuan]])</f>
        <v>12</v>
      </c>
      <c r="O375" s="183"/>
      <c r="P375" s="20"/>
      <c r="Q375" s="177"/>
      <c r="R375" s="230" t="s">
        <v>958</v>
      </c>
      <c r="S375" s="577"/>
    </row>
    <row r="376" spans="1:19" ht="24" customHeight="1" x14ac:dyDescent="0.2">
      <c r="B376" s="19">
        <v>44531</v>
      </c>
      <c r="C376" s="181" t="s">
        <v>609</v>
      </c>
      <c r="D376" s="176" t="s">
        <v>420</v>
      </c>
      <c r="E376" s="176" t="s">
        <v>57</v>
      </c>
      <c r="F376" s="103" t="s">
        <v>18</v>
      </c>
      <c r="G376" s="469">
        <v>29</v>
      </c>
      <c r="H376" s="40">
        <v>10000000</v>
      </c>
      <c r="I376" s="40">
        <f>List3[[#This Row],[Pengajuan Donasi]]</f>
        <v>10000000</v>
      </c>
      <c r="J376" s="16" t="s">
        <v>19</v>
      </c>
      <c r="K376" s="176" t="s">
        <v>20</v>
      </c>
      <c r="L376" s="19">
        <v>44547</v>
      </c>
      <c r="M376" s="20"/>
      <c r="N376" s="20">
        <f>MONTH(List3[[#This Row],[Tanggal Pengajuan]])</f>
        <v>12</v>
      </c>
      <c r="O376" s="183"/>
      <c r="P376" s="20"/>
      <c r="Q376" s="177"/>
      <c r="R376" s="230" t="s">
        <v>958</v>
      </c>
      <c r="S376" s="577"/>
    </row>
    <row r="377" spans="1:19" ht="24" customHeight="1" x14ac:dyDescent="0.2">
      <c r="B377" s="19">
        <v>44531</v>
      </c>
      <c r="C377" s="181" t="s">
        <v>610</v>
      </c>
      <c r="D377" s="176" t="s">
        <v>426</v>
      </c>
      <c r="E377" s="176" t="s">
        <v>57</v>
      </c>
      <c r="F377" s="103" t="s">
        <v>18</v>
      </c>
      <c r="G377" s="469">
        <v>31</v>
      </c>
      <c r="H377" s="40">
        <v>5500000</v>
      </c>
      <c r="I377" s="40">
        <f>List3[[#This Row],[Pengajuan Donasi]]</f>
        <v>5500000</v>
      </c>
      <c r="J377" s="16" t="s">
        <v>19</v>
      </c>
      <c r="K377" s="176" t="s">
        <v>20</v>
      </c>
      <c r="L377" s="19">
        <v>44553</v>
      </c>
      <c r="M377" s="20"/>
      <c r="N377" s="20">
        <f>MONTH(List3[[#This Row],[Tanggal Pengajuan]])</f>
        <v>12</v>
      </c>
      <c r="O377" s="183"/>
      <c r="P377" s="20"/>
      <c r="Q377" s="177"/>
      <c r="R377" s="230" t="s">
        <v>958</v>
      </c>
      <c r="S377" s="577"/>
    </row>
    <row r="378" spans="1:19" ht="24" customHeight="1" x14ac:dyDescent="0.2">
      <c r="B378" s="19">
        <v>44531</v>
      </c>
      <c r="C378" s="181" t="s">
        <v>611</v>
      </c>
      <c r="D378" s="176" t="s">
        <v>429</v>
      </c>
      <c r="E378" s="176" t="s">
        <v>57</v>
      </c>
      <c r="F378" s="103" t="s">
        <v>18</v>
      </c>
      <c r="G378" s="469">
        <v>38</v>
      </c>
      <c r="H378" s="40">
        <v>10000000</v>
      </c>
      <c r="I378" s="40">
        <f>List3[[#This Row],[Pengajuan Donasi]]</f>
        <v>10000000</v>
      </c>
      <c r="J378" s="16" t="s">
        <v>19</v>
      </c>
      <c r="K378" s="176" t="s">
        <v>20</v>
      </c>
      <c r="L378" s="19">
        <v>44537</v>
      </c>
      <c r="M378" s="20"/>
      <c r="N378" s="20">
        <f>MONTH(List3[[#This Row],[Tanggal Pengajuan]])</f>
        <v>12</v>
      </c>
      <c r="O378" s="183"/>
      <c r="P378" s="20"/>
      <c r="Q378" s="177"/>
      <c r="R378" s="230" t="s">
        <v>958</v>
      </c>
      <c r="S378" s="577"/>
    </row>
    <row r="379" spans="1:19" ht="24" customHeight="1" x14ac:dyDescent="0.2">
      <c r="B379" s="19">
        <v>44531</v>
      </c>
      <c r="C379" s="181" t="s">
        <v>615</v>
      </c>
      <c r="D379" s="176" t="s">
        <v>423</v>
      </c>
      <c r="E379" s="176" t="s">
        <v>57</v>
      </c>
      <c r="F379" s="103" t="s">
        <v>18</v>
      </c>
      <c r="G379" s="469">
        <v>35</v>
      </c>
      <c r="H379" s="40">
        <v>5000000</v>
      </c>
      <c r="I379" s="40">
        <f>List3[[#This Row],[Pengajuan Donasi]]</f>
        <v>5000000</v>
      </c>
      <c r="J379" s="16" t="s">
        <v>19</v>
      </c>
      <c r="K379" s="176" t="s">
        <v>20</v>
      </c>
      <c r="L379" s="19">
        <v>44537</v>
      </c>
      <c r="M379" s="20"/>
      <c r="N379" s="20">
        <f>MONTH(List3[[#This Row],[Tanggal Pengajuan]])</f>
        <v>12</v>
      </c>
      <c r="O379" s="183"/>
      <c r="P379" s="20"/>
      <c r="Q379" s="177"/>
      <c r="R379" s="230" t="s">
        <v>958</v>
      </c>
      <c r="S379" s="577"/>
    </row>
    <row r="380" spans="1:19" ht="24" customHeight="1" x14ac:dyDescent="0.2">
      <c r="B380" s="19">
        <v>44531</v>
      </c>
      <c r="C380" s="181" t="s">
        <v>612</v>
      </c>
      <c r="D380" s="176" t="s">
        <v>410</v>
      </c>
      <c r="E380" s="176" t="s">
        <v>57</v>
      </c>
      <c r="F380" s="103" t="s">
        <v>18</v>
      </c>
      <c r="G380" s="469">
        <v>78</v>
      </c>
      <c r="H380" s="40">
        <v>10000000</v>
      </c>
      <c r="I380" s="40">
        <f>List3[[#This Row],[Pengajuan Donasi]]</f>
        <v>10000000</v>
      </c>
      <c r="J380" s="16" t="s">
        <v>19</v>
      </c>
      <c r="K380" s="176" t="s">
        <v>20</v>
      </c>
      <c r="L380" s="19">
        <v>44540</v>
      </c>
      <c r="M380" s="20"/>
      <c r="N380" s="20">
        <f>MONTH(List3[[#This Row],[Tanggal Pengajuan]])</f>
        <v>12</v>
      </c>
      <c r="O380" s="183"/>
      <c r="P380" s="20"/>
      <c r="Q380" s="177"/>
      <c r="R380" s="230" t="s">
        <v>958</v>
      </c>
      <c r="S380" s="577"/>
    </row>
    <row r="381" spans="1:19" ht="24" customHeight="1" x14ac:dyDescent="0.2">
      <c r="B381" s="19">
        <v>44531</v>
      </c>
      <c r="C381" s="181" t="s">
        <v>614</v>
      </c>
      <c r="D381" s="176" t="s">
        <v>407</v>
      </c>
      <c r="E381" s="176" t="s">
        <v>57</v>
      </c>
      <c r="F381" s="103" t="s">
        <v>18</v>
      </c>
      <c r="G381" s="469">
        <v>64</v>
      </c>
      <c r="H381" s="40">
        <v>10000000</v>
      </c>
      <c r="I381" s="40">
        <f>List3[[#This Row],[Pengajuan Donasi]]</f>
        <v>10000000</v>
      </c>
      <c r="J381" s="16" t="s">
        <v>19</v>
      </c>
      <c r="K381" s="176" t="s">
        <v>20</v>
      </c>
      <c r="L381" s="19">
        <v>44543</v>
      </c>
      <c r="M381" s="20"/>
      <c r="N381" s="20">
        <f>MONTH(List3[[#This Row],[Tanggal Pengajuan]])</f>
        <v>12</v>
      </c>
      <c r="O381" s="183"/>
      <c r="P381" s="20"/>
      <c r="Q381" s="177"/>
      <c r="R381" s="230" t="s">
        <v>958</v>
      </c>
      <c r="S381" s="577"/>
    </row>
    <row r="382" spans="1:19" ht="24" customHeight="1" x14ac:dyDescent="0.2">
      <c r="B382" s="19">
        <v>44531</v>
      </c>
      <c r="C382" s="181" t="s">
        <v>593</v>
      </c>
      <c r="D382" s="176" t="s">
        <v>25</v>
      </c>
      <c r="E382" s="176" t="s">
        <v>179</v>
      </c>
      <c r="F382" s="103" t="s">
        <v>18</v>
      </c>
      <c r="G382" s="469">
        <v>12</v>
      </c>
      <c r="H382" s="40">
        <v>5040000</v>
      </c>
      <c r="I382" s="40">
        <f>List3[[#This Row],[Pengajuan Donasi]]</f>
        <v>5040000</v>
      </c>
      <c r="J382" s="16" t="s">
        <v>19</v>
      </c>
      <c r="K382" s="176" t="s">
        <v>20</v>
      </c>
      <c r="L382" s="19">
        <v>44538</v>
      </c>
      <c r="M382" s="20"/>
      <c r="N382" s="20">
        <f>MONTH(List3[[#This Row],[Tanggal Pengajuan]])</f>
        <v>12</v>
      </c>
      <c r="O382" s="101"/>
      <c r="P382" s="20" t="s">
        <v>1397</v>
      </c>
      <c r="Q382" s="177"/>
      <c r="R382" s="230" t="s">
        <v>958</v>
      </c>
      <c r="S382" s="577"/>
    </row>
    <row r="383" spans="1:19" ht="24" customHeight="1" x14ac:dyDescent="0.2">
      <c r="B383" s="19">
        <v>44532</v>
      </c>
      <c r="C383" s="181" t="s">
        <v>635</v>
      </c>
      <c r="D383" s="184" t="s">
        <v>256</v>
      </c>
      <c r="E383" s="176" t="s">
        <v>17</v>
      </c>
      <c r="F383" s="103" t="s">
        <v>18</v>
      </c>
      <c r="G383" s="469">
        <v>86</v>
      </c>
      <c r="H383" s="40">
        <v>8500000</v>
      </c>
      <c r="I383" s="40">
        <f>List3[[#This Row],[Pengajuan Donasi]]</f>
        <v>8500000</v>
      </c>
      <c r="J383" s="16" t="s">
        <v>19</v>
      </c>
      <c r="K383" s="176" t="s">
        <v>20</v>
      </c>
      <c r="L383" s="19">
        <v>44561</v>
      </c>
      <c r="M383" s="20"/>
      <c r="N383" s="20">
        <f>MONTH(List3[[#This Row],[Tanggal Pengajuan]])</f>
        <v>12</v>
      </c>
      <c r="O383" s="183"/>
      <c r="P383" s="20"/>
      <c r="Q383" s="177"/>
      <c r="R383" s="230" t="s">
        <v>958</v>
      </c>
      <c r="S383" s="577"/>
    </row>
    <row r="384" spans="1:19" ht="24" customHeight="1" x14ac:dyDescent="0.2">
      <c r="B384" s="19">
        <v>44532</v>
      </c>
      <c r="C384" s="181" t="s">
        <v>635</v>
      </c>
      <c r="D384" s="184" t="s">
        <v>257</v>
      </c>
      <c r="E384" s="176" t="s">
        <v>17</v>
      </c>
      <c r="F384" s="103" t="s">
        <v>18</v>
      </c>
      <c r="G384" s="469">
        <v>134</v>
      </c>
      <c r="H384" s="40">
        <v>5500000</v>
      </c>
      <c r="I384" s="40">
        <f>List3[[#This Row],[Pengajuan Donasi]]</f>
        <v>5500000</v>
      </c>
      <c r="J384" s="16" t="s">
        <v>19</v>
      </c>
      <c r="K384" s="176" t="s">
        <v>20</v>
      </c>
      <c r="L384" s="19">
        <v>44561</v>
      </c>
      <c r="M384" s="20"/>
      <c r="N384" s="20">
        <f>MONTH(List3[[#This Row],[Tanggal Pengajuan]])</f>
        <v>12</v>
      </c>
      <c r="O384" s="183"/>
      <c r="P384" s="20"/>
      <c r="Q384" s="177"/>
      <c r="R384" s="230" t="s">
        <v>958</v>
      </c>
      <c r="S384" s="577"/>
    </row>
    <row r="385" spans="2:19" ht="24" customHeight="1" x14ac:dyDescent="0.2">
      <c r="B385" s="19">
        <v>44532</v>
      </c>
      <c r="C385" s="181" t="s">
        <v>635</v>
      </c>
      <c r="D385" s="184" t="s">
        <v>222</v>
      </c>
      <c r="E385" s="176" t="s">
        <v>17</v>
      </c>
      <c r="F385" s="103" t="s">
        <v>18</v>
      </c>
      <c r="G385" s="469">
        <v>34</v>
      </c>
      <c r="H385" s="40">
        <v>5500000</v>
      </c>
      <c r="I385" s="40">
        <f>List3[[#This Row],[Pengajuan Donasi]]</f>
        <v>5500000</v>
      </c>
      <c r="J385" s="16" t="s">
        <v>19</v>
      </c>
      <c r="K385" s="176" t="s">
        <v>20</v>
      </c>
      <c r="L385" s="19">
        <v>44561</v>
      </c>
      <c r="M385" s="20"/>
      <c r="N385" s="20">
        <f>MONTH(List3[[#This Row],[Tanggal Pengajuan]])</f>
        <v>12</v>
      </c>
      <c r="O385" s="183"/>
      <c r="P385" s="20"/>
      <c r="Q385" s="177"/>
      <c r="R385" s="230" t="s">
        <v>958</v>
      </c>
      <c r="S385" s="577"/>
    </row>
    <row r="386" spans="2:19" ht="24" customHeight="1" x14ac:dyDescent="0.2">
      <c r="B386" s="19">
        <v>44532</v>
      </c>
      <c r="C386" s="181" t="s">
        <v>594</v>
      </c>
      <c r="D386" s="176" t="s">
        <v>35</v>
      </c>
      <c r="E386" s="176" t="s">
        <v>179</v>
      </c>
      <c r="F386" s="103" t="s">
        <v>18</v>
      </c>
      <c r="G386" s="469">
        <v>57</v>
      </c>
      <c r="H386" s="40">
        <v>6825000</v>
      </c>
      <c r="I386" s="40">
        <f>List3[[#This Row],[Pengajuan Donasi]]</f>
        <v>6825000</v>
      </c>
      <c r="J386" s="16" t="s">
        <v>19</v>
      </c>
      <c r="K386" s="176" t="s">
        <v>20</v>
      </c>
      <c r="L386" s="19">
        <v>44560</v>
      </c>
      <c r="M386" s="20"/>
      <c r="N386" s="20">
        <f>MONTH(List3[[#This Row],[Tanggal Pengajuan]])</f>
        <v>12</v>
      </c>
      <c r="O386" s="101"/>
      <c r="P386" s="20"/>
      <c r="Q386" s="177"/>
      <c r="R386" s="230" t="s">
        <v>958</v>
      </c>
      <c r="S386" s="577"/>
    </row>
    <row r="387" spans="2:19" ht="24" customHeight="1" x14ac:dyDescent="0.2">
      <c r="B387" s="19">
        <v>44533</v>
      </c>
      <c r="C387" s="181" t="s">
        <v>596</v>
      </c>
      <c r="D387" s="176" t="s">
        <v>48</v>
      </c>
      <c r="E387" s="176" t="s">
        <v>179</v>
      </c>
      <c r="F387" s="103" t="s">
        <v>18</v>
      </c>
      <c r="G387" s="469">
        <v>32</v>
      </c>
      <c r="H387" s="40">
        <v>3325000</v>
      </c>
      <c r="I387" s="40">
        <f>List3[[#This Row],[Pengajuan Donasi]]</f>
        <v>3325000</v>
      </c>
      <c r="J387" s="16" t="s">
        <v>19</v>
      </c>
      <c r="K387" s="176" t="s">
        <v>20</v>
      </c>
      <c r="L387" s="19">
        <v>44540</v>
      </c>
      <c r="M387" s="20"/>
      <c r="N387" s="20">
        <f>MONTH(List3[[#This Row],[Tanggal Pengajuan]])</f>
        <v>12</v>
      </c>
      <c r="O387" s="183"/>
      <c r="P387" s="20"/>
      <c r="Q387" s="177"/>
      <c r="R387" s="230" t="s">
        <v>958</v>
      </c>
      <c r="S387" s="577"/>
    </row>
    <row r="388" spans="2:19" ht="24" customHeight="1" x14ac:dyDescent="0.2">
      <c r="B388" s="19">
        <v>44533</v>
      </c>
      <c r="C388" s="181" t="s">
        <v>598</v>
      </c>
      <c r="D388" s="176" t="s">
        <v>129</v>
      </c>
      <c r="E388" s="176" t="s">
        <v>179</v>
      </c>
      <c r="F388" s="103" t="s">
        <v>18</v>
      </c>
      <c r="G388" s="469">
        <v>32</v>
      </c>
      <c r="H388" s="40">
        <v>7950000</v>
      </c>
      <c r="I388" s="40">
        <f>List3[[#This Row],[Pengajuan Donasi]]</f>
        <v>7950000</v>
      </c>
      <c r="J388" s="16" t="s">
        <v>19</v>
      </c>
      <c r="K388" s="176" t="s">
        <v>20</v>
      </c>
      <c r="L388" s="19">
        <v>44540</v>
      </c>
      <c r="M388" s="20"/>
      <c r="N388" s="20">
        <f>MONTH(List3[[#This Row],[Tanggal Pengajuan]])</f>
        <v>12</v>
      </c>
      <c r="O388" s="183"/>
      <c r="P388" s="20"/>
      <c r="Q388" s="177"/>
      <c r="R388" s="230" t="s">
        <v>958</v>
      </c>
      <c r="S388" s="577"/>
    </row>
    <row r="389" spans="2:19" ht="24" customHeight="1" x14ac:dyDescent="0.2">
      <c r="B389" s="19">
        <v>44536</v>
      </c>
      <c r="C389" s="181" t="s">
        <v>606</v>
      </c>
      <c r="D389" s="176" t="s">
        <v>607</v>
      </c>
      <c r="E389" s="176" t="s">
        <v>107</v>
      </c>
      <c r="F389" s="103" t="s">
        <v>28</v>
      </c>
      <c r="G389" s="469">
        <v>31</v>
      </c>
      <c r="H389" s="40">
        <v>50000000</v>
      </c>
      <c r="I389" s="40">
        <f>List3[[#This Row],[Pengajuan Donasi]]</f>
        <v>50000000</v>
      </c>
      <c r="J389" s="16" t="s">
        <v>19</v>
      </c>
      <c r="K389" s="176" t="s">
        <v>20</v>
      </c>
      <c r="L389" s="19">
        <v>44560</v>
      </c>
      <c r="M389" s="20"/>
      <c r="N389" s="20">
        <f>MONTH(List3[[#This Row],[Tanggal Pengajuan]])</f>
        <v>12</v>
      </c>
      <c r="O389" s="183"/>
      <c r="P389" s="20"/>
      <c r="Q389" s="177"/>
      <c r="R389" s="230" t="s">
        <v>958</v>
      </c>
      <c r="S389" s="577" t="s">
        <v>1383</v>
      </c>
    </row>
    <row r="390" spans="2:19" ht="24" customHeight="1" x14ac:dyDescent="0.2">
      <c r="B390" s="19">
        <v>44536</v>
      </c>
      <c r="C390" s="181" t="s">
        <v>623</v>
      </c>
      <c r="D390" s="176" t="s">
        <v>625</v>
      </c>
      <c r="E390" s="176" t="s">
        <v>26</v>
      </c>
      <c r="F390" s="103" t="s">
        <v>28</v>
      </c>
      <c r="G390" s="469">
        <v>0</v>
      </c>
      <c r="H390" s="40">
        <v>1198800</v>
      </c>
      <c r="I390" s="40">
        <f>List3[[#This Row],[Pengajuan Donasi]]</f>
        <v>1198800</v>
      </c>
      <c r="J390" s="16" t="s">
        <v>19</v>
      </c>
      <c r="K390" s="176" t="s">
        <v>20</v>
      </c>
      <c r="L390" s="19">
        <v>44540</v>
      </c>
      <c r="M390" s="20"/>
      <c r="N390" s="20">
        <f>MONTH(List3[[#This Row],[Tanggal Pengajuan]])</f>
        <v>12</v>
      </c>
      <c r="O390" s="183"/>
      <c r="P390" s="20"/>
      <c r="Q390" s="177"/>
      <c r="R390" s="230" t="s">
        <v>958</v>
      </c>
      <c r="S390" s="577"/>
    </row>
    <row r="391" spans="2:19" ht="24" customHeight="1" x14ac:dyDescent="0.2">
      <c r="B391" s="19">
        <v>44536</v>
      </c>
      <c r="C391" s="181" t="s">
        <v>624</v>
      </c>
      <c r="D391" s="176" t="s">
        <v>496</v>
      </c>
      <c r="E391" s="176" t="s">
        <v>26</v>
      </c>
      <c r="F391" s="103" t="s">
        <v>28</v>
      </c>
      <c r="G391" s="469">
        <v>0</v>
      </c>
      <c r="H391" s="40">
        <v>100000000</v>
      </c>
      <c r="I391" s="40">
        <f>List3[[#This Row],[Pengajuan Donasi]]</f>
        <v>100000000</v>
      </c>
      <c r="J391" s="16" t="s">
        <v>19</v>
      </c>
      <c r="K391" s="176" t="s">
        <v>20</v>
      </c>
      <c r="L391" s="19">
        <v>44538</v>
      </c>
      <c r="M391" s="20"/>
      <c r="N391" s="20">
        <f>MONTH(List3[[#This Row],[Tanggal Pengajuan]])</f>
        <v>12</v>
      </c>
      <c r="O391" s="183"/>
      <c r="P391" s="20"/>
      <c r="Q391" s="177"/>
      <c r="R391" s="230" t="s">
        <v>958</v>
      </c>
      <c r="S391" s="577"/>
    </row>
    <row r="392" spans="2:19" ht="24" customHeight="1" x14ac:dyDescent="0.2">
      <c r="B392" s="19">
        <v>44536</v>
      </c>
      <c r="C392" s="181" t="s">
        <v>622</v>
      </c>
      <c r="D392" s="176" t="s">
        <v>486</v>
      </c>
      <c r="E392" s="176" t="s">
        <v>179</v>
      </c>
      <c r="F392" s="103" t="s">
        <v>18</v>
      </c>
      <c r="G392" s="469">
        <v>44</v>
      </c>
      <c r="H392" s="40">
        <v>2640000</v>
      </c>
      <c r="I392" s="40">
        <f>List3[[#This Row],[Pengajuan Donasi]]</f>
        <v>2640000</v>
      </c>
      <c r="J392" s="16" t="s">
        <v>19</v>
      </c>
      <c r="K392" s="176" t="s">
        <v>20</v>
      </c>
      <c r="L392" s="19">
        <v>44553</v>
      </c>
      <c r="M392" s="20"/>
      <c r="N392" s="20">
        <f>MONTH(List3[[#This Row],[Tanggal Pengajuan]])</f>
        <v>12</v>
      </c>
      <c r="O392" s="183"/>
      <c r="P392" s="20"/>
      <c r="Q392" s="177"/>
      <c r="R392" s="230" t="s">
        <v>958</v>
      </c>
      <c r="S392" s="577"/>
    </row>
    <row r="393" spans="2:19" ht="24" customHeight="1" x14ac:dyDescent="0.2">
      <c r="B393" s="19">
        <v>44536</v>
      </c>
      <c r="C393" s="181" t="s">
        <v>595</v>
      </c>
      <c r="D393" s="176" t="s">
        <v>87</v>
      </c>
      <c r="E393" s="176" t="s">
        <v>179</v>
      </c>
      <c r="F393" s="103" t="s">
        <v>18</v>
      </c>
      <c r="G393" s="469">
        <v>20</v>
      </c>
      <c r="H393" s="40">
        <v>2400000</v>
      </c>
      <c r="I393" s="40">
        <f>List3[[#This Row],[Pengajuan Donasi]]</f>
        <v>2400000</v>
      </c>
      <c r="J393" s="16" t="s">
        <v>19</v>
      </c>
      <c r="K393" s="176" t="s">
        <v>20</v>
      </c>
      <c r="L393" s="19">
        <v>44538</v>
      </c>
      <c r="M393" s="20"/>
      <c r="N393" s="20">
        <f>MONTH(List3[[#This Row],[Tanggal Pengajuan]])</f>
        <v>12</v>
      </c>
      <c r="O393" s="101"/>
      <c r="P393" s="20"/>
      <c r="Q393" s="177"/>
      <c r="R393" s="230" t="s">
        <v>958</v>
      </c>
      <c r="S393" s="577"/>
    </row>
    <row r="394" spans="2:19" ht="24" customHeight="1" x14ac:dyDescent="0.2">
      <c r="B394" s="19">
        <v>44537</v>
      </c>
      <c r="C394" s="181" t="s">
        <v>597</v>
      </c>
      <c r="D394" s="176" t="s">
        <v>75</v>
      </c>
      <c r="E394" s="176" t="s">
        <v>179</v>
      </c>
      <c r="F394" s="103" t="s">
        <v>18</v>
      </c>
      <c r="G394" s="469">
        <v>9</v>
      </c>
      <c r="H394" s="40">
        <v>14586000</v>
      </c>
      <c r="I394" s="40">
        <f>List3[[#This Row],[Pengajuan Donasi]]</f>
        <v>14586000</v>
      </c>
      <c r="J394" s="16" t="s">
        <v>19</v>
      </c>
      <c r="K394" s="176" t="s">
        <v>20</v>
      </c>
      <c r="L394" s="19">
        <v>44540</v>
      </c>
      <c r="M394" s="20"/>
      <c r="N394" s="20">
        <f>MONTH(List3[[#This Row],[Tanggal Pengajuan]])</f>
        <v>12</v>
      </c>
      <c r="O394" s="101"/>
      <c r="P394" s="20"/>
      <c r="Q394" s="177"/>
      <c r="R394" s="230" t="s">
        <v>958</v>
      </c>
      <c r="S394" s="577"/>
    </row>
    <row r="395" spans="2:19" ht="24" customHeight="1" x14ac:dyDescent="0.2">
      <c r="B395" s="19">
        <v>44549</v>
      </c>
      <c r="C395" s="181" t="s">
        <v>636</v>
      </c>
      <c r="D395" s="176" t="s">
        <v>602</v>
      </c>
      <c r="E395" s="176" t="s">
        <v>26</v>
      </c>
      <c r="F395" s="103" t="s">
        <v>28</v>
      </c>
      <c r="G395" s="469">
        <v>0</v>
      </c>
      <c r="H395" s="40">
        <v>30000000</v>
      </c>
      <c r="I395" s="40">
        <f>List3[[#This Row],[Pengajuan Donasi]]</f>
        <v>30000000</v>
      </c>
      <c r="J395" s="16" t="s">
        <v>19</v>
      </c>
      <c r="K395" s="176" t="s">
        <v>20</v>
      </c>
      <c r="L395" s="19">
        <v>44543</v>
      </c>
      <c r="M395" s="20"/>
      <c r="N395" s="20">
        <f>MONTH(List3[[#This Row],[Tanggal Pengajuan]])</f>
        <v>12</v>
      </c>
      <c r="O395" s="183"/>
      <c r="P395" s="20"/>
      <c r="Q395" s="177"/>
      <c r="R395" s="237"/>
      <c r="S395" s="577"/>
    </row>
    <row r="396" spans="2:19" ht="24" customHeight="1" x14ac:dyDescent="0.2">
      <c r="B396" s="19">
        <v>44549</v>
      </c>
      <c r="C396" s="181" t="s">
        <v>601</v>
      </c>
      <c r="D396" s="176" t="s">
        <v>625</v>
      </c>
      <c r="E396" s="176" t="s">
        <v>26</v>
      </c>
      <c r="F396" s="103" t="s">
        <v>28</v>
      </c>
      <c r="G396" s="469">
        <v>0</v>
      </c>
      <c r="H396" s="40">
        <v>1053000</v>
      </c>
      <c r="I396" s="40">
        <f>List3[[#This Row],[Pengajuan Donasi]]</f>
        <v>1053000</v>
      </c>
      <c r="J396" s="16"/>
      <c r="K396" s="176"/>
      <c r="L396" s="182"/>
      <c r="M396" s="20"/>
      <c r="N396" s="20">
        <f>MONTH(List3[[#This Row],[Tanggal Pengajuan]])</f>
        <v>12</v>
      </c>
      <c r="O396" s="183"/>
      <c r="P396" s="20"/>
      <c r="Q396" s="177"/>
      <c r="R396" s="230" t="s">
        <v>958</v>
      </c>
      <c r="S396" s="577"/>
    </row>
    <row r="397" spans="2:19" ht="24" customHeight="1" x14ac:dyDescent="0.2">
      <c r="B397" s="19">
        <v>44544</v>
      </c>
      <c r="C397" s="181" t="s">
        <v>626</v>
      </c>
      <c r="D397" s="176" t="s">
        <v>627</v>
      </c>
      <c r="E397" s="176" t="s">
        <v>26</v>
      </c>
      <c r="F397" s="103" t="s">
        <v>28</v>
      </c>
      <c r="G397" s="469">
        <v>0</v>
      </c>
      <c r="H397" s="40">
        <v>33750000</v>
      </c>
      <c r="I397" s="40">
        <f>List3[[#This Row],[Pengajuan Donasi]]</f>
        <v>33750000</v>
      </c>
      <c r="J397" s="16" t="s">
        <v>19</v>
      </c>
      <c r="K397" s="176" t="s">
        <v>20</v>
      </c>
      <c r="L397" s="19">
        <v>44547</v>
      </c>
      <c r="M397" s="20"/>
      <c r="N397" s="20">
        <f>MONTH(List3[[#This Row],[Tanggal Pengajuan]])</f>
        <v>12</v>
      </c>
      <c r="O397" s="183"/>
      <c r="P397" s="20"/>
      <c r="Q397" s="177"/>
      <c r="R397" s="230" t="s">
        <v>958</v>
      </c>
      <c r="S397" s="577"/>
    </row>
    <row r="398" spans="2:19" ht="24" customHeight="1" x14ac:dyDescent="0.2">
      <c r="B398" s="19">
        <v>44550</v>
      </c>
      <c r="C398" s="181" t="s">
        <v>599</v>
      </c>
      <c r="D398" s="176" t="s">
        <v>872</v>
      </c>
      <c r="E398" s="176" t="s">
        <v>17</v>
      </c>
      <c r="F398" s="103" t="s">
        <v>18</v>
      </c>
      <c r="G398" s="469">
        <v>70</v>
      </c>
      <c r="H398" s="40">
        <v>5999600</v>
      </c>
      <c r="I398" s="40">
        <f>List3[[#This Row],[Pengajuan Donasi]]</f>
        <v>5999600</v>
      </c>
      <c r="J398" s="16" t="s">
        <v>19</v>
      </c>
      <c r="K398" s="176" t="s">
        <v>20</v>
      </c>
      <c r="L398" s="19">
        <v>44553</v>
      </c>
      <c r="M398" s="20"/>
      <c r="N398" s="20">
        <f>MONTH(List3[[#This Row],[Tanggal Pengajuan]])</f>
        <v>12</v>
      </c>
      <c r="O398" s="101"/>
      <c r="P398" s="20"/>
      <c r="Q398" s="177"/>
      <c r="R398" s="230" t="s">
        <v>958</v>
      </c>
      <c r="S398" s="577"/>
    </row>
    <row r="399" spans="2:19" ht="24" customHeight="1" x14ac:dyDescent="0.2">
      <c r="B399" s="19">
        <v>44550</v>
      </c>
      <c r="C399" s="181" t="s">
        <v>599</v>
      </c>
      <c r="D399" s="176" t="s">
        <v>870</v>
      </c>
      <c r="E399" s="176" t="s">
        <v>17</v>
      </c>
      <c r="F399" s="103" t="s">
        <v>18</v>
      </c>
      <c r="G399" s="469">
        <v>98</v>
      </c>
      <c r="H399" s="40">
        <v>5999600</v>
      </c>
      <c r="I399" s="40">
        <f>List3[[#This Row],[Pengajuan Donasi]]</f>
        <v>5999600</v>
      </c>
      <c r="J399" s="16" t="s">
        <v>19</v>
      </c>
      <c r="K399" s="176" t="s">
        <v>20</v>
      </c>
      <c r="L399" s="19">
        <v>44553</v>
      </c>
      <c r="M399" s="20"/>
      <c r="N399" s="20">
        <f>MONTH(List3[[#This Row],[Tanggal Pengajuan]])</f>
        <v>12</v>
      </c>
      <c r="O399" s="183"/>
      <c r="P399" s="20"/>
      <c r="Q399" s="177"/>
      <c r="R399" s="230" t="s">
        <v>958</v>
      </c>
      <c r="S399" s="577"/>
    </row>
    <row r="400" spans="2:19" ht="24" customHeight="1" x14ac:dyDescent="0.2">
      <c r="B400" s="19">
        <v>44550</v>
      </c>
      <c r="C400" s="181" t="s">
        <v>599</v>
      </c>
      <c r="D400" s="176" t="s">
        <v>849</v>
      </c>
      <c r="E400" s="176" t="s">
        <v>17</v>
      </c>
      <c r="F400" s="103" t="s">
        <v>18</v>
      </c>
      <c r="G400" s="469">
        <v>63</v>
      </c>
      <c r="H400" s="40">
        <v>6000100</v>
      </c>
      <c r="I400" s="40">
        <f>List3[[#This Row],[Pengajuan Donasi]]</f>
        <v>6000100</v>
      </c>
      <c r="J400" s="16" t="s">
        <v>19</v>
      </c>
      <c r="K400" s="176" t="s">
        <v>20</v>
      </c>
      <c r="L400" s="19">
        <v>44553</v>
      </c>
      <c r="M400" s="20"/>
      <c r="N400" s="20">
        <f>MONTH(List3[[#This Row],[Tanggal Pengajuan]])</f>
        <v>12</v>
      </c>
      <c r="O400" s="183"/>
      <c r="P400" s="20"/>
      <c r="Q400" s="177"/>
      <c r="R400" s="230" t="s">
        <v>958</v>
      </c>
      <c r="S400" s="577"/>
    </row>
    <row r="401" spans="2:19" ht="24" customHeight="1" x14ac:dyDescent="0.2">
      <c r="B401" s="19">
        <v>44550</v>
      </c>
      <c r="C401" s="181" t="s">
        <v>599</v>
      </c>
      <c r="D401" s="176" t="s">
        <v>850</v>
      </c>
      <c r="E401" s="176" t="s">
        <v>17</v>
      </c>
      <c r="F401" s="103" t="s">
        <v>18</v>
      </c>
      <c r="G401" s="469">
        <v>19</v>
      </c>
      <c r="H401" s="40">
        <v>5999500</v>
      </c>
      <c r="I401" s="40">
        <f>List3[[#This Row],[Pengajuan Donasi]]</f>
        <v>5999500</v>
      </c>
      <c r="J401" s="16" t="s">
        <v>19</v>
      </c>
      <c r="K401" s="176" t="s">
        <v>20</v>
      </c>
      <c r="L401" s="19">
        <v>44553</v>
      </c>
      <c r="M401" s="20"/>
      <c r="N401" s="20">
        <f>MONTH(List3[[#This Row],[Tanggal Pengajuan]])</f>
        <v>12</v>
      </c>
      <c r="O401" s="183"/>
      <c r="P401" s="20"/>
      <c r="Q401" s="177"/>
      <c r="R401" s="230" t="s">
        <v>958</v>
      </c>
      <c r="S401" s="577"/>
    </row>
    <row r="402" spans="2:19" ht="24" customHeight="1" x14ac:dyDescent="0.2">
      <c r="B402" s="19">
        <v>44550</v>
      </c>
      <c r="C402" s="181" t="s">
        <v>599</v>
      </c>
      <c r="D402" s="176" t="s">
        <v>852</v>
      </c>
      <c r="E402" s="176" t="s">
        <v>17</v>
      </c>
      <c r="F402" s="103" t="s">
        <v>18</v>
      </c>
      <c r="G402" s="469">
        <v>40</v>
      </c>
      <c r="H402" s="40">
        <v>5999700</v>
      </c>
      <c r="I402" s="40">
        <f>List3[[#This Row],[Pengajuan Donasi]]</f>
        <v>5999700</v>
      </c>
      <c r="J402" s="16" t="s">
        <v>19</v>
      </c>
      <c r="K402" s="176" t="s">
        <v>20</v>
      </c>
      <c r="L402" s="19">
        <v>44553</v>
      </c>
      <c r="M402" s="20"/>
      <c r="N402" s="20">
        <f>MONTH(List3[[#This Row],[Tanggal Pengajuan]])</f>
        <v>12</v>
      </c>
      <c r="O402" s="183"/>
      <c r="P402" s="20"/>
      <c r="Q402" s="177"/>
      <c r="R402" s="230" t="s">
        <v>958</v>
      </c>
      <c r="S402" s="577"/>
    </row>
    <row r="403" spans="2:19" ht="24" customHeight="1" x14ac:dyDescent="0.2">
      <c r="B403" s="19">
        <v>44550</v>
      </c>
      <c r="C403" s="181" t="s">
        <v>599</v>
      </c>
      <c r="D403" s="176" t="s">
        <v>238</v>
      </c>
      <c r="E403" s="176" t="s">
        <v>17</v>
      </c>
      <c r="F403" s="103" t="s">
        <v>18</v>
      </c>
      <c r="G403" s="469">
        <v>119</v>
      </c>
      <c r="H403" s="40">
        <v>5999800</v>
      </c>
      <c r="I403" s="40">
        <f>List3[[#This Row],[Pengajuan Donasi]]</f>
        <v>5999800</v>
      </c>
      <c r="J403" s="16" t="s">
        <v>19</v>
      </c>
      <c r="K403" s="176" t="s">
        <v>20</v>
      </c>
      <c r="L403" s="19">
        <v>44553</v>
      </c>
      <c r="M403" s="20"/>
      <c r="N403" s="20">
        <f>MONTH(List3[[#This Row],[Tanggal Pengajuan]])</f>
        <v>12</v>
      </c>
      <c r="O403" s="183"/>
      <c r="P403" s="20"/>
      <c r="Q403" s="177"/>
      <c r="R403" s="230" t="s">
        <v>958</v>
      </c>
      <c r="S403" s="577"/>
    </row>
    <row r="404" spans="2:19" ht="24" customHeight="1" x14ac:dyDescent="0.2">
      <c r="B404" s="19">
        <v>44550</v>
      </c>
      <c r="C404" s="181" t="s">
        <v>599</v>
      </c>
      <c r="D404" s="176" t="s">
        <v>867</v>
      </c>
      <c r="E404" s="176" t="s">
        <v>17</v>
      </c>
      <c r="F404" s="103" t="s">
        <v>18</v>
      </c>
      <c r="G404" s="469">
        <v>77</v>
      </c>
      <c r="H404" s="40">
        <v>6000100</v>
      </c>
      <c r="I404" s="40">
        <f>List3[[#This Row],[Pengajuan Donasi]]</f>
        <v>6000100</v>
      </c>
      <c r="J404" s="16" t="s">
        <v>19</v>
      </c>
      <c r="K404" s="176" t="s">
        <v>20</v>
      </c>
      <c r="L404" s="19">
        <v>44553</v>
      </c>
      <c r="M404" s="20"/>
      <c r="N404" s="20">
        <f>MONTH(List3[[#This Row],[Tanggal Pengajuan]])</f>
        <v>12</v>
      </c>
      <c r="O404" s="183"/>
      <c r="P404" s="20"/>
      <c r="Q404" s="177"/>
      <c r="R404" s="230" t="s">
        <v>958</v>
      </c>
      <c r="S404" s="577"/>
    </row>
    <row r="405" spans="2:19" ht="24" customHeight="1" x14ac:dyDescent="0.2">
      <c r="B405" s="19">
        <v>44550</v>
      </c>
      <c r="C405" s="181" t="s">
        <v>599</v>
      </c>
      <c r="D405" s="176" t="s">
        <v>868</v>
      </c>
      <c r="E405" s="176" t="s">
        <v>17</v>
      </c>
      <c r="F405" s="103" t="s">
        <v>18</v>
      </c>
      <c r="G405" s="469">
        <v>36</v>
      </c>
      <c r="H405" s="40">
        <v>5999100</v>
      </c>
      <c r="I405" s="40">
        <f>List3[[#This Row],[Pengajuan Donasi]]</f>
        <v>5999100</v>
      </c>
      <c r="J405" s="16" t="s">
        <v>19</v>
      </c>
      <c r="K405" s="176" t="s">
        <v>20</v>
      </c>
      <c r="L405" s="19">
        <v>44553</v>
      </c>
      <c r="M405" s="20"/>
      <c r="N405" s="20">
        <f>MONTH(List3[[#This Row],[Tanggal Pengajuan]])</f>
        <v>12</v>
      </c>
      <c r="O405" s="183"/>
      <c r="P405" s="20"/>
      <c r="Q405" s="177"/>
      <c r="R405" s="230" t="s">
        <v>958</v>
      </c>
      <c r="S405" s="577"/>
    </row>
    <row r="406" spans="2:19" ht="24" customHeight="1" x14ac:dyDescent="0.2">
      <c r="B406" s="19">
        <v>44550</v>
      </c>
      <c r="C406" s="181" t="s">
        <v>599</v>
      </c>
      <c r="D406" s="176" t="s">
        <v>124</v>
      </c>
      <c r="E406" s="176" t="s">
        <v>17</v>
      </c>
      <c r="F406" s="103" t="s">
        <v>18</v>
      </c>
      <c r="G406" s="469">
        <v>83</v>
      </c>
      <c r="H406" s="40">
        <v>6000600</v>
      </c>
      <c r="I406" s="40">
        <f>List3[[#This Row],[Pengajuan Donasi]]</f>
        <v>6000600</v>
      </c>
      <c r="J406" s="16" t="s">
        <v>19</v>
      </c>
      <c r="K406" s="176" t="s">
        <v>20</v>
      </c>
      <c r="L406" s="19">
        <v>44553</v>
      </c>
      <c r="M406" s="20"/>
      <c r="N406" s="20">
        <f>MONTH(List3[[#This Row],[Tanggal Pengajuan]])</f>
        <v>12</v>
      </c>
      <c r="O406" s="183"/>
      <c r="P406" s="20"/>
      <c r="Q406" s="177"/>
      <c r="R406" s="230" t="s">
        <v>958</v>
      </c>
      <c r="S406" s="577"/>
    </row>
    <row r="407" spans="2:19" ht="24" customHeight="1" x14ac:dyDescent="0.2">
      <c r="B407" s="19">
        <v>44550</v>
      </c>
      <c r="C407" s="181" t="s">
        <v>599</v>
      </c>
      <c r="D407" s="176" t="s">
        <v>855</v>
      </c>
      <c r="E407" s="176" t="s">
        <v>17</v>
      </c>
      <c r="F407" s="103" t="s">
        <v>18</v>
      </c>
      <c r="G407" s="469">
        <v>91</v>
      </c>
      <c r="H407" s="40">
        <v>6000800</v>
      </c>
      <c r="I407" s="40">
        <f>List3[[#This Row],[Pengajuan Donasi]]</f>
        <v>6000800</v>
      </c>
      <c r="J407" s="16" t="s">
        <v>19</v>
      </c>
      <c r="K407" s="176" t="s">
        <v>20</v>
      </c>
      <c r="L407" s="19">
        <v>44553</v>
      </c>
      <c r="M407" s="20"/>
      <c r="N407" s="20">
        <f>MONTH(List3[[#This Row],[Tanggal Pengajuan]])</f>
        <v>12</v>
      </c>
      <c r="O407" s="183"/>
      <c r="P407" s="20"/>
      <c r="Q407" s="177"/>
      <c r="R407" s="230" t="s">
        <v>958</v>
      </c>
      <c r="S407" s="577"/>
    </row>
    <row r="408" spans="2:19" ht="24" customHeight="1" x14ac:dyDescent="0.2">
      <c r="B408" s="19">
        <v>44550</v>
      </c>
      <c r="C408" s="181" t="s">
        <v>599</v>
      </c>
      <c r="D408" s="176" t="s">
        <v>871</v>
      </c>
      <c r="E408" s="176" t="s">
        <v>17</v>
      </c>
      <c r="F408" s="103" t="s">
        <v>18</v>
      </c>
      <c r="G408" s="469">
        <v>40</v>
      </c>
      <c r="H408" s="40">
        <v>6000300</v>
      </c>
      <c r="I408" s="40">
        <f>List3[[#This Row],[Pengajuan Donasi]]</f>
        <v>6000300</v>
      </c>
      <c r="J408" s="16" t="s">
        <v>19</v>
      </c>
      <c r="K408" s="176" t="s">
        <v>20</v>
      </c>
      <c r="L408" s="19">
        <v>44553</v>
      </c>
      <c r="M408" s="20"/>
      <c r="N408" s="20">
        <f>MONTH(List3[[#This Row],[Tanggal Pengajuan]])</f>
        <v>12</v>
      </c>
      <c r="O408" s="183"/>
      <c r="P408" s="20"/>
      <c r="Q408" s="177"/>
      <c r="R408" s="230" t="s">
        <v>958</v>
      </c>
      <c r="S408" s="577"/>
    </row>
    <row r="409" spans="2:19" ht="24" customHeight="1" x14ac:dyDescent="0.2">
      <c r="B409" s="19">
        <v>44550</v>
      </c>
      <c r="C409" s="181" t="s">
        <v>599</v>
      </c>
      <c r="D409" s="176" t="s">
        <v>851</v>
      </c>
      <c r="E409" s="176" t="s">
        <v>17</v>
      </c>
      <c r="F409" s="103" t="s">
        <v>18</v>
      </c>
      <c r="G409" s="469">
        <v>57</v>
      </c>
      <c r="H409" s="40">
        <v>6000000</v>
      </c>
      <c r="I409" s="40">
        <f>List3[[#This Row],[Pengajuan Donasi]]</f>
        <v>6000000</v>
      </c>
      <c r="J409" s="16" t="s">
        <v>19</v>
      </c>
      <c r="K409" s="176" t="s">
        <v>20</v>
      </c>
      <c r="L409" s="19">
        <v>44553</v>
      </c>
      <c r="M409" s="20"/>
      <c r="N409" s="20">
        <f>MONTH(List3[[#This Row],[Tanggal Pengajuan]])</f>
        <v>12</v>
      </c>
      <c r="O409" s="183"/>
      <c r="P409" s="20"/>
      <c r="Q409" s="177"/>
      <c r="R409" s="230" t="s">
        <v>958</v>
      </c>
      <c r="S409" s="577"/>
    </row>
    <row r="410" spans="2:19" ht="24" customHeight="1" x14ac:dyDescent="0.2">
      <c r="B410" s="19">
        <v>44550</v>
      </c>
      <c r="C410" s="181" t="s">
        <v>599</v>
      </c>
      <c r="D410" s="176" t="s">
        <v>869</v>
      </c>
      <c r="E410" s="176" t="s">
        <v>17</v>
      </c>
      <c r="F410" s="103" t="s">
        <v>18</v>
      </c>
      <c r="G410" s="469">
        <v>22</v>
      </c>
      <c r="H410" s="40">
        <v>5998900</v>
      </c>
      <c r="I410" s="40">
        <f>List3[[#This Row],[Pengajuan Donasi]]</f>
        <v>5998900</v>
      </c>
      <c r="J410" s="16" t="s">
        <v>19</v>
      </c>
      <c r="K410" s="176" t="s">
        <v>20</v>
      </c>
      <c r="L410" s="19">
        <v>44553</v>
      </c>
      <c r="M410" s="20"/>
      <c r="N410" s="20">
        <f>MONTH(List3[[#This Row],[Tanggal Pengajuan]])</f>
        <v>12</v>
      </c>
      <c r="O410" s="183"/>
      <c r="P410" s="20"/>
      <c r="Q410" s="177"/>
      <c r="R410" s="230" t="s">
        <v>958</v>
      </c>
      <c r="S410" s="577"/>
    </row>
    <row r="411" spans="2:19" ht="24" customHeight="1" x14ac:dyDescent="0.2">
      <c r="B411" s="19">
        <v>44550</v>
      </c>
      <c r="C411" s="181" t="s">
        <v>599</v>
      </c>
      <c r="D411" s="176" t="s">
        <v>848</v>
      </c>
      <c r="E411" s="176" t="s">
        <v>17</v>
      </c>
      <c r="F411" s="103" t="s">
        <v>18</v>
      </c>
      <c r="G411" s="469">
        <v>42</v>
      </c>
      <c r="H411" s="40">
        <v>5999900</v>
      </c>
      <c r="I411" s="40">
        <f>List3[[#This Row],[Pengajuan Donasi]]</f>
        <v>5999900</v>
      </c>
      <c r="J411" s="16" t="s">
        <v>19</v>
      </c>
      <c r="K411" s="176" t="s">
        <v>20</v>
      </c>
      <c r="L411" s="19">
        <v>44553</v>
      </c>
      <c r="M411" s="20"/>
      <c r="N411" s="20">
        <f>MONTH(List3[[#This Row],[Tanggal Pengajuan]])</f>
        <v>12</v>
      </c>
      <c r="O411" s="183"/>
      <c r="P411" s="20"/>
      <c r="Q411" s="177"/>
      <c r="R411" s="230" t="s">
        <v>958</v>
      </c>
      <c r="S411" s="577"/>
    </row>
    <row r="412" spans="2:19" ht="24" customHeight="1" x14ac:dyDescent="0.2">
      <c r="B412" s="19">
        <v>44550</v>
      </c>
      <c r="C412" s="181" t="s">
        <v>599</v>
      </c>
      <c r="D412" s="176" t="s">
        <v>229</v>
      </c>
      <c r="E412" s="176" t="s">
        <v>17</v>
      </c>
      <c r="F412" s="103" t="s">
        <v>18</v>
      </c>
      <c r="G412" s="469">
        <v>28</v>
      </c>
      <c r="H412" s="40">
        <v>6000441</v>
      </c>
      <c r="I412" s="40">
        <f>List3[[#This Row],[Pengajuan Donasi]]</f>
        <v>6000441</v>
      </c>
      <c r="J412" s="16" t="s">
        <v>19</v>
      </c>
      <c r="K412" s="176" t="s">
        <v>20</v>
      </c>
      <c r="L412" s="19">
        <v>44553</v>
      </c>
      <c r="M412" s="20"/>
      <c r="N412" s="20">
        <f>MONTH(List3[[#This Row],[Tanggal Pengajuan]])</f>
        <v>12</v>
      </c>
      <c r="O412" s="183"/>
      <c r="P412" s="20"/>
      <c r="Q412" s="177"/>
      <c r="R412" s="230" t="s">
        <v>958</v>
      </c>
      <c r="S412" s="577"/>
    </row>
    <row r="413" spans="2:19" ht="24" customHeight="1" x14ac:dyDescent="0.2">
      <c r="B413" s="19">
        <v>44550</v>
      </c>
      <c r="C413" s="181" t="s">
        <v>599</v>
      </c>
      <c r="D413" s="176" t="s">
        <v>228</v>
      </c>
      <c r="E413" s="176" t="s">
        <v>17</v>
      </c>
      <c r="F413" s="103" t="s">
        <v>18</v>
      </c>
      <c r="G413" s="469">
        <v>64</v>
      </c>
      <c r="H413" s="40">
        <v>5999500</v>
      </c>
      <c r="I413" s="40">
        <f>List3[[#This Row],[Pengajuan Donasi]]</f>
        <v>5999500</v>
      </c>
      <c r="J413" s="16" t="s">
        <v>19</v>
      </c>
      <c r="K413" s="176" t="s">
        <v>20</v>
      </c>
      <c r="L413" s="19">
        <v>44553</v>
      </c>
      <c r="M413" s="20"/>
      <c r="N413" s="20">
        <f>MONTH(List3[[#This Row],[Tanggal Pengajuan]])</f>
        <v>12</v>
      </c>
      <c r="O413" s="183"/>
      <c r="P413" s="20"/>
      <c r="Q413" s="177"/>
      <c r="R413" s="230" t="s">
        <v>958</v>
      </c>
      <c r="S413" s="577"/>
    </row>
    <row r="414" spans="2:19" ht="24" customHeight="1" x14ac:dyDescent="0.2">
      <c r="B414" s="19">
        <v>44550</v>
      </c>
      <c r="C414" s="181" t="s">
        <v>599</v>
      </c>
      <c r="D414" s="176" t="s">
        <v>858</v>
      </c>
      <c r="E414" s="176" t="s">
        <v>17</v>
      </c>
      <c r="F414" s="103" t="s">
        <v>18</v>
      </c>
      <c r="G414" s="469">
        <v>12</v>
      </c>
      <c r="H414" s="40">
        <v>5998400</v>
      </c>
      <c r="I414" s="40">
        <f>List3[[#This Row],[Pengajuan Donasi]]</f>
        <v>5998400</v>
      </c>
      <c r="J414" s="16" t="s">
        <v>19</v>
      </c>
      <c r="K414" s="176" t="s">
        <v>20</v>
      </c>
      <c r="L414" s="19">
        <v>44553</v>
      </c>
      <c r="M414" s="20"/>
      <c r="N414" s="20">
        <f>MONTH(List3[[#This Row],[Tanggal Pengajuan]])</f>
        <v>12</v>
      </c>
      <c r="O414" s="183"/>
      <c r="P414" s="20"/>
      <c r="Q414" s="177"/>
      <c r="R414" s="230" t="s">
        <v>958</v>
      </c>
      <c r="S414" s="577"/>
    </row>
    <row r="415" spans="2:19" ht="24" customHeight="1" x14ac:dyDescent="0.2">
      <c r="B415" s="19">
        <v>44550</v>
      </c>
      <c r="C415" s="181" t="s">
        <v>599</v>
      </c>
      <c r="D415" s="176" t="s">
        <v>856</v>
      </c>
      <c r="E415" s="176" t="s">
        <v>17</v>
      </c>
      <c r="F415" s="103" t="s">
        <v>18</v>
      </c>
      <c r="G415" s="469">
        <v>28</v>
      </c>
      <c r="H415" s="40">
        <v>6000000</v>
      </c>
      <c r="I415" s="40">
        <f>List3[[#This Row],[Pengajuan Donasi]]</f>
        <v>6000000</v>
      </c>
      <c r="J415" s="16" t="s">
        <v>19</v>
      </c>
      <c r="K415" s="176" t="s">
        <v>20</v>
      </c>
      <c r="L415" s="19">
        <v>44553</v>
      </c>
      <c r="M415" s="20"/>
      <c r="N415" s="20">
        <f>MONTH(List3[[#This Row],[Tanggal Pengajuan]])</f>
        <v>12</v>
      </c>
      <c r="O415" s="183"/>
      <c r="P415" s="20"/>
      <c r="Q415" s="177"/>
      <c r="R415" s="230" t="s">
        <v>958</v>
      </c>
      <c r="S415" s="577"/>
    </row>
    <row r="416" spans="2:19" ht="24" customHeight="1" x14ac:dyDescent="0.2">
      <c r="B416" s="19">
        <v>44550</v>
      </c>
      <c r="C416" s="181" t="s">
        <v>599</v>
      </c>
      <c r="D416" s="176" t="s">
        <v>854</v>
      </c>
      <c r="E416" s="176" t="s">
        <v>17</v>
      </c>
      <c r="F416" s="103" t="s">
        <v>18</v>
      </c>
      <c r="G416" s="469">
        <v>150</v>
      </c>
      <c r="H416" s="40">
        <v>6000200</v>
      </c>
      <c r="I416" s="40">
        <f>List3[[#This Row],[Pengajuan Donasi]]</f>
        <v>6000200</v>
      </c>
      <c r="J416" s="16" t="s">
        <v>19</v>
      </c>
      <c r="K416" s="176" t="s">
        <v>20</v>
      </c>
      <c r="L416" s="19">
        <v>44553</v>
      </c>
      <c r="M416" s="20"/>
      <c r="N416" s="20">
        <f>MONTH(List3[[#This Row],[Tanggal Pengajuan]])</f>
        <v>12</v>
      </c>
      <c r="O416" s="183"/>
      <c r="P416" s="20"/>
      <c r="Q416" s="177"/>
      <c r="R416" s="230" t="s">
        <v>958</v>
      </c>
      <c r="S416" s="577"/>
    </row>
    <row r="417" spans="2:19" ht="24" customHeight="1" x14ac:dyDescent="0.2">
      <c r="B417" s="19">
        <v>44550</v>
      </c>
      <c r="C417" s="181" t="s">
        <v>599</v>
      </c>
      <c r="D417" s="176" t="s">
        <v>328</v>
      </c>
      <c r="E417" s="176" t="s">
        <v>17</v>
      </c>
      <c r="F417" s="103" t="s">
        <v>18</v>
      </c>
      <c r="G417" s="469">
        <v>14</v>
      </c>
      <c r="H417" s="40">
        <v>6001600</v>
      </c>
      <c r="I417" s="40">
        <f>List3[[#This Row],[Pengajuan Donasi]]</f>
        <v>6001600</v>
      </c>
      <c r="J417" s="16" t="s">
        <v>19</v>
      </c>
      <c r="K417" s="176" t="s">
        <v>20</v>
      </c>
      <c r="L417" s="19">
        <v>44553</v>
      </c>
      <c r="M417" s="20"/>
      <c r="N417" s="20">
        <f>MONTH(List3[[#This Row],[Tanggal Pengajuan]])</f>
        <v>12</v>
      </c>
      <c r="O417" s="183"/>
      <c r="P417" s="20"/>
      <c r="Q417" s="177"/>
      <c r="R417" s="230" t="s">
        <v>958</v>
      </c>
      <c r="S417" s="577"/>
    </row>
    <row r="418" spans="2:19" ht="24" customHeight="1" x14ac:dyDescent="0.2">
      <c r="B418" s="19">
        <v>44550</v>
      </c>
      <c r="C418" s="181" t="s">
        <v>599</v>
      </c>
      <c r="D418" s="176" t="s">
        <v>857</v>
      </c>
      <c r="E418" s="176" t="s">
        <v>17</v>
      </c>
      <c r="F418" s="103" t="s">
        <v>18</v>
      </c>
      <c r="G418" s="469">
        <v>52</v>
      </c>
      <c r="H418" s="40">
        <v>5999100</v>
      </c>
      <c r="I418" s="40">
        <f>List3[[#This Row],[Pengajuan Donasi]]</f>
        <v>5999100</v>
      </c>
      <c r="J418" s="16" t="s">
        <v>19</v>
      </c>
      <c r="K418" s="176" t="s">
        <v>20</v>
      </c>
      <c r="L418" s="19">
        <v>44553</v>
      </c>
      <c r="M418" s="20"/>
      <c r="N418" s="20">
        <f>MONTH(List3[[#This Row],[Tanggal Pengajuan]])</f>
        <v>12</v>
      </c>
      <c r="O418" s="183"/>
      <c r="P418" s="20"/>
      <c r="Q418" s="177"/>
      <c r="R418" s="230" t="s">
        <v>958</v>
      </c>
      <c r="S418" s="577"/>
    </row>
    <row r="419" spans="2:19" ht="24" customHeight="1" x14ac:dyDescent="0.2">
      <c r="B419" s="19">
        <v>44549</v>
      </c>
      <c r="C419" s="181" t="s">
        <v>600</v>
      </c>
      <c r="D419" s="176" t="s">
        <v>853</v>
      </c>
      <c r="E419" s="176" t="s">
        <v>17</v>
      </c>
      <c r="F419" s="103" t="s">
        <v>18</v>
      </c>
      <c r="G419" s="469">
        <v>25</v>
      </c>
      <c r="H419" s="40">
        <v>6000200</v>
      </c>
      <c r="I419" s="40">
        <f>List3[[#This Row],[Pengajuan Donasi]]</f>
        <v>6000200</v>
      </c>
      <c r="J419" s="16" t="s">
        <v>19</v>
      </c>
      <c r="K419" s="176" t="s">
        <v>20</v>
      </c>
      <c r="L419" s="19">
        <v>44547</v>
      </c>
      <c r="M419" s="20"/>
      <c r="N419" s="20">
        <f>MONTH(List3[[#This Row],[Tanggal Pengajuan]])</f>
        <v>12</v>
      </c>
      <c r="O419" s="183"/>
      <c r="P419" s="20"/>
      <c r="Q419" s="177"/>
      <c r="R419" s="230" t="s">
        <v>958</v>
      </c>
      <c r="S419" s="577"/>
    </row>
    <row r="420" spans="2:19" ht="24" customHeight="1" x14ac:dyDescent="0.2">
      <c r="B420" s="19">
        <v>44550</v>
      </c>
      <c r="C420" s="181" t="s">
        <v>599</v>
      </c>
      <c r="D420" s="176" t="s">
        <v>362</v>
      </c>
      <c r="E420" s="176" t="s">
        <v>17</v>
      </c>
      <c r="F420" s="103" t="s">
        <v>18</v>
      </c>
      <c r="G420" s="469">
        <v>128</v>
      </c>
      <c r="H420" s="40">
        <v>6000200</v>
      </c>
      <c r="I420" s="40">
        <f>List3[[#This Row],[Pengajuan Donasi]]</f>
        <v>6000200</v>
      </c>
      <c r="J420" s="16" t="s">
        <v>19</v>
      </c>
      <c r="K420" s="176" t="s">
        <v>20</v>
      </c>
      <c r="L420" s="19">
        <v>44553</v>
      </c>
      <c r="M420" s="20"/>
      <c r="N420" s="20">
        <f>MONTH(List3[[#This Row],[Tanggal Pengajuan]])</f>
        <v>12</v>
      </c>
      <c r="O420" s="183"/>
      <c r="P420" s="20"/>
      <c r="Q420" s="177"/>
      <c r="R420" s="230" t="s">
        <v>958</v>
      </c>
      <c r="S420" s="577"/>
    </row>
    <row r="421" spans="2:19" ht="24" customHeight="1" x14ac:dyDescent="0.2">
      <c r="B421" s="19">
        <v>44550</v>
      </c>
      <c r="C421" s="181" t="s">
        <v>599</v>
      </c>
      <c r="D421" s="176" t="s">
        <v>391</v>
      </c>
      <c r="E421" s="176" t="s">
        <v>17</v>
      </c>
      <c r="F421" s="103" t="s">
        <v>18</v>
      </c>
      <c r="G421" s="469">
        <v>40</v>
      </c>
      <c r="H421" s="40">
        <v>5999200</v>
      </c>
      <c r="I421" s="40">
        <f>List3[[#This Row],[Pengajuan Donasi]]</f>
        <v>5999200</v>
      </c>
      <c r="J421" s="16" t="s">
        <v>19</v>
      </c>
      <c r="K421" s="176" t="s">
        <v>20</v>
      </c>
      <c r="L421" s="19">
        <v>44553</v>
      </c>
      <c r="M421" s="20"/>
      <c r="N421" s="20">
        <f>MONTH(List3[[#This Row],[Tanggal Pengajuan]])</f>
        <v>12</v>
      </c>
      <c r="O421" s="183"/>
      <c r="P421" s="20"/>
      <c r="Q421" s="177"/>
      <c r="R421" s="230" t="s">
        <v>958</v>
      </c>
      <c r="S421" s="577"/>
    </row>
    <row r="422" spans="2:19" ht="24" customHeight="1" x14ac:dyDescent="0.2">
      <c r="B422" s="19">
        <v>44549</v>
      </c>
      <c r="C422" s="181" t="s">
        <v>600</v>
      </c>
      <c r="D422" s="176" t="s">
        <v>860</v>
      </c>
      <c r="E422" s="176" t="s">
        <v>17</v>
      </c>
      <c r="F422" s="103" t="s">
        <v>18</v>
      </c>
      <c r="G422" s="469">
        <v>69</v>
      </c>
      <c r="H422" s="40">
        <v>6000700</v>
      </c>
      <c r="I422" s="40">
        <f>List3[[#This Row],[Pengajuan Donasi]]</f>
        <v>6000700</v>
      </c>
      <c r="J422" s="16" t="s">
        <v>19</v>
      </c>
      <c r="K422" s="176" t="s">
        <v>20</v>
      </c>
      <c r="L422" s="19">
        <v>44547</v>
      </c>
      <c r="M422" s="20"/>
      <c r="N422" s="20">
        <f>MONTH(List3[[#This Row],[Tanggal Pengajuan]])</f>
        <v>12</v>
      </c>
      <c r="O422" s="183"/>
      <c r="P422" s="20"/>
      <c r="Q422" s="177"/>
      <c r="R422" s="230" t="s">
        <v>958</v>
      </c>
      <c r="S422" s="577"/>
    </row>
    <row r="423" spans="2:19" ht="24" customHeight="1" x14ac:dyDescent="0.2">
      <c r="B423" s="19">
        <v>44550</v>
      </c>
      <c r="C423" s="181" t="s">
        <v>599</v>
      </c>
      <c r="D423" s="176" t="s">
        <v>861</v>
      </c>
      <c r="E423" s="176" t="s">
        <v>17</v>
      </c>
      <c r="F423" s="103" t="s">
        <v>18</v>
      </c>
      <c r="G423" s="469">
        <v>54</v>
      </c>
      <c r="H423" s="40">
        <v>5999900</v>
      </c>
      <c r="I423" s="40">
        <f>List3[[#This Row],[Pengajuan Donasi]]</f>
        <v>5999900</v>
      </c>
      <c r="J423" s="16" t="s">
        <v>19</v>
      </c>
      <c r="K423" s="176" t="s">
        <v>20</v>
      </c>
      <c r="L423" s="19">
        <v>44553</v>
      </c>
      <c r="M423" s="20"/>
      <c r="N423" s="20">
        <f>MONTH(List3[[#This Row],[Tanggal Pengajuan]])</f>
        <v>12</v>
      </c>
      <c r="O423" s="183"/>
      <c r="P423" s="20"/>
      <c r="Q423" s="177"/>
      <c r="R423" s="230" t="s">
        <v>958</v>
      </c>
      <c r="S423" s="577"/>
    </row>
    <row r="424" spans="2:19" ht="24" customHeight="1" x14ac:dyDescent="0.2">
      <c r="B424" s="19">
        <v>44550</v>
      </c>
      <c r="C424" s="181" t="s">
        <v>599</v>
      </c>
      <c r="D424" s="176" t="s">
        <v>862</v>
      </c>
      <c r="E424" s="176" t="s">
        <v>17</v>
      </c>
      <c r="F424" s="103" t="s">
        <v>18</v>
      </c>
      <c r="G424" s="469">
        <v>40</v>
      </c>
      <c r="H424" s="40">
        <v>5999800</v>
      </c>
      <c r="I424" s="40">
        <f>List3[[#This Row],[Pengajuan Donasi]]</f>
        <v>5999800</v>
      </c>
      <c r="J424" s="16" t="s">
        <v>19</v>
      </c>
      <c r="K424" s="176" t="s">
        <v>20</v>
      </c>
      <c r="L424" s="19">
        <v>44553</v>
      </c>
      <c r="M424" s="20"/>
      <c r="N424" s="20">
        <f>MONTH(List3[[#This Row],[Tanggal Pengajuan]])</f>
        <v>12</v>
      </c>
      <c r="O424" s="183"/>
      <c r="P424" s="20"/>
      <c r="Q424" s="177"/>
      <c r="R424" s="230" t="s">
        <v>958</v>
      </c>
      <c r="S424" s="577"/>
    </row>
    <row r="425" spans="2:19" ht="24" customHeight="1" x14ac:dyDescent="0.2">
      <c r="B425" s="19">
        <v>44549</v>
      </c>
      <c r="C425" s="181" t="s">
        <v>600</v>
      </c>
      <c r="D425" s="176" t="s">
        <v>863</v>
      </c>
      <c r="E425" s="176" t="s">
        <v>17</v>
      </c>
      <c r="F425" s="103" t="s">
        <v>18</v>
      </c>
      <c r="G425" s="469">
        <v>128</v>
      </c>
      <c r="H425" s="40">
        <v>5999400</v>
      </c>
      <c r="I425" s="40">
        <f>List3[[#This Row],[Pengajuan Donasi]]</f>
        <v>5999400</v>
      </c>
      <c r="J425" s="16" t="s">
        <v>19</v>
      </c>
      <c r="K425" s="176" t="s">
        <v>20</v>
      </c>
      <c r="L425" s="19">
        <v>44547</v>
      </c>
      <c r="M425" s="20"/>
      <c r="N425" s="20">
        <f>MONTH(List3[[#This Row],[Tanggal Pengajuan]])</f>
        <v>12</v>
      </c>
      <c r="O425" s="183"/>
      <c r="P425" s="20"/>
      <c r="Q425" s="177"/>
      <c r="R425" s="230" t="s">
        <v>958</v>
      </c>
      <c r="S425" s="577"/>
    </row>
    <row r="426" spans="2:19" ht="24" customHeight="1" x14ac:dyDescent="0.2">
      <c r="B426" s="19">
        <v>44550</v>
      </c>
      <c r="C426" s="181" t="s">
        <v>599</v>
      </c>
      <c r="D426" s="176" t="s">
        <v>864</v>
      </c>
      <c r="E426" s="176" t="s">
        <v>17</v>
      </c>
      <c r="F426" s="103" t="s">
        <v>18</v>
      </c>
      <c r="G426" s="469">
        <v>140</v>
      </c>
      <c r="H426" s="40">
        <v>5999700</v>
      </c>
      <c r="I426" s="40">
        <f>List3[[#This Row],[Pengajuan Donasi]]</f>
        <v>5999700</v>
      </c>
      <c r="J426" s="16" t="s">
        <v>19</v>
      </c>
      <c r="K426" s="176" t="s">
        <v>20</v>
      </c>
      <c r="L426" s="19">
        <v>44553</v>
      </c>
      <c r="M426" s="20"/>
      <c r="N426" s="20">
        <f>MONTH(List3[[#This Row],[Tanggal Pengajuan]])</f>
        <v>12</v>
      </c>
      <c r="O426" s="183"/>
      <c r="P426" s="20"/>
      <c r="Q426" s="177"/>
      <c r="R426" s="230" t="s">
        <v>958</v>
      </c>
      <c r="S426" s="577"/>
    </row>
    <row r="427" spans="2:19" ht="24" customHeight="1" x14ac:dyDescent="0.2">
      <c r="B427" s="19">
        <v>44550</v>
      </c>
      <c r="C427" s="181" t="s">
        <v>599</v>
      </c>
      <c r="D427" s="176" t="s">
        <v>865</v>
      </c>
      <c r="E427" s="176" t="s">
        <v>17</v>
      </c>
      <c r="F427" s="103" t="s">
        <v>18</v>
      </c>
      <c r="G427" s="469">
        <v>71</v>
      </c>
      <c r="H427" s="40">
        <v>5999700</v>
      </c>
      <c r="I427" s="40">
        <f>List3[[#This Row],[Pengajuan Donasi]]</f>
        <v>5999700</v>
      </c>
      <c r="J427" s="16" t="s">
        <v>19</v>
      </c>
      <c r="K427" s="176" t="s">
        <v>20</v>
      </c>
      <c r="L427" s="19">
        <v>44553</v>
      </c>
      <c r="M427" s="20"/>
      <c r="N427" s="20">
        <f>MONTH(List3[[#This Row],[Tanggal Pengajuan]])</f>
        <v>12</v>
      </c>
      <c r="O427" s="183"/>
      <c r="P427" s="20"/>
      <c r="Q427" s="177"/>
      <c r="R427" s="230" t="s">
        <v>958</v>
      </c>
      <c r="S427" s="577"/>
    </row>
    <row r="428" spans="2:19" ht="24" customHeight="1" x14ac:dyDescent="0.2">
      <c r="B428" s="19">
        <v>44550</v>
      </c>
      <c r="C428" s="181" t="s">
        <v>599</v>
      </c>
      <c r="D428" s="176" t="s">
        <v>866</v>
      </c>
      <c r="E428" s="176" t="s">
        <v>17</v>
      </c>
      <c r="F428" s="103" t="s">
        <v>18</v>
      </c>
      <c r="G428" s="469">
        <v>56</v>
      </c>
      <c r="H428" s="40">
        <v>5999600</v>
      </c>
      <c r="I428" s="40">
        <f>List3[[#This Row],[Pengajuan Donasi]]</f>
        <v>5999600</v>
      </c>
      <c r="J428" s="16" t="s">
        <v>19</v>
      </c>
      <c r="K428" s="176" t="s">
        <v>20</v>
      </c>
      <c r="L428" s="19">
        <v>44553</v>
      </c>
      <c r="M428" s="20"/>
      <c r="N428" s="20">
        <f>MONTH(List3[[#This Row],[Tanggal Pengajuan]])</f>
        <v>12</v>
      </c>
      <c r="O428" s="183"/>
      <c r="P428" s="20"/>
      <c r="Q428" s="177"/>
      <c r="R428" s="230" t="s">
        <v>958</v>
      </c>
      <c r="S428" s="577"/>
    </row>
    <row r="429" spans="2:19" s="901" customFormat="1" ht="24" customHeight="1" x14ac:dyDescent="0.2">
      <c r="B429" s="19">
        <v>44551</v>
      </c>
      <c r="C429" s="181" t="s">
        <v>621</v>
      </c>
      <c r="D429" s="176" t="s">
        <v>618</v>
      </c>
      <c r="E429" s="176" t="s">
        <v>179</v>
      </c>
      <c r="F429" s="22" t="s">
        <v>28</v>
      </c>
      <c r="G429" s="469">
        <v>5</v>
      </c>
      <c r="H429" s="71">
        <v>18740000</v>
      </c>
      <c r="I429" s="71">
        <f>List3[[#This Row],[Pengajuan Donasi]]</f>
        <v>18740000</v>
      </c>
      <c r="J429" s="72" t="s">
        <v>19</v>
      </c>
      <c r="K429" s="176" t="s">
        <v>20</v>
      </c>
      <c r="L429" s="19">
        <v>44554</v>
      </c>
      <c r="M429" s="20"/>
      <c r="N429" s="20">
        <f>MONTH(List3[[#This Row],[Tanggal Pengajuan]])</f>
        <v>12</v>
      </c>
      <c r="O429" s="182"/>
      <c r="P429" s="20"/>
      <c r="Q429" s="177"/>
      <c r="R429" s="230" t="s">
        <v>958</v>
      </c>
      <c r="S429" s="577"/>
    </row>
    <row r="430" spans="2:19" s="901" customFormat="1" ht="24" customHeight="1" x14ac:dyDescent="0.2">
      <c r="B430" s="19">
        <v>44551</v>
      </c>
      <c r="C430" s="181" t="s">
        <v>616</v>
      </c>
      <c r="D430" s="176" t="s">
        <v>620</v>
      </c>
      <c r="E430" s="176" t="s">
        <v>179</v>
      </c>
      <c r="F430" s="22" t="s">
        <v>28</v>
      </c>
      <c r="G430" s="469">
        <v>5</v>
      </c>
      <c r="H430" s="71">
        <v>6890000</v>
      </c>
      <c r="I430" s="71">
        <f>List3[[#This Row],[Pengajuan Donasi]]</f>
        <v>6890000</v>
      </c>
      <c r="J430" s="72" t="s">
        <v>19</v>
      </c>
      <c r="K430" s="176" t="s">
        <v>20</v>
      </c>
      <c r="L430" s="19">
        <v>44554</v>
      </c>
      <c r="M430" s="20"/>
      <c r="N430" s="20">
        <f>MONTH(List3[[#This Row],[Tanggal Pengajuan]])</f>
        <v>12</v>
      </c>
      <c r="O430" s="182"/>
      <c r="P430" s="20"/>
      <c r="Q430" s="177"/>
      <c r="R430" s="230" t="s">
        <v>958</v>
      </c>
      <c r="S430" s="577"/>
    </row>
    <row r="431" spans="2:19" s="901" customFormat="1" ht="24" customHeight="1" x14ac:dyDescent="0.2">
      <c r="B431" s="19">
        <v>44551</v>
      </c>
      <c r="C431" s="181" t="s">
        <v>617</v>
      </c>
      <c r="D431" s="176" t="s">
        <v>619</v>
      </c>
      <c r="E431" s="176" t="s">
        <v>179</v>
      </c>
      <c r="F431" s="22" t="s">
        <v>28</v>
      </c>
      <c r="G431" s="469">
        <v>5</v>
      </c>
      <c r="H431" s="71">
        <v>7110000</v>
      </c>
      <c r="I431" s="71">
        <f>List3[[#This Row],[Pengajuan Donasi]]</f>
        <v>7110000</v>
      </c>
      <c r="J431" s="72" t="s">
        <v>19</v>
      </c>
      <c r="K431" s="176" t="s">
        <v>20</v>
      </c>
      <c r="L431" s="19">
        <v>44554</v>
      </c>
      <c r="M431" s="20"/>
      <c r="N431" s="20">
        <f>MONTH(List3[[#This Row],[Tanggal Pengajuan]])</f>
        <v>12</v>
      </c>
      <c r="O431" s="182"/>
      <c r="P431" s="20"/>
      <c r="Q431" s="177"/>
      <c r="R431" s="230" t="s">
        <v>958</v>
      </c>
      <c r="S431" s="577"/>
    </row>
    <row r="432" spans="2:19" ht="24" customHeight="1" x14ac:dyDescent="0.2">
      <c r="B432" s="19">
        <v>44560</v>
      </c>
      <c r="C432" s="181" t="s">
        <v>630</v>
      </c>
      <c r="D432" s="176" t="s">
        <v>592</v>
      </c>
      <c r="E432" s="176" t="s">
        <v>107</v>
      </c>
      <c r="F432" s="103" t="s">
        <v>28</v>
      </c>
      <c r="G432" s="469">
        <v>0</v>
      </c>
      <c r="H432" s="40">
        <v>30720000</v>
      </c>
      <c r="I432" s="40">
        <f>List3[[#This Row],[Pengajuan Donasi]]</f>
        <v>30720000</v>
      </c>
      <c r="J432" s="16" t="s">
        <v>19</v>
      </c>
      <c r="K432" s="176" t="s">
        <v>20</v>
      </c>
      <c r="L432" s="19">
        <v>44561</v>
      </c>
      <c r="M432" s="20"/>
      <c r="N432" s="20">
        <f>MONTH(List3[[#This Row],[Tanggal Pengajuan]])</f>
        <v>12</v>
      </c>
      <c r="O432" s="183"/>
      <c r="P432" s="20"/>
      <c r="Q432" s="177"/>
      <c r="R432" s="230" t="s">
        <v>958</v>
      </c>
      <c r="S432" s="577" t="s">
        <v>1383</v>
      </c>
    </row>
    <row r="433" spans="2:19" ht="24" customHeight="1" x14ac:dyDescent="0.2">
      <c r="B433" s="19">
        <v>44560</v>
      </c>
      <c r="C433" s="181" t="s">
        <v>631</v>
      </c>
      <c r="D433" s="176" t="s">
        <v>634</v>
      </c>
      <c r="E433" s="176" t="s">
        <v>107</v>
      </c>
      <c r="F433" s="103" t="s">
        <v>28</v>
      </c>
      <c r="G433" s="469">
        <v>35</v>
      </c>
      <c r="H433" s="40">
        <v>35000000</v>
      </c>
      <c r="I433" s="40">
        <f>List3[[#This Row],[Pengajuan Donasi]]</f>
        <v>35000000</v>
      </c>
      <c r="J433" s="16" t="s">
        <v>19</v>
      </c>
      <c r="K433" s="176" t="s">
        <v>20</v>
      </c>
      <c r="L433" s="19">
        <v>44561</v>
      </c>
      <c r="M433" s="20"/>
      <c r="N433" s="20">
        <f>MONTH(List3[[#This Row],[Tanggal Pengajuan]])</f>
        <v>12</v>
      </c>
      <c r="O433" s="183"/>
      <c r="P433" s="20"/>
      <c r="Q433" s="177"/>
      <c r="R433" s="230" t="s">
        <v>958</v>
      </c>
      <c r="S433" s="577" t="s">
        <v>1383</v>
      </c>
    </row>
    <row r="434" spans="2:19" ht="24" customHeight="1" x14ac:dyDescent="0.2">
      <c r="B434" s="19">
        <v>44560</v>
      </c>
      <c r="C434" s="185" t="s">
        <v>631</v>
      </c>
      <c r="D434" s="176" t="s">
        <v>591</v>
      </c>
      <c r="E434" s="176" t="s">
        <v>107</v>
      </c>
      <c r="F434" s="103" t="s">
        <v>28</v>
      </c>
      <c r="G434" s="469">
        <v>0</v>
      </c>
      <c r="H434" s="40">
        <v>0</v>
      </c>
      <c r="I434" s="40">
        <v>0</v>
      </c>
      <c r="J434" s="16" t="s">
        <v>19</v>
      </c>
      <c r="K434" s="176" t="s">
        <v>20</v>
      </c>
      <c r="L434" s="19">
        <v>44561</v>
      </c>
      <c r="M434" s="20"/>
      <c r="N434" s="20">
        <f>MONTH(List3[[#This Row],[Tanggal Pengajuan]])</f>
        <v>12</v>
      </c>
      <c r="O434" s="183"/>
      <c r="P434" s="20" t="s">
        <v>1401</v>
      </c>
      <c r="Q434" s="177"/>
      <c r="R434" s="230" t="s">
        <v>958</v>
      </c>
      <c r="S434" s="577" t="s">
        <v>1383</v>
      </c>
    </row>
    <row r="435" spans="2:19" ht="24" customHeight="1" x14ac:dyDescent="0.2">
      <c r="B435" s="19">
        <v>44560</v>
      </c>
      <c r="C435" s="181" t="s">
        <v>632</v>
      </c>
      <c r="D435" s="176" t="s">
        <v>633</v>
      </c>
      <c r="E435" s="176" t="s">
        <v>107</v>
      </c>
      <c r="F435" s="103" t="s">
        <v>28</v>
      </c>
      <c r="G435" s="469">
        <v>0</v>
      </c>
      <c r="H435" s="40">
        <v>35000000</v>
      </c>
      <c r="I435" s="40">
        <f>List3[[#This Row],[Pengajuan Donasi]]</f>
        <v>35000000</v>
      </c>
      <c r="J435" s="16" t="s">
        <v>19</v>
      </c>
      <c r="K435" s="176" t="s">
        <v>20</v>
      </c>
      <c r="L435" s="19">
        <v>44561</v>
      </c>
      <c r="M435" s="20"/>
      <c r="N435" s="20">
        <f>MONTH(List3[[#This Row],[Tanggal Pengajuan]])</f>
        <v>12</v>
      </c>
      <c r="O435" s="101"/>
      <c r="P435" s="20"/>
      <c r="Q435" s="177"/>
      <c r="R435" s="230" t="s">
        <v>958</v>
      </c>
      <c r="S435" s="577" t="s">
        <v>1383</v>
      </c>
    </row>
    <row r="436" spans="2:19" ht="24" customHeight="1" x14ac:dyDescent="0.2">
      <c r="B436" s="19">
        <v>44561</v>
      </c>
      <c r="C436" s="181" t="s">
        <v>604</v>
      </c>
      <c r="D436" s="176" t="s">
        <v>605</v>
      </c>
      <c r="E436" s="176" t="s">
        <v>107</v>
      </c>
      <c r="F436" s="103" t="s">
        <v>28</v>
      </c>
      <c r="G436" s="469">
        <v>0</v>
      </c>
      <c r="H436" s="40">
        <v>70000000</v>
      </c>
      <c r="I436" s="40">
        <f>List3[[#This Row],[Pengajuan Donasi]]</f>
        <v>70000000</v>
      </c>
      <c r="J436" s="16" t="s">
        <v>19</v>
      </c>
      <c r="K436" s="176" t="s">
        <v>20</v>
      </c>
      <c r="L436" s="19">
        <v>44561</v>
      </c>
      <c r="M436" s="20"/>
      <c r="N436" s="20">
        <f>MONTH(List3[[#This Row],[Tanggal Pengajuan]])</f>
        <v>12</v>
      </c>
      <c r="O436" s="101"/>
      <c r="P436" s="20"/>
      <c r="Q436" s="177"/>
      <c r="R436" s="230" t="s">
        <v>958</v>
      </c>
      <c r="S436" s="577" t="s">
        <v>1383</v>
      </c>
    </row>
    <row r="437" spans="2:19" ht="15.75" x14ac:dyDescent="0.2">
      <c r="B437" s="19"/>
      <c r="C437" s="181"/>
      <c r="D437" s="176"/>
      <c r="E437" s="176"/>
      <c r="F437" s="103"/>
      <c r="G437" s="469">
        <f>IFERROR(VLOOKUP(List3[[#This Row],[Site / Lokasi]],Data!B:C,2,0),0)</f>
        <v>0</v>
      </c>
      <c r="H437" s="40"/>
      <c r="I437" s="40">
        <f>List3[[#This Row],[Pengajuan Donasi]]</f>
        <v>0</v>
      </c>
      <c r="J437" s="16"/>
      <c r="K437" s="176"/>
      <c r="L437" s="153"/>
      <c r="M437" s="20"/>
      <c r="N437" s="20">
        <f>MONTH(List3[[#This Row],[Tanggal Pengajuan]])</f>
        <v>1</v>
      </c>
      <c r="O437" s="101"/>
      <c r="P437" s="20"/>
      <c r="Q437" s="177"/>
      <c r="R437" s="237"/>
      <c r="S437" s="577"/>
    </row>
    <row r="438" spans="2:19" ht="15.75" x14ac:dyDescent="0.2">
      <c r="B438" s="19"/>
      <c r="C438" s="181"/>
      <c r="D438" s="176"/>
      <c r="E438" s="176"/>
      <c r="F438" s="103"/>
      <c r="G438" s="469">
        <f>IFERROR(VLOOKUP(List3[[#This Row],[Site / Lokasi]],Data!B:C,2,0),0)</f>
        <v>0</v>
      </c>
      <c r="H438" s="40"/>
      <c r="I438" s="40">
        <f>List3[[#This Row],[Pengajuan Donasi]]</f>
        <v>0</v>
      </c>
      <c r="J438" s="16"/>
      <c r="K438" s="176"/>
      <c r="L438" s="153"/>
      <c r="M438" s="20"/>
      <c r="N438" s="20">
        <f>MONTH(List3[[#This Row],[Tanggal Pengajuan]])</f>
        <v>1</v>
      </c>
      <c r="O438" s="101"/>
      <c r="P438" s="20"/>
      <c r="Q438" s="177"/>
      <c r="R438" s="237"/>
      <c r="S438" s="577"/>
    </row>
    <row r="439" spans="2:19" ht="15.75" x14ac:dyDescent="0.2">
      <c r="B439" s="19"/>
      <c r="C439" s="181"/>
      <c r="D439" s="176"/>
      <c r="E439" s="176"/>
      <c r="F439" s="103"/>
      <c r="G439" s="469">
        <f>IFERROR(VLOOKUP(List3[[#This Row],[Site / Lokasi]],Data!B:C,2,0),0)</f>
        <v>0</v>
      </c>
      <c r="H439" s="40"/>
      <c r="I439" s="40">
        <f>List3[[#This Row],[Pengajuan Donasi]]</f>
        <v>0</v>
      </c>
      <c r="J439" s="16"/>
      <c r="K439" s="176"/>
      <c r="L439" s="153"/>
      <c r="M439" s="20"/>
      <c r="N439" s="20">
        <f>MONTH(List3[[#This Row],[Tanggal Pengajuan]])</f>
        <v>1</v>
      </c>
      <c r="O439" s="101"/>
      <c r="P439" s="20"/>
      <c r="Q439" s="177"/>
      <c r="R439" s="237"/>
      <c r="S439" s="577"/>
    </row>
    <row r="440" spans="2:19" ht="15.75" x14ac:dyDescent="0.2">
      <c r="B440" s="19"/>
      <c r="C440" s="181"/>
      <c r="D440" s="176"/>
      <c r="E440" s="176"/>
      <c r="F440" s="103"/>
      <c r="G440" s="175">
        <f>IFERROR(VLOOKUP(List3[[#This Row],[Site / Lokasi]],Data!B:C,2,0),0)</f>
        <v>0</v>
      </c>
      <c r="H440" s="40"/>
      <c r="I440" s="40">
        <f>List3[[#This Row],[Pengajuan Donasi]]</f>
        <v>0</v>
      </c>
      <c r="J440" s="16"/>
      <c r="K440" s="176"/>
      <c r="L440" s="153"/>
      <c r="M440" s="20"/>
      <c r="N440" s="20">
        <f>MONTH(List3[[#This Row],[Tanggal Pengajuan]])</f>
        <v>1</v>
      </c>
      <c r="O440" s="101"/>
      <c r="P440" s="20"/>
      <c r="Q440" s="177"/>
      <c r="R440" s="237"/>
      <c r="S440" s="577"/>
    </row>
    <row r="441" spans="2:19" ht="15.75" x14ac:dyDescent="0.2">
      <c r="B441" s="19"/>
      <c r="C441" s="181"/>
      <c r="D441" s="176"/>
      <c r="E441" s="176"/>
      <c r="F441" s="103"/>
      <c r="G441" s="175">
        <f>IFERROR(VLOOKUP(List3[[#This Row],[Site / Lokasi]],Data!B:C,2,0),0)</f>
        <v>0</v>
      </c>
      <c r="H441" s="40"/>
      <c r="I441" s="40">
        <f>List3[[#This Row],[Pengajuan Donasi]]</f>
        <v>0</v>
      </c>
      <c r="J441" s="16"/>
      <c r="K441" s="176"/>
      <c r="L441" s="182"/>
      <c r="M441" s="20"/>
      <c r="N441" s="20">
        <f>MONTH(List3[[#This Row],[Tanggal Pengajuan]])</f>
        <v>1</v>
      </c>
      <c r="O441" s="183"/>
      <c r="P441" s="20"/>
      <c r="Q441" s="177"/>
      <c r="R441" s="237"/>
      <c r="S441" s="577"/>
    </row>
    <row r="442" spans="2:19" ht="15.75" x14ac:dyDescent="0.2">
      <c r="B442" s="19"/>
      <c r="C442" s="181"/>
      <c r="D442" s="176"/>
      <c r="E442" s="176"/>
      <c r="F442" s="103"/>
      <c r="G442" s="175">
        <f>IFERROR(VLOOKUP(List3[[#This Row],[Site / Lokasi]],Data!B:C,2,0),0)</f>
        <v>0</v>
      </c>
      <c r="H442" s="40"/>
      <c r="I442" s="40">
        <f>List3[[#This Row],[Pengajuan Donasi]]</f>
        <v>0</v>
      </c>
      <c r="J442" s="16"/>
      <c r="K442" s="176"/>
      <c r="L442" s="182"/>
      <c r="M442" s="20"/>
      <c r="N442" s="20">
        <f>MONTH(List3[[#This Row],[Tanggal Pengajuan]])</f>
        <v>1</v>
      </c>
      <c r="O442" s="183"/>
      <c r="P442" s="20"/>
      <c r="Q442" s="177"/>
      <c r="R442" s="237"/>
      <c r="S442" s="577"/>
    </row>
    <row r="443" spans="2:19" ht="15.75" x14ac:dyDescent="0.2">
      <c r="B443" s="19"/>
      <c r="C443" s="181"/>
      <c r="D443" s="176"/>
      <c r="E443" s="176"/>
      <c r="F443" s="103"/>
      <c r="G443" s="175">
        <f>IFERROR(VLOOKUP(List3[[#This Row],[Site / Lokasi]],Data!B:C,2,0),0)</f>
        <v>0</v>
      </c>
      <c r="H443" s="40"/>
      <c r="I443" s="40">
        <f>List3[[#This Row],[Pengajuan Donasi]]</f>
        <v>0</v>
      </c>
      <c r="J443" s="16"/>
      <c r="K443" s="176"/>
      <c r="L443" s="182"/>
      <c r="M443" s="20"/>
      <c r="N443" s="20">
        <f>MONTH(List3[[#This Row],[Tanggal Pengajuan]])</f>
        <v>1</v>
      </c>
      <c r="O443" s="183"/>
      <c r="P443" s="20"/>
      <c r="Q443" s="177"/>
      <c r="R443" s="237"/>
      <c r="S443" s="577"/>
    </row>
    <row r="444" spans="2:19" ht="15.75" x14ac:dyDescent="0.2">
      <c r="B444" s="19"/>
      <c r="C444" s="181"/>
      <c r="D444" s="176"/>
      <c r="E444" s="176"/>
      <c r="F444" s="103"/>
      <c r="G444" s="175">
        <f>IFERROR(VLOOKUP(List3[[#This Row],[Site / Lokasi]],Data!B:C,2,0),0)</f>
        <v>0</v>
      </c>
      <c r="H444" s="40"/>
      <c r="I444" s="40">
        <f>List3[[#This Row],[Pengajuan Donasi]]</f>
        <v>0</v>
      </c>
      <c r="J444" s="16"/>
      <c r="K444" s="176"/>
      <c r="L444" s="182"/>
      <c r="M444" s="20"/>
      <c r="N444" s="20">
        <f>MONTH(List3[[#This Row],[Tanggal Pengajuan]])</f>
        <v>1</v>
      </c>
      <c r="O444" s="183"/>
      <c r="P444" s="20"/>
      <c r="Q444" s="177"/>
      <c r="R444" s="237"/>
      <c r="S444" s="577"/>
    </row>
    <row r="445" spans="2:19" ht="15.75" x14ac:dyDescent="0.2">
      <c r="B445" s="19"/>
      <c r="C445" s="181"/>
      <c r="D445" s="176"/>
      <c r="E445" s="176"/>
      <c r="F445" s="103"/>
      <c r="G445" s="175">
        <f>IFERROR(VLOOKUP(List3[[#This Row],[Site / Lokasi]],Data!B:C,2,0),0)</f>
        <v>0</v>
      </c>
      <c r="H445" s="40"/>
      <c r="I445" s="40">
        <f>List3[[#This Row],[Pengajuan Donasi]]</f>
        <v>0</v>
      </c>
      <c r="J445" s="16"/>
      <c r="K445" s="176"/>
      <c r="L445" s="182"/>
      <c r="M445" s="20"/>
      <c r="N445" s="20">
        <f>MONTH(List3[[#This Row],[Tanggal Pengajuan]])</f>
        <v>1</v>
      </c>
      <c r="O445" s="183"/>
      <c r="P445" s="20"/>
      <c r="Q445" s="177"/>
      <c r="R445" s="237"/>
      <c r="S445" s="577"/>
    </row>
    <row r="446" spans="2:19" ht="15.75" x14ac:dyDescent="0.2">
      <c r="B446" s="19"/>
      <c r="C446" s="181"/>
      <c r="D446" s="176"/>
      <c r="E446" s="176"/>
      <c r="F446" s="103"/>
      <c r="G446" s="175">
        <f>IFERROR(VLOOKUP(List3[[#This Row],[Site / Lokasi]],Data!B:C,2,0),0)</f>
        <v>0</v>
      </c>
      <c r="H446" s="40"/>
      <c r="I446" s="40">
        <f>List3[[#This Row],[Pengajuan Donasi]]</f>
        <v>0</v>
      </c>
      <c r="J446" s="16"/>
      <c r="K446" s="176"/>
      <c r="L446" s="182"/>
      <c r="M446" s="20"/>
      <c r="N446" s="20">
        <f>MONTH(List3[[#This Row],[Tanggal Pengajuan]])</f>
        <v>1</v>
      </c>
      <c r="O446" s="183"/>
      <c r="P446" s="20"/>
      <c r="Q446" s="177"/>
      <c r="R446" s="237"/>
      <c r="S446" s="577"/>
    </row>
    <row r="447" spans="2:19" ht="15.75" x14ac:dyDescent="0.2">
      <c r="B447" s="19"/>
      <c r="C447" s="181"/>
      <c r="D447" s="176"/>
      <c r="E447" s="176"/>
      <c r="F447" s="103"/>
      <c r="G447" s="175">
        <f>IFERROR(VLOOKUP(List3[[#This Row],[Site / Lokasi]],Data!B:C,2,0),0)</f>
        <v>0</v>
      </c>
      <c r="H447" s="40"/>
      <c r="I447" s="40">
        <f>List3[[#This Row],[Pengajuan Donasi]]</f>
        <v>0</v>
      </c>
      <c r="J447" s="16"/>
      <c r="K447" s="176"/>
      <c r="L447" s="182"/>
      <c r="M447" s="20"/>
      <c r="N447" s="20">
        <f>MONTH(List3[[#This Row],[Tanggal Pengajuan]])</f>
        <v>1</v>
      </c>
      <c r="O447" s="183"/>
      <c r="P447" s="20"/>
      <c r="Q447" s="177"/>
      <c r="R447" s="237"/>
      <c r="S447" s="577"/>
    </row>
    <row r="448" spans="2:19" ht="15.75" x14ac:dyDescent="0.2">
      <c r="B448" s="19"/>
      <c r="C448" s="181"/>
      <c r="D448" s="176"/>
      <c r="E448" s="176"/>
      <c r="F448" s="103"/>
      <c r="G448" s="175">
        <f>IFERROR(VLOOKUP(List3[[#This Row],[Site / Lokasi]],Data!B:C,2,0),0)</f>
        <v>0</v>
      </c>
      <c r="H448" s="40"/>
      <c r="I448" s="40">
        <f>List3[[#This Row],[Pengajuan Donasi]]</f>
        <v>0</v>
      </c>
      <c r="J448" s="16"/>
      <c r="K448" s="176"/>
      <c r="L448" s="182"/>
      <c r="M448" s="20"/>
      <c r="N448" s="20">
        <f>MONTH(List3[[#This Row],[Tanggal Pengajuan]])</f>
        <v>1</v>
      </c>
      <c r="O448" s="183"/>
      <c r="P448" s="20"/>
      <c r="Q448" s="177"/>
      <c r="R448" s="237"/>
      <c r="S448" s="577"/>
    </row>
    <row r="449" spans="2:19" ht="15.75" x14ac:dyDescent="0.2">
      <c r="B449" s="19"/>
      <c r="C449" s="181"/>
      <c r="D449" s="176"/>
      <c r="E449" s="176"/>
      <c r="F449" s="103"/>
      <c r="G449" s="175">
        <f>IFERROR(VLOOKUP(List3[[#This Row],[Site / Lokasi]],Data!B:C,2,0),0)</f>
        <v>0</v>
      </c>
      <c r="H449" s="40"/>
      <c r="I449" s="40">
        <f>List3[[#This Row],[Pengajuan Donasi]]</f>
        <v>0</v>
      </c>
      <c r="J449" s="16"/>
      <c r="K449" s="176"/>
      <c r="L449" s="182"/>
      <c r="M449" s="20"/>
      <c r="N449" s="20">
        <f>MONTH(List3[[#This Row],[Tanggal Pengajuan]])</f>
        <v>1</v>
      </c>
      <c r="O449" s="183"/>
      <c r="P449" s="20"/>
      <c r="Q449" s="177"/>
      <c r="R449" s="237"/>
      <c r="S449" s="577"/>
    </row>
    <row r="450" spans="2:19" ht="15.75" x14ac:dyDescent="0.2">
      <c r="B450" s="19"/>
      <c r="C450" s="181"/>
      <c r="D450" s="176"/>
      <c r="E450" s="176"/>
      <c r="F450" s="103"/>
      <c r="G450" s="175">
        <f>IFERROR(VLOOKUP(List3[[#This Row],[Site / Lokasi]],Data!B:C,2,0),0)</f>
        <v>0</v>
      </c>
      <c r="H450" s="40"/>
      <c r="I450" s="40">
        <f>List3[[#This Row],[Pengajuan Donasi]]</f>
        <v>0</v>
      </c>
      <c r="J450" s="16"/>
      <c r="K450" s="176"/>
      <c r="L450" s="182"/>
      <c r="M450" s="20"/>
      <c r="N450" s="20">
        <f>MONTH(List3[[#This Row],[Tanggal Pengajuan]])</f>
        <v>1</v>
      </c>
      <c r="O450" s="183"/>
      <c r="P450" s="20"/>
      <c r="Q450" s="177"/>
      <c r="R450" s="237"/>
      <c r="S450" s="577"/>
    </row>
    <row r="451" spans="2:19" ht="15.75" x14ac:dyDescent="0.2">
      <c r="B451" s="19"/>
      <c r="C451" s="181"/>
      <c r="D451" s="176"/>
      <c r="E451" s="176"/>
      <c r="F451" s="103"/>
      <c r="G451" s="175">
        <f>IFERROR(VLOOKUP(List3[[#This Row],[Site / Lokasi]],Data!B:C,2,0),0)</f>
        <v>0</v>
      </c>
      <c r="H451" s="40"/>
      <c r="I451" s="40">
        <f>List3[[#This Row],[Pengajuan Donasi]]</f>
        <v>0</v>
      </c>
      <c r="J451" s="16"/>
      <c r="K451" s="176"/>
      <c r="L451" s="182"/>
      <c r="M451" s="20"/>
      <c r="N451" s="20">
        <f>MONTH(List3[[#This Row],[Tanggal Pengajuan]])</f>
        <v>1</v>
      </c>
      <c r="O451" s="183"/>
      <c r="P451" s="20"/>
      <c r="Q451" s="177"/>
      <c r="R451" s="237"/>
      <c r="S451" s="577"/>
    </row>
    <row r="452" spans="2:19" ht="15.75" x14ac:dyDescent="0.2">
      <c r="B452" s="19"/>
      <c r="C452" s="181"/>
      <c r="D452" s="176"/>
      <c r="E452" s="176"/>
      <c r="F452" s="103"/>
      <c r="G452" s="175">
        <f>IFERROR(VLOOKUP(List3[[#This Row],[Site / Lokasi]],Data!B:C,2,0),0)</f>
        <v>0</v>
      </c>
      <c r="H452" s="40"/>
      <c r="I452" s="40">
        <f>List3[[#This Row],[Pengajuan Donasi]]</f>
        <v>0</v>
      </c>
      <c r="J452" s="16"/>
      <c r="K452" s="176"/>
      <c r="L452" s="182"/>
      <c r="M452" s="20"/>
      <c r="N452" s="20">
        <f>MONTH(List3[[#This Row],[Tanggal Pengajuan]])</f>
        <v>1</v>
      </c>
      <c r="O452" s="183"/>
      <c r="P452" s="20"/>
      <c r="Q452" s="177"/>
      <c r="R452" s="237"/>
      <c r="S452" s="577"/>
    </row>
    <row r="453" spans="2:19" ht="15.75" x14ac:dyDescent="0.2">
      <c r="B453" s="19"/>
      <c r="C453" s="181"/>
      <c r="D453" s="176"/>
      <c r="E453" s="176"/>
      <c r="F453" s="103"/>
      <c r="G453" s="175">
        <f>IFERROR(VLOOKUP(List3[[#This Row],[Site / Lokasi]],Data!B:C,2,0),0)</f>
        <v>0</v>
      </c>
      <c r="H453" s="40"/>
      <c r="I453" s="40">
        <f>List3[[#This Row],[Pengajuan Donasi]]</f>
        <v>0</v>
      </c>
      <c r="J453" s="16"/>
      <c r="K453" s="176"/>
      <c r="L453" s="182"/>
      <c r="M453" s="20"/>
      <c r="N453" s="20">
        <f>MONTH(List3[[#This Row],[Tanggal Pengajuan]])</f>
        <v>1</v>
      </c>
      <c r="O453" s="183"/>
      <c r="P453" s="20"/>
      <c r="Q453" s="177"/>
      <c r="R453" s="237"/>
      <c r="S453" s="577"/>
    </row>
    <row r="454" spans="2:19" ht="15.75" x14ac:dyDescent="0.2">
      <c r="B454" s="19"/>
      <c r="C454" s="181"/>
      <c r="D454" s="176"/>
      <c r="E454" s="176"/>
      <c r="F454" s="103"/>
      <c r="G454" s="175">
        <f>IFERROR(VLOOKUP(List3[[#This Row],[Site / Lokasi]],Data!B:C,2,0),0)</f>
        <v>0</v>
      </c>
      <c r="H454" s="40"/>
      <c r="I454" s="40">
        <f>List3[[#This Row],[Pengajuan Donasi]]</f>
        <v>0</v>
      </c>
      <c r="J454" s="16"/>
      <c r="K454" s="176"/>
      <c r="L454" s="182"/>
      <c r="M454" s="20"/>
      <c r="N454" s="20">
        <f>MONTH(List3[[#This Row],[Tanggal Pengajuan]])</f>
        <v>1</v>
      </c>
      <c r="O454" s="183"/>
      <c r="P454" s="20"/>
      <c r="Q454" s="177"/>
      <c r="R454" s="237"/>
      <c r="S454" s="577"/>
    </row>
    <row r="455" spans="2:19" ht="15.75" x14ac:dyDescent="0.2">
      <c r="B455" s="19"/>
      <c r="C455" s="181"/>
      <c r="D455" s="176"/>
      <c r="E455" s="176"/>
      <c r="F455" s="103"/>
      <c r="G455" s="175">
        <f>IFERROR(VLOOKUP(List3[[#This Row],[Site / Lokasi]],Data!B:C,2,0),0)</f>
        <v>0</v>
      </c>
      <c r="H455" s="40"/>
      <c r="I455" s="40">
        <f>List3[[#This Row],[Pengajuan Donasi]]</f>
        <v>0</v>
      </c>
      <c r="J455" s="16"/>
      <c r="K455" s="176"/>
      <c r="L455" s="182"/>
      <c r="M455" s="20"/>
      <c r="N455" s="20">
        <f>MONTH(List3[[#This Row],[Tanggal Pengajuan]])</f>
        <v>1</v>
      </c>
      <c r="O455" s="183"/>
      <c r="P455" s="20"/>
      <c r="Q455" s="177"/>
      <c r="R455" s="237"/>
      <c r="S455" s="577"/>
    </row>
    <row r="456" spans="2:19" ht="15.75" x14ac:dyDescent="0.2">
      <c r="B456" s="19"/>
      <c r="C456" s="181"/>
      <c r="D456" s="176"/>
      <c r="E456" s="176"/>
      <c r="F456" s="103"/>
      <c r="G456" s="175">
        <f>IFERROR(VLOOKUP(List3[[#This Row],[Site / Lokasi]],Data!B:C,2,0),0)</f>
        <v>0</v>
      </c>
      <c r="H456" s="40"/>
      <c r="I456" s="40">
        <f>List3[[#This Row],[Pengajuan Donasi]]</f>
        <v>0</v>
      </c>
      <c r="J456" s="16"/>
      <c r="K456" s="176"/>
      <c r="L456" s="182"/>
      <c r="M456" s="20"/>
      <c r="N456" s="20">
        <f>MONTH(List3[[#This Row],[Tanggal Pengajuan]])</f>
        <v>1</v>
      </c>
      <c r="O456" s="183"/>
      <c r="P456" s="20"/>
      <c r="Q456" s="177"/>
      <c r="R456" s="237"/>
      <c r="S456" s="577"/>
    </row>
    <row r="457" spans="2:19" ht="15.75" x14ac:dyDescent="0.2">
      <c r="B457" s="19"/>
      <c r="C457" s="181"/>
      <c r="D457" s="176"/>
      <c r="E457" s="176"/>
      <c r="F457" s="103"/>
      <c r="G457" s="175">
        <f>IFERROR(VLOOKUP(List3[[#This Row],[Site / Lokasi]],Data!B:C,2,0),0)</f>
        <v>0</v>
      </c>
      <c r="H457" s="40"/>
      <c r="I457" s="40">
        <f>List3[[#This Row],[Pengajuan Donasi]]</f>
        <v>0</v>
      </c>
      <c r="J457" s="16"/>
      <c r="K457" s="176"/>
      <c r="L457" s="182"/>
      <c r="M457" s="20"/>
      <c r="N457" s="20">
        <f>MONTH(List3[[#This Row],[Tanggal Pengajuan]])</f>
        <v>1</v>
      </c>
      <c r="O457" s="183"/>
      <c r="P457" s="20"/>
      <c r="Q457" s="177"/>
      <c r="R457" s="237"/>
      <c r="S457" s="577"/>
    </row>
    <row r="458" spans="2:19" ht="15.75" x14ac:dyDescent="0.2">
      <c r="B458" s="19"/>
      <c r="C458" s="181"/>
      <c r="D458" s="176"/>
      <c r="E458" s="176"/>
      <c r="F458" s="103"/>
      <c r="G458" s="175">
        <f>IFERROR(VLOOKUP(List3[[#This Row],[Site / Lokasi]],Data!B:C,2,0),0)</f>
        <v>0</v>
      </c>
      <c r="H458" s="40"/>
      <c r="I458" s="40">
        <f>List3[[#This Row],[Pengajuan Donasi]]</f>
        <v>0</v>
      </c>
      <c r="J458" s="16"/>
      <c r="K458" s="176"/>
      <c r="L458" s="182"/>
      <c r="M458" s="20"/>
      <c r="N458" s="20">
        <f>MONTH(List3[[#This Row],[Tanggal Pengajuan]])</f>
        <v>1</v>
      </c>
      <c r="O458" s="183"/>
      <c r="P458" s="20"/>
      <c r="Q458" s="177"/>
      <c r="R458" s="237"/>
      <c r="S458" s="577"/>
    </row>
    <row r="459" spans="2:19" ht="15.75" x14ac:dyDescent="0.2">
      <c r="B459" s="19"/>
      <c r="C459" s="181"/>
      <c r="D459" s="176"/>
      <c r="E459" s="176"/>
      <c r="F459" s="103"/>
      <c r="G459" s="175">
        <f>IFERROR(VLOOKUP(List3[[#This Row],[Site / Lokasi]],Data!B:C,2,0),0)</f>
        <v>0</v>
      </c>
      <c r="H459" s="40"/>
      <c r="I459" s="40">
        <f>List3[[#This Row],[Pengajuan Donasi]]</f>
        <v>0</v>
      </c>
      <c r="J459" s="16"/>
      <c r="K459" s="176"/>
      <c r="L459" s="182"/>
      <c r="M459" s="20"/>
      <c r="N459" s="20">
        <f>MONTH(List3[[#This Row],[Tanggal Pengajuan]])</f>
        <v>1</v>
      </c>
      <c r="O459" s="183"/>
      <c r="P459" s="20"/>
      <c r="Q459" s="177"/>
      <c r="R459" s="237"/>
      <c r="S459" s="577"/>
    </row>
    <row r="460" spans="2:19" ht="15.75" x14ac:dyDescent="0.2">
      <c r="B460" s="19"/>
      <c r="C460" s="181"/>
      <c r="D460" s="176"/>
      <c r="E460" s="176"/>
      <c r="F460" s="103"/>
      <c r="G460" s="175">
        <f>IFERROR(VLOOKUP(List3[[#This Row],[Site / Lokasi]],Data!B:C,2,0),0)</f>
        <v>0</v>
      </c>
      <c r="H460" s="40"/>
      <c r="I460" s="40">
        <f>List3[[#This Row],[Pengajuan Donasi]]</f>
        <v>0</v>
      </c>
      <c r="J460" s="16"/>
      <c r="K460" s="176"/>
      <c r="L460" s="182"/>
      <c r="M460" s="20"/>
      <c r="N460" s="20">
        <f>MONTH(List3[[#This Row],[Tanggal Pengajuan]])</f>
        <v>1</v>
      </c>
      <c r="O460" s="183"/>
      <c r="P460" s="20"/>
      <c r="Q460" s="177"/>
      <c r="R460" s="237"/>
      <c r="S460" s="577"/>
    </row>
    <row r="461" spans="2:19" ht="15.75" x14ac:dyDescent="0.2">
      <c r="B461" s="19"/>
      <c r="C461" s="181"/>
      <c r="D461" s="176"/>
      <c r="E461" s="176"/>
      <c r="F461" s="103"/>
      <c r="G461" s="175">
        <f>IFERROR(VLOOKUP(List3[[#This Row],[Site / Lokasi]],Data!B:C,2,0),0)</f>
        <v>0</v>
      </c>
      <c r="H461" s="40"/>
      <c r="I461" s="40">
        <f>List3[[#This Row],[Pengajuan Donasi]]</f>
        <v>0</v>
      </c>
      <c r="J461" s="16"/>
      <c r="K461" s="176"/>
      <c r="L461" s="153"/>
      <c r="M461" s="20"/>
      <c r="N461" s="20">
        <f>MONTH(List3[[#This Row],[Tanggal Pengajuan]])</f>
        <v>1</v>
      </c>
      <c r="O461" s="101"/>
      <c r="P461" s="20"/>
      <c r="Q461" s="177"/>
      <c r="R461" s="237"/>
      <c r="S461" s="577"/>
    </row>
    <row r="462" spans="2:19" ht="15.75" x14ac:dyDescent="0.2">
      <c r="B462" s="19"/>
      <c r="C462" s="181"/>
      <c r="D462" s="176"/>
      <c r="E462" s="176"/>
      <c r="F462" s="103"/>
      <c r="G462" s="175">
        <f>IFERROR(VLOOKUP(List3[[#This Row],[Site / Lokasi]],Data!B:C,2,0),0)</f>
        <v>0</v>
      </c>
      <c r="H462" s="40"/>
      <c r="I462" s="40">
        <f>List3[[#This Row],[Pengajuan Donasi]]</f>
        <v>0</v>
      </c>
      <c r="J462" s="16"/>
      <c r="K462" s="176"/>
      <c r="L462" s="153"/>
      <c r="M462" s="20"/>
      <c r="N462" s="20">
        <f>MONTH(List3[[#This Row],[Tanggal Pengajuan]])</f>
        <v>1</v>
      </c>
      <c r="O462" s="101"/>
      <c r="P462" s="20"/>
      <c r="Q462" s="177"/>
      <c r="R462" s="237"/>
      <c r="S462" s="577"/>
    </row>
    <row r="463" spans="2:19" ht="15.75" x14ac:dyDescent="0.2">
      <c r="B463" s="19"/>
      <c r="C463" s="181"/>
      <c r="D463" s="176"/>
      <c r="E463" s="176"/>
      <c r="F463" s="103"/>
      <c r="G463" s="175">
        <f>IFERROR(VLOOKUP(List3[[#This Row],[Site / Lokasi]],Data!B:C,2,0),0)</f>
        <v>0</v>
      </c>
      <c r="H463" s="40"/>
      <c r="I463" s="40">
        <f>List3[[#This Row],[Pengajuan Donasi]]</f>
        <v>0</v>
      </c>
      <c r="J463" s="16"/>
      <c r="K463" s="176"/>
      <c r="L463" s="153"/>
      <c r="M463" s="20"/>
      <c r="N463" s="20">
        <f>MONTH(List3[[#This Row],[Tanggal Pengajuan]])</f>
        <v>1</v>
      </c>
      <c r="O463" s="101"/>
      <c r="P463" s="20"/>
      <c r="Q463" s="177"/>
      <c r="R463" s="237"/>
      <c r="S463" s="577"/>
    </row>
    <row r="464" spans="2:19" ht="15.75" x14ac:dyDescent="0.2">
      <c r="B464" s="19"/>
      <c r="C464" s="181"/>
      <c r="D464" s="176"/>
      <c r="E464" s="176"/>
      <c r="F464" s="103"/>
      <c r="G464" s="175">
        <f>IFERROR(VLOOKUP(List3[[#This Row],[Site / Lokasi]],Data!B:C,2,0),0)</f>
        <v>0</v>
      </c>
      <c r="H464" s="40"/>
      <c r="I464" s="40">
        <f>List3[[#This Row],[Pengajuan Donasi]]</f>
        <v>0</v>
      </c>
      <c r="J464" s="16"/>
      <c r="K464" s="176"/>
      <c r="L464" s="153"/>
      <c r="M464" s="20"/>
      <c r="N464" s="20">
        <f>MONTH(List3[[#This Row],[Tanggal Pengajuan]])</f>
        <v>1</v>
      </c>
      <c r="O464" s="101"/>
      <c r="P464" s="20"/>
      <c r="Q464" s="177"/>
      <c r="R464" s="237"/>
      <c r="S464" s="577"/>
    </row>
    <row r="465" spans="2:19" ht="15.75" x14ac:dyDescent="0.2">
      <c r="B465" s="19"/>
      <c r="C465" s="181"/>
      <c r="D465" s="176"/>
      <c r="E465" s="176"/>
      <c r="F465" s="103"/>
      <c r="G465" s="175">
        <f>IFERROR(VLOOKUP(List3[[#This Row],[Site / Lokasi]],Data!B:C,2,0),0)</f>
        <v>0</v>
      </c>
      <c r="H465" s="40"/>
      <c r="I465" s="40">
        <f>List3[[#This Row],[Pengajuan Donasi]]</f>
        <v>0</v>
      </c>
      <c r="J465" s="16"/>
      <c r="K465" s="176"/>
      <c r="L465" s="153"/>
      <c r="M465" s="20"/>
      <c r="N465" s="20">
        <f>MONTH(List3[[#This Row],[Tanggal Pengajuan]])</f>
        <v>1</v>
      </c>
      <c r="O465" s="101"/>
      <c r="P465" s="20"/>
      <c r="Q465" s="177"/>
      <c r="R465" s="237"/>
      <c r="S465" s="577"/>
    </row>
    <row r="466" spans="2:19" ht="15.75" x14ac:dyDescent="0.2">
      <c r="B466" s="19"/>
      <c r="C466" s="181"/>
      <c r="D466" s="176"/>
      <c r="E466" s="176"/>
      <c r="F466" s="103"/>
      <c r="G466" s="175">
        <f>IFERROR(VLOOKUP(List3[[#This Row],[Site / Lokasi]],Data!B:C,2,0),0)</f>
        <v>0</v>
      </c>
      <c r="H466" s="40"/>
      <c r="I466" s="40">
        <f>List3[[#This Row],[Pengajuan Donasi]]</f>
        <v>0</v>
      </c>
      <c r="J466" s="16"/>
      <c r="K466" s="176"/>
      <c r="L466" s="153"/>
      <c r="M466" s="20"/>
      <c r="N466" s="20">
        <f>MONTH(List3[[#This Row],[Tanggal Pengajuan]])</f>
        <v>1</v>
      </c>
      <c r="O466" s="101"/>
      <c r="P466" s="20"/>
      <c r="Q466" s="177"/>
      <c r="R466" s="237"/>
      <c r="S466" s="577"/>
    </row>
    <row r="467" spans="2:19" ht="15.75" x14ac:dyDescent="0.2">
      <c r="B467" s="19"/>
      <c r="C467" s="181"/>
      <c r="D467" s="176"/>
      <c r="E467" s="176"/>
      <c r="F467" s="103"/>
      <c r="G467" s="175">
        <f>IFERROR(VLOOKUP(List3[[#This Row],[Site / Lokasi]],Data!B:C,2,0),0)</f>
        <v>0</v>
      </c>
      <c r="H467" s="40"/>
      <c r="I467" s="40">
        <f>List3[[#This Row],[Pengajuan Donasi]]</f>
        <v>0</v>
      </c>
      <c r="J467" s="16"/>
      <c r="K467" s="176"/>
      <c r="L467" s="153"/>
      <c r="M467" s="20"/>
      <c r="N467" s="20">
        <f>MONTH(List3[[#This Row],[Tanggal Pengajuan]])</f>
        <v>1</v>
      </c>
      <c r="O467" s="101"/>
      <c r="P467" s="20"/>
      <c r="Q467" s="177"/>
      <c r="R467" s="237"/>
      <c r="S467" s="577"/>
    </row>
    <row r="468" spans="2:19" ht="15.75" x14ac:dyDescent="0.2">
      <c r="B468" s="19"/>
      <c r="C468" s="181"/>
      <c r="D468" s="176"/>
      <c r="E468" s="176"/>
      <c r="F468" s="103"/>
      <c r="G468" s="175">
        <f>IFERROR(VLOOKUP(List3[[#This Row],[Site / Lokasi]],Data!B:C,2,0),0)</f>
        <v>0</v>
      </c>
      <c r="H468" s="40"/>
      <c r="I468" s="40">
        <f>List3[[#This Row],[Pengajuan Donasi]]</f>
        <v>0</v>
      </c>
      <c r="J468" s="16"/>
      <c r="K468" s="176"/>
      <c r="L468" s="153"/>
      <c r="M468" s="20"/>
      <c r="N468" s="20">
        <f>MONTH(List3[[#This Row],[Tanggal Pengajuan]])</f>
        <v>1</v>
      </c>
      <c r="O468" s="101"/>
      <c r="P468" s="20"/>
      <c r="Q468" s="177"/>
      <c r="R468" s="237"/>
      <c r="S468" s="577"/>
    </row>
    <row r="469" spans="2:19" ht="15.75" x14ac:dyDescent="0.2">
      <c r="B469" s="19"/>
      <c r="C469" s="181"/>
      <c r="D469" s="176"/>
      <c r="E469" s="176"/>
      <c r="F469" s="103"/>
      <c r="G469" s="175">
        <f>IFERROR(VLOOKUP(List3[[#This Row],[Site / Lokasi]],Data!B:C,2,0),0)</f>
        <v>0</v>
      </c>
      <c r="H469" s="40"/>
      <c r="I469" s="40">
        <f>List3[[#This Row],[Pengajuan Donasi]]</f>
        <v>0</v>
      </c>
      <c r="J469" s="16"/>
      <c r="K469" s="176"/>
      <c r="L469" s="153"/>
      <c r="M469" s="20"/>
      <c r="N469" s="20">
        <f>MONTH(List3[[#This Row],[Tanggal Pengajuan]])</f>
        <v>1</v>
      </c>
      <c r="O469" s="101"/>
      <c r="P469" s="20"/>
      <c r="Q469" s="177"/>
      <c r="R469" s="237"/>
      <c r="S469" s="577"/>
    </row>
    <row r="470" spans="2:19" ht="15.75" x14ac:dyDescent="0.2">
      <c r="B470" s="19"/>
      <c r="C470" s="181"/>
      <c r="D470" s="176"/>
      <c r="E470" s="176"/>
      <c r="F470" s="103"/>
      <c r="G470" s="175">
        <f>IFERROR(VLOOKUP(List3[[#This Row],[Site / Lokasi]],Data!B:C,2,0),0)</f>
        <v>0</v>
      </c>
      <c r="H470" s="40"/>
      <c r="I470" s="40">
        <f>List3[[#This Row],[Pengajuan Donasi]]</f>
        <v>0</v>
      </c>
      <c r="J470" s="16"/>
      <c r="K470" s="176"/>
      <c r="L470" s="153"/>
      <c r="M470" s="20"/>
      <c r="N470" s="20">
        <f>MONTH(List3[[#This Row],[Tanggal Pengajuan]])</f>
        <v>1</v>
      </c>
      <c r="O470" s="101"/>
      <c r="P470" s="20"/>
      <c r="Q470" s="177"/>
      <c r="R470" s="237"/>
      <c r="S470" s="577"/>
    </row>
    <row r="471" spans="2:19" ht="15.75" x14ac:dyDescent="0.2">
      <c r="B471" s="19"/>
      <c r="C471" s="181"/>
      <c r="D471" s="176"/>
      <c r="E471" s="176"/>
      <c r="F471" s="103"/>
      <c r="G471" s="175">
        <f>IFERROR(VLOOKUP(List3[[#This Row],[Site / Lokasi]],Data!B:C,2,0),0)</f>
        <v>0</v>
      </c>
      <c r="H471" s="40"/>
      <c r="I471" s="40">
        <f>List3[[#This Row],[Pengajuan Donasi]]</f>
        <v>0</v>
      </c>
      <c r="J471" s="16"/>
      <c r="K471" s="176"/>
      <c r="L471" s="153"/>
      <c r="M471" s="20"/>
      <c r="N471" s="20">
        <f>MONTH(List3[[#This Row],[Tanggal Pengajuan]])</f>
        <v>1</v>
      </c>
      <c r="O471" s="101"/>
      <c r="P471" s="20"/>
      <c r="Q471" s="177"/>
      <c r="R471" s="237"/>
      <c r="S471" s="577"/>
    </row>
    <row r="472" spans="2:19" ht="15.75" x14ac:dyDescent="0.2">
      <c r="B472" s="19"/>
      <c r="C472" s="181"/>
      <c r="D472" s="176"/>
      <c r="E472" s="176"/>
      <c r="F472" s="103"/>
      <c r="G472" s="175">
        <f>IFERROR(VLOOKUP(List3[[#This Row],[Site / Lokasi]],Data!B:C,2,0),0)</f>
        <v>0</v>
      </c>
      <c r="H472" s="40"/>
      <c r="I472" s="40">
        <f>List3[[#This Row],[Pengajuan Donasi]]</f>
        <v>0</v>
      </c>
      <c r="J472" s="16"/>
      <c r="K472" s="176"/>
      <c r="L472" s="153"/>
      <c r="M472" s="20"/>
      <c r="N472" s="20">
        <f>MONTH(List3[[#This Row],[Tanggal Pengajuan]])</f>
        <v>1</v>
      </c>
      <c r="O472" s="101"/>
      <c r="P472" s="20"/>
      <c r="Q472" s="177"/>
      <c r="R472" s="237"/>
      <c r="S472" s="577"/>
    </row>
    <row r="473" spans="2:19" ht="15.75" x14ac:dyDescent="0.2">
      <c r="B473" s="19"/>
      <c r="C473" s="181"/>
      <c r="D473" s="176"/>
      <c r="E473" s="176"/>
      <c r="F473" s="103"/>
      <c r="G473" s="175">
        <f>IFERROR(VLOOKUP(List3[[#This Row],[Site / Lokasi]],Data!B:C,2,0),0)</f>
        <v>0</v>
      </c>
      <c r="H473" s="40"/>
      <c r="I473" s="40">
        <f>List3[[#This Row],[Pengajuan Donasi]]</f>
        <v>0</v>
      </c>
      <c r="J473" s="16"/>
      <c r="K473" s="176"/>
      <c r="L473" s="153"/>
      <c r="M473" s="20"/>
      <c r="N473" s="20">
        <f>MONTH(List3[[#This Row],[Tanggal Pengajuan]])</f>
        <v>1</v>
      </c>
      <c r="O473" s="101"/>
      <c r="P473" s="20"/>
      <c r="Q473" s="177"/>
      <c r="R473" s="237"/>
      <c r="S473" s="577"/>
    </row>
    <row r="474" spans="2:19" ht="15.75" x14ac:dyDescent="0.2">
      <c r="B474" s="19"/>
      <c r="C474" s="181"/>
      <c r="D474" s="176"/>
      <c r="E474" s="176"/>
      <c r="F474" s="103"/>
      <c r="G474" s="175">
        <f>IFERROR(VLOOKUP(List3[[#This Row],[Site / Lokasi]],Data!B:C,2,0),0)</f>
        <v>0</v>
      </c>
      <c r="H474" s="40"/>
      <c r="I474" s="40">
        <f>List3[[#This Row],[Pengajuan Donasi]]</f>
        <v>0</v>
      </c>
      <c r="J474" s="16"/>
      <c r="K474" s="176"/>
      <c r="L474" s="153"/>
      <c r="M474" s="20"/>
      <c r="N474" s="20">
        <f>MONTH(List3[[#This Row],[Tanggal Pengajuan]])</f>
        <v>1</v>
      </c>
      <c r="O474" s="101"/>
      <c r="P474" s="20"/>
      <c r="Q474" s="177"/>
      <c r="R474" s="237"/>
      <c r="S474" s="577"/>
    </row>
    <row r="475" spans="2:19" ht="15.75" x14ac:dyDescent="0.2">
      <c r="B475" s="102"/>
      <c r="C475" s="67"/>
      <c r="D475" s="172"/>
      <c r="E475" s="22"/>
      <c r="F475" s="105"/>
      <c r="G475" s="23">
        <f>IFERROR(VLOOKUP(List3[[#This Row],[Site / Lokasi]],Data!B:C,2,0),0)</f>
        <v>0</v>
      </c>
      <c r="H475" s="160"/>
      <c r="I475" s="160"/>
      <c r="J475" s="104"/>
      <c r="K475" s="105"/>
      <c r="L475" s="161"/>
      <c r="M475" s="105"/>
      <c r="N475" s="105">
        <f>MONTH(List3[[#This Row],[Tanggal Pengajuan]])</f>
        <v>1</v>
      </c>
      <c r="O475" s="101"/>
      <c r="P475" s="105"/>
      <c r="Q475" s="111"/>
      <c r="R475" s="237"/>
      <c r="S475" s="577"/>
    </row>
    <row r="476" spans="2:19" ht="15.75" x14ac:dyDescent="0.2">
      <c r="B476" s="102"/>
      <c r="C476" s="67"/>
      <c r="D476" s="103"/>
      <c r="E476" s="22">
        <f>IFERROR(VLOOKUP(List3[[#This Row],[Site / Lokasi]],Category!$C:$AZ,30,0),0)</f>
        <v>0</v>
      </c>
      <c r="F476" s="105"/>
      <c r="G476" s="23">
        <f>IFERROR(VLOOKUP(List3[[#This Row],[Site / Lokasi]],Data!B:C,2,0),0)</f>
        <v>0</v>
      </c>
      <c r="H476" s="160"/>
      <c r="I476" s="160"/>
      <c r="J476" s="104"/>
      <c r="K476" s="105"/>
      <c r="L476" s="161"/>
      <c r="M476" s="105"/>
      <c r="N476" s="105">
        <f>MONTH(List3[[#This Row],[Tanggal Pengajuan]])</f>
        <v>1</v>
      </c>
      <c r="O476" s="101"/>
      <c r="P476" s="105"/>
      <c r="Q476" s="111"/>
      <c r="R476" s="237"/>
      <c r="S476" s="577"/>
    </row>
    <row r="477" spans="2:19" ht="15.75" x14ac:dyDescent="0.2">
      <c r="B477" s="102"/>
      <c r="C477" s="163"/>
      <c r="D477" s="103"/>
      <c r="E477" s="22">
        <f>IFERROR(VLOOKUP(List3[[#This Row],[Site / Lokasi]],Category!$C:$AZ,30,0),0)</f>
        <v>0</v>
      </c>
      <c r="F477" s="105"/>
      <c r="G477" s="23">
        <f>IFERROR(VLOOKUP(List3[[#This Row],[Site / Lokasi]],Data!B:C,2,0),0)</f>
        <v>0</v>
      </c>
      <c r="H477" s="160"/>
      <c r="I477" s="160"/>
      <c r="J477" s="104"/>
      <c r="K477" s="105"/>
      <c r="L477" s="161"/>
      <c r="M477" s="105"/>
      <c r="N477" s="105">
        <v>11</v>
      </c>
      <c r="O477" s="101"/>
      <c r="P477" s="105"/>
      <c r="Q477" s="111"/>
      <c r="R477" s="237"/>
      <c r="S477" s="577"/>
    </row>
    <row r="478" spans="2:19" ht="15.75" x14ac:dyDescent="0.2">
      <c r="B478" s="102"/>
      <c r="C478" s="67"/>
      <c r="D478" s="103"/>
      <c r="E478" s="22">
        <f>IFERROR(VLOOKUP(List3[[#This Row],[Site / Lokasi]],Category!$C:$AZ,30,0),0)</f>
        <v>0</v>
      </c>
      <c r="F478" s="105"/>
      <c r="G478" s="23">
        <f>IFERROR(VLOOKUP(List3[[#This Row],[Site / Lokasi]],Data!B:C,2,0),0)</f>
        <v>0</v>
      </c>
      <c r="H478" s="160"/>
      <c r="I478" s="160"/>
      <c r="J478" s="104"/>
      <c r="K478" s="105"/>
      <c r="L478" s="161"/>
      <c r="M478" s="105"/>
      <c r="N478" s="105">
        <f>MONTH(List3[[#This Row],[Tanggal Pengajuan]])</f>
        <v>1</v>
      </c>
      <c r="O478" s="101"/>
      <c r="P478" s="105"/>
      <c r="Q478" s="111"/>
      <c r="R478" s="237"/>
      <c r="S478" s="577"/>
    </row>
    <row r="479" spans="2:19" ht="15.75" x14ac:dyDescent="0.2">
      <c r="B479" s="102"/>
      <c r="C479" s="67"/>
      <c r="D479" s="103"/>
      <c r="E479" s="22">
        <f>IFERROR(VLOOKUP(List3[[#This Row],[Site / Lokasi]],Category!$C:$AZ,30,0),0)</f>
        <v>0</v>
      </c>
      <c r="F479" s="105"/>
      <c r="G479" s="23">
        <f>IFERROR(VLOOKUP(List3[[#This Row],[Site / Lokasi]],Data!B:C,2,0),0)</f>
        <v>0</v>
      </c>
      <c r="H479" s="160"/>
      <c r="I479" s="160"/>
      <c r="J479" s="104"/>
      <c r="K479" s="105"/>
      <c r="L479" s="161"/>
      <c r="M479" s="105"/>
      <c r="N479" s="105">
        <f>MONTH(List3[[#This Row],[Tanggal Pengajuan]])</f>
        <v>1</v>
      </c>
      <c r="O479" s="101"/>
      <c r="P479" s="105"/>
      <c r="Q479" s="111"/>
      <c r="R479" s="237"/>
      <c r="S479" s="577"/>
    </row>
    <row r="480" spans="2:19" ht="16.5" thickBot="1" x14ac:dyDescent="0.25">
      <c r="B480" s="102"/>
      <c r="C480" s="67"/>
      <c r="D480" s="22"/>
      <c r="E480" s="22">
        <f>IFERROR(VLOOKUP(List3[[#This Row],[Site / Lokasi]],Category!$C:$AZ,30,0),0)</f>
        <v>0</v>
      </c>
      <c r="F480" s="105"/>
      <c r="G480" s="23">
        <f>IFERROR(VLOOKUP(List3[[#This Row],[Site / Lokasi]],Data!B:C,2,0),0)</f>
        <v>0</v>
      </c>
      <c r="H480" s="104"/>
      <c r="I480" s="104"/>
      <c r="J480" s="104"/>
      <c r="K480" s="105"/>
      <c r="L480" s="104"/>
      <c r="M480" s="105"/>
      <c r="N480" s="105">
        <f>MONTH(List3[[#This Row],[Tanggal Pengajuan]])</f>
        <v>1</v>
      </c>
      <c r="O480" s="101"/>
      <c r="P480" s="105"/>
      <c r="Q480" s="111"/>
      <c r="R480" s="238"/>
      <c r="S480" s="577"/>
    </row>
    <row r="481" spans="2:19" ht="16.5" thickTop="1" x14ac:dyDescent="0.2">
      <c r="B481" s="962"/>
      <c r="F481" s="25" t="s">
        <v>156</v>
      </c>
      <c r="G481" s="81">
        <f>SUBTOTAL(109,List3[[Jumlah Anak ]])</f>
        <v>18909</v>
      </c>
      <c r="H481" s="963">
        <f>SUBTOTAL(109,List3[Pengajuan Donasi])</f>
        <v>3374072084</v>
      </c>
      <c r="I481" s="106">
        <f>SUBTOTAL(109,List3[Jumlah Transfer])</f>
        <v>3374072108</v>
      </c>
      <c r="J481" s="81"/>
      <c r="L481" s="962"/>
      <c r="O481" s="962"/>
      <c r="Q481" s="468"/>
      <c r="R481" s="25"/>
      <c r="S481" s="25"/>
    </row>
    <row r="482" spans="2:19" ht="15.75" x14ac:dyDescent="0.2">
      <c r="G482" s="81"/>
      <c r="H482" s="106">
        <f>List3[[#Totals],[Pengajuan Donasi]]-Category!AL338</f>
        <v>6268518</v>
      </c>
    </row>
    <row r="483" spans="2:19" ht="15.75" x14ac:dyDescent="0.2">
      <c r="H483" s="25">
        <f>SUM(List3[Pengajuan Donasi])</f>
        <v>3374072084</v>
      </c>
      <c r="I483" s="25">
        <f>SUM(List3[Jumlah Transfer])</f>
        <v>3374072108</v>
      </c>
    </row>
    <row r="484" spans="2:19" ht="15.75" x14ac:dyDescent="0.2">
      <c r="G484" s="82"/>
      <c r="H484" s="152"/>
      <c r="I484" s="152"/>
      <c r="J484" s="152"/>
    </row>
  </sheetData>
  <phoneticPr fontId="9" type="noConversion"/>
  <dataValidations count="10">
    <dataValidation allowBlank="1" showInputMessage="1" showErrorMessage="1" prompt="Enter City, State, and Zip Code in this column under this heading" sqref="C2:C8" xr:uid="{00000000-0002-0000-0500-000000000000}"/>
    <dataValidation allowBlank="1" showInputMessage="1" showErrorMessage="1" prompt="Enter First Name in this column under this heading" sqref="D2" xr:uid="{00000000-0002-0000-0500-000001000000}"/>
    <dataValidation allowBlank="1" showInputMessage="1" showErrorMessage="1" prompt="Enter Last Name in this column under this heading. Use heading filters to find specific entries" sqref="B2:B11" xr:uid="{00000000-0002-0000-0500-000002000000}"/>
    <dataValidation errorStyle="warning" allowBlank="1" showInputMessage="1" showErrorMessage="1" error="If the card was received, select Yes from the list. Select CANCEL, press ALT+DOWN ARROW for options, then DOWN ARROW and ENTER to make selection" sqref="N482:P1048576 N30:P30 N26:P26 M13 N27:O29 N1:P7 M9:M11 M23:M24 M27:M31 M48:M50 M75:M77 N8:O25 L34:L47 L51 O31:O53 L56 O55:O83 O114:O116 M114:M116 P24:P28 P13:P22 D52 D13 D30 K30 D23 O109 O188:O204 N31:N480 O207:O480" xr:uid="{00000000-0002-0000-0500-000003000000}"/>
    <dataValidation allowBlank="1" showInputMessage="1" showErrorMessage="1" prompt="Enter Address in this column under this heading" sqref="E2:F2" xr:uid="{00000000-0002-0000-0500-000004000000}"/>
    <dataValidation allowBlank="1" showInputMessage="1" showErrorMessage="1" prompt="Create a Christmas Card List in this worksheet. Enter Year in cell at right and details in List table" sqref="A1" xr:uid="{00000000-0002-0000-0500-000005000000}"/>
    <dataValidation allowBlank="1" showInputMessage="1" showErrorMessage="1" prompt="Title of this worksheet is in this cell. Enter details in table below" sqref="C1" xr:uid="{00000000-0002-0000-0500-000006000000}"/>
    <dataValidation allowBlank="1" showInputMessage="1" showErrorMessage="1" prompt="Enter Year in this cell. Poinsettia is also in this cell. Title of this worksheet is in cell at right" sqref="B1" xr:uid="{00000000-0002-0000-0500-000007000000}"/>
    <dataValidation type="list" allowBlank="1" showInputMessage="1" showErrorMessage="1" sqref="D145:D150 P12 K52 D114:D141 P23 K143:K144 D3:D12 D83:D84 P53 K23 D291:D480 D86:D108 D14:D22 D24:D29 D32:D51 D53:D81 D152:D196 D198:D204 K205:K206 D207:D224 D226:D259" xr:uid="{00000000-0002-0000-0500-000008000000}">
      <formula1>$C$5:$C$155</formula1>
    </dataValidation>
    <dataValidation type="list" allowBlank="1" showInputMessage="1" showErrorMessage="1" sqref="F151" xr:uid="{00000000-0002-0000-0500-000009000000}">
      <formula1>$C$5:$C$201</formula1>
    </dataValidation>
  </dataValidations>
  <printOptions horizontalCentered="1"/>
  <pageMargins left="0.18" right="0.18" top="0.2" bottom="0.22" header="0.12" footer="0.14000000000000001"/>
  <pageSetup scale="39" fitToHeight="0" orientation="landscape" r:id="rId1"/>
  <headerFooter differentFirst="1">
    <oddFooter>Page &amp;P of &amp;N</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A000000}">
          <x14:formula1>
            <xm:f>'S2 2020'!$B$3:$B$8</xm:f>
          </x14:formula1>
          <xm:sqref>E117 E146:E147 E226:E251 E143:E144 E255:E480 E152:E196 E198:E221</xm:sqref>
        </x14:dataValidation>
        <x14:dataValidation type="list" allowBlank="1" showInputMessage="1" showErrorMessage="1" xr:uid="{00000000-0002-0000-0500-00000B000000}">
          <x14:formula1>
            <xm:f>Sheet1!$D$2:$D$4</xm:f>
          </x14:formula1>
          <xm:sqref>F3:F147 F152:F480</xm:sqref>
        </x14:dataValidation>
        <x14:dataValidation type="list" allowBlank="1" showInputMessage="1" showErrorMessage="1" xr:uid="{00000000-0002-0000-0500-00000C000000}">
          <x14:formula1>
            <xm:f>'D:\YKP\[Backup - Summary YKP of 9 Mei''22.xlsx]Sheet1'!#REF!</xm:f>
          </x14:formula1>
          <xm:sqref>E142 E151 E197 E225</xm:sqref>
        </x14:dataValidation>
        <x14:dataValidation type="list" allowBlank="1" showInputMessage="1" showErrorMessage="1" xr:uid="{00000000-0002-0000-0500-00000D000000}">
          <x14:formula1>
            <xm:f>Sheet1!$C$2:$C$5</xm:f>
          </x14:formula1>
          <xm:sqref>J110 K24:K29 K3:K22 K31:K51 K84:K109 K112:K142 K53:K82 K145:K204 K207:K480</xm:sqref>
        </x14:dataValidation>
        <x14:dataValidation type="list" allowBlank="1" showInputMessage="1" showErrorMessage="1" xr:uid="{00000000-0002-0000-0500-00000E000000}">
          <x14:formula1>
            <xm:f>Sheet1!$B$2:$B$3</xm:f>
          </x14:formula1>
          <xm:sqref>J3:J109 J111:J480</xm:sqref>
        </x14:dataValidation>
        <x14:dataValidation type="list" allowBlank="1" showInputMessage="1" showErrorMessage="1" xr:uid="{00000000-0002-0000-0500-00000F000000}">
          <x14:formula1>
            <xm:f>Category!$C$5:$C$201</xm:f>
          </x14:formula1>
          <xm:sqref>E148:F150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474"/>
  <sheetViews>
    <sheetView zoomScale="78" zoomScaleNormal="78" workbookViewId="0">
      <selection activeCell="D41" sqref="D41"/>
    </sheetView>
  </sheetViews>
  <sheetFormatPr defaultRowHeight="15" x14ac:dyDescent="0.2"/>
  <cols>
    <col min="1" max="1" width="21.25390625" bestFit="1" customWidth="1"/>
    <col min="2" max="2" width="22.328125" customWidth="1"/>
    <col min="3" max="3" width="31.4765625" customWidth="1"/>
    <col min="4" max="4" width="16.27734375" bestFit="1" customWidth="1"/>
    <col min="5" max="5" width="11.296875" bestFit="1" customWidth="1"/>
    <col min="6" max="6" width="5.24609375" bestFit="1" customWidth="1"/>
    <col min="7" max="7" width="20.04296875" bestFit="1" customWidth="1"/>
    <col min="8" max="8" width="16.27734375" bestFit="1" customWidth="1"/>
    <col min="9" max="17" width="0" hidden="1" customWidth="1"/>
    <col min="18" max="18" width="19.90625" bestFit="1" customWidth="1"/>
    <col min="19" max="19" width="15.33203125" bestFit="1" customWidth="1"/>
  </cols>
  <sheetData>
    <row r="2" spans="1:18" s="4" customFormat="1" ht="33.75" customHeight="1" x14ac:dyDescent="0.2">
      <c r="A2" s="13">
        <v>44249</v>
      </c>
      <c r="B2" s="66" t="s">
        <v>264</v>
      </c>
      <c r="C2" s="14" t="s">
        <v>53</v>
      </c>
      <c r="D2" s="18" t="s">
        <v>179</v>
      </c>
      <c r="E2" s="14" t="s">
        <v>18</v>
      </c>
      <c r="F2" s="15">
        <v>52</v>
      </c>
      <c r="G2" s="40">
        <v>37080000</v>
      </c>
      <c r="H2" s="40"/>
      <c r="I2" s="24" t="s">
        <v>19</v>
      </c>
      <c r="J2" s="100" t="e">
        <f>IF(List3[[#This Row],[TRF]]="Done","Sudah Transfer","Proses PP/Pengajuan Approval")</f>
        <v>#VALUE!</v>
      </c>
      <c r="K2" s="62">
        <v>44257</v>
      </c>
      <c r="L2" s="100" t="s">
        <v>265</v>
      </c>
      <c r="M2" s="100" t="e">
        <f>MONTH(List3[[#This Row],[Tanggal Pengajuan]])</f>
        <v>#VALUE!</v>
      </c>
      <c r="N2" s="62"/>
      <c r="O2" s="100" t="s">
        <v>268</v>
      </c>
      <c r="P2" s="110"/>
      <c r="Q2" s="237"/>
      <c r="R2" s="591"/>
    </row>
    <row r="3" spans="1:18" s="4" customFormat="1" ht="33.75" customHeight="1" x14ac:dyDescent="0.2">
      <c r="A3" s="19">
        <v>44529</v>
      </c>
      <c r="B3" s="742" t="s">
        <v>629</v>
      </c>
      <c r="C3" s="176" t="s">
        <v>53</v>
      </c>
      <c r="D3" s="176" t="s">
        <v>179</v>
      </c>
      <c r="E3" s="14" t="s">
        <v>18</v>
      </c>
      <c r="F3" s="469">
        <v>52</v>
      </c>
      <c r="G3" s="40">
        <v>31255000</v>
      </c>
      <c r="H3" s="40"/>
      <c r="I3" s="104"/>
      <c r="J3" s="20"/>
      <c r="K3" s="63"/>
      <c r="L3" s="20"/>
      <c r="M3" s="20">
        <f>MONTH(List3[[#This Row],[Tanggal Pengajuan]])</f>
        <v>1</v>
      </c>
      <c r="N3" s="62"/>
      <c r="O3" s="100" t="s">
        <v>532</v>
      </c>
      <c r="P3" s="110"/>
      <c r="Q3" s="230" t="s">
        <v>958</v>
      </c>
      <c r="R3" s="591">
        <f>SUM(G2:G3)</f>
        <v>68335000</v>
      </c>
    </row>
    <row r="4" spans="1:18" s="4" customFormat="1" ht="33.75" customHeight="1" x14ac:dyDescent="0.2">
      <c r="A4" s="19">
        <v>44508</v>
      </c>
      <c r="B4" s="189" t="s">
        <v>577</v>
      </c>
      <c r="C4" s="176" t="s">
        <v>35</v>
      </c>
      <c r="D4" s="176" t="s">
        <v>179</v>
      </c>
      <c r="E4" s="14" t="s">
        <v>18</v>
      </c>
      <c r="F4" s="469">
        <v>57</v>
      </c>
      <c r="G4" s="40">
        <v>31350000</v>
      </c>
      <c r="H4" s="40"/>
      <c r="I4" s="104" t="s">
        <v>19</v>
      </c>
      <c r="J4" s="20" t="s">
        <v>20</v>
      </c>
      <c r="K4" s="801">
        <v>44518</v>
      </c>
      <c r="L4" s="20"/>
      <c r="M4" s="20">
        <f>MONTH(List3[[#This Row],[Tanggal Pengajuan]])</f>
        <v>1</v>
      </c>
      <c r="N4" s="62"/>
      <c r="O4" s="100" t="s">
        <v>446</v>
      </c>
      <c r="P4" s="110"/>
      <c r="Q4" s="230" t="s">
        <v>958</v>
      </c>
      <c r="R4" s="476"/>
    </row>
    <row r="5" spans="1:18" s="4" customFormat="1" ht="33.75" customHeight="1" x14ac:dyDescent="0.2">
      <c r="A5" s="19">
        <v>44532</v>
      </c>
      <c r="B5" s="181" t="s">
        <v>594</v>
      </c>
      <c r="C5" s="176" t="s">
        <v>35</v>
      </c>
      <c r="D5" s="176" t="s">
        <v>179</v>
      </c>
      <c r="E5" s="14" t="s">
        <v>18</v>
      </c>
      <c r="F5" s="469">
        <v>57</v>
      </c>
      <c r="G5" s="40">
        <v>6825000</v>
      </c>
      <c r="H5" s="40"/>
      <c r="I5" s="104" t="s">
        <v>19</v>
      </c>
      <c r="J5" s="20" t="s">
        <v>20</v>
      </c>
      <c r="K5" s="802">
        <v>44560</v>
      </c>
      <c r="L5" s="20"/>
      <c r="M5" s="20">
        <f>MONTH(List3[[#This Row],[Tanggal Pengajuan]])</f>
        <v>1</v>
      </c>
      <c r="N5" s="62"/>
      <c r="O5" s="100" t="s">
        <v>504</v>
      </c>
      <c r="P5" s="110"/>
      <c r="Q5" s="230" t="s">
        <v>958</v>
      </c>
      <c r="R5" s="591">
        <f>SUM(G4:G5)</f>
        <v>38175000</v>
      </c>
    </row>
    <row r="6" spans="1:18" s="4" customFormat="1" ht="33.75" customHeight="1" x14ac:dyDescent="0.2">
      <c r="A6" s="13">
        <v>44456</v>
      </c>
      <c r="B6" s="189" t="s">
        <v>490</v>
      </c>
      <c r="C6" s="164" t="s">
        <v>87</v>
      </c>
      <c r="D6" s="174" t="s">
        <v>179</v>
      </c>
      <c r="E6" s="164" t="s">
        <v>49</v>
      </c>
      <c r="F6" s="178">
        <v>20</v>
      </c>
      <c r="G6" s="171">
        <v>30525000</v>
      </c>
      <c r="H6" s="171"/>
      <c r="I6" s="104" t="s">
        <v>19</v>
      </c>
      <c r="J6" s="100" t="s">
        <v>20</v>
      </c>
      <c r="K6" s="62"/>
      <c r="L6" s="100" t="s">
        <v>493</v>
      </c>
      <c r="M6" s="100">
        <f>MONTH(List3[[#This Row],[Tanggal Pengajuan]])</f>
        <v>1</v>
      </c>
      <c r="N6" s="62"/>
      <c r="O6" s="100" t="s">
        <v>485</v>
      </c>
      <c r="P6" s="110"/>
      <c r="Q6" s="230" t="s">
        <v>958</v>
      </c>
      <c r="R6" s="476"/>
    </row>
    <row r="7" spans="1:18" s="4" customFormat="1" ht="33.75" customHeight="1" x14ac:dyDescent="0.2">
      <c r="A7" s="13">
        <v>44484</v>
      </c>
      <c r="B7" s="189" t="s">
        <v>531</v>
      </c>
      <c r="C7" s="164" t="s">
        <v>87</v>
      </c>
      <c r="D7" s="174" t="s">
        <v>179</v>
      </c>
      <c r="E7" s="164" t="s">
        <v>49</v>
      </c>
      <c r="F7" s="178">
        <v>20</v>
      </c>
      <c r="G7" s="171">
        <v>2400000</v>
      </c>
      <c r="H7" s="171"/>
      <c r="I7" s="104" t="s">
        <v>19</v>
      </c>
      <c r="J7" s="100" t="s">
        <v>20</v>
      </c>
      <c r="K7" s="62">
        <v>44490</v>
      </c>
      <c r="L7" s="100" t="s">
        <v>493</v>
      </c>
      <c r="M7" s="100">
        <f>MONTH(List3[[#This Row],[Tanggal Pengajuan]])</f>
        <v>1</v>
      </c>
      <c r="N7" s="62"/>
      <c r="O7" s="100" t="s">
        <v>489</v>
      </c>
      <c r="P7" s="110" t="s">
        <v>491</v>
      </c>
      <c r="Q7" s="230" t="s">
        <v>958</v>
      </c>
      <c r="R7" s="476"/>
    </row>
    <row r="8" spans="1:18" s="4" customFormat="1" ht="33.75" customHeight="1" x14ac:dyDescent="0.2">
      <c r="A8" s="19">
        <v>44508</v>
      </c>
      <c r="B8" s="189" t="s">
        <v>579</v>
      </c>
      <c r="C8" s="176" t="s">
        <v>87</v>
      </c>
      <c r="D8" s="176" t="s">
        <v>179</v>
      </c>
      <c r="E8" s="14" t="s">
        <v>18</v>
      </c>
      <c r="F8" s="469">
        <v>20</v>
      </c>
      <c r="G8" s="40">
        <v>2400000</v>
      </c>
      <c r="H8" s="40"/>
      <c r="I8" s="104" t="s">
        <v>19</v>
      </c>
      <c r="J8" s="20" t="s">
        <v>20</v>
      </c>
      <c r="K8" s="801">
        <v>44510</v>
      </c>
      <c r="L8" s="20"/>
      <c r="M8" s="20">
        <f>MONTH(List3[[#This Row],[Tanggal Pengajuan]])</f>
        <v>1</v>
      </c>
      <c r="N8" s="62"/>
      <c r="O8" s="100" t="s">
        <v>492</v>
      </c>
      <c r="P8" s="110"/>
      <c r="Q8" s="230" t="s">
        <v>958</v>
      </c>
      <c r="R8" s="476"/>
    </row>
    <row r="9" spans="1:18" s="4" customFormat="1" ht="33.75" customHeight="1" x14ac:dyDescent="0.2">
      <c r="A9" s="19">
        <v>44536</v>
      </c>
      <c r="B9" s="800" t="s">
        <v>595</v>
      </c>
      <c r="C9" s="176" t="s">
        <v>87</v>
      </c>
      <c r="D9" s="176" t="s">
        <v>179</v>
      </c>
      <c r="E9" s="14" t="s">
        <v>18</v>
      </c>
      <c r="F9" s="469">
        <v>20</v>
      </c>
      <c r="G9" s="40">
        <v>2400000</v>
      </c>
      <c r="H9" s="40"/>
      <c r="I9" s="104" t="s">
        <v>19</v>
      </c>
      <c r="J9" s="20" t="s">
        <v>20</v>
      </c>
      <c r="K9" s="802">
        <v>44538</v>
      </c>
      <c r="L9" s="20"/>
      <c r="M9" s="20">
        <f>MONTH(List3[[#This Row],[Tanggal Pengajuan]])</f>
        <v>1</v>
      </c>
      <c r="N9" s="62"/>
      <c r="O9" s="100" t="s">
        <v>530</v>
      </c>
      <c r="P9" s="110"/>
      <c r="Q9" s="230" t="s">
        <v>958</v>
      </c>
      <c r="R9" s="591">
        <f>SUM(G6:G9)</f>
        <v>37725000</v>
      </c>
    </row>
    <row r="10" spans="1:18" s="4" customFormat="1" ht="33.75" customHeight="1" x14ac:dyDescent="0.2">
      <c r="A10" s="13">
        <v>44445</v>
      </c>
      <c r="B10" s="742" t="s">
        <v>444</v>
      </c>
      <c r="C10" s="164" t="s">
        <v>48</v>
      </c>
      <c r="D10" s="174" t="s">
        <v>179</v>
      </c>
      <c r="E10" s="164" t="s">
        <v>49</v>
      </c>
      <c r="F10" s="178">
        <v>32</v>
      </c>
      <c r="G10" s="171">
        <v>10290000</v>
      </c>
      <c r="H10" s="171"/>
      <c r="I10" s="104" t="s">
        <v>19</v>
      </c>
      <c r="J10" s="100" t="s">
        <v>20</v>
      </c>
      <c r="K10" s="62"/>
      <c r="L10" s="100" t="s">
        <v>445</v>
      </c>
      <c r="M10" s="100">
        <f>MONTH(List3[[#This Row],[Tanggal Pengajuan]])</f>
        <v>1</v>
      </c>
      <c r="N10" s="62"/>
      <c r="O10" s="100" t="s">
        <v>546</v>
      </c>
      <c r="P10" s="110"/>
      <c r="Q10" s="230" t="s">
        <v>958</v>
      </c>
      <c r="R10" s="476"/>
    </row>
    <row r="11" spans="1:18" s="4" customFormat="1" ht="33.75" customHeight="1" x14ac:dyDescent="0.2">
      <c r="A11" s="13">
        <v>44484</v>
      </c>
      <c r="B11" s="742" t="s">
        <v>528</v>
      </c>
      <c r="C11" s="164" t="s">
        <v>48</v>
      </c>
      <c r="D11" s="174" t="s">
        <v>179</v>
      </c>
      <c r="E11" s="164" t="s">
        <v>49</v>
      </c>
      <c r="F11" s="178">
        <v>32</v>
      </c>
      <c r="G11" s="171">
        <v>3325000</v>
      </c>
      <c r="H11" s="171"/>
      <c r="I11" s="104" t="s">
        <v>19</v>
      </c>
      <c r="J11" s="105" t="s">
        <v>20</v>
      </c>
      <c r="K11" s="183">
        <v>44491</v>
      </c>
      <c r="L11" s="100" t="s">
        <v>529</v>
      </c>
      <c r="M11" s="105">
        <f>MONTH(List3[[#This Row],[Tanggal Pengajuan]])</f>
        <v>1</v>
      </c>
      <c r="N11" s="183"/>
      <c r="O11" s="14"/>
      <c r="P11" s="110"/>
      <c r="Q11" s="230" t="s">
        <v>958</v>
      </c>
      <c r="R11" s="476"/>
    </row>
    <row r="12" spans="1:18" s="4" customFormat="1" ht="33.75" customHeight="1" x14ac:dyDescent="0.2">
      <c r="A12" s="19">
        <v>44508</v>
      </c>
      <c r="B12" s="189" t="s">
        <v>569</v>
      </c>
      <c r="C12" s="20" t="s">
        <v>48</v>
      </c>
      <c r="D12" s="176" t="s">
        <v>179</v>
      </c>
      <c r="E12" s="103" t="s">
        <v>18</v>
      </c>
      <c r="F12" s="469">
        <v>32</v>
      </c>
      <c r="G12" s="40">
        <v>3325000</v>
      </c>
      <c r="H12" s="40"/>
      <c r="I12" s="104" t="s">
        <v>19</v>
      </c>
      <c r="J12" s="20" t="s">
        <v>20</v>
      </c>
      <c r="K12" s="595">
        <v>44516</v>
      </c>
      <c r="L12" s="20"/>
      <c r="M12" s="20">
        <f>MONTH(List3[[#This Row],[Tanggal Pengajuan]])</f>
        <v>1</v>
      </c>
      <c r="N12" s="183"/>
      <c r="O12" s="100" t="s">
        <v>551</v>
      </c>
      <c r="P12" s="110"/>
      <c r="Q12" s="230" t="s">
        <v>958</v>
      </c>
      <c r="R12" s="476"/>
    </row>
    <row r="13" spans="1:18" s="4" customFormat="1" ht="33.75" customHeight="1" x14ac:dyDescent="0.2">
      <c r="A13" s="19">
        <v>44533</v>
      </c>
      <c r="B13" s="181" t="s">
        <v>596</v>
      </c>
      <c r="C13" s="176" t="s">
        <v>48</v>
      </c>
      <c r="D13" s="176" t="s">
        <v>179</v>
      </c>
      <c r="E13" s="14" t="s">
        <v>18</v>
      </c>
      <c r="F13" s="469">
        <v>32</v>
      </c>
      <c r="G13" s="40">
        <v>3325000</v>
      </c>
      <c r="H13" s="40"/>
      <c r="I13" s="104" t="s">
        <v>19</v>
      </c>
      <c r="J13" s="20" t="s">
        <v>20</v>
      </c>
      <c r="K13" s="755">
        <v>44540</v>
      </c>
      <c r="L13" s="20"/>
      <c r="M13" s="20">
        <f>MONTH(List3[[#This Row],[Tanggal Pengajuan]])</f>
        <v>1</v>
      </c>
      <c r="N13" s="183"/>
      <c r="O13" s="20"/>
      <c r="P13" s="761"/>
      <c r="Q13" s="230" t="s">
        <v>958</v>
      </c>
      <c r="R13" s="591">
        <f>SUM(G10:G13)</f>
        <v>20265000</v>
      </c>
    </row>
    <row r="14" spans="1:18" s="4" customFormat="1" ht="33.75" customHeight="1" x14ac:dyDescent="0.2">
      <c r="A14" s="19">
        <v>44504</v>
      </c>
      <c r="B14" s="189" t="s">
        <v>565</v>
      </c>
      <c r="C14" s="176" t="s">
        <v>25</v>
      </c>
      <c r="D14" s="176" t="s">
        <v>179</v>
      </c>
      <c r="E14" s="14" t="s">
        <v>18</v>
      </c>
      <c r="F14" s="469">
        <v>1</v>
      </c>
      <c r="G14" s="40">
        <v>4010000</v>
      </c>
      <c r="H14" s="40"/>
      <c r="I14" s="104" t="s">
        <v>19</v>
      </c>
      <c r="J14" s="20" t="s">
        <v>20</v>
      </c>
      <c r="K14" s="595">
        <v>44506</v>
      </c>
      <c r="L14" s="20"/>
      <c r="M14" s="20">
        <f>MONTH(List3[[#This Row],[Tanggal Pengajuan]])</f>
        <v>1</v>
      </c>
      <c r="N14" s="183"/>
      <c r="O14" s="20"/>
      <c r="P14" s="761"/>
      <c r="Q14" s="230" t="s">
        <v>958</v>
      </c>
      <c r="R14" s="476"/>
    </row>
    <row r="15" spans="1:18" s="4" customFormat="1" ht="33.75" customHeight="1" x14ac:dyDescent="0.2">
      <c r="A15" s="19">
        <v>44531</v>
      </c>
      <c r="B15" s="181" t="s">
        <v>593</v>
      </c>
      <c r="C15" s="176" t="s">
        <v>25</v>
      </c>
      <c r="D15" s="176" t="s">
        <v>179</v>
      </c>
      <c r="E15" s="14" t="s">
        <v>18</v>
      </c>
      <c r="F15" s="469">
        <v>1</v>
      </c>
      <c r="G15" s="40">
        <v>5040000</v>
      </c>
      <c r="H15" s="40"/>
      <c r="I15" s="104" t="s">
        <v>19</v>
      </c>
      <c r="J15" s="20" t="s">
        <v>20</v>
      </c>
      <c r="K15" s="755">
        <v>44538</v>
      </c>
      <c r="L15" s="20"/>
      <c r="M15" s="20">
        <f>MONTH(List3[[#This Row],[Tanggal Pengajuan]])</f>
        <v>1</v>
      </c>
      <c r="N15" s="183"/>
      <c r="O15" s="20"/>
      <c r="P15" s="761"/>
      <c r="Q15" s="230" t="s">
        <v>958</v>
      </c>
      <c r="R15" s="591">
        <f>SUM(G14:G15)</f>
        <v>9050000</v>
      </c>
    </row>
    <row r="16" spans="1:18" s="4" customFormat="1" ht="33.75" customHeight="1" x14ac:dyDescent="0.2">
      <c r="A16" s="19">
        <v>44504</v>
      </c>
      <c r="B16" s="189" t="s">
        <v>566</v>
      </c>
      <c r="C16" s="176" t="s">
        <v>64</v>
      </c>
      <c r="D16" s="176" t="s">
        <v>179</v>
      </c>
      <c r="E16" s="14" t="s">
        <v>18</v>
      </c>
      <c r="F16" s="469">
        <v>15</v>
      </c>
      <c r="G16" s="40">
        <v>46500000</v>
      </c>
      <c r="H16" s="40"/>
      <c r="I16" s="104" t="s">
        <v>19</v>
      </c>
      <c r="J16" s="20" t="s">
        <v>20</v>
      </c>
      <c r="K16" s="595">
        <v>44530</v>
      </c>
      <c r="L16" s="20"/>
      <c r="M16" s="20">
        <f>MONTH(List3[[#This Row],[Tanggal Pengajuan]])</f>
        <v>1</v>
      </c>
      <c r="N16" s="183"/>
      <c r="O16" s="20"/>
      <c r="P16" s="761"/>
      <c r="Q16" s="230" t="s">
        <v>958</v>
      </c>
      <c r="R16" s="591">
        <f>+G16</f>
        <v>46500000</v>
      </c>
    </row>
    <row r="17" spans="1:18" s="4" customFormat="1" ht="33.75" customHeight="1" x14ac:dyDescent="0.2">
      <c r="A17" s="13">
        <v>44456</v>
      </c>
      <c r="B17" s="189" t="s">
        <v>487</v>
      </c>
      <c r="C17" s="164" t="s">
        <v>75</v>
      </c>
      <c r="D17" s="174" t="s">
        <v>179</v>
      </c>
      <c r="E17" s="164" t="s">
        <v>49</v>
      </c>
      <c r="F17" s="178">
        <v>9</v>
      </c>
      <c r="G17" s="171">
        <v>18408000</v>
      </c>
      <c r="H17" s="171"/>
      <c r="I17" s="104" t="s">
        <v>19</v>
      </c>
      <c r="J17" s="100" t="s">
        <v>20</v>
      </c>
      <c r="K17" s="183">
        <v>44496</v>
      </c>
      <c r="L17" s="100" t="s">
        <v>488</v>
      </c>
      <c r="M17" s="100">
        <f>MONTH(List3[[#This Row],[Tanggal Pengajuan]])</f>
        <v>1</v>
      </c>
      <c r="N17" s="183"/>
      <c r="O17" s="20"/>
      <c r="P17" s="761"/>
      <c r="Q17" s="230" t="s">
        <v>958</v>
      </c>
      <c r="R17" s="476"/>
    </row>
    <row r="18" spans="1:18" s="4" customFormat="1" ht="33.75" customHeight="1" x14ac:dyDescent="0.2">
      <c r="A18" s="13">
        <v>44491</v>
      </c>
      <c r="B18" s="189" t="s">
        <v>545</v>
      </c>
      <c r="C18" s="164" t="s">
        <v>75</v>
      </c>
      <c r="D18" s="174" t="s">
        <v>179</v>
      </c>
      <c r="E18" s="164" t="s">
        <v>49</v>
      </c>
      <c r="F18" s="178">
        <v>9</v>
      </c>
      <c r="G18" s="171">
        <v>9784000</v>
      </c>
      <c r="H18" s="750"/>
      <c r="I18" s="104" t="s">
        <v>19</v>
      </c>
      <c r="J18" s="100" t="s">
        <v>20</v>
      </c>
      <c r="K18" s="183"/>
      <c r="L18" s="100" t="s">
        <v>488</v>
      </c>
      <c r="M18" s="100">
        <f>MONTH(List3[[#This Row],[Tanggal Pengajuan]])</f>
        <v>1</v>
      </c>
      <c r="N18" s="183"/>
      <c r="O18" s="20"/>
      <c r="P18" s="761"/>
      <c r="Q18" s="230" t="s">
        <v>958</v>
      </c>
      <c r="R18" s="476"/>
    </row>
    <row r="19" spans="1:18" s="4" customFormat="1" ht="33.75" customHeight="1" x14ac:dyDescent="0.2">
      <c r="A19" s="19">
        <v>44508</v>
      </c>
      <c r="B19" s="189" t="s">
        <v>578</v>
      </c>
      <c r="C19" s="176" t="s">
        <v>75</v>
      </c>
      <c r="D19" s="176" t="s">
        <v>179</v>
      </c>
      <c r="E19" s="14" t="s">
        <v>18</v>
      </c>
      <c r="F19" s="469">
        <v>9</v>
      </c>
      <c r="G19" s="40">
        <v>14586000</v>
      </c>
      <c r="H19" s="40"/>
      <c r="I19" s="104" t="s">
        <v>19</v>
      </c>
      <c r="J19" s="20" t="s">
        <v>20</v>
      </c>
      <c r="K19" s="182"/>
      <c r="L19" s="20"/>
      <c r="M19" s="20">
        <f>MONTH(List3[[#This Row],[Tanggal Pengajuan]])</f>
        <v>1</v>
      </c>
      <c r="N19" s="183"/>
      <c r="O19" s="20"/>
      <c r="P19" s="761"/>
      <c r="Q19" s="230" t="s">
        <v>958</v>
      </c>
      <c r="R19" s="476"/>
    </row>
    <row r="20" spans="1:18" s="4" customFormat="1" ht="33.75" customHeight="1" x14ac:dyDescent="0.2">
      <c r="A20" s="19">
        <v>44537</v>
      </c>
      <c r="B20" s="181" t="s">
        <v>597</v>
      </c>
      <c r="C20" s="176" t="s">
        <v>75</v>
      </c>
      <c r="D20" s="176" t="s">
        <v>179</v>
      </c>
      <c r="E20" s="14" t="s">
        <v>18</v>
      </c>
      <c r="F20" s="469">
        <v>9</v>
      </c>
      <c r="G20" s="40">
        <v>14586000</v>
      </c>
      <c r="H20" s="40"/>
      <c r="I20" s="104" t="s">
        <v>19</v>
      </c>
      <c r="J20" s="20" t="s">
        <v>20</v>
      </c>
      <c r="K20" s="755">
        <v>44540</v>
      </c>
      <c r="L20" s="20"/>
      <c r="M20" s="20">
        <f>MONTH(List3[[#This Row],[Tanggal Pengajuan]])</f>
        <v>1</v>
      </c>
      <c r="N20" s="183"/>
      <c r="O20" s="20"/>
      <c r="P20" s="761"/>
      <c r="Q20" s="230" t="s">
        <v>958</v>
      </c>
      <c r="R20" s="591">
        <f>SUM(G17:G20)</f>
        <v>57364000</v>
      </c>
    </row>
    <row r="21" spans="1:18" s="4" customFormat="1" ht="33.75" customHeight="1" x14ac:dyDescent="0.2">
      <c r="A21" s="19">
        <v>44551</v>
      </c>
      <c r="B21" s="181" t="s">
        <v>621</v>
      </c>
      <c r="C21" s="20" t="s">
        <v>618</v>
      </c>
      <c r="D21" s="176" t="s">
        <v>179</v>
      </c>
      <c r="E21" s="14" t="s">
        <v>28</v>
      </c>
      <c r="F21" s="469">
        <v>5</v>
      </c>
      <c r="G21" s="40">
        <v>18740000</v>
      </c>
      <c r="H21" s="40"/>
      <c r="I21" s="16" t="s">
        <v>19</v>
      </c>
      <c r="J21" s="176" t="s">
        <v>20</v>
      </c>
      <c r="K21" s="755">
        <v>44554</v>
      </c>
      <c r="L21" s="20"/>
      <c r="M21" s="20">
        <f>MONTH(List3[[#This Row],[Tanggal Pengajuan]])</f>
        <v>2</v>
      </c>
      <c r="N21" s="183"/>
      <c r="O21" s="176"/>
      <c r="P21" s="761"/>
      <c r="Q21" s="230" t="s">
        <v>958</v>
      </c>
      <c r="R21" s="591">
        <f>+G21</f>
        <v>18740000</v>
      </c>
    </row>
    <row r="22" spans="1:18" s="4" customFormat="1" ht="33.75" customHeight="1" x14ac:dyDescent="0.2">
      <c r="A22" s="13">
        <v>44454</v>
      </c>
      <c r="B22" s="189" t="s">
        <v>483</v>
      </c>
      <c r="C22" s="164" t="s">
        <v>486</v>
      </c>
      <c r="D22" s="174" t="s">
        <v>179</v>
      </c>
      <c r="E22" s="164" t="s">
        <v>49</v>
      </c>
      <c r="F22" s="178">
        <v>44</v>
      </c>
      <c r="G22" s="171">
        <v>13290000</v>
      </c>
      <c r="H22" s="171"/>
      <c r="I22" s="104" t="s">
        <v>19</v>
      </c>
      <c r="J22" s="100" t="s">
        <v>20</v>
      </c>
      <c r="K22" s="183">
        <v>44469</v>
      </c>
      <c r="L22" s="100" t="s">
        <v>484</v>
      </c>
      <c r="M22" s="100">
        <f>MONTH(List3[[#This Row],[Tanggal Pengajuan]])</f>
        <v>2</v>
      </c>
      <c r="N22" s="183"/>
      <c r="O22" s="20"/>
      <c r="P22" s="761"/>
      <c r="Q22" s="230" t="s">
        <v>958</v>
      </c>
      <c r="R22" s="591"/>
    </row>
    <row r="23" spans="1:18" s="4" customFormat="1" ht="33.75" customHeight="1" x14ac:dyDescent="0.2">
      <c r="A23" s="13"/>
      <c r="B23" s="189" t="s">
        <v>548</v>
      </c>
      <c r="C23" s="164" t="s">
        <v>486</v>
      </c>
      <c r="D23" s="174" t="s">
        <v>179</v>
      </c>
      <c r="E23" s="164" t="s">
        <v>49</v>
      </c>
      <c r="F23" s="178">
        <v>44</v>
      </c>
      <c r="G23" s="171">
        <v>2640000</v>
      </c>
      <c r="H23" s="171"/>
      <c r="I23" s="104" t="s">
        <v>19</v>
      </c>
      <c r="J23" s="100" t="s">
        <v>20</v>
      </c>
      <c r="K23" s="183"/>
      <c r="L23" s="100"/>
      <c r="M23" s="100">
        <v>10</v>
      </c>
      <c r="N23" s="183"/>
      <c r="O23" s="20"/>
      <c r="P23" s="761"/>
      <c r="Q23" s="230" t="s">
        <v>958</v>
      </c>
      <c r="R23" s="476"/>
    </row>
    <row r="24" spans="1:18" s="4" customFormat="1" ht="33.75" customHeight="1" x14ac:dyDescent="0.2">
      <c r="A24" s="19">
        <v>44509</v>
      </c>
      <c r="B24" s="189" t="s">
        <v>584</v>
      </c>
      <c r="C24" s="176" t="s">
        <v>486</v>
      </c>
      <c r="D24" s="176" t="s">
        <v>179</v>
      </c>
      <c r="E24" s="14" t="s">
        <v>18</v>
      </c>
      <c r="F24" s="469">
        <v>44</v>
      </c>
      <c r="G24" s="40">
        <v>2640000</v>
      </c>
      <c r="H24" s="40"/>
      <c r="I24" s="104" t="s">
        <v>19</v>
      </c>
      <c r="J24" s="20" t="s">
        <v>20</v>
      </c>
      <c r="K24" s="595">
        <v>44510</v>
      </c>
      <c r="L24" s="20"/>
      <c r="M24" s="20">
        <f>MONTH(List3[[#This Row],[Tanggal Pengajuan]])</f>
        <v>2</v>
      </c>
      <c r="N24" s="183"/>
      <c r="O24" s="20"/>
      <c r="P24" s="761"/>
      <c r="Q24" s="230" t="s">
        <v>958</v>
      </c>
      <c r="R24" s="476"/>
    </row>
    <row r="25" spans="1:18" s="4" customFormat="1" ht="33.75" customHeight="1" x14ac:dyDescent="0.2">
      <c r="A25" s="19">
        <v>44536</v>
      </c>
      <c r="B25" s="181" t="s">
        <v>622</v>
      </c>
      <c r="C25" s="176" t="s">
        <v>486</v>
      </c>
      <c r="D25" s="176" t="s">
        <v>179</v>
      </c>
      <c r="E25" s="14" t="s">
        <v>18</v>
      </c>
      <c r="F25" s="469">
        <v>44</v>
      </c>
      <c r="G25" s="40">
        <v>2640000</v>
      </c>
      <c r="H25" s="40"/>
      <c r="I25" s="104" t="s">
        <v>19</v>
      </c>
      <c r="J25" s="20" t="s">
        <v>20</v>
      </c>
      <c r="K25" s="755">
        <v>44553</v>
      </c>
      <c r="L25" s="20"/>
      <c r="M25" s="20">
        <f>MONTH(List3[[#This Row],[Tanggal Pengajuan]])</f>
        <v>2</v>
      </c>
      <c r="N25" s="183"/>
      <c r="O25" s="20"/>
      <c r="P25" s="761"/>
      <c r="Q25" s="230" t="s">
        <v>958</v>
      </c>
      <c r="R25" s="591">
        <f>SUM(G22:G25)</f>
        <v>21210000</v>
      </c>
    </row>
    <row r="26" spans="1:18" s="4" customFormat="1" ht="33.75" customHeight="1" x14ac:dyDescent="0.2">
      <c r="A26" s="19">
        <v>44518</v>
      </c>
      <c r="B26" s="189" t="s">
        <v>587</v>
      </c>
      <c r="C26" s="176" t="s">
        <v>588</v>
      </c>
      <c r="D26" s="176" t="s">
        <v>179</v>
      </c>
      <c r="E26" s="14" t="s">
        <v>18</v>
      </c>
      <c r="F26" s="469">
        <v>0</v>
      </c>
      <c r="G26" s="40">
        <v>32740000</v>
      </c>
      <c r="H26" s="40"/>
      <c r="I26" s="104" t="s">
        <v>72</v>
      </c>
      <c r="J26" s="20" t="s">
        <v>73</v>
      </c>
      <c r="K26" s="182"/>
      <c r="L26" s="20"/>
      <c r="M26" s="20">
        <f>MONTH(List3[[#This Row],[Tanggal Pengajuan]])</f>
        <v>2</v>
      </c>
      <c r="N26" s="183"/>
      <c r="O26" s="20"/>
      <c r="P26" s="761"/>
      <c r="Q26" s="230" t="s">
        <v>958</v>
      </c>
      <c r="R26" s="591">
        <f>+G26</f>
        <v>32740000</v>
      </c>
    </row>
    <row r="27" spans="1:18" s="4" customFormat="1" ht="33.75" customHeight="1" x14ac:dyDescent="0.2">
      <c r="A27" s="19">
        <v>44551</v>
      </c>
      <c r="B27" s="181" t="s">
        <v>616</v>
      </c>
      <c r="C27" s="176" t="s">
        <v>620</v>
      </c>
      <c r="D27" s="176" t="s">
        <v>179</v>
      </c>
      <c r="E27" s="14" t="s">
        <v>28</v>
      </c>
      <c r="F27" s="469">
        <v>5</v>
      </c>
      <c r="G27" s="40">
        <v>7110000</v>
      </c>
      <c r="H27" s="40"/>
      <c r="I27" s="16" t="s">
        <v>19</v>
      </c>
      <c r="J27" s="20" t="s">
        <v>20</v>
      </c>
      <c r="K27" s="755">
        <v>44554</v>
      </c>
      <c r="L27" s="20"/>
      <c r="M27" s="20">
        <f>MONTH(List3[[#This Row],[Tanggal Pengajuan]])</f>
        <v>2</v>
      </c>
      <c r="N27" s="183"/>
      <c r="O27" s="20"/>
      <c r="P27" s="761"/>
      <c r="Q27" s="230" t="s">
        <v>958</v>
      </c>
      <c r="R27" s="476"/>
    </row>
    <row r="28" spans="1:18" s="4" customFormat="1" ht="33.75" customHeight="1" x14ac:dyDescent="0.2">
      <c r="A28" s="19">
        <v>44551</v>
      </c>
      <c r="B28" s="181" t="s">
        <v>617</v>
      </c>
      <c r="C28" s="20" t="s">
        <v>619</v>
      </c>
      <c r="D28" s="176" t="s">
        <v>179</v>
      </c>
      <c r="E28" s="14" t="s">
        <v>28</v>
      </c>
      <c r="F28" s="469">
        <v>5</v>
      </c>
      <c r="G28" s="40">
        <v>6890000</v>
      </c>
      <c r="H28" s="40"/>
      <c r="I28" s="16" t="s">
        <v>19</v>
      </c>
      <c r="J28" s="20" t="s">
        <v>20</v>
      </c>
      <c r="K28" s="755">
        <v>44554</v>
      </c>
      <c r="L28" s="20"/>
      <c r="M28" s="20">
        <f>MONTH(List3[[#This Row],[Tanggal Pengajuan]])</f>
        <v>2</v>
      </c>
      <c r="N28" s="183"/>
      <c r="O28" s="20"/>
      <c r="P28" s="761"/>
      <c r="Q28" s="230" t="s">
        <v>958</v>
      </c>
      <c r="R28" s="591">
        <f>SUM(G27:G28)</f>
        <v>14000000</v>
      </c>
    </row>
    <row r="29" spans="1:18" s="4" customFormat="1" ht="33.75" customHeight="1" x14ac:dyDescent="0.2">
      <c r="A29" s="13">
        <v>44445</v>
      </c>
      <c r="B29" s="189" t="s">
        <v>502</v>
      </c>
      <c r="C29" s="193" t="s">
        <v>129</v>
      </c>
      <c r="D29" s="174" t="s">
        <v>179</v>
      </c>
      <c r="E29" s="164" t="s">
        <v>49</v>
      </c>
      <c r="F29" s="178">
        <v>32</v>
      </c>
      <c r="G29" s="171">
        <v>16110000</v>
      </c>
      <c r="H29" s="171"/>
      <c r="I29" s="16" t="s">
        <v>19</v>
      </c>
      <c r="J29" s="100" t="s">
        <v>20</v>
      </c>
      <c r="K29" s="183">
        <v>44491</v>
      </c>
      <c r="L29" s="100" t="s">
        <v>503</v>
      </c>
      <c r="M29" s="100">
        <f>MONTH(List3[[#This Row],[Tanggal Pengajuan]])</f>
        <v>2</v>
      </c>
      <c r="N29" s="183"/>
      <c r="O29" s="20"/>
      <c r="P29" s="761"/>
      <c r="Q29" s="230" t="s">
        <v>958</v>
      </c>
      <c r="R29" s="476"/>
    </row>
    <row r="30" spans="1:18" s="4" customFormat="1" ht="33.75" customHeight="1" x14ac:dyDescent="0.2">
      <c r="A30" s="13"/>
      <c r="B30" s="189" t="s">
        <v>547</v>
      </c>
      <c r="C30" s="164" t="s">
        <v>129</v>
      </c>
      <c r="D30" s="174" t="s">
        <v>179</v>
      </c>
      <c r="E30" s="164" t="s">
        <v>18</v>
      </c>
      <c r="F30" s="178">
        <v>32</v>
      </c>
      <c r="G30" s="171">
        <v>7950000</v>
      </c>
      <c r="H30" s="171"/>
      <c r="I30" s="16" t="s">
        <v>19</v>
      </c>
      <c r="J30" s="100" t="s">
        <v>20</v>
      </c>
      <c r="K30" s="183"/>
      <c r="L30" s="100"/>
      <c r="M30" s="100">
        <v>10</v>
      </c>
      <c r="N30" s="183"/>
      <c r="O30" s="20"/>
      <c r="P30" s="761"/>
      <c r="Q30" s="230" t="s">
        <v>958</v>
      </c>
      <c r="R30" s="476"/>
    </row>
    <row r="31" spans="1:18" s="4" customFormat="1" ht="33.75" customHeight="1" x14ac:dyDescent="0.2">
      <c r="A31" s="19">
        <v>44508</v>
      </c>
      <c r="B31" s="189" t="s">
        <v>576</v>
      </c>
      <c r="C31" s="176" t="s">
        <v>129</v>
      </c>
      <c r="D31" s="176" t="s">
        <v>179</v>
      </c>
      <c r="E31" s="14" t="s">
        <v>18</v>
      </c>
      <c r="F31" s="469">
        <v>32</v>
      </c>
      <c r="G31" s="40">
        <v>7950000</v>
      </c>
      <c r="H31" s="40"/>
      <c r="I31" s="16" t="s">
        <v>19</v>
      </c>
      <c r="J31" s="20" t="s">
        <v>20</v>
      </c>
      <c r="K31" s="595">
        <v>44510</v>
      </c>
      <c r="L31" s="20"/>
      <c r="M31" s="20">
        <f>MONTH(List3[[#This Row],[Tanggal Pengajuan]])</f>
        <v>2</v>
      </c>
      <c r="N31" s="183"/>
      <c r="O31" s="20"/>
      <c r="P31" s="761"/>
      <c r="Q31" s="230" t="s">
        <v>958</v>
      </c>
      <c r="R31" s="476"/>
    </row>
    <row r="32" spans="1:18" s="4" customFormat="1" ht="33.75" customHeight="1" x14ac:dyDescent="0.2">
      <c r="A32" s="19">
        <v>44533</v>
      </c>
      <c r="B32" s="181" t="s">
        <v>598</v>
      </c>
      <c r="C32" s="176" t="s">
        <v>129</v>
      </c>
      <c r="D32" s="176" t="s">
        <v>179</v>
      </c>
      <c r="E32" s="14" t="s">
        <v>18</v>
      </c>
      <c r="F32" s="469">
        <v>32</v>
      </c>
      <c r="G32" s="40">
        <v>7950000</v>
      </c>
      <c r="H32" s="40"/>
      <c r="I32" s="16" t="s">
        <v>19</v>
      </c>
      <c r="J32" s="20" t="s">
        <v>20</v>
      </c>
      <c r="K32" s="755">
        <v>44540</v>
      </c>
      <c r="L32" s="20"/>
      <c r="M32" s="20">
        <f>MONTH(List3[[#This Row],[Tanggal Pengajuan]])</f>
        <v>3</v>
      </c>
      <c r="N32" s="183"/>
      <c r="O32" s="20"/>
      <c r="P32" s="761"/>
      <c r="Q32" s="230" t="s">
        <v>958</v>
      </c>
      <c r="R32" s="591">
        <f>SUM(G29:G32)</f>
        <v>39960000</v>
      </c>
    </row>
    <row r="33" spans="1:18" s="8" customFormat="1" ht="15.75" x14ac:dyDescent="0.2">
      <c r="A33" s="764"/>
      <c r="B33" s="765"/>
      <c r="C33" s="766"/>
      <c r="D33" s="766"/>
      <c r="E33" s="406"/>
      <c r="F33" s="767"/>
      <c r="G33" s="768"/>
      <c r="H33" s="768"/>
      <c r="I33" s="769"/>
      <c r="J33" s="766"/>
      <c r="K33" s="764"/>
      <c r="L33" s="766"/>
      <c r="M33" s="766"/>
      <c r="N33" s="650"/>
      <c r="O33" s="766"/>
      <c r="P33" s="770"/>
      <c r="Q33" s="652"/>
      <c r="R33" s="476"/>
    </row>
    <row r="34" spans="1:18" s="8" customFormat="1" ht="15.75" x14ac:dyDescent="0.2">
      <c r="A34" s="772"/>
      <c r="B34" s="773"/>
      <c r="C34" s="774"/>
      <c r="D34" s="774"/>
      <c r="E34" s="618"/>
      <c r="F34" s="775"/>
      <c r="G34" s="591">
        <f>SUM(G2:G33)</f>
        <v>404064000</v>
      </c>
      <c r="H34" s="591"/>
      <c r="I34" s="777"/>
      <c r="J34" s="774"/>
      <c r="K34" s="772"/>
      <c r="L34" s="774"/>
      <c r="M34" s="774"/>
      <c r="N34" s="658"/>
      <c r="O34" s="774"/>
      <c r="P34" s="778"/>
      <c r="Q34" s="660"/>
      <c r="R34" s="591">
        <f>SUM(R2:R33)</f>
        <v>404064000</v>
      </c>
    </row>
    <row r="35" spans="1:18" s="8" customFormat="1" ht="15.75" x14ac:dyDescent="0.2">
      <c r="A35" s="772"/>
      <c r="B35" s="773"/>
      <c r="C35" s="774"/>
      <c r="D35" s="774"/>
      <c r="E35" s="618"/>
      <c r="F35" s="775"/>
      <c r="G35" s="776"/>
      <c r="H35" s="776"/>
      <c r="I35" s="777"/>
      <c r="J35" s="774"/>
      <c r="K35" s="772"/>
      <c r="L35" s="774"/>
      <c r="M35" s="774"/>
      <c r="N35" s="658"/>
      <c r="O35" s="774"/>
      <c r="P35" s="778"/>
      <c r="Q35" s="660"/>
      <c r="R35" s="803">
        <f>+R34-'S1-S2  2021'!O3</f>
        <v>32740000</v>
      </c>
    </row>
    <row r="36" spans="1:18" s="8" customFormat="1" ht="15.75" x14ac:dyDescent="0.2">
      <c r="A36" s="772"/>
      <c r="B36" s="773"/>
      <c r="C36" s="774"/>
      <c r="D36" s="774"/>
      <c r="E36" s="618"/>
      <c r="F36" s="775"/>
      <c r="G36" s="776"/>
      <c r="H36" s="776"/>
      <c r="I36" s="777"/>
      <c r="J36" s="774"/>
      <c r="K36" s="772"/>
      <c r="L36" s="774"/>
      <c r="M36" s="774"/>
      <c r="N36" s="658"/>
      <c r="O36" s="774"/>
      <c r="P36" s="778"/>
      <c r="Q36" s="660"/>
      <c r="R36" s="771"/>
    </row>
    <row r="37" spans="1:18" s="8" customFormat="1" ht="15.75" x14ac:dyDescent="0.2">
      <c r="A37" s="772"/>
      <c r="B37" s="773"/>
      <c r="C37" s="774"/>
      <c r="D37" s="774"/>
      <c r="E37" s="618"/>
      <c r="F37" s="775"/>
      <c r="G37" s="776"/>
      <c r="H37" s="776"/>
      <c r="I37" s="777"/>
      <c r="J37" s="774"/>
      <c r="K37" s="772"/>
      <c r="L37" s="774"/>
      <c r="M37" s="774"/>
      <c r="N37" s="658"/>
      <c r="O37" s="774"/>
      <c r="P37" s="778"/>
      <c r="Q37" s="660"/>
      <c r="R37" s="771"/>
    </row>
    <row r="38" spans="1:18" s="8" customFormat="1" ht="15.75" x14ac:dyDescent="0.2">
      <c r="A38" s="779"/>
      <c r="B38" s="780"/>
      <c r="C38" s="781"/>
      <c r="D38" s="781"/>
      <c r="E38" s="663"/>
      <c r="F38" s="782"/>
      <c r="G38" s="783"/>
      <c r="H38" s="783"/>
      <c r="I38" s="784"/>
      <c r="J38" s="781"/>
      <c r="K38" s="772"/>
      <c r="L38" s="781"/>
      <c r="M38" s="781"/>
      <c r="N38" s="658"/>
      <c r="O38" s="781"/>
      <c r="P38" s="785"/>
      <c r="Q38" s="670"/>
      <c r="R38" s="771"/>
    </row>
    <row r="39" spans="1:18" s="4" customFormat="1" ht="39.75" customHeight="1" x14ac:dyDescent="0.2">
      <c r="A39" s="13">
        <v>44236</v>
      </c>
      <c r="B39" s="66" t="s">
        <v>253</v>
      </c>
      <c r="C39" s="14" t="s">
        <v>64</v>
      </c>
      <c r="D39" s="18" t="s">
        <v>107</v>
      </c>
      <c r="E39" s="14" t="s">
        <v>28</v>
      </c>
      <c r="F39" s="15">
        <v>15</v>
      </c>
      <c r="G39" s="40">
        <v>25725000</v>
      </c>
      <c r="H39" s="40"/>
      <c r="I39" s="20" t="s">
        <v>19</v>
      </c>
      <c r="J39" s="100" t="str">
        <f>IF(List3[[#This Row],[TRF]]="Done","Sudah Transfer","Proses PP/Pengajuan Approval")</f>
        <v>Sudah Transfer</v>
      </c>
      <c r="K39" s="183">
        <v>44252</v>
      </c>
      <c r="L39" s="100" t="s">
        <v>65</v>
      </c>
      <c r="M39" s="100">
        <f>MONTH(List3[[#This Row],[Tanggal Pengajuan]])</f>
        <v>3</v>
      </c>
      <c r="N39" s="183"/>
      <c r="O39" s="100" t="s">
        <v>254</v>
      </c>
      <c r="P39" s="110"/>
      <c r="Q39" s="237"/>
      <c r="R39" s="804">
        <f>+G39</f>
        <v>25725000</v>
      </c>
    </row>
    <row r="40" spans="1:18" s="4" customFormat="1" ht="39.75" customHeight="1" x14ac:dyDescent="0.2">
      <c r="A40" s="19">
        <v>44536</v>
      </c>
      <c r="B40" s="181" t="s">
        <v>606</v>
      </c>
      <c r="C40" s="176" t="s">
        <v>607</v>
      </c>
      <c r="D40" s="176" t="s">
        <v>107</v>
      </c>
      <c r="E40" s="14" t="s">
        <v>28</v>
      </c>
      <c r="F40" s="469">
        <v>31</v>
      </c>
      <c r="G40" s="40">
        <v>50000000</v>
      </c>
      <c r="H40" s="40"/>
      <c r="I40" s="16" t="s">
        <v>19</v>
      </c>
      <c r="J40" s="20" t="s">
        <v>20</v>
      </c>
      <c r="K40" s="755">
        <v>44560</v>
      </c>
      <c r="L40" s="20"/>
      <c r="M40" s="20">
        <f>MONTH(List3[[#This Row],[Tanggal Pengajuan]])</f>
        <v>3</v>
      </c>
      <c r="N40" s="183"/>
      <c r="O40" s="20"/>
      <c r="P40" s="761"/>
      <c r="Q40" s="230" t="s">
        <v>958</v>
      </c>
      <c r="R40" s="804">
        <f t="shared" ref="R40:R45" si="0">+G40</f>
        <v>50000000</v>
      </c>
    </row>
    <row r="41" spans="1:18" s="4" customFormat="1" ht="39.75" customHeight="1" x14ac:dyDescent="0.2">
      <c r="A41" s="19">
        <v>44560</v>
      </c>
      <c r="B41" s="185" t="s">
        <v>631</v>
      </c>
      <c r="C41" s="176" t="s">
        <v>591</v>
      </c>
      <c r="D41" s="176" t="s">
        <v>107</v>
      </c>
      <c r="E41" s="14" t="s">
        <v>28</v>
      </c>
      <c r="F41" s="469">
        <v>0</v>
      </c>
      <c r="G41" s="40">
        <v>50000000</v>
      </c>
      <c r="H41" s="40"/>
      <c r="I41" s="16" t="s">
        <v>19</v>
      </c>
      <c r="J41" s="20" t="s">
        <v>20</v>
      </c>
      <c r="K41" s="755">
        <v>44561</v>
      </c>
      <c r="L41" s="20"/>
      <c r="M41" s="20">
        <f>MONTH(List3[[#This Row],[Tanggal Pengajuan]])</f>
        <v>3</v>
      </c>
      <c r="N41" s="183"/>
      <c r="O41" s="20"/>
      <c r="P41" s="761"/>
      <c r="Q41" s="230" t="s">
        <v>958</v>
      </c>
      <c r="R41" s="804">
        <f t="shared" si="0"/>
        <v>50000000</v>
      </c>
    </row>
    <row r="42" spans="1:18" s="4" customFormat="1" ht="39.75" customHeight="1" x14ac:dyDescent="0.2">
      <c r="A42" s="19">
        <v>44560</v>
      </c>
      <c r="B42" s="181" t="s">
        <v>630</v>
      </c>
      <c r="C42" s="176" t="s">
        <v>592</v>
      </c>
      <c r="D42" s="176" t="s">
        <v>107</v>
      </c>
      <c r="E42" s="14" t="s">
        <v>28</v>
      </c>
      <c r="F42" s="469">
        <v>0</v>
      </c>
      <c r="G42" s="40">
        <v>30720000</v>
      </c>
      <c r="H42" s="40"/>
      <c r="I42" s="16" t="s">
        <v>19</v>
      </c>
      <c r="J42" s="20" t="s">
        <v>20</v>
      </c>
      <c r="K42" s="755">
        <v>44561</v>
      </c>
      <c r="L42" s="20"/>
      <c r="M42" s="20">
        <f>MONTH(List3[[#This Row],[Tanggal Pengajuan]])</f>
        <v>3</v>
      </c>
      <c r="N42" s="183"/>
      <c r="O42" s="20"/>
      <c r="P42" s="761"/>
      <c r="Q42" s="230" t="s">
        <v>958</v>
      </c>
      <c r="R42" s="804">
        <f t="shared" si="0"/>
        <v>30720000</v>
      </c>
    </row>
    <row r="43" spans="1:18" s="4" customFormat="1" ht="39.75" customHeight="1" x14ac:dyDescent="0.2">
      <c r="A43" s="19">
        <v>44560</v>
      </c>
      <c r="B43" s="181" t="s">
        <v>631</v>
      </c>
      <c r="C43" s="176" t="s">
        <v>634</v>
      </c>
      <c r="D43" s="176" t="s">
        <v>107</v>
      </c>
      <c r="E43" s="14" t="s">
        <v>28</v>
      </c>
      <c r="F43" s="469">
        <v>35</v>
      </c>
      <c r="G43" s="40">
        <v>35000000</v>
      </c>
      <c r="H43" s="40"/>
      <c r="I43" s="16" t="s">
        <v>19</v>
      </c>
      <c r="J43" s="20" t="s">
        <v>20</v>
      </c>
      <c r="K43" s="755">
        <v>44561</v>
      </c>
      <c r="L43" s="20"/>
      <c r="M43" s="20">
        <f>MONTH(List3[[#This Row],[Tanggal Pengajuan]])</f>
        <v>3</v>
      </c>
      <c r="N43" s="183"/>
      <c r="O43" s="20"/>
      <c r="P43" s="761"/>
      <c r="Q43" s="230" t="s">
        <v>958</v>
      </c>
      <c r="R43" s="804">
        <f t="shared" si="0"/>
        <v>35000000</v>
      </c>
    </row>
    <row r="44" spans="1:18" s="4" customFormat="1" ht="39.75" customHeight="1" x14ac:dyDescent="0.2">
      <c r="A44" s="19">
        <v>44560</v>
      </c>
      <c r="B44" s="181" t="s">
        <v>632</v>
      </c>
      <c r="C44" s="176" t="s">
        <v>633</v>
      </c>
      <c r="D44" s="176" t="s">
        <v>107</v>
      </c>
      <c r="E44" s="14" t="s">
        <v>28</v>
      </c>
      <c r="F44" s="469">
        <v>0</v>
      </c>
      <c r="G44" s="40">
        <v>35000000</v>
      </c>
      <c r="H44" s="40"/>
      <c r="I44" s="16" t="s">
        <v>19</v>
      </c>
      <c r="J44" s="20" t="s">
        <v>20</v>
      </c>
      <c r="K44" s="755">
        <v>44561</v>
      </c>
      <c r="L44" s="20"/>
      <c r="M44" s="20">
        <f>MONTH(List3[[#This Row],[Tanggal Pengajuan]])</f>
        <v>3</v>
      </c>
      <c r="N44" s="183"/>
      <c r="O44" s="20"/>
      <c r="P44" s="761"/>
      <c r="Q44" s="230" t="s">
        <v>958</v>
      </c>
      <c r="R44" s="804">
        <f t="shared" si="0"/>
        <v>35000000</v>
      </c>
    </row>
    <row r="45" spans="1:18" s="4" customFormat="1" ht="39.75" customHeight="1" x14ac:dyDescent="0.2">
      <c r="A45" s="19">
        <v>44561</v>
      </c>
      <c r="B45" s="181" t="s">
        <v>604</v>
      </c>
      <c r="C45" s="176" t="s">
        <v>605</v>
      </c>
      <c r="D45" s="176" t="s">
        <v>107</v>
      </c>
      <c r="E45" s="14" t="s">
        <v>28</v>
      </c>
      <c r="F45" s="469">
        <v>0</v>
      </c>
      <c r="G45" s="40">
        <v>70000000</v>
      </c>
      <c r="H45" s="40"/>
      <c r="I45" s="16" t="s">
        <v>19</v>
      </c>
      <c r="J45" s="20" t="s">
        <v>20</v>
      </c>
      <c r="K45" s="755">
        <v>44561</v>
      </c>
      <c r="L45" s="20"/>
      <c r="M45" s="20">
        <f>MONTH(List3[[#This Row],[Tanggal Pengajuan]])</f>
        <v>3</v>
      </c>
      <c r="N45" s="183"/>
      <c r="O45" s="20"/>
      <c r="P45" s="761"/>
      <c r="Q45" s="230" t="s">
        <v>958</v>
      </c>
      <c r="R45" s="804">
        <f t="shared" si="0"/>
        <v>70000000</v>
      </c>
    </row>
    <row r="46" spans="1:18" s="8" customFormat="1" ht="15.75" x14ac:dyDescent="0.2">
      <c r="A46" s="764"/>
      <c r="B46" s="765"/>
      <c r="C46" s="766"/>
      <c r="D46" s="766"/>
      <c r="E46" s="406"/>
      <c r="F46" s="767"/>
      <c r="G46" s="768"/>
      <c r="H46" s="768"/>
      <c r="I46" s="769"/>
      <c r="J46" s="766"/>
      <c r="K46" s="764"/>
      <c r="L46" s="766"/>
      <c r="M46" s="766"/>
      <c r="N46" s="650"/>
      <c r="O46" s="766"/>
      <c r="P46" s="770"/>
      <c r="Q46" s="652"/>
      <c r="R46" s="771"/>
    </row>
    <row r="47" spans="1:18" s="8" customFormat="1" ht="15.75" x14ac:dyDescent="0.2">
      <c r="A47" s="772"/>
      <c r="B47" s="773"/>
      <c r="C47" s="774"/>
      <c r="D47" s="774"/>
      <c r="E47" s="618"/>
      <c r="F47" s="775"/>
      <c r="G47" s="805">
        <f>SUM(G39:G46)</f>
        <v>296445000</v>
      </c>
      <c r="H47" s="776"/>
      <c r="I47" s="777"/>
      <c r="J47" s="774"/>
      <c r="K47" s="772"/>
      <c r="L47" s="774"/>
      <c r="M47" s="774"/>
      <c r="N47" s="658"/>
      <c r="O47" s="774"/>
      <c r="P47" s="778"/>
      <c r="Q47" s="660"/>
      <c r="R47" s="805">
        <f>SUM(R39:R46)</f>
        <v>296445000</v>
      </c>
    </row>
    <row r="48" spans="1:18" s="8" customFormat="1" ht="15.75" x14ac:dyDescent="0.2">
      <c r="A48" s="772"/>
      <c r="B48" s="773"/>
      <c r="C48" s="774"/>
      <c r="D48" s="774"/>
      <c r="E48" s="618"/>
      <c r="F48" s="775"/>
      <c r="G48" s="776"/>
      <c r="H48" s="776"/>
      <c r="I48" s="777"/>
      <c r="J48" s="774"/>
      <c r="K48" s="772"/>
      <c r="L48" s="774"/>
      <c r="M48" s="774"/>
      <c r="N48" s="658"/>
      <c r="O48" s="774"/>
      <c r="P48" s="778"/>
      <c r="Q48" s="660"/>
      <c r="R48" s="803">
        <f>+R47-'S1-S2  2021'!O5</f>
        <v>15000000</v>
      </c>
    </row>
    <row r="49" spans="1:18" s="8" customFormat="1" ht="15.75" x14ac:dyDescent="0.2">
      <c r="A49" s="772"/>
      <c r="B49" s="773"/>
      <c r="C49" s="774"/>
      <c r="D49" s="774"/>
      <c r="E49" s="618"/>
      <c r="F49" s="775"/>
      <c r="G49" s="776"/>
      <c r="H49" s="776"/>
      <c r="I49" s="777"/>
      <c r="J49" s="774"/>
      <c r="K49" s="772"/>
      <c r="L49" s="774"/>
      <c r="M49" s="774"/>
      <c r="N49" s="658"/>
      <c r="O49" s="774"/>
      <c r="P49" s="778"/>
      <c r="Q49" s="660"/>
      <c r="R49" s="771"/>
    </row>
    <row r="50" spans="1:18" s="8" customFormat="1" ht="15.75" x14ac:dyDescent="0.2">
      <c r="A50" s="772"/>
      <c r="B50" s="773"/>
      <c r="C50" s="774"/>
      <c r="D50" s="774"/>
      <c r="E50" s="618"/>
      <c r="F50" s="775"/>
      <c r="G50" s="776"/>
      <c r="H50" s="776"/>
      <c r="I50" s="777"/>
      <c r="J50" s="774"/>
      <c r="K50" s="772"/>
      <c r="L50" s="774"/>
      <c r="M50" s="774"/>
      <c r="N50" s="658"/>
      <c r="O50" s="774"/>
      <c r="P50" s="778"/>
      <c r="Q50" s="660"/>
      <c r="R50" s="771"/>
    </row>
    <row r="51" spans="1:18" s="8" customFormat="1" ht="15.75" x14ac:dyDescent="0.2">
      <c r="A51" s="779"/>
      <c r="B51" s="780"/>
      <c r="C51" s="781"/>
      <c r="D51" s="781"/>
      <c r="E51" s="663"/>
      <c r="F51" s="782"/>
      <c r="G51" s="783"/>
      <c r="H51" s="783"/>
      <c r="I51" s="784"/>
      <c r="J51" s="781"/>
      <c r="K51" s="772"/>
      <c r="L51" s="781"/>
      <c r="M51" s="781"/>
      <c r="N51" s="658"/>
      <c r="O51" s="781"/>
      <c r="P51" s="785"/>
      <c r="Q51" s="670"/>
      <c r="R51" s="771"/>
    </row>
    <row r="52" spans="1:18" s="4" customFormat="1" ht="32.25" customHeight="1" x14ac:dyDescent="0.2">
      <c r="A52" s="13">
        <v>44249</v>
      </c>
      <c r="B52" s="66" t="s">
        <v>269</v>
      </c>
      <c r="C52" s="14" t="s">
        <v>48</v>
      </c>
      <c r="D52" s="18" t="s">
        <v>26</v>
      </c>
      <c r="E52" s="14" t="s">
        <v>28</v>
      </c>
      <c r="F52" s="15">
        <v>32</v>
      </c>
      <c r="G52" s="40">
        <v>3580500</v>
      </c>
      <c r="H52" s="40"/>
      <c r="I52" s="16"/>
      <c r="J52" s="100" t="str">
        <f>IF(List3[[#This Row],[TRF]]="Done","Sudah Transfer","Proses PP/Pengajuan Approval")</f>
        <v>Proses PP/Pengajuan Approval</v>
      </c>
      <c r="K52" s="183"/>
      <c r="L52" s="100" t="s">
        <v>270</v>
      </c>
      <c r="M52" s="100">
        <f>MONTH(List3[[#This Row],[Tanggal Pengajuan]])</f>
        <v>3</v>
      </c>
      <c r="N52" s="183"/>
      <c r="O52" s="100" t="s">
        <v>271</v>
      </c>
      <c r="P52" s="110" t="s">
        <v>364</v>
      </c>
      <c r="Q52" s="237"/>
      <c r="R52" s="804">
        <f>+G52</f>
        <v>3580500</v>
      </c>
    </row>
    <row r="53" spans="1:18" s="4" customFormat="1" ht="32.25" customHeight="1" x14ac:dyDescent="0.2">
      <c r="A53" s="19">
        <v>44544</v>
      </c>
      <c r="B53" s="181" t="s">
        <v>626</v>
      </c>
      <c r="C53" s="176" t="s">
        <v>627</v>
      </c>
      <c r="D53" s="176" t="s">
        <v>26</v>
      </c>
      <c r="E53" s="14" t="s">
        <v>28</v>
      </c>
      <c r="F53" s="469">
        <v>0</v>
      </c>
      <c r="G53" s="40">
        <v>33750000</v>
      </c>
      <c r="H53" s="171"/>
      <c r="I53" s="16" t="s">
        <v>72</v>
      </c>
      <c r="J53" s="193"/>
      <c r="K53" s="194"/>
      <c r="L53" s="193" t="s">
        <v>336</v>
      </c>
      <c r="M53" s="100">
        <f>MONTH(List3[[#This Row],[Tanggal Pengajuan]])</f>
        <v>3</v>
      </c>
      <c r="N53" s="194"/>
      <c r="O53" s="193" t="s">
        <v>1008</v>
      </c>
      <c r="P53" s="212"/>
      <c r="Q53" s="230" t="s">
        <v>958</v>
      </c>
      <c r="R53" s="804">
        <f>+G53</f>
        <v>33750000</v>
      </c>
    </row>
    <row r="54" spans="1:18" s="4" customFormat="1" ht="32.25" customHeight="1" x14ac:dyDescent="0.2">
      <c r="A54" s="19">
        <v>44549</v>
      </c>
      <c r="B54" s="593" t="s">
        <v>636</v>
      </c>
      <c r="C54" s="176" t="s">
        <v>602</v>
      </c>
      <c r="D54" s="176" t="s">
        <v>26</v>
      </c>
      <c r="E54" s="14" t="s">
        <v>28</v>
      </c>
      <c r="F54" s="469">
        <v>0</v>
      </c>
      <c r="G54" s="40">
        <v>30000000</v>
      </c>
      <c r="H54" s="40"/>
      <c r="I54" s="16" t="s">
        <v>72</v>
      </c>
      <c r="J54" s="100" t="str">
        <f>IF(List3[[#This Row],[TRF]]="Done","Sudah Transfer","Proses PP/Pengajuan Approval")</f>
        <v>Sudah Transfer</v>
      </c>
      <c r="K54" s="183"/>
      <c r="L54" s="100" t="s">
        <v>340</v>
      </c>
      <c r="M54" s="100">
        <f>MONTH(List3[[#This Row],[Tanggal Pengajuan]])</f>
        <v>3</v>
      </c>
      <c r="N54" s="183"/>
      <c r="O54" s="100" t="s">
        <v>339</v>
      </c>
      <c r="P54" s="110"/>
      <c r="Q54" s="230" t="s">
        <v>958</v>
      </c>
      <c r="R54" s="577"/>
    </row>
    <row r="55" spans="1:18" s="4" customFormat="1" ht="32.25" customHeight="1" x14ac:dyDescent="0.2">
      <c r="A55" s="13">
        <v>44308</v>
      </c>
      <c r="B55" s="67" t="s">
        <v>344</v>
      </c>
      <c r="C55" s="14" t="s">
        <v>348</v>
      </c>
      <c r="D55" s="18" t="s">
        <v>26</v>
      </c>
      <c r="E55" s="14" t="s">
        <v>28</v>
      </c>
      <c r="F55" s="15">
        <v>0</v>
      </c>
      <c r="G55" s="40">
        <v>5000000</v>
      </c>
      <c r="H55" s="40"/>
      <c r="I55" s="16" t="s">
        <v>19</v>
      </c>
      <c r="J55" s="100" t="str">
        <f>IF(List3[[#This Row],[TRF]]="Done","Sudah Transfer","Proses PP/Pengajuan Approval")</f>
        <v>Proses PP/Pengajuan Approval</v>
      </c>
      <c r="K55" s="183"/>
      <c r="L55" s="100" t="s">
        <v>346</v>
      </c>
      <c r="M55" s="100">
        <f>MONTH(List3[[#This Row],[Tanggal Pengajuan]])</f>
        <v>3</v>
      </c>
      <c r="N55" s="183"/>
      <c r="O55" s="100" t="s">
        <v>345</v>
      </c>
      <c r="P55" s="110"/>
      <c r="Q55" s="230" t="s">
        <v>958</v>
      </c>
      <c r="R55" s="577"/>
    </row>
    <row r="56" spans="1:18" s="4" customFormat="1" ht="32.25" customHeight="1" x14ac:dyDescent="0.2">
      <c r="A56" s="13">
        <v>44677</v>
      </c>
      <c r="B56" s="67" t="s">
        <v>971</v>
      </c>
      <c r="C56" s="14" t="s">
        <v>348</v>
      </c>
      <c r="D56" s="18" t="s">
        <v>26</v>
      </c>
      <c r="E56" s="14" t="s">
        <v>28</v>
      </c>
      <c r="F56" s="15">
        <v>0</v>
      </c>
      <c r="G56" s="40">
        <v>30000000</v>
      </c>
      <c r="H56" s="40"/>
      <c r="I56" s="16"/>
      <c r="J56" s="100"/>
      <c r="K56" s="183"/>
      <c r="L56" s="100" t="s">
        <v>975</v>
      </c>
      <c r="M56" s="100">
        <f>MONTH(List3[[#This Row],[Tanggal Pengajuan]])</f>
        <v>4</v>
      </c>
      <c r="N56" s="183"/>
      <c r="O56" s="100" t="s">
        <v>976</v>
      </c>
      <c r="P56" s="110"/>
      <c r="Q56" s="230" t="s">
        <v>958</v>
      </c>
      <c r="R56" s="577"/>
    </row>
    <row r="57" spans="1:18" s="4" customFormat="1" ht="32.25" customHeight="1" x14ac:dyDescent="0.2">
      <c r="A57" s="13">
        <v>44677</v>
      </c>
      <c r="B57" s="67" t="s">
        <v>972</v>
      </c>
      <c r="C57" s="103" t="s">
        <v>348</v>
      </c>
      <c r="D57" s="18" t="s">
        <v>26</v>
      </c>
      <c r="E57" s="14" t="s">
        <v>28</v>
      </c>
      <c r="F57" s="15">
        <v>0</v>
      </c>
      <c r="G57" s="40">
        <v>30000000</v>
      </c>
      <c r="H57" s="40"/>
      <c r="I57" s="16"/>
      <c r="J57" s="100"/>
      <c r="K57" s="183"/>
      <c r="L57" s="100" t="s">
        <v>977</v>
      </c>
      <c r="M57" s="100">
        <f>MONTH(List3[[#This Row],[Tanggal Pengajuan]])</f>
        <v>4</v>
      </c>
      <c r="N57" s="183"/>
      <c r="O57" s="105" t="s">
        <v>980</v>
      </c>
      <c r="P57" s="111"/>
      <c r="Q57" s="230" t="s">
        <v>958</v>
      </c>
      <c r="R57" s="577"/>
    </row>
    <row r="58" spans="1:18" s="4" customFormat="1" ht="32.25" customHeight="1" x14ac:dyDescent="0.2">
      <c r="A58" s="13">
        <v>44677</v>
      </c>
      <c r="B58" s="67" t="s">
        <v>973</v>
      </c>
      <c r="C58" s="14" t="s">
        <v>348</v>
      </c>
      <c r="D58" s="18" t="s">
        <v>26</v>
      </c>
      <c r="E58" s="14" t="s">
        <v>28</v>
      </c>
      <c r="F58" s="15">
        <v>0</v>
      </c>
      <c r="G58" s="40">
        <v>30000000</v>
      </c>
      <c r="H58" s="40"/>
      <c r="I58" s="16"/>
      <c r="J58" s="100"/>
      <c r="K58" s="62"/>
      <c r="L58" s="100" t="s">
        <v>978</v>
      </c>
      <c r="M58" s="100">
        <f>MONTH(List3[[#This Row],[Tanggal Pengajuan]])</f>
        <v>4</v>
      </c>
      <c r="N58" s="62"/>
      <c r="O58" s="100" t="s">
        <v>979</v>
      </c>
      <c r="P58" s="111"/>
      <c r="Q58" s="230" t="s">
        <v>958</v>
      </c>
      <c r="R58" s="577"/>
    </row>
    <row r="59" spans="1:18" s="4" customFormat="1" ht="32.25" customHeight="1" x14ac:dyDescent="0.35">
      <c r="A59" s="13">
        <v>44308</v>
      </c>
      <c r="B59" s="67"/>
      <c r="C59" s="14" t="s">
        <v>348</v>
      </c>
      <c r="D59" s="18" t="s">
        <v>26</v>
      </c>
      <c r="E59" s="14" t="s">
        <v>28</v>
      </c>
      <c r="F59" s="15">
        <v>0</v>
      </c>
      <c r="G59" s="40"/>
      <c r="H59" s="40"/>
      <c r="I59" s="16"/>
      <c r="J59" s="753">
        <v>8717000</v>
      </c>
      <c r="K59" s="62"/>
      <c r="L59" s="100"/>
      <c r="M59" s="100">
        <f>MONTH(List3[[#This Row],[Tanggal Pengajuan]])</f>
        <v>4</v>
      </c>
      <c r="N59" s="62"/>
      <c r="O59" s="100" t="s">
        <v>350</v>
      </c>
      <c r="P59" s="111" t="s">
        <v>317</v>
      </c>
      <c r="Q59" s="762" t="s">
        <v>317</v>
      </c>
      <c r="R59" s="804">
        <f>SUM(G54:G59)</f>
        <v>125000000</v>
      </c>
    </row>
    <row r="60" spans="1:18" s="4" customFormat="1" ht="32.25" customHeight="1" x14ac:dyDescent="0.2">
      <c r="A60" s="19">
        <v>44512</v>
      </c>
      <c r="B60" s="163" t="s">
        <v>572</v>
      </c>
      <c r="C60" s="176" t="s">
        <v>573</v>
      </c>
      <c r="D60" s="176" t="s">
        <v>26</v>
      </c>
      <c r="E60" s="14" t="s">
        <v>28</v>
      </c>
      <c r="F60" s="469">
        <v>0</v>
      </c>
      <c r="G60" s="40">
        <v>20307500</v>
      </c>
      <c r="H60" s="40"/>
      <c r="I60" s="16" t="s">
        <v>72</v>
      </c>
      <c r="J60" s="100" t="str">
        <f>IF(List3[[#This Row],[TRF]]="Done","Sudah Transfer","Proses PP/Pengajuan Approval")</f>
        <v>Proses PP/Pengajuan Approval</v>
      </c>
      <c r="K60" s="63"/>
      <c r="L60" s="100" t="s">
        <v>369</v>
      </c>
      <c r="M60" s="100">
        <f>MONTH(List3[[#This Row],[Tanggal Pengajuan]])</f>
        <v>4</v>
      </c>
      <c r="N60" s="62"/>
      <c r="O60" s="100" t="s">
        <v>370</v>
      </c>
      <c r="P60" s="111"/>
      <c r="Q60" s="230" t="s">
        <v>958</v>
      </c>
      <c r="R60" s="804">
        <f>+G60</f>
        <v>20307500</v>
      </c>
    </row>
    <row r="61" spans="1:18" s="4" customFormat="1" ht="32.25" customHeight="1" x14ac:dyDescent="0.2">
      <c r="A61" s="13">
        <v>44371</v>
      </c>
      <c r="B61" s="67" t="s">
        <v>368</v>
      </c>
      <c r="C61" s="103" t="s">
        <v>371</v>
      </c>
      <c r="D61" s="18" t="s">
        <v>26</v>
      </c>
      <c r="E61" s="14" t="s">
        <v>28</v>
      </c>
      <c r="F61" s="15">
        <v>0</v>
      </c>
      <c r="G61" s="40">
        <v>35000000</v>
      </c>
      <c r="H61" s="40"/>
      <c r="I61" s="16" t="s">
        <v>19</v>
      </c>
      <c r="J61" s="100" t="str">
        <f>IF(List3[[#This Row],[TRF]]="Done","Sudah Transfer","Proses PP/Pengajuan Approval")</f>
        <v>Proses PP/Pengajuan Approval</v>
      </c>
      <c r="K61" s="183">
        <v>44399</v>
      </c>
      <c r="L61" s="100" t="s">
        <v>386</v>
      </c>
      <c r="M61" s="100">
        <f>MONTH(List3[[#This Row],[Tanggal Pengajuan]])</f>
        <v>4</v>
      </c>
      <c r="N61" s="183"/>
      <c r="O61" s="105" t="s">
        <v>387</v>
      </c>
      <c r="P61" s="111"/>
      <c r="Q61" s="230" t="s">
        <v>958</v>
      </c>
      <c r="R61" s="804">
        <f>+G61</f>
        <v>35000000</v>
      </c>
    </row>
    <row r="62" spans="1:18" s="4" customFormat="1" ht="32.25" customHeight="1" x14ac:dyDescent="0.2">
      <c r="A62" s="239">
        <v>44295</v>
      </c>
      <c r="B62" s="163" t="s">
        <v>334</v>
      </c>
      <c r="C62" s="193" t="s">
        <v>335</v>
      </c>
      <c r="D62" s="174" t="s">
        <v>26</v>
      </c>
      <c r="E62" s="164" t="s">
        <v>28</v>
      </c>
      <c r="F62" s="15">
        <v>0</v>
      </c>
      <c r="G62" s="180">
        <v>0</v>
      </c>
      <c r="H62" s="40"/>
      <c r="I62" s="104" t="s">
        <v>19</v>
      </c>
      <c r="J62" s="746" t="s">
        <v>20</v>
      </c>
      <c r="K62" s="183">
        <v>44421</v>
      </c>
      <c r="L62" s="105" t="s">
        <v>21</v>
      </c>
      <c r="M62" s="105">
        <f>MONTH(List3[[#This Row],[Tanggal Pengajuan]])</f>
        <v>4</v>
      </c>
      <c r="N62" s="183"/>
      <c r="O62" s="100" t="s">
        <v>418</v>
      </c>
      <c r="P62" s="110"/>
      <c r="Q62" s="230" t="s">
        <v>958</v>
      </c>
      <c r="R62" s="804">
        <f>+G62</f>
        <v>0</v>
      </c>
    </row>
    <row r="63" spans="1:18" s="4" customFormat="1" ht="32.25" customHeight="1" x14ac:dyDescent="0.2">
      <c r="A63" s="21">
        <v>44506</v>
      </c>
      <c r="B63" s="163" t="s">
        <v>567</v>
      </c>
      <c r="C63" s="806" t="s">
        <v>568</v>
      </c>
      <c r="D63" s="176" t="s">
        <v>26</v>
      </c>
      <c r="E63" s="14" t="s">
        <v>28</v>
      </c>
      <c r="F63" s="469">
        <v>0</v>
      </c>
      <c r="G63" s="41">
        <v>3599000</v>
      </c>
      <c r="H63" s="40"/>
      <c r="I63" s="104" t="s">
        <v>19</v>
      </c>
      <c r="J63" s="105" t="s">
        <v>209</v>
      </c>
      <c r="K63" s="183"/>
      <c r="L63" s="105" t="s">
        <v>21</v>
      </c>
      <c r="M63" s="105">
        <f>MONTH(List3[[#This Row],[Tanggal Pengajuan]])</f>
        <v>4</v>
      </c>
      <c r="N63" s="183"/>
      <c r="O63" s="746" t="s">
        <v>417</v>
      </c>
      <c r="P63" s="100"/>
      <c r="Q63" s="230" t="s">
        <v>958</v>
      </c>
      <c r="R63" s="804">
        <f>+G63</f>
        <v>3599000</v>
      </c>
    </row>
    <row r="64" spans="1:18" s="4" customFormat="1" ht="32.25" customHeight="1" x14ac:dyDescent="0.2">
      <c r="A64" s="21">
        <v>44536</v>
      </c>
      <c r="B64" s="593" t="s">
        <v>623</v>
      </c>
      <c r="C64" s="600" t="s">
        <v>625</v>
      </c>
      <c r="D64" s="176" t="s">
        <v>26</v>
      </c>
      <c r="E64" s="14" t="s">
        <v>28</v>
      </c>
      <c r="F64" s="469">
        <v>0</v>
      </c>
      <c r="G64" s="40">
        <v>1198800</v>
      </c>
      <c r="H64" s="40"/>
      <c r="I64" s="16" t="s">
        <v>19</v>
      </c>
      <c r="J64" s="100" t="s">
        <v>209</v>
      </c>
      <c r="K64" s="183"/>
      <c r="L64" s="100" t="s">
        <v>21</v>
      </c>
      <c r="M64" s="100">
        <f>MONTH(List3[[#This Row],[Tanggal Pengajuan]])</f>
        <v>4</v>
      </c>
      <c r="N64" s="183"/>
      <c r="O64" s="105" t="s">
        <v>419</v>
      </c>
      <c r="P64" s="111"/>
      <c r="Q64" s="230" t="s">
        <v>958</v>
      </c>
      <c r="R64" s="577"/>
    </row>
    <row r="65" spans="1:18" s="4" customFormat="1" ht="32.25" customHeight="1" x14ac:dyDescent="0.2">
      <c r="A65" s="21">
        <v>44549</v>
      </c>
      <c r="B65" s="593" t="s">
        <v>601</v>
      </c>
      <c r="C65" s="806" t="s">
        <v>625</v>
      </c>
      <c r="D65" s="600" t="s">
        <v>26</v>
      </c>
      <c r="E65" s="14" t="s">
        <v>28</v>
      </c>
      <c r="F65" s="469">
        <v>0</v>
      </c>
      <c r="G65" s="41">
        <v>1053000</v>
      </c>
      <c r="H65" s="171"/>
      <c r="I65" s="104" t="s">
        <v>19</v>
      </c>
      <c r="J65" s="105" t="s">
        <v>209</v>
      </c>
      <c r="K65" s="183">
        <v>44436</v>
      </c>
      <c r="L65" s="105" t="s">
        <v>386</v>
      </c>
      <c r="M65" s="105">
        <f>MONTH(List3[[#This Row],[Tanggal Pengajuan]])</f>
        <v>4</v>
      </c>
      <c r="N65" s="183"/>
      <c r="O65" s="105"/>
      <c r="P65" s="111"/>
      <c r="Q65" s="230" t="s">
        <v>958</v>
      </c>
      <c r="R65" s="804">
        <f>SUM(G64:G65)</f>
        <v>2251800</v>
      </c>
    </row>
    <row r="66" spans="1:18" s="4" customFormat="1" ht="32.25" customHeight="1" x14ac:dyDescent="0.2">
      <c r="A66" s="102">
        <v>44301</v>
      </c>
      <c r="B66" s="67" t="s">
        <v>337</v>
      </c>
      <c r="C66" s="103" t="s">
        <v>338</v>
      </c>
      <c r="D66" s="18" t="s">
        <v>26</v>
      </c>
      <c r="E66" s="14" t="s">
        <v>28</v>
      </c>
      <c r="F66" s="15">
        <v>0</v>
      </c>
      <c r="G66" s="40">
        <v>35000024</v>
      </c>
      <c r="H66" s="40"/>
      <c r="I66" s="16" t="s">
        <v>19</v>
      </c>
      <c r="J66" s="100" t="s">
        <v>20</v>
      </c>
      <c r="K66" s="183">
        <v>44484</v>
      </c>
      <c r="L66" s="100" t="s">
        <v>448</v>
      </c>
      <c r="M66" s="100">
        <f>MONTH(List3[[#This Row],[Tanggal Pengajuan]])</f>
        <v>4</v>
      </c>
      <c r="N66" s="183"/>
      <c r="O66" s="105" t="s">
        <v>449</v>
      </c>
      <c r="P66" s="111"/>
      <c r="Q66" s="230" t="s">
        <v>958</v>
      </c>
      <c r="R66" s="804">
        <f>+G66</f>
        <v>35000024</v>
      </c>
    </row>
    <row r="67" spans="1:18" s="4" customFormat="1" ht="32.25" customHeight="1" x14ac:dyDescent="0.2">
      <c r="A67" s="102">
        <v>44467</v>
      </c>
      <c r="B67" s="163" t="s">
        <v>495</v>
      </c>
      <c r="C67" s="168" t="s">
        <v>496</v>
      </c>
      <c r="D67" s="174" t="s">
        <v>26</v>
      </c>
      <c r="E67" s="164" t="s">
        <v>28</v>
      </c>
      <c r="F67" s="178">
        <v>0</v>
      </c>
      <c r="G67" s="180">
        <v>25000000</v>
      </c>
      <c r="H67" s="41"/>
      <c r="I67" s="16" t="s">
        <v>19</v>
      </c>
      <c r="J67" s="100" t="s">
        <v>20</v>
      </c>
      <c r="K67" s="183">
        <v>44484</v>
      </c>
      <c r="L67" s="105" t="s">
        <v>451</v>
      </c>
      <c r="M67" s="105">
        <f>MONTH(List3[[#This Row],[Tanggal Pengajuan]])</f>
        <v>4</v>
      </c>
      <c r="N67" s="183"/>
      <c r="O67" s="105" t="s">
        <v>452</v>
      </c>
      <c r="P67" s="111"/>
      <c r="Q67" s="230" t="s">
        <v>958</v>
      </c>
      <c r="R67" s="577"/>
    </row>
    <row r="68" spans="1:18" s="4" customFormat="1" ht="32.25" customHeight="1" x14ac:dyDescent="0.2">
      <c r="A68" s="21">
        <v>44536</v>
      </c>
      <c r="B68" s="593" t="s">
        <v>624</v>
      </c>
      <c r="C68" s="600" t="s">
        <v>496</v>
      </c>
      <c r="D68" s="176" t="s">
        <v>26</v>
      </c>
      <c r="E68" s="14" t="s">
        <v>28</v>
      </c>
      <c r="F68" s="469">
        <v>0</v>
      </c>
      <c r="G68" s="41">
        <v>100000000</v>
      </c>
      <c r="H68" s="41"/>
      <c r="I68" s="104" t="s">
        <v>19</v>
      </c>
      <c r="J68" s="100" t="s">
        <v>20</v>
      </c>
      <c r="K68" s="183">
        <v>44484</v>
      </c>
      <c r="L68" s="105" t="s">
        <v>453</v>
      </c>
      <c r="M68" s="105">
        <f>MONTH(List3[[#This Row],[Tanggal Pengajuan]])</f>
        <v>4</v>
      </c>
      <c r="N68" s="183"/>
      <c r="O68" s="105" t="s">
        <v>455</v>
      </c>
      <c r="P68" s="111"/>
      <c r="Q68" s="230" t="s">
        <v>958</v>
      </c>
      <c r="R68" s="804">
        <f>SUM(G67:G68)</f>
        <v>125000000</v>
      </c>
    </row>
    <row r="69" spans="1:18" s="4" customFormat="1" ht="32.25" customHeight="1" x14ac:dyDescent="0.2">
      <c r="A69" s="102">
        <v>44391</v>
      </c>
      <c r="B69" s="67" t="s">
        <v>385</v>
      </c>
      <c r="C69" s="103" t="s">
        <v>386</v>
      </c>
      <c r="D69" s="18" t="s">
        <v>26</v>
      </c>
      <c r="E69" s="14" t="s">
        <v>28</v>
      </c>
      <c r="F69" s="15">
        <v>63</v>
      </c>
      <c r="G69" s="41">
        <v>7500000</v>
      </c>
      <c r="H69" s="41"/>
      <c r="I69" s="104" t="s">
        <v>19</v>
      </c>
      <c r="J69" s="100" t="s">
        <v>20</v>
      </c>
      <c r="K69" s="183">
        <v>44484</v>
      </c>
      <c r="L69" s="105" t="s">
        <v>458</v>
      </c>
      <c r="M69" s="105">
        <f>MONTH(List3[[#This Row],[Tanggal Pengajuan]])</f>
        <v>4</v>
      </c>
      <c r="N69" s="183"/>
      <c r="O69" s="105" t="s">
        <v>457</v>
      </c>
      <c r="P69" s="111"/>
      <c r="Q69" s="230" t="s">
        <v>958</v>
      </c>
      <c r="R69" s="804"/>
    </row>
    <row r="70" spans="1:18" s="4" customFormat="1" ht="32.25" customHeight="1" x14ac:dyDescent="0.2">
      <c r="A70" s="102">
        <v>44433</v>
      </c>
      <c r="B70" s="163" t="s">
        <v>433</v>
      </c>
      <c r="C70" s="168" t="s">
        <v>386</v>
      </c>
      <c r="D70" s="174" t="s">
        <v>26</v>
      </c>
      <c r="E70" s="164" t="s">
        <v>28</v>
      </c>
      <c r="F70" s="178">
        <v>63</v>
      </c>
      <c r="G70" s="180">
        <v>2500000</v>
      </c>
      <c r="H70" s="41"/>
      <c r="I70" s="104" t="s">
        <v>19</v>
      </c>
      <c r="J70" s="100" t="s">
        <v>20</v>
      </c>
      <c r="K70" s="183">
        <v>44484</v>
      </c>
      <c r="L70" s="105" t="s">
        <v>460</v>
      </c>
      <c r="M70" s="105">
        <f>MONTH(List3[[#This Row],[Tanggal Pengajuan]])</f>
        <v>4</v>
      </c>
      <c r="N70" s="183"/>
      <c r="O70" s="105" t="s">
        <v>461</v>
      </c>
      <c r="P70" s="111"/>
      <c r="Q70" s="230" t="s">
        <v>958</v>
      </c>
      <c r="R70" s="804">
        <f>SUM(G69:G70)</f>
        <v>10000000</v>
      </c>
    </row>
    <row r="71" spans="1:18" s="4" customFormat="1" ht="32.25" customHeight="1" x14ac:dyDescent="0.2">
      <c r="A71" s="102">
        <v>44495</v>
      </c>
      <c r="B71" s="163" t="s">
        <v>552</v>
      </c>
      <c r="C71" s="747" t="s">
        <v>560</v>
      </c>
      <c r="D71" s="174" t="s">
        <v>26</v>
      </c>
      <c r="E71" s="164" t="s">
        <v>28</v>
      </c>
      <c r="F71" s="178">
        <v>0</v>
      </c>
      <c r="G71" s="180">
        <v>25000000</v>
      </c>
      <c r="H71" s="41"/>
      <c r="I71" s="104" t="s">
        <v>19</v>
      </c>
      <c r="J71" s="100" t="s">
        <v>20</v>
      </c>
      <c r="K71" s="183">
        <v>44484</v>
      </c>
      <c r="L71" s="105" t="s">
        <v>462</v>
      </c>
      <c r="M71" s="105">
        <f>MONTH(List3[[#This Row],[Tanggal Pengajuan]])</f>
        <v>4</v>
      </c>
      <c r="N71" s="183"/>
      <c r="O71" s="105" t="s">
        <v>464</v>
      </c>
      <c r="P71" s="111"/>
      <c r="Q71" s="230" t="s">
        <v>958</v>
      </c>
      <c r="R71" s="804">
        <f>+G71</f>
        <v>25000000</v>
      </c>
    </row>
    <row r="72" spans="1:18" s="4" customFormat="1" ht="32.25" customHeight="1" x14ac:dyDescent="0.2">
      <c r="A72" s="102">
        <v>44418</v>
      </c>
      <c r="B72" s="67" t="s">
        <v>393</v>
      </c>
      <c r="C72" s="103" t="s">
        <v>910</v>
      </c>
      <c r="D72" s="18" t="s">
        <v>26</v>
      </c>
      <c r="E72" s="14" t="s">
        <v>28</v>
      </c>
      <c r="F72" s="178">
        <v>0</v>
      </c>
      <c r="G72" s="41">
        <v>6000000</v>
      </c>
      <c r="H72" s="41"/>
      <c r="I72" s="104" t="s">
        <v>19</v>
      </c>
      <c r="J72" s="100" t="s">
        <v>20</v>
      </c>
      <c r="K72" s="183">
        <v>44484</v>
      </c>
      <c r="L72" s="105" t="s">
        <v>466</v>
      </c>
      <c r="M72" s="105">
        <f>MONTH(List3[[#This Row],[Tanggal Pengajuan]])</f>
        <v>4</v>
      </c>
      <c r="N72" s="183"/>
      <c r="O72" s="105" t="s">
        <v>467</v>
      </c>
      <c r="P72" s="111"/>
      <c r="Q72" s="230" t="s">
        <v>958</v>
      </c>
      <c r="R72" s="577"/>
    </row>
    <row r="73" spans="1:18" s="4" customFormat="1" ht="32.25" customHeight="1" x14ac:dyDescent="0.2">
      <c r="A73" s="102">
        <v>44427</v>
      </c>
      <c r="B73" s="67" t="s">
        <v>416</v>
      </c>
      <c r="C73" s="103" t="s">
        <v>912</v>
      </c>
      <c r="D73" s="18" t="s">
        <v>26</v>
      </c>
      <c r="E73" s="14" t="s">
        <v>18</v>
      </c>
      <c r="F73" s="178">
        <v>0</v>
      </c>
      <c r="G73" s="41">
        <v>6000000</v>
      </c>
      <c r="H73" s="41"/>
      <c r="I73" s="104" t="s">
        <v>19</v>
      </c>
      <c r="J73" s="100" t="s">
        <v>20</v>
      </c>
      <c r="K73" s="183">
        <v>44484</v>
      </c>
      <c r="L73" s="105" t="s">
        <v>470</v>
      </c>
      <c r="M73" s="105">
        <f>MONTH(List3[[#This Row],[Tanggal Pengajuan]])</f>
        <v>4</v>
      </c>
      <c r="N73" s="183"/>
      <c r="O73" s="105" t="s">
        <v>469</v>
      </c>
      <c r="P73" s="111"/>
      <c r="Q73" s="230" t="s">
        <v>958</v>
      </c>
      <c r="R73" s="577"/>
    </row>
    <row r="74" spans="1:18" s="4" customFormat="1" ht="32.25" customHeight="1" x14ac:dyDescent="0.2">
      <c r="A74" s="102">
        <v>44427</v>
      </c>
      <c r="B74" s="67" t="s">
        <v>415</v>
      </c>
      <c r="C74" s="103" t="s">
        <v>911</v>
      </c>
      <c r="D74" s="18" t="s">
        <v>26</v>
      </c>
      <c r="E74" s="14" t="s">
        <v>18</v>
      </c>
      <c r="F74" s="178">
        <v>0</v>
      </c>
      <c r="G74" s="41">
        <v>6000000</v>
      </c>
      <c r="H74" s="41"/>
      <c r="I74" s="104" t="s">
        <v>19</v>
      </c>
      <c r="J74" s="100" t="s">
        <v>20</v>
      </c>
      <c r="K74" s="183">
        <v>44484</v>
      </c>
      <c r="L74" s="105" t="s">
        <v>472</v>
      </c>
      <c r="M74" s="105">
        <f>MONTH(List3[[#This Row],[Tanggal Pengajuan]])</f>
        <v>4</v>
      </c>
      <c r="N74" s="183"/>
      <c r="O74" s="105" t="s">
        <v>471</v>
      </c>
      <c r="P74" s="111"/>
      <c r="Q74" s="230" t="s">
        <v>958</v>
      </c>
      <c r="R74" s="577"/>
    </row>
    <row r="75" spans="1:18" s="4" customFormat="1" ht="32.25" customHeight="1" x14ac:dyDescent="0.2">
      <c r="A75" s="102">
        <v>44452</v>
      </c>
      <c r="B75" s="67" t="s">
        <v>465</v>
      </c>
      <c r="C75" s="103" t="s">
        <v>951</v>
      </c>
      <c r="D75" s="18" t="s">
        <v>26</v>
      </c>
      <c r="E75" s="14" t="s">
        <v>18</v>
      </c>
      <c r="F75" s="178">
        <v>1</v>
      </c>
      <c r="G75" s="41">
        <v>1000000</v>
      </c>
      <c r="H75" s="41"/>
      <c r="I75" s="104" t="s">
        <v>19</v>
      </c>
      <c r="J75" s="100" t="s">
        <v>20</v>
      </c>
      <c r="K75" s="183">
        <v>44484</v>
      </c>
      <c r="L75" s="105" t="s">
        <v>476</v>
      </c>
      <c r="M75" s="105">
        <f>MONTH(List3[[#This Row],[Tanggal Pengajuan]])</f>
        <v>4</v>
      </c>
      <c r="N75" s="183"/>
      <c r="O75" s="105" t="s">
        <v>475</v>
      </c>
      <c r="P75" s="111"/>
      <c r="Q75" s="230" t="s">
        <v>958</v>
      </c>
      <c r="R75" s="577"/>
    </row>
    <row r="76" spans="1:18" s="4" customFormat="1" ht="32.25" customHeight="1" x14ac:dyDescent="0.2">
      <c r="A76" s="102">
        <v>44482</v>
      </c>
      <c r="B76" s="67" t="s">
        <v>516</v>
      </c>
      <c r="C76" s="103" t="s">
        <v>951</v>
      </c>
      <c r="D76" s="18" t="s">
        <v>26</v>
      </c>
      <c r="E76" s="14" t="s">
        <v>18</v>
      </c>
      <c r="F76" s="178">
        <v>1</v>
      </c>
      <c r="G76" s="41">
        <v>1000000</v>
      </c>
      <c r="H76" s="41"/>
      <c r="I76" s="104" t="s">
        <v>19</v>
      </c>
      <c r="J76" s="100" t="s">
        <v>20</v>
      </c>
      <c r="K76" s="183">
        <v>44484</v>
      </c>
      <c r="L76" s="105" t="s">
        <v>479</v>
      </c>
      <c r="M76" s="105">
        <f>MONTH(List3[[#This Row],[Tanggal Pengajuan]])</f>
        <v>4</v>
      </c>
      <c r="N76" s="183"/>
      <c r="O76" s="105" t="s">
        <v>478</v>
      </c>
      <c r="P76" s="111"/>
      <c r="Q76" s="230" t="s">
        <v>958</v>
      </c>
      <c r="R76" s="577"/>
    </row>
    <row r="77" spans="1:18" s="4" customFormat="1" ht="32.25" customHeight="1" x14ac:dyDescent="0.2">
      <c r="A77" s="21">
        <v>44508</v>
      </c>
      <c r="B77" s="163"/>
      <c r="C77" s="600" t="s">
        <v>951</v>
      </c>
      <c r="D77" s="176" t="s">
        <v>26</v>
      </c>
      <c r="E77" s="14" t="s">
        <v>18</v>
      </c>
      <c r="F77" s="469">
        <v>1</v>
      </c>
      <c r="G77" s="807">
        <v>1000000</v>
      </c>
      <c r="H77" s="41"/>
      <c r="I77" s="104" t="s">
        <v>19</v>
      </c>
      <c r="J77" s="100" t="s">
        <v>20</v>
      </c>
      <c r="K77" s="183">
        <v>44484</v>
      </c>
      <c r="L77" s="105" t="s">
        <v>481</v>
      </c>
      <c r="M77" s="105">
        <f>MONTH(List3[[#This Row],[Tanggal Pengajuan]])</f>
        <v>4</v>
      </c>
      <c r="N77" s="183"/>
      <c r="O77" s="105" t="s">
        <v>480</v>
      </c>
      <c r="P77" s="111"/>
      <c r="Q77" s="230" t="s">
        <v>958</v>
      </c>
      <c r="R77" s="577"/>
    </row>
    <row r="78" spans="1:18" s="4" customFormat="1" ht="32.25" customHeight="1" x14ac:dyDescent="0.2">
      <c r="A78" s="21">
        <v>44531</v>
      </c>
      <c r="B78" s="593"/>
      <c r="C78" s="600" t="s">
        <v>951</v>
      </c>
      <c r="D78" s="176" t="s">
        <v>26</v>
      </c>
      <c r="E78" s="14" t="s">
        <v>18</v>
      </c>
      <c r="F78" s="469">
        <v>1</v>
      </c>
      <c r="G78" s="808">
        <v>1000000</v>
      </c>
      <c r="H78" s="180"/>
      <c r="I78" s="104" t="s">
        <v>19</v>
      </c>
      <c r="J78" s="100" t="s">
        <v>20</v>
      </c>
      <c r="K78" s="183"/>
      <c r="L78" s="105" t="s">
        <v>496</v>
      </c>
      <c r="M78" s="105">
        <f>MONTH(List3[[#This Row],[Tanggal Pengajuan]])</f>
        <v>4</v>
      </c>
      <c r="N78" s="183"/>
      <c r="O78" s="105" t="s">
        <v>497</v>
      </c>
      <c r="P78" s="111"/>
      <c r="Q78" s="230" t="s">
        <v>958</v>
      </c>
      <c r="R78" s="577"/>
    </row>
    <row r="79" spans="1:18" s="4" customFormat="1" ht="32.25" customHeight="1" x14ac:dyDescent="0.2">
      <c r="A79" s="102">
        <v>44452</v>
      </c>
      <c r="B79" s="67" t="s">
        <v>447</v>
      </c>
      <c r="C79" s="103" t="s">
        <v>876</v>
      </c>
      <c r="D79" s="18" t="s">
        <v>26</v>
      </c>
      <c r="E79" s="14" t="s">
        <v>18</v>
      </c>
      <c r="F79" s="178">
        <v>1</v>
      </c>
      <c r="G79" s="41">
        <v>5000000</v>
      </c>
      <c r="H79" s="41"/>
      <c r="I79" s="104" t="s">
        <v>19</v>
      </c>
      <c r="J79" s="100" t="s">
        <v>20</v>
      </c>
      <c r="K79" s="183"/>
      <c r="L79" s="105" t="s">
        <v>448</v>
      </c>
      <c r="M79" s="105">
        <f>MONTH(List3[[#This Row],[Tanggal Pengajuan]])</f>
        <v>4</v>
      </c>
      <c r="N79" s="183"/>
      <c r="O79" s="105" t="s">
        <v>449</v>
      </c>
      <c r="P79" s="111"/>
      <c r="Q79" s="230" t="s">
        <v>958</v>
      </c>
      <c r="R79" s="577"/>
    </row>
    <row r="80" spans="1:18" s="4" customFormat="1" ht="32.25" customHeight="1" x14ac:dyDescent="0.2">
      <c r="A80" s="102">
        <v>44482</v>
      </c>
      <c r="B80" s="67" t="s">
        <v>505</v>
      </c>
      <c r="C80" s="103" t="s">
        <v>876</v>
      </c>
      <c r="D80" s="18" t="s">
        <v>26</v>
      </c>
      <c r="E80" s="14" t="s">
        <v>18</v>
      </c>
      <c r="F80" s="178">
        <v>1</v>
      </c>
      <c r="G80" s="41">
        <v>5000000</v>
      </c>
      <c r="H80" s="41"/>
      <c r="I80" s="104" t="s">
        <v>19</v>
      </c>
      <c r="J80" s="100" t="s">
        <v>20</v>
      </c>
      <c r="K80" s="183"/>
      <c r="L80" s="105" t="s">
        <v>451</v>
      </c>
      <c r="M80" s="105">
        <f>MONTH(List3[[#This Row],[Tanggal Pengajuan]])</f>
        <v>4</v>
      </c>
      <c r="N80" s="183"/>
      <c r="O80" s="105" t="s">
        <v>507</v>
      </c>
      <c r="P80" s="111"/>
      <c r="Q80" s="230" t="s">
        <v>958</v>
      </c>
      <c r="R80" s="577"/>
    </row>
    <row r="81" spans="1:18" s="4" customFormat="1" ht="32.25" customHeight="1" x14ac:dyDescent="0.2">
      <c r="A81" s="21">
        <v>44508</v>
      </c>
      <c r="B81" s="163" t="s">
        <v>570</v>
      </c>
      <c r="C81" s="600" t="s">
        <v>876</v>
      </c>
      <c r="D81" s="176" t="s">
        <v>26</v>
      </c>
      <c r="E81" s="14" t="s">
        <v>18</v>
      </c>
      <c r="F81" s="469">
        <v>1</v>
      </c>
      <c r="G81" s="749">
        <v>5000000</v>
      </c>
      <c r="H81" s="41"/>
      <c r="I81" s="104" t="s">
        <v>19</v>
      </c>
      <c r="J81" s="100" t="s">
        <v>20</v>
      </c>
      <c r="K81" s="183"/>
      <c r="L81" s="105" t="s">
        <v>453</v>
      </c>
      <c r="M81" s="105">
        <f>MONTH(List3[[#This Row],[Tanggal Pengajuan]])</f>
        <v>4</v>
      </c>
      <c r="N81" s="183"/>
      <c r="O81" s="105" t="s">
        <v>509</v>
      </c>
      <c r="P81" s="111"/>
      <c r="Q81" s="230" t="s">
        <v>958</v>
      </c>
      <c r="R81" s="577"/>
    </row>
    <row r="82" spans="1:18" s="4" customFormat="1" ht="32.25" customHeight="1" x14ac:dyDescent="0.2">
      <c r="A82" s="21">
        <v>44531</v>
      </c>
      <c r="B82" s="593" t="s">
        <v>637</v>
      </c>
      <c r="C82" s="600" t="s">
        <v>876</v>
      </c>
      <c r="D82" s="176" t="s">
        <v>26</v>
      </c>
      <c r="E82" s="14" t="s">
        <v>18</v>
      </c>
      <c r="F82" s="469">
        <v>1</v>
      </c>
      <c r="G82" s="749">
        <v>5000000</v>
      </c>
      <c r="H82" s="41"/>
      <c r="I82" s="104" t="s">
        <v>19</v>
      </c>
      <c r="J82" s="100" t="s">
        <v>20</v>
      </c>
      <c r="K82" s="183"/>
      <c r="L82" s="105" t="s">
        <v>458</v>
      </c>
      <c r="M82" s="105">
        <f>MONTH(List3[[#This Row],[Tanggal Pengajuan]])</f>
        <v>4</v>
      </c>
      <c r="N82" s="183"/>
      <c r="O82" s="105" t="s">
        <v>511</v>
      </c>
      <c r="P82" s="111"/>
      <c r="Q82" s="230" t="s">
        <v>958</v>
      </c>
      <c r="R82" s="577"/>
    </row>
    <row r="83" spans="1:18" s="4" customFormat="1" ht="32.25" customHeight="1" x14ac:dyDescent="0.2">
      <c r="A83" s="102">
        <v>44452</v>
      </c>
      <c r="B83" s="67" t="s">
        <v>450</v>
      </c>
      <c r="C83" s="103" t="s">
        <v>909</v>
      </c>
      <c r="D83" s="22" t="s">
        <v>26</v>
      </c>
      <c r="E83" s="103" t="s">
        <v>18</v>
      </c>
      <c r="F83" s="178">
        <v>1</v>
      </c>
      <c r="G83" s="41">
        <v>1000000</v>
      </c>
      <c r="H83" s="41"/>
      <c r="I83" s="104" t="s">
        <v>19</v>
      </c>
      <c r="J83" s="100" t="s">
        <v>20</v>
      </c>
      <c r="K83" s="183"/>
      <c r="L83" s="105" t="s">
        <v>460</v>
      </c>
      <c r="M83" s="105">
        <f>MONTH(List3[[#This Row],[Tanggal Pengajuan]])</f>
        <v>4</v>
      </c>
      <c r="N83" s="183"/>
      <c r="O83" s="105" t="s">
        <v>513</v>
      </c>
      <c r="P83" s="111"/>
      <c r="Q83" s="230" t="s">
        <v>958</v>
      </c>
      <c r="R83" s="577"/>
    </row>
    <row r="84" spans="1:18" s="4" customFormat="1" ht="32.25" customHeight="1" x14ac:dyDescent="0.2">
      <c r="A84" s="102">
        <v>44482</v>
      </c>
      <c r="B84" s="67" t="s">
        <v>506</v>
      </c>
      <c r="C84" s="103" t="s">
        <v>909</v>
      </c>
      <c r="D84" s="22" t="s">
        <v>26</v>
      </c>
      <c r="E84" s="103" t="s">
        <v>18</v>
      </c>
      <c r="F84" s="178">
        <v>1</v>
      </c>
      <c r="G84" s="41">
        <v>1000000</v>
      </c>
      <c r="H84" s="41"/>
      <c r="I84" s="104" t="s">
        <v>19</v>
      </c>
      <c r="J84" s="100" t="s">
        <v>20</v>
      </c>
      <c r="K84" s="183"/>
      <c r="L84" s="105" t="s">
        <v>462</v>
      </c>
      <c r="M84" s="105">
        <f>MONTH(List3[[#This Row],[Tanggal Pengajuan]])</f>
        <v>5</v>
      </c>
      <c r="N84" s="183"/>
      <c r="O84" s="105" t="s">
        <v>515</v>
      </c>
      <c r="P84" s="111"/>
      <c r="Q84" s="230" t="s">
        <v>958</v>
      </c>
      <c r="R84" s="577"/>
    </row>
    <row r="85" spans="1:18" s="4" customFormat="1" ht="32.25" customHeight="1" x14ac:dyDescent="0.2">
      <c r="A85" s="102">
        <v>44452</v>
      </c>
      <c r="B85" s="67" t="s">
        <v>456</v>
      </c>
      <c r="C85" s="14" t="s">
        <v>877</v>
      </c>
      <c r="D85" s="18" t="s">
        <v>26</v>
      </c>
      <c r="E85" s="14" t="s">
        <v>18</v>
      </c>
      <c r="F85" s="178">
        <v>1</v>
      </c>
      <c r="G85" s="40">
        <v>1000000</v>
      </c>
      <c r="H85" s="41"/>
      <c r="I85" s="16" t="s">
        <v>19</v>
      </c>
      <c r="J85" s="100" t="s">
        <v>20</v>
      </c>
      <c r="K85" s="183"/>
      <c r="L85" s="100" t="s">
        <v>466</v>
      </c>
      <c r="M85" s="105">
        <f>MONTH(List3[[#This Row],[Tanggal Pengajuan]])</f>
        <v>5</v>
      </c>
      <c r="N85" s="183"/>
      <c r="O85" s="100" t="s">
        <v>467</v>
      </c>
      <c r="P85" s="111"/>
      <c r="Q85" s="230" t="s">
        <v>958</v>
      </c>
      <c r="R85" s="577"/>
    </row>
    <row r="86" spans="1:18" s="4" customFormat="1" ht="32.25" customHeight="1" x14ac:dyDescent="0.2">
      <c r="A86" s="102">
        <v>44482</v>
      </c>
      <c r="B86" s="67" t="s">
        <v>510</v>
      </c>
      <c r="C86" s="14" t="s">
        <v>877</v>
      </c>
      <c r="D86" s="18" t="s">
        <v>26</v>
      </c>
      <c r="E86" s="14" t="s">
        <v>18</v>
      </c>
      <c r="F86" s="178">
        <v>1</v>
      </c>
      <c r="G86" s="40">
        <v>1000000</v>
      </c>
      <c r="H86" s="41"/>
      <c r="I86" s="16" t="s">
        <v>19</v>
      </c>
      <c r="J86" s="100" t="s">
        <v>20</v>
      </c>
      <c r="K86" s="183"/>
      <c r="L86" s="100" t="s">
        <v>470</v>
      </c>
      <c r="M86" s="105">
        <f>MONTH(List3[[#This Row],[Tanggal Pengajuan]])</f>
        <v>5</v>
      </c>
      <c r="N86" s="183"/>
      <c r="O86" s="100" t="s">
        <v>517</v>
      </c>
      <c r="P86" s="111"/>
      <c r="Q86" s="230" t="s">
        <v>958</v>
      </c>
      <c r="R86" s="577"/>
    </row>
    <row r="87" spans="1:18" s="4" customFormat="1" ht="32.25" customHeight="1" x14ac:dyDescent="0.2">
      <c r="A87" s="21">
        <v>44508</v>
      </c>
      <c r="B87" s="163"/>
      <c r="C87" s="176" t="s">
        <v>877</v>
      </c>
      <c r="D87" s="176" t="s">
        <v>26</v>
      </c>
      <c r="E87" s="14" t="s">
        <v>18</v>
      </c>
      <c r="F87" s="469">
        <v>1</v>
      </c>
      <c r="G87" s="206">
        <v>1000000</v>
      </c>
      <c r="H87" s="41"/>
      <c r="I87" s="16" t="s">
        <v>19</v>
      </c>
      <c r="J87" s="100" t="s">
        <v>20</v>
      </c>
      <c r="K87" s="183"/>
      <c r="L87" s="100" t="s">
        <v>519</v>
      </c>
      <c r="M87" s="105">
        <f>MONTH(List3[[#This Row],[Tanggal Pengajuan]])</f>
        <v>5</v>
      </c>
      <c r="N87" s="183"/>
      <c r="O87" s="100" t="s">
        <v>471</v>
      </c>
      <c r="P87" s="111"/>
      <c r="Q87" s="230" t="s">
        <v>958</v>
      </c>
      <c r="R87" s="577"/>
    </row>
    <row r="88" spans="1:18" s="4" customFormat="1" ht="32.25" customHeight="1" x14ac:dyDescent="0.2">
      <c r="A88" s="21">
        <v>44531</v>
      </c>
      <c r="B88" s="593"/>
      <c r="C88" s="600" t="s">
        <v>877</v>
      </c>
      <c r="D88" s="600" t="s">
        <v>26</v>
      </c>
      <c r="E88" s="103" t="s">
        <v>18</v>
      </c>
      <c r="F88" s="469">
        <v>1</v>
      </c>
      <c r="G88" s="206">
        <v>1000000</v>
      </c>
      <c r="H88" s="41"/>
      <c r="I88" s="16" t="s">
        <v>19</v>
      </c>
      <c r="J88" s="100" t="s">
        <v>20</v>
      </c>
      <c r="K88" s="183"/>
      <c r="L88" s="105" t="s">
        <v>476</v>
      </c>
      <c r="M88" s="105">
        <f>MONTH(List3[[#This Row],[Tanggal Pengajuan]])</f>
        <v>5</v>
      </c>
      <c r="N88" s="183"/>
      <c r="O88" s="105" t="s">
        <v>522</v>
      </c>
      <c r="P88" s="111"/>
      <c r="Q88" s="230" t="s">
        <v>958</v>
      </c>
      <c r="R88" s="577"/>
    </row>
    <row r="89" spans="1:18" s="4" customFormat="1" ht="32.25" customHeight="1" x14ac:dyDescent="0.2">
      <c r="A89" s="102">
        <v>44452</v>
      </c>
      <c r="B89" s="67" t="s">
        <v>463</v>
      </c>
      <c r="C89" s="103" t="s">
        <v>879</v>
      </c>
      <c r="D89" s="22" t="s">
        <v>26</v>
      </c>
      <c r="E89" s="103" t="s">
        <v>18</v>
      </c>
      <c r="F89" s="178">
        <v>1</v>
      </c>
      <c r="G89" s="41">
        <v>1000000</v>
      </c>
      <c r="H89" s="41"/>
      <c r="I89" s="104" t="s">
        <v>19</v>
      </c>
      <c r="J89" s="100" t="s">
        <v>20</v>
      </c>
      <c r="K89" s="183"/>
      <c r="L89" s="105" t="s">
        <v>479</v>
      </c>
      <c r="M89" s="105">
        <f>MONTH(List3[[#This Row],[Tanggal Pengajuan]])</f>
        <v>5</v>
      </c>
      <c r="N89" s="183"/>
      <c r="O89" s="105" t="s">
        <v>478</v>
      </c>
      <c r="P89" s="111"/>
      <c r="Q89" s="230" t="s">
        <v>958</v>
      </c>
      <c r="R89" s="577"/>
    </row>
    <row r="90" spans="1:18" s="4" customFormat="1" ht="32.25" customHeight="1" x14ac:dyDescent="0.2">
      <c r="A90" s="102">
        <v>44482</v>
      </c>
      <c r="B90" s="67" t="s">
        <v>514</v>
      </c>
      <c r="C90" s="103" t="s">
        <v>879</v>
      </c>
      <c r="D90" s="22" t="s">
        <v>26</v>
      </c>
      <c r="E90" s="103" t="s">
        <v>18</v>
      </c>
      <c r="F90" s="178">
        <v>1</v>
      </c>
      <c r="G90" s="41">
        <v>1000000</v>
      </c>
      <c r="H90" s="41"/>
      <c r="I90" s="104" t="s">
        <v>19</v>
      </c>
      <c r="J90" s="100" t="s">
        <v>20</v>
      </c>
      <c r="K90" s="183"/>
      <c r="L90" s="105" t="s">
        <v>481</v>
      </c>
      <c r="M90" s="105">
        <f>MONTH(List3[[#This Row],[Tanggal Pengajuan]])</f>
        <v>5</v>
      </c>
      <c r="N90" s="183"/>
      <c r="O90" s="105" t="s">
        <v>480</v>
      </c>
      <c r="P90" s="111"/>
      <c r="Q90" s="230" t="s">
        <v>958</v>
      </c>
      <c r="R90" s="577"/>
    </row>
    <row r="91" spans="1:18" s="4" customFormat="1" ht="32.25" customHeight="1" x14ac:dyDescent="0.2">
      <c r="A91" s="21">
        <v>44508</v>
      </c>
      <c r="B91" s="163"/>
      <c r="C91" s="600" t="s">
        <v>879</v>
      </c>
      <c r="D91" s="600" t="s">
        <v>26</v>
      </c>
      <c r="E91" s="103" t="s">
        <v>18</v>
      </c>
      <c r="F91" s="469">
        <v>1</v>
      </c>
      <c r="G91" s="749">
        <v>1000000</v>
      </c>
      <c r="H91" s="41"/>
      <c r="I91" s="104" t="s">
        <v>19</v>
      </c>
      <c r="J91" s="100" t="s">
        <v>20</v>
      </c>
      <c r="K91" s="595">
        <v>44503</v>
      </c>
      <c r="L91" s="105" t="s">
        <v>553</v>
      </c>
      <c r="M91" s="105">
        <f>MONTH(List3[[#This Row],[Tanggal Pengajuan]])</f>
        <v>5</v>
      </c>
      <c r="N91" s="183"/>
      <c r="O91" s="105" t="s">
        <v>554</v>
      </c>
      <c r="P91" s="111"/>
      <c r="Q91" s="230" t="s">
        <v>958</v>
      </c>
      <c r="R91" s="577"/>
    </row>
    <row r="92" spans="1:18" s="4" customFormat="1" ht="32.25" customHeight="1" x14ac:dyDescent="0.2">
      <c r="A92" s="21">
        <v>44531</v>
      </c>
      <c r="B92" s="593"/>
      <c r="C92" s="24" t="s">
        <v>879</v>
      </c>
      <c r="D92" s="600" t="s">
        <v>26</v>
      </c>
      <c r="E92" s="103" t="s">
        <v>18</v>
      </c>
      <c r="F92" s="469">
        <v>1</v>
      </c>
      <c r="G92" s="749">
        <v>1000000</v>
      </c>
      <c r="H92" s="41"/>
      <c r="I92" s="104" t="s">
        <v>19</v>
      </c>
      <c r="J92" s="20" t="s">
        <v>20</v>
      </c>
      <c r="K92" s="595">
        <v>44510</v>
      </c>
      <c r="L92" s="24"/>
      <c r="M92" s="24">
        <f>MONTH(List3[[#This Row],[Tanggal Pengajuan]])</f>
        <v>5</v>
      </c>
      <c r="N92" s="183"/>
      <c r="O92" s="24"/>
      <c r="P92" s="177"/>
      <c r="Q92" s="230" t="s">
        <v>958</v>
      </c>
      <c r="R92" s="577"/>
    </row>
    <row r="93" spans="1:18" s="4" customFormat="1" ht="32.25" customHeight="1" x14ac:dyDescent="0.2">
      <c r="A93" s="102">
        <v>44452</v>
      </c>
      <c r="B93" s="67" t="s">
        <v>474</v>
      </c>
      <c r="C93" s="103" t="s">
        <v>881</v>
      </c>
      <c r="D93" s="22" t="s">
        <v>26</v>
      </c>
      <c r="E93" s="103" t="s">
        <v>18</v>
      </c>
      <c r="F93" s="178">
        <v>1</v>
      </c>
      <c r="G93" s="41">
        <v>1000000</v>
      </c>
      <c r="H93" s="41"/>
      <c r="I93" s="104" t="s">
        <v>19</v>
      </c>
      <c r="J93" s="600" t="s">
        <v>20</v>
      </c>
      <c r="K93" s="595">
        <v>44511</v>
      </c>
      <c r="L93" s="623" t="s">
        <v>448</v>
      </c>
      <c r="M93" s="24">
        <f>MONTH(List3[[#This Row],[Tanggal Pengajuan]])</f>
        <v>5</v>
      </c>
      <c r="N93" s="183"/>
      <c r="O93" s="24"/>
      <c r="P93" s="177"/>
      <c r="Q93" s="763" t="s">
        <v>958</v>
      </c>
      <c r="R93" s="577"/>
    </row>
    <row r="94" spans="1:18" s="4" customFormat="1" ht="32.25" customHeight="1" x14ac:dyDescent="0.2">
      <c r="A94" s="102">
        <v>44482</v>
      </c>
      <c r="B94" s="67" t="s">
        <v>521</v>
      </c>
      <c r="C94" s="103" t="s">
        <v>881</v>
      </c>
      <c r="D94" s="22" t="s">
        <v>26</v>
      </c>
      <c r="E94" s="103" t="s">
        <v>18</v>
      </c>
      <c r="F94" s="178">
        <v>1</v>
      </c>
      <c r="G94" s="40">
        <v>1000000</v>
      </c>
      <c r="H94" s="40"/>
      <c r="I94" s="16" t="s">
        <v>19</v>
      </c>
      <c r="J94" s="20" t="s">
        <v>20</v>
      </c>
      <c r="K94" s="595">
        <v>44511</v>
      </c>
      <c r="L94" s="619" t="s">
        <v>453</v>
      </c>
      <c r="M94" s="24">
        <f>MONTH(List3[[#This Row],[Tanggal Pengajuan]])</f>
        <v>5</v>
      </c>
      <c r="N94" s="183"/>
      <c r="O94" s="24"/>
      <c r="P94" s="177"/>
      <c r="Q94" s="230" t="s">
        <v>958</v>
      </c>
      <c r="R94" s="577"/>
    </row>
    <row r="95" spans="1:18" s="4" customFormat="1" ht="32.25" customHeight="1" x14ac:dyDescent="0.2">
      <c r="A95" s="21">
        <v>44508</v>
      </c>
      <c r="B95" s="163"/>
      <c r="C95" s="24" t="s">
        <v>881</v>
      </c>
      <c r="D95" s="600" t="s">
        <v>26</v>
      </c>
      <c r="E95" s="103" t="s">
        <v>18</v>
      </c>
      <c r="F95" s="469">
        <v>1</v>
      </c>
      <c r="G95" s="206">
        <v>1000000</v>
      </c>
      <c r="H95" s="40"/>
      <c r="I95" s="16" t="s">
        <v>19</v>
      </c>
      <c r="J95" s="20" t="s">
        <v>20</v>
      </c>
      <c r="K95" s="595">
        <v>44511</v>
      </c>
      <c r="L95" s="621" t="s">
        <v>458</v>
      </c>
      <c r="M95" s="24">
        <f>MONTH(List3[[#This Row],[Tanggal Pengajuan]])</f>
        <v>5</v>
      </c>
      <c r="N95" s="183"/>
      <c r="O95" s="24"/>
      <c r="P95" s="177"/>
      <c r="Q95" s="230" t="s">
        <v>958</v>
      </c>
      <c r="R95" s="577"/>
    </row>
    <row r="96" spans="1:18" s="4" customFormat="1" ht="32.25" customHeight="1" x14ac:dyDescent="0.2">
      <c r="A96" s="21">
        <v>44531</v>
      </c>
      <c r="B96" s="593"/>
      <c r="C96" s="600" t="s">
        <v>881</v>
      </c>
      <c r="D96" s="176" t="s">
        <v>26</v>
      </c>
      <c r="E96" s="14" t="s">
        <v>18</v>
      </c>
      <c r="F96" s="469">
        <v>1</v>
      </c>
      <c r="G96" s="206">
        <v>1000000</v>
      </c>
      <c r="H96" s="41"/>
      <c r="I96" s="16" t="s">
        <v>19</v>
      </c>
      <c r="J96" s="20" t="s">
        <v>20</v>
      </c>
      <c r="K96" s="595">
        <v>44511</v>
      </c>
      <c r="L96" s="721" t="s">
        <v>460</v>
      </c>
      <c r="M96" s="24">
        <f>MONTH(List3[[#This Row],[Tanggal Pengajuan]])</f>
        <v>5</v>
      </c>
      <c r="N96" s="183"/>
      <c r="O96" s="24"/>
      <c r="P96" s="177"/>
      <c r="Q96" s="230" t="s">
        <v>958</v>
      </c>
      <c r="R96" s="577"/>
    </row>
    <row r="97" spans="1:18" s="4" customFormat="1" ht="32.25" customHeight="1" x14ac:dyDescent="0.2">
      <c r="A97" s="102">
        <v>44452</v>
      </c>
      <c r="B97" s="67" t="s">
        <v>477</v>
      </c>
      <c r="C97" s="103" t="s">
        <v>882</v>
      </c>
      <c r="D97" s="22" t="s">
        <v>26</v>
      </c>
      <c r="E97" s="103" t="s">
        <v>18</v>
      </c>
      <c r="F97" s="178">
        <v>1</v>
      </c>
      <c r="G97" s="40">
        <v>750000</v>
      </c>
      <c r="H97" s="40"/>
      <c r="I97" s="16" t="s">
        <v>19</v>
      </c>
      <c r="J97" s="20" t="s">
        <v>20</v>
      </c>
      <c r="K97" s="595">
        <v>44511</v>
      </c>
      <c r="L97" s="620" t="s">
        <v>462</v>
      </c>
      <c r="M97" s="24">
        <f>MONTH(List3[[#This Row],[Tanggal Pengajuan]])</f>
        <v>5</v>
      </c>
      <c r="N97" s="183"/>
      <c r="O97" s="24"/>
      <c r="P97" s="177"/>
      <c r="Q97" s="230" t="s">
        <v>958</v>
      </c>
      <c r="R97" s="577"/>
    </row>
    <row r="98" spans="1:18" s="4" customFormat="1" ht="32.25" customHeight="1" x14ac:dyDescent="0.2">
      <c r="A98" s="102">
        <v>44482</v>
      </c>
      <c r="B98" s="67" t="s">
        <v>523</v>
      </c>
      <c r="C98" s="103" t="s">
        <v>882</v>
      </c>
      <c r="D98" s="22" t="s">
        <v>26</v>
      </c>
      <c r="E98" s="103" t="s">
        <v>18</v>
      </c>
      <c r="F98" s="178">
        <v>1</v>
      </c>
      <c r="G98" s="40">
        <v>750000</v>
      </c>
      <c r="H98" s="40"/>
      <c r="I98" s="16" t="s">
        <v>19</v>
      </c>
      <c r="J98" s="20" t="s">
        <v>20</v>
      </c>
      <c r="K98" s="595">
        <v>44511</v>
      </c>
      <c r="L98" s="619" t="s">
        <v>466</v>
      </c>
      <c r="M98" s="24">
        <f>MONTH(List3[[#This Row],[Tanggal Pengajuan]])</f>
        <v>5</v>
      </c>
      <c r="N98" s="183"/>
      <c r="O98" s="24"/>
      <c r="P98" s="177"/>
      <c r="Q98" s="230" t="s">
        <v>958</v>
      </c>
      <c r="R98" s="577"/>
    </row>
    <row r="99" spans="1:18" s="4" customFormat="1" ht="32.25" customHeight="1" x14ac:dyDescent="0.2">
      <c r="A99" s="21">
        <v>44508</v>
      </c>
      <c r="B99" s="163"/>
      <c r="C99" s="600" t="s">
        <v>882</v>
      </c>
      <c r="D99" s="600" t="s">
        <v>26</v>
      </c>
      <c r="E99" s="103" t="s">
        <v>18</v>
      </c>
      <c r="F99" s="469">
        <v>1</v>
      </c>
      <c r="G99" s="207">
        <v>750000</v>
      </c>
      <c r="H99" s="40"/>
      <c r="I99" s="16" t="s">
        <v>19</v>
      </c>
      <c r="J99" s="20" t="s">
        <v>20</v>
      </c>
      <c r="K99" s="595">
        <v>44511</v>
      </c>
      <c r="L99" s="620" t="s">
        <v>470</v>
      </c>
      <c r="M99" s="24">
        <f>MONTH(List3[[#This Row],[Tanggal Pengajuan]])</f>
        <v>5</v>
      </c>
      <c r="N99" s="183"/>
      <c r="O99" s="24"/>
      <c r="P99" s="177"/>
      <c r="Q99" s="230" t="s">
        <v>958</v>
      </c>
      <c r="R99" s="577"/>
    </row>
    <row r="100" spans="1:18" s="4" customFormat="1" ht="32.25" customHeight="1" x14ac:dyDescent="0.2">
      <c r="A100" s="21">
        <v>44531</v>
      </c>
      <c r="B100" s="593"/>
      <c r="C100" s="600" t="s">
        <v>882</v>
      </c>
      <c r="D100" s="600" t="s">
        <v>26</v>
      </c>
      <c r="E100" s="103" t="s">
        <v>18</v>
      </c>
      <c r="F100" s="469">
        <v>1</v>
      </c>
      <c r="G100" s="227">
        <v>750000</v>
      </c>
      <c r="H100" s="40"/>
      <c r="I100" s="16" t="s">
        <v>19</v>
      </c>
      <c r="J100" s="20" t="s">
        <v>20</v>
      </c>
      <c r="K100" s="595">
        <v>44511</v>
      </c>
      <c r="L100" s="619" t="s">
        <v>519</v>
      </c>
      <c r="M100" s="24">
        <f>MONTH(List3[[#This Row],[Tanggal Pengajuan]])</f>
        <v>5</v>
      </c>
      <c r="N100" s="183"/>
      <c r="O100" s="24"/>
      <c r="P100" s="177"/>
      <c r="Q100" s="230" t="s">
        <v>958</v>
      </c>
      <c r="R100" s="577"/>
    </row>
    <row r="101" spans="1:18" s="4" customFormat="1" ht="32.25" customHeight="1" x14ac:dyDescent="0.2">
      <c r="A101" s="102">
        <v>44452</v>
      </c>
      <c r="B101" s="67" t="s">
        <v>473</v>
      </c>
      <c r="C101" s="103" t="s">
        <v>952</v>
      </c>
      <c r="D101" s="22" t="s">
        <v>26</v>
      </c>
      <c r="E101" s="103" t="s">
        <v>18</v>
      </c>
      <c r="F101" s="178">
        <v>1</v>
      </c>
      <c r="G101" s="40">
        <v>1000000</v>
      </c>
      <c r="H101" s="40"/>
      <c r="I101" s="16" t="s">
        <v>19</v>
      </c>
      <c r="J101" s="20" t="s">
        <v>20</v>
      </c>
      <c r="K101" s="595">
        <v>44511</v>
      </c>
      <c r="L101" s="620" t="s">
        <v>476</v>
      </c>
      <c r="M101" s="24">
        <f>MONTH(List3[[#This Row],[Tanggal Pengajuan]])</f>
        <v>5</v>
      </c>
      <c r="N101" s="183"/>
      <c r="O101" s="24"/>
      <c r="P101" s="177"/>
      <c r="Q101" s="230" t="s">
        <v>958</v>
      </c>
      <c r="R101" s="577"/>
    </row>
    <row r="102" spans="1:18" s="4" customFormat="1" ht="32.25" customHeight="1" x14ac:dyDescent="0.2">
      <c r="A102" s="102">
        <v>44482</v>
      </c>
      <c r="B102" s="67" t="s">
        <v>520</v>
      </c>
      <c r="C102" s="103" t="s">
        <v>952</v>
      </c>
      <c r="D102" s="22" t="s">
        <v>26</v>
      </c>
      <c r="E102" s="103" t="s">
        <v>18</v>
      </c>
      <c r="F102" s="178">
        <v>1</v>
      </c>
      <c r="G102" s="40">
        <v>1000000</v>
      </c>
      <c r="H102" s="40"/>
      <c r="I102" s="16" t="s">
        <v>19</v>
      </c>
      <c r="J102" s="20" t="s">
        <v>20</v>
      </c>
      <c r="K102" s="595">
        <v>44511</v>
      </c>
      <c r="L102" s="619" t="s">
        <v>479</v>
      </c>
      <c r="M102" s="24">
        <f>MONTH(List3[[#This Row],[Tanggal Pengajuan]])</f>
        <v>5</v>
      </c>
      <c r="N102" s="183"/>
      <c r="O102" s="24"/>
      <c r="P102" s="177"/>
      <c r="Q102" s="230" t="s">
        <v>958</v>
      </c>
      <c r="R102" s="577"/>
    </row>
    <row r="103" spans="1:18" s="4" customFormat="1" ht="32.25" customHeight="1" x14ac:dyDescent="0.2">
      <c r="A103" s="21">
        <v>44508</v>
      </c>
      <c r="B103" s="163"/>
      <c r="C103" s="600" t="s">
        <v>952</v>
      </c>
      <c r="D103" s="600" t="s">
        <v>26</v>
      </c>
      <c r="E103" s="103" t="s">
        <v>18</v>
      </c>
      <c r="F103" s="469">
        <v>1</v>
      </c>
      <c r="G103" s="207">
        <v>1000000</v>
      </c>
      <c r="H103" s="40"/>
      <c r="I103" s="16" t="s">
        <v>19</v>
      </c>
      <c r="J103" s="20" t="s">
        <v>20</v>
      </c>
      <c r="K103" s="595">
        <v>44511</v>
      </c>
      <c r="L103" s="620" t="s">
        <v>481</v>
      </c>
      <c r="M103" s="24">
        <f>MONTH(List3[[#This Row],[Tanggal Pengajuan]])</f>
        <v>5</v>
      </c>
      <c r="N103" s="183"/>
      <c r="O103" s="24"/>
      <c r="P103" s="177"/>
      <c r="Q103" s="230" t="s">
        <v>958</v>
      </c>
      <c r="R103" s="577"/>
    </row>
    <row r="104" spans="1:18" s="4" customFormat="1" ht="32.25" customHeight="1" x14ac:dyDescent="0.2">
      <c r="A104" s="21">
        <v>44531</v>
      </c>
      <c r="B104" s="593"/>
      <c r="C104" s="600" t="s">
        <v>952</v>
      </c>
      <c r="D104" s="600" t="s">
        <v>26</v>
      </c>
      <c r="E104" s="103" t="s">
        <v>18</v>
      </c>
      <c r="F104" s="469">
        <v>1</v>
      </c>
      <c r="G104" s="227">
        <v>1000000</v>
      </c>
      <c r="H104" s="40"/>
      <c r="I104" s="16" t="s">
        <v>19</v>
      </c>
      <c r="J104" s="20" t="s">
        <v>20</v>
      </c>
      <c r="K104" s="595">
        <v>44511</v>
      </c>
      <c r="L104" s="619" t="s">
        <v>873</v>
      </c>
      <c r="M104" s="24">
        <f>MONTH(List3[[#This Row],[Tanggal Pengajuan]])</f>
        <v>5</v>
      </c>
      <c r="N104" s="183"/>
      <c r="O104" s="24"/>
      <c r="P104" s="177"/>
      <c r="Q104" s="230" t="s">
        <v>958</v>
      </c>
      <c r="R104" s="577"/>
    </row>
    <row r="105" spans="1:18" s="4" customFormat="1" ht="32.25" customHeight="1" x14ac:dyDescent="0.2">
      <c r="A105" s="102">
        <v>44452</v>
      </c>
      <c r="B105" s="67" t="s">
        <v>454</v>
      </c>
      <c r="C105" s="103" t="s">
        <v>875</v>
      </c>
      <c r="D105" s="22" t="s">
        <v>26</v>
      </c>
      <c r="E105" s="103" t="s">
        <v>18</v>
      </c>
      <c r="F105" s="178">
        <v>1</v>
      </c>
      <c r="G105" s="40">
        <v>1000000</v>
      </c>
      <c r="H105" s="40"/>
      <c r="I105" s="16" t="s">
        <v>19</v>
      </c>
      <c r="J105" s="20" t="s">
        <v>20</v>
      </c>
      <c r="K105" s="595">
        <v>44511</v>
      </c>
      <c r="L105" s="624" t="s">
        <v>874</v>
      </c>
      <c r="M105" s="24">
        <f>MONTH(List3[[#This Row],[Tanggal Pengajuan]])</f>
        <v>5</v>
      </c>
      <c r="N105" s="183"/>
      <c r="O105" s="24"/>
      <c r="P105" s="177"/>
      <c r="Q105" s="230" t="s">
        <v>958</v>
      </c>
      <c r="R105" s="577"/>
    </row>
    <row r="106" spans="1:18" s="4" customFormat="1" ht="32.25" customHeight="1" x14ac:dyDescent="0.2">
      <c r="A106" s="102">
        <v>44482</v>
      </c>
      <c r="B106" s="67" t="s">
        <v>508</v>
      </c>
      <c r="C106" s="103" t="s">
        <v>875</v>
      </c>
      <c r="D106" s="22" t="s">
        <v>26</v>
      </c>
      <c r="E106" s="103" t="s">
        <v>18</v>
      </c>
      <c r="F106" s="178">
        <v>1</v>
      </c>
      <c r="G106" s="40">
        <v>1000000</v>
      </c>
      <c r="H106" s="40"/>
      <c r="I106" s="16" t="s">
        <v>19</v>
      </c>
      <c r="J106" s="20" t="s">
        <v>20</v>
      </c>
      <c r="K106" s="595">
        <v>44518</v>
      </c>
      <c r="L106" s="20"/>
      <c r="M106" s="24">
        <f>MONTH(List3[[#This Row],[Tanggal Pengajuan]])</f>
        <v>5</v>
      </c>
      <c r="N106" s="183"/>
      <c r="O106" s="24"/>
      <c r="P106" s="177"/>
      <c r="Q106" s="230" t="s">
        <v>958</v>
      </c>
      <c r="R106" s="577"/>
    </row>
    <row r="107" spans="1:18" s="4" customFormat="1" ht="32.25" customHeight="1" x14ac:dyDescent="0.2">
      <c r="A107" s="21">
        <v>44508</v>
      </c>
      <c r="B107" s="163"/>
      <c r="C107" s="600" t="s">
        <v>875</v>
      </c>
      <c r="D107" s="600" t="s">
        <v>26</v>
      </c>
      <c r="E107" s="103" t="s">
        <v>18</v>
      </c>
      <c r="F107" s="469">
        <v>1</v>
      </c>
      <c r="G107" s="207">
        <v>1000000</v>
      </c>
      <c r="H107" s="40"/>
      <c r="I107" s="16" t="s">
        <v>19</v>
      </c>
      <c r="J107" s="20" t="s">
        <v>20</v>
      </c>
      <c r="K107" s="755">
        <v>44543</v>
      </c>
      <c r="L107" s="625" t="s">
        <v>448</v>
      </c>
      <c r="M107" s="24">
        <f>MONTH(List3[[#This Row],[Tanggal Pengajuan]])</f>
        <v>5</v>
      </c>
      <c r="N107" s="183"/>
      <c r="O107" s="24"/>
      <c r="P107" s="177"/>
      <c r="Q107" s="230" t="s">
        <v>958</v>
      </c>
      <c r="R107" s="577"/>
    </row>
    <row r="108" spans="1:18" s="4" customFormat="1" ht="32.25" customHeight="1" x14ac:dyDescent="0.2">
      <c r="A108" s="21">
        <v>44531</v>
      </c>
      <c r="B108" s="593"/>
      <c r="C108" s="600" t="s">
        <v>875</v>
      </c>
      <c r="D108" s="600" t="s">
        <v>26</v>
      </c>
      <c r="E108" s="103" t="s">
        <v>18</v>
      </c>
      <c r="F108" s="469">
        <v>1</v>
      </c>
      <c r="G108" s="227">
        <v>1000000</v>
      </c>
      <c r="H108" s="40"/>
      <c r="I108" s="16" t="s">
        <v>19</v>
      </c>
      <c r="J108" s="20" t="s">
        <v>20</v>
      </c>
      <c r="K108" s="755">
        <v>44543</v>
      </c>
      <c r="L108" s="622" t="s">
        <v>453</v>
      </c>
      <c r="M108" s="24">
        <f>MONTH(List3[[#This Row],[Tanggal Pengajuan]])</f>
        <v>5</v>
      </c>
      <c r="N108" s="183"/>
      <c r="O108" s="24"/>
      <c r="P108" s="177"/>
      <c r="Q108" s="230" t="s">
        <v>958</v>
      </c>
      <c r="R108" s="577"/>
    </row>
    <row r="109" spans="1:18" s="4" customFormat="1" ht="32.25" customHeight="1" x14ac:dyDescent="0.2">
      <c r="A109" s="21">
        <v>44508</v>
      </c>
      <c r="B109" s="163"/>
      <c r="C109" s="600" t="s">
        <v>884</v>
      </c>
      <c r="D109" s="600" t="s">
        <v>26</v>
      </c>
      <c r="E109" s="103" t="s">
        <v>18</v>
      </c>
      <c r="F109" s="469">
        <v>1</v>
      </c>
      <c r="G109" s="206">
        <v>1000000</v>
      </c>
      <c r="H109" s="40"/>
      <c r="I109" s="16" t="s">
        <v>19</v>
      </c>
      <c r="J109" s="20" t="s">
        <v>20</v>
      </c>
      <c r="K109" s="755">
        <v>44543</v>
      </c>
      <c r="L109" s="620" t="s">
        <v>458</v>
      </c>
      <c r="M109" s="24">
        <f>MONTH(List3[[#This Row],[Tanggal Pengajuan]])</f>
        <v>5</v>
      </c>
      <c r="N109" s="183"/>
      <c r="O109" s="24"/>
      <c r="P109" s="177"/>
      <c r="Q109" s="230" t="s">
        <v>958</v>
      </c>
      <c r="R109" s="577"/>
    </row>
    <row r="110" spans="1:18" s="4" customFormat="1" ht="32.25" customHeight="1" x14ac:dyDescent="0.2">
      <c r="A110" s="21">
        <v>44531</v>
      </c>
      <c r="B110" s="593"/>
      <c r="C110" s="600" t="s">
        <v>884</v>
      </c>
      <c r="D110" s="600" t="s">
        <v>26</v>
      </c>
      <c r="E110" s="103" t="s">
        <v>18</v>
      </c>
      <c r="F110" s="469">
        <v>1</v>
      </c>
      <c r="G110" s="206">
        <v>1000000</v>
      </c>
      <c r="H110" s="40"/>
      <c r="I110" s="16" t="s">
        <v>19</v>
      </c>
      <c r="J110" s="20" t="s">
        <v>20</v>
      </c>
      <c r="K110" s="755">
        <v>44543</v>
      </c>
      <c r="L110" s="622" t="s">
        <v>460</v>
      </c>
      <c r="M110" s="24">
        <f>MONTH(List3[[#This Row],[Tanggal Pengajuan]])</f>
        <v>5</v>
      </c>
      <c r="N110" s="183"/>
      <c r="O110" s="24"/>
      <c r="P110" s="177"/>
      <c r="Q110" s="230" t="s">
        <v>958</v>
      </c>
      <c r="R110" s="577"/>
    </row>
    <row r="111" spans="1:18" s="4" customFormat="1" ht="32.25" customHeight="1" x14ac:dyDescent="0.2">
      <c r="A111" s="102">
        <v>44452</v>
      </c>
      <c r="B111" s="67" t="s">
        <v>459</v>
      </c>
      <c r="C111" s="103" t="s">
        <v>878</v>
      </c>
      <c r="D111" s="22" t="s">
        <v>26</v>
      </c>
      <c r="E111" s="103" t="s">
        <v>18</v>
      </c>
      <c r="F111" s="178">
        <v>1</v>
      </c>
      <c r="G111" s="40">
        <v>1000000</v>
      </c>
      <c r="H111" s="40"/>
      <c r="I111" s="16" t="s">
        <v>19</v>
      </c>
      <c r="J111" s="20" t="s">
        <v>20</v>
      </c>
      <c r="K111" s="755">
        <v>44543</v>
      </c>
      <c r="L111" s="620" t="s">
        <v>462</v>
      </c>
      <c r="M111" s="24">
        <f>MONTH(List3[[#This Row],[Tanggal Pengajuan]])</f>
        <v>5</v>
      </c>
      <c r="N111" s="183"/>
      <c r="O111" s="24"/>
      <c r="P111" s="177"/>
      <c r="Q111" s="230" t="s">
        <v>958</v>
      </c>
      <c r="R111" s="577"/>
    </row>
    <row r="112" spans="1:18" s="4" customFormat="1" ht="32.25" customHeight="1" x14ac:dyDescent="0.2">
      <c r="A112" s="102">
        <v>44482</v>
      </c>
      <c r="B112" s="67" t="s">
        <v>512</v>
      </c>
      <c r="C112" s="103" t="s">
        <v>878</v>
      </c>
      <c r="D112" s="22" t="s">
        <v>26</v>
      </c>
      <c r="E112" s="103" t="s">
        <v>18</v>
      </c>
      <c r="F112" s="178">
        <v>1</v>
      </c>
      <c r="G112" s="40">
        <v>1000000</v>
      </c>
      <c r="H112" s="40"/>
      <c r="I112" s="16" t="s">
        <v>19</v>
      </c>
      <c r="J112" s="20" t="s">
        <v>20</v>
      </c>
      <c r="K112" s="755">
        <v>44543</v>
      </c>
      <c r="L112" s="622" t="s">
        <v>466</v>
      </c>
      <c r="M112" s="24">
        <f>MONTH(List3[[#This Row],[Tanggal Pengajuan]])</f>
        <v>6</v>
      </c>
      <c r="N112" s="183"/>
      <c r="O112" s="24"/>
      <c r="P112" s="177"/>
      <c r="Q112" s="230" t="s">
        <v>958</v>
      </c>
      <c r="R112" s="577"/>
    </row>
    <row r="113" spans="1:18" s="4" customFormat="1" ht="32.25" customHeight="1" x14ac:dyDescent="0.2">
      <c r="A113" s="21">
        <v>44508</v>
      </c>
      <c r="B113" s="163"/>
      <c r="C113" s="600" t="s">
        <v>878</v>
      </c>
      <c r="D113" s="600" t="s">
        <v>26</v>
      </c>
      <c r="E113" s="103" t="s">
        <v>18</v>
      </c>
      <c r="F113" s="469">
        <v>1</v>
      </c>
      <c r="G113" s="207">
        <v>1000000</v>
      </c>
      <c r="H113" s="40"/>
      <c r="I113" s="16" t="s">
        <v>19</v>
      </c>
      <c r="J113" s="20" t="s">
        <v>20</v>
      </c>
      <c r="K113" s="755">
        <v>44543</v>
      </c>
      <c r="L113" s="620" t="s">
        <v>470</v>
      </c>
      <c r="M113" s="24">
        <f>MONTH(List3[[#This Row],[Tanggal Pengajuan]])</f>
        <v>6</v>
      </c>
      <c r="N113" s="183"/>
      <c r="O113" s="24"/>
      <c r="P113" s="177"/>
      <c r="Q113" s="230" t="s">
        <v>958</v>
      </c>
      <c r="R113" s="577"/>
    </row>
    <row r="114" spans="1:18" s="4" customFormat="1" ht="32.25" customHeight="1" x14ac:dyDescent="0.2">
      <c r="A114" s="21">
        <v>44531</v>
      </c>
      <c r="B114" s="593"/>
      <c r="C114" s="600" t="s">
        <v>878</v>
      </c>
      <c r="D114" s="600" t="s">
        <v>26</v>
      </c>
      <c r="E114" s="103" t="s">
        <v>18</v>
      </c>
      <c r="F114" s="469">
        <v>1</v>
      </c>
      <c r="G114" s="227">
        <v>1000000</v>
      </c>
      <c r="H114" s="40"/>
      <c r="I114" s="16" t="s">
        <v>19</v>
      </c>
      <c r="J114" s="20" t="s">
        <v>20</v>
      </c>
      <c r="K114" s="755">
        <v>44543</v>
      </c>
      <c r="L114" s="622" t="s">
        <v>519</v>
      </c>
      <c r="M114" s="24">
        <f>MONTH(List3[[#This Row],[Tanggal Pengajuan]])</f>
        <v>6</v>
      </c>
      <c r="N114" s="183"/>
      <c r="O114" s="24"/>
      <c r="P114" s="177"/>
      <c r="Q114" s="230" t="s">
        <v>958</v>
      </c>
      <c r="R114" s="577"/>
    </row>
    <row r="115" spans="1:18" s="4" customFormat="1" ht="32.25" customHeight="1" x14ac:dyDescent="0.2">
      <c r="A115" s="102">
        <v>44452</v>
      </c>
      <c r="B115" s="67" t="s">
        <v>468</v>
      </c>
      <c r="C115" s="103" t="s">
        <v>880</v>
      </c>
      <c r="D115" s="22" t="s">
        <v>26</v>
      </c>
      <c r="E115" s="103" t="s">
        <v>18</v>
      </c>
      <c r="F115" s="178">
        <v>1</v>
      </c>
      <c r="G115" s="40">
        <v>1000000</v>
      </c>
      <c r="H115" s="40"/>
      <c r="I115" s="16" t="s">
        <v>19</v>
      </c>
      <c r="J115" s="20" t="s">
        <v>20</v>
      </c>
      <c r="K115" s="755">
        <v>44543</v>
      </c>
      <c r="L115" s="620" t="s">
        <v>476</v>
      </c>
      <c r="M115" s="24">
        <f>MONTH(List3[[#This Row],[Tanggal Pengajuan]])</f>
        <v>6</v>
      </c>
      <c r="N115" s="183"/>
      <c r="O115" s="24"/>
      <c r="P115" s="177"/>
      <c r="Q115" s="230" t="s">
        <v>958</v>
      </c>
      <c r="R115" s="577"/>
    </row>
    <row r="116" spans="1:18" s="4" customFormat="1" ht="32.25" customHeight="1" x14ac:dyDescent="0.2">
      <c r="A116" s="102">
        <v>44482</v>
      </c>
      <c r="B116" s="67" t="s">
        <v>518</v>
      </c>
      <c r="C116" s="103" t="s">
        <v>880</v>
      </c>
      <c r="D116" s="22" t="s">
        <v>26</v>
      </c>
      <c r="E116" s="103" t="s">
        <v>18</v>
      </c>
      <c r="F116" s="178">
        <v>1</v>
      </c>
      <c r="G116" s="40">
        <v>1000000</v>
      </c>
      <c r="H116" s="40"/>
      <c r="I116" s="16" t="s">
        <v>19</v>
      </c>
      <c r="J116" s="20" t="s">
        <v>20</v>
      </c>
      <c r="K116" s="755">
        <v>44543</v>
      </c>
      <c r="L116" s="622" t="s">
        <v>479</v>
      </c>
      <c r="M116" s="24">
        <f>MONTH(List3[[#This Row],[Tanggal Pengajuan]])</f>
        <v>6</v>
      </c>
      <c r="N116" s="183"/>
      <c r="O116" s="24"/>
      <c r="P116" s="177"/>
      <c r="Q116" s="230" t="s">
        <v>958</v>
      </c>
      <c r="R116" s="577"/>
    </row>
    <row r="117" spans="1:18" s="4" customFormat="1" ht="32.25" customHeight="1" x14ac:dyDescent="0.2">
      <c r="A117" s="21">
        <v>44508</v>
      </c>
      <c r="B117" s="163"/>
      <c r="C117" s="600" t="s">
        <v>880</v>
      </c>
      <c r="D117" s="600" t="s">
        <v>26</v>
      </c>
      <c r="E117" s="103" t="s">
        <v>18</v>
      </c>
      <c r="F117" s="469">
        <v>1</v>
      </c>
      <c r="G117" s="206">
        <v>1000000</v>
      </c>
      <c r="H117" s="40"/>
      <c r="I117" s="16" t="s">
        <v>19</v>
      </c>
      <c r="J117" s="20" t="s">
        <v>20</v>
      </c>
      <c r="K117" s="755">
        <v>44543</v>
      </c>
      <c r="L117" s="620" t="s">
        <v>481</v>
      </c>
      <c r="M117" s="24">
        <f>MONTH(List3[[#This Row],[Tanggal Pengajuan]])</f>
        <v>6</v>
      </c>
      <c r="N117" s="183"/>
      <c r="O117" s="24"/>
      <c r="P117" s="177"/>
      <c r="Q117" s="230" t="s">
        <v>958</v>
      </c>
      <c r="R117" s="577"/>
    </row>
    <row r="118" spans="1:18" s="4" customFormat="1" ht="32.25" customHeight="1" x14ac:dyDescent="0.2">
      <c r="A118" s="21">
        <v>44531</v>
      </c>
      <c r="B118" s="593"/>
      <c r="C118" s="600" t="s">
        <v>880</v>
      </c>
      <c r="D118" s="600" t="s">
        <v>26</v>
      </c>
      <c r="E118" s="103" t="s">
        <v>18</v>
      </c>
      <c r="F118" s="469">
        <v>1</v>
      </c>
      <c r="G118" s="206">
        <v>1000000</v>
      </c>
      <c r="H118" s="40"/>
      <c r="I118" s="16" t="s">
        <v>19</v>
      </c>
      <c r="J118" s="20" t="s">
        <v>20</v>
      </c>
      <c r="K118" s="755">
        <v>44543</v>
      </c>
      <c r="L118" s="622" t="s">
        <v>873</v>
      </c>
      <c r="M118" s="24">
        <f>MONTH(List3[[#This Row],[Tanggal Pengajuan]])</f>
        <v>6</v>
      </c>
      <c r="N118" s="183"/>
      <c r="O118" s="24"/>
      <c r="P118" s="177"/>
      <c r="Q118" s="230" t="s">
        <v>958</v>
      </c>
      <c r="R118" s="577"/>
    </row>
    <row r="119" spans="1:18" s="4" customFormat="1" ht="32.25" customHeight="1" x14ac:dyDescent="0.2">
      <c r="A119" s="21">
        <v>44508</v>
      </c>
      <c r="B119" s="163"/>
      <c r="C119" s="24" t="s">
        <v>956</v>
      </c>
      <c r="D119" s="600" t="s">
        <v>26</v>
      </c>
      <c r="E119" s="103" t="s">
        <v>18</v>
      </c>
      <c r="F119" s="469">
        <v>1</v>
      </c>
      <c r="G119" s="207">
        <v>1000000</v>
      </c>
      <c r="H119" s="40"/>
      <c r="I119" s="16" t="s">
        <v>19</v>
      </c>
      <c r="J119" s="24" t="s">
        <v>20</v>
      </c>
      <c r="K119" s="755">
        <v>44543</v>
      </c>
      <c r="L119" s="722" t="s">
        <v>874</v>
      </c>
      <c r="M119" s="24">
        <f>MONTH(List3[[#This Row],[Tanggal Pengajuan]])</f>
        <v>6</v>
      </c>
      <c r="N119" s="161"/>
      <c r="O119" s="24"/>
      <c r="P119" s="177"/>
      <c r="Q119" s="230" t="s">
        <v>958</v>
      </c>
      <c r="R119" s="577"/>
    </row>
    <row r="120" spans="1:18" s="4" customFormat="1" ht="32.25" customHeight="1" x14ac:dyDescent="0.2">
      <c r="A120" s="21">
        <v>44531</v>
      </c>
      <c r="B120" s="593"/>
      <c r="C120" s="24" t="s">
        <v>956</v>
      </c>
      <c r="D120" s="600" t="s">
        <v>26</v>
      </c>
      <c r="E120" s="103" t="s">
        <v>18</v>
      </c>
      <c r="F120" s="469">
        <v>1</v>
      </c>
      <c r="G120" s="227">
        <v>1000000</v>
      </c>
      <c r="H120" s="40"/>
      <c r="I120" s="104" t="s">
        <v>19</v>
      </c>
      <c r="J120" s="24" t="s">
        <v>20</v>
      </c>
      <c r="K120" s="755">
        <v>44540</v>
      </c>
      <c r="L120" s="24"/>
      <c r="M120" s="24">
        <f>MONTH(List3[[#This Row],[Tanggal Pengajuan]])</f>
        <v>6</v>
      </c>
      <c r="N120" s="183"/>
      <c r="O120" s="24"/>
      <c r="P120" s="177"/>
      <c r="Q120" s="230" t="s">
        <v>958</v>
      </c>
      <c r="R120" s="577"/>
    </row>
    <row r="121" spans="1:18" s="4" customFormat="1" ht="32.25" customHeight="1" x14ac:dyDescent="0.2">
      <c r="A121" s="102">
        <v>44452</v>
      </c>
      <c r="B121" s="67" t="s">
        <v>482</v>
      </c>
      <c r="C121" s="105" t="s">
        <v>883</v>
      </c>
      <c r="D121" s="22" t="s">
        <v>26</v>
      </c>
      <c r="E121" s="103" t="s">
        <v>18</v>
      </c>
      <c r="F121" s="178">
        <v>1</v>
      </c>
      <c r="G121" s="40">
        <v>750000</v>
      </c>
      <c r="H121" s="40"/>
      <c r="I121" s="104" t="s">
        <v>19</v>
      </c>
      <c r="J121" s="20" t="s">
        <v>20</v>
      </c>
      <c r="K121" s="755">
        <v>44538</v>
      </c>
      <c r="L121" s="24"/>
      <c r="M121" s="24">
        <f>MONTH(List3[[#This Row],[Tanggal Pengajuan]])</f>
        <v>6</v>
      </c>
      <c r="N121" s="183"/>
      <c r="O121" s="24"/>
      <c r="P121" s="177"/>
      <c r="Q121" s="230" t="s">
        <v>958</v>
      </c>
      <c r="R121" s="577"/>
    </row>
    <row r="122" spans="1:18" s="4" customFormat="1" ht="32.25" customHeight="1" x14ac:dyDescent="0.2">
      <c r="A122" s="102">
        <v>44482</v>
      </c>
      <c r="B122" s="67" t="s">
        <v>524</v>
      </c>
      <c r="C122" s="105" t="s">
        <v>883</v>
      </c>
      <c r="D122" s="22" t="s">
        <v>26</v>
      </c>
      <c r="E122" s="103" t="s">
        <v>18</v>
      </c>
      <c r="F122" s="178">
        <v>1</v>
      </c>
      <c r="G122" s="40">
        <v>750000</v>
      </c>
      <c r="H122" s="41"/>
      <c r="I122" s="16" t="s">
        <v>19</v>
      </c>
      <c r="J122" s="20" t="s">
        <v>20</v>
      </c>
      <c r="K122" s="755">
        <v>44543</v>
      </c>
      <c r="L122" s="24"/>
      <c r="M122" s="24">
        <f>MONTH(List3[[#This Row],[Tanggal Pengajuan]])</f>
        <v>6</v>
      </c>
      <c r="N122" s="183"/>
      <c r="O122" s="24"/>
      <c r="P122" s="177"/>
      <c r="Q122" s="237"/>
      <c r="R122" s="577"/>
    </row>
    <row r="123" spans="1:18" s="4" customFormat="1" ht="32.25" customHeight="1" x14ac:dyDescent="0.2">
      <c r="A123" s="21">
        <v>44508</v>
      </c>
      <c r="B123" s="163"/>
      <c r="C123" s="176" t="s">
        <v>883</v>
      </c>
      <c r="D123" s="600" t="s">
        <v>26</v>
      </c>
      <c r="E123" s="103" t="s">
        <v>18</v>
      </c>
      <c r="F123" s="469">
        <v>1</v>
      </c>
      <c r="G123" s="206">
        <v>750000</v>
      </c>
      <c r="H123" s="41"/>
      <c r="I123" s="16"/>
      <c r="J123" s="20"/>
      <c r="K123" s="182"/>
      <c r="L123" s="20"/>
      <c r="M123" s="24">
        <f>MONTH(List3[[#This Row],[Tanggal Pengajuan]])</f>
        <v>6</v>
      </c>
      <c r="N123" s="183"/>
      <c r="O123" s="20"/>
      <c r="P123" s="177"/>
      <c r="Q123" s="230" t="s">
        <v>958</v>
      </c>
      <c r="R123" s="577"/>
    </row>
    <row r="124" spans="1:18" s="4" customFormat="1" ht="32.25" customHeight="1" x14ac:dyDescent="0.2">
      <c r="A124" s="21">
        <v>44531</v>
      </c>
      <c r="B124" s="593"/>
      <c r="C124" s="176" t="s">
        <v>883</v>
      </c>
      <c r="D124" s="600" t="s">
        <v>26</v>
      </c>
      <c r="E124" s="103" t="s">
        <v>18</v>
      </c>
      <c r="F124" s="469">
        <v>1</v>
      </c>
      <c r="G124" s="206">
        <v>750000</v>
      </c>
      <c r="H124" s="41"/>
      <c r="I124" s="16" t="s">
        <v>19</v>
      </c>
      <c r="J124" s="20" t="s">
        <v>20</v>
      </c>
      <c r="K124" s="755">
        <v>44547</v>
      </c>
      <c r="L124" s="20"/>
      <c r="M124" s="24">
        <f>MONTH(List3[[#This Row],[Tanggal Pengajuan]])</f>
        <v>6</v>
      </c>
      <c r="N124" s="183"/>
      <c r="O124" s="20"/>
      <c r="P124" s="177"/>
      <c r="Q124" s="230" t="s">
        <v>958</v>
      </c>
      <c r="R124" s="804">
        <f>SUM(G72:G124)</f>
        <v>82000000</v>
      </c>
    </row>
    <row r="125" spans="1:18" s="8" customFormat="1" ht="15.75" x14ac:dyDescent="0.2">
      <c r="A125" s="764"/>
      <c r="B125" s="765"/>
      <c r="C125" s="766"/>
      <c r="D125" s="766"/>
      <c r="E125" s="406"/>
      <c r="F125" s="767"/>
      <c r="G125" s="768"/>
      <c r="H125" s="768"/>
      <c r="I125" s="769"/>
      <c r="J125" s="766"/>
      <c r="K125" s="764"/>
      <c r="L125" s="766"/>
      <c r="M125" s="766"/>
      <c r="N125" s="650"/>
      <c r="O125" s="766"/>
      <c r="P125" s="770"/>
      <c r="Q125" s="652"/>
      <c r="R125" s="771"/>
    </row>
    <row r="126" spans="1:18" s="8" customFormat="1" ht="15.75" x14ac:dyDescent="0.2">
      <c r="A126" s="772"/>
      <c r="B126" s="773"/>
      <c r="C126" s="774"/>
      <c r="D126" s="774"/>
      <c r="E126" s="618"/>
      <c r="F126" s="775"/>
      <c r="G126" s="805">
        <f>SUM(G52:G125)</f>
        <v>500488824</v>
      </c>
      <c r="H126" s="805"/>
      <c r="I126" s="777"/>
      <c r="J126" s="774"/>
      <c r="K126" s="772"/>
      <c r="L126" s="774"/>
      <c r="M126" s="774"/>
      <c r="N126" s="658"/>
      <c r="O126" s="774"/>
      <c r="P126" s="778"/>
      <c r="Q126" s="660"/>
      <c r="R126" s="805">
        <f>SUM(R52:R125)</f>
        <v>500488824</v>
      </c>
    </row>
    <row r="127" spans="1:18" s="8" customFormat="1" ht="15.75" x14ac:dyDescent="0.2">
      <c r="A127" s="772"/>
      <c r="B127" s="773"/>
      <c r="C127" s="774"/>
      <c r="D127" s="774"/>
      <c r="E127" s="618"/>
      <c r="F127" s="775"/>
      <c r="G127" s="776"/>
      <c r="H127" s="776"/>
      <c r="I127" s="777"/>
      <c r="J127" s="774"/>
      <c r="K127" s="772"/>
      <c r="L127" s="774"/>
      <c r="M127" s="774"/>
      <c r="N127" s="658"/>
      <c r="O127" s="774"/>
      <c r="P127" s="778"/>
      <c r="Q127" s="660"/>
      <c r="R127" s="803">
        <f>+R126-'S1-S2  2021'!O8</f>
        <v>-8000023</v>
      </c>
    </row>
    <row r="128" spans="1:18" s="8" customFormat="1" ht="15.75" x14ac:dyDescent="0.2">
      <c r="A128" s="772"/>
      <c r="B128" s="773"/>
      <c r="C128" s="774"/>
      <c r="D128" s="774"/>
      <c r="E128" s="618"/>
      <c r="F128" s="775"/>
      <c r="G128" s="776"/>
      <c r="H128" s="776"/>
      <c r="I128" s="777"/>
      <c r="J128" s="774"/>
      <c r="K128" s="772"/>
      <c r="L128" s="774"/>
      <c r="M128" s="774"/>
      <c r="N128" s="658"/>
      <c r="O128" s="774"/>
      <c r="P128" s="778"/>
      <c r="Q128" s="660"/>
      <c r="R128" s="771"/>
    </row>
    <row r="129" spans="1:18" s="8" customFormat="1" ht="15.75" x14ac:dyDescent="0.2">
      <c r="A129" s="772"/>
      <c r="B129" s="773"/>
      <c r="C129" s="774"/>
      <c r="D129" s="774"/>
      <c r="E129" s="618"/>
      <c r="F129" s="775"/>
      <c r="G129" s="776"/>
      <c r="H129" s="776"/>
      <c r="I129" s="777"/>
      <c r="J129" s="774"/>
      <c r="K129" s="772"/>
      <c r="L129" s="774"/>
      <c r="M129" s="774"/>
      <c r="N129" s="658"/>
      <c r="O129" s="774"/>
      <c r="P129" s="778"/>
      <c r="Q129" s="660"/>
      <c r="R129" s="771"/>
    </row>
    <row r="130" spans="1:18" s="8" customFormat="1" ht="15.75" x14ac:dyDescent="0.2">
      <c r="A130" s="772"/>
      <c r="B130" s="773"/>
      <c r="C130" s="781"/>
      <c r="D130" s="774"/>
      <c r="E130" s="618"/>
      <c r="F130" s="782"/>
      <c r="G130" s="783"/>
      <c r="H130" s="776"/>
      <c r="I130" s="784"/>
      <c r="J130" s="781"/>
      <c r="K130" s="772"/>
      <c r="L130" s="781"/>
      <c r="M130" s="774"/>
      <c r="N130" s="658"/>
      <c r="O130" s="781"/>
      <c r="P130" s="778"/>
      <c r="Q130" s="670"/>
      <c r="R130" s="771"/>
    </row>
    <row r="131" spans="1:18" s="4" customFormat="1" ht="40.5" customHeight="1" x14ac:dyDescent="0.2">
      <c r="A131" s="102">
        <v>44249</v>
      </c>
      <c r="B131" s="67" t="s">
        <v>266</v>
      </c>
      <c r="C131" s="14" t="s">
        <v>53</v>
      </c>
      <c r="D131" s="22" t="s">
        <v>57</v>
      </c>
      <c r="E131" s="103" t="s">
        <v>28</v>
      </c>
      <c r="F131" s="15">
        <v>8</v>
      </c>
      <c r="G131" s="40">
        <v>26400000</v>
      </c>
      <c r="H131" s="41"/>
      <c r="I131" s="20" t="s">
        <v>19</v>
      </c>
      <c r="J131" s="100" t="str">
        <f>IF(List3[[#This Row],[TRF]]="Done","Sudah Transfer","Proses PP/Pengajuan Approval")</f>
        <v>Sudah Transfer</v>
      </c>
      <c r="K131" s="183">
        <v>44266</v>
      </c>
      <c r="L131" s="100" t="s">
        <v>265</v>
      </c>
      <c r="M131" s="105">
        <f>MONTH(List3[[#This Row],[Tanggal Pengajuan]])</f>
        <v>6</v>
      </c>
      <c r="N131" s="183"/>
      <c r="O131" s="100" t="s">
        <v>267</v>
      </c>
      <c r="P131" s="111"/>
      <c r="Q131" s="237"/>
      <c r="R131" s="804">
        <f>+G131</f>
        <v>26400000</v>
      </c>
    </row>
    <row r="132" spans="1:18" s="4" customFormat="1" ht="40.5" customHeight="1" x14ac:dyDescent="0.2">
      <c r="A132" s="102">
        <v>44392</v>
      </c>
      <c r="B132" s="67" t="s">
        <v>389</v>
      </c>
      <c r="C132" s="14" t="s">
        <v>392</v>
      </c>
      <c r="D132" s="22" t="s">
        <v>57</v>
      </c>
      <c r="E132" s="103" t="s">
        <v>28</v>
      </c>
      <c r="F132" s="15">
        <v>75</v>
      </c>
      <c r="G132" s="40">
        <v>10000000</v>
      </c>
      <c r="H132" s="41"/>
      <c r="I132" s="104" t="s">
        <v>19</v>
      </c>
      <c r="J132" s="100" t="str">
        <f>IF(List3[[#This Row],[TRF]]="Done","Sudah Transfer","Proses PP/Pengajuan Approval")</f>
        <v>Sudah Transfer</v>
      </c>
      <c r="K132" s="183">
        <v>44409</v>
      </c>
      <c r="L132" s="105" t="s">
        <v>392</v>
      </c>
      <c r="M132" s="105">
        <f>MONTH(List3[[#This Row],[Tanggal Pengajuan]])</f>
        <v>6</v>
      </c>
      <c r="N132" s="183"/>
      <c r="O132" s="105" t="s">
        <v>432</v>
      </c>
      <c r="P132" s="111"/>
      <c r="Q132" s="230" t="s">
        <v>958</v>
      </c>
      <c r="R132" s="577"/>
    </row>
    <row r="133" spans="1:18" s="4" customFormat="1" ht="40.5" customHeight="1" x14ac:dyDescent="0.2">
      <c r="A133" s="102">
        <v>44439</v>
      </c>
      <c r="B133" s="163" t="s">
        <v>439</v>
      </c>
      <c r="C133" s="164" t="s">
        <v>392</v>
      </c>
      <c r="D133" s="165" t="s">
        <v>57</v>
      </c>
      <c r="E133" s="168" t="s">
        <v>18</v>
      </c>
      <c r="F133" s="178">
        <v>75</v>
      </c>
      <c r="G133" s="171">
        <v>10000000</v>
      </c>
      <c r="H133" s="41"/>
      <c r="I133" s="16" t="s">
        <v>19</v>
      </c>
      <c r="J133" s="100" t="str">
        <f>IF(List3[[#This Row],[TRF]]="Done","Sudah Transfer","Proses PP/Pengajuan Approval")</f>
        <v>Sudah Transfer</v>
      </c>
      <c r="K133" s="183">
        <v>44410</v>
      </c>
      <c r="L133" s="100" t="s">
        <v>422</v>
      </c>
      <c r="M133" s="105">
        <f>MONTH(List3[[#This Row],[Tanggal Pengajuan]])</f>
        <v>6</v>
      </c>
      <c r="N133" s="183"/>
      <c r="O133" s="105" t="s">
        <v>421</v>
      </c>
      <c r="P133" s="111"/>
      <c r="Q133" s="230" t="s">
        <v>958</v>
      </c>
      <c r="R133" s="577"/>
    </row>
    <row r="134" spans="1:18" s="4" customFormat="1" ht="40.5" customHeight="1" x14ac:dyDescent="0.2">
      <c r="A134" s="102">
        <v>44483</v>
      </c>
      <c r="B134" s="163" t="s">
        <v>539</v>
      </c>
      <c r="C134" s="164" t="s">
        <v>392</v>
      </c>
      <c r="D134" s="165" t="s">
        <v>57</v>
      </c>
      <c r="E134" s="168" t="s">
        <v>18</v>
      </c>
      <c r="F134" s="178">
        <v>75</v>
      </c>
      <c r="G134" s="171">
        <v>20000000</v>
      </c>
      <c r="H134" s="41"/>
      <c r="I134" s="16" t="s">
        <v>19</v>
      </c>
      <c r="J134" s="100" t="str">
        <f>IF(List3[[#This Row],[TRF]]="Done","Sudah Transfer","Proses PP/Pengajuan Approval")</f>
        <v>Sudah Transfer</v>
      </c>
      <c r="K134" s="183">
        <v>44409</v>
      </c>
      <c r="L134" s="100" t="s">
        <v>424</v>
      </c>
      <c r="M134" s="105">
        <f>MONTH(List3[[#This Row],[Tanggal Pengajuan]])</f>
        <v>6</v>
      </c>
      <c r="N134" s="183">
        <v>44433</v>
      </c>
      <c r="O134" s="105" t="s">
        <v>425</v>
      </c>
      <c r="P134" s="111"/>
      <c r="Q134" s="230" t="s">
        <v>958</v>
      </c>
      <c r="R134" s="577"/>
    </row>
    <row r="135" spans="1:18" s="4" customFormat="1" ht="40.5" customHeight="1" x14ac:dyDescent="0.2">
      <c r="A135" s="21">
        <v>44508</v>
      </c>
      <c r="B135" s="163" t="s">
        <v>580</v>
      </c>
      <c r="C135" s="176" t="s">
        <v>392</v>
      </c>
      <c r="D135" s="600" t="s">
        <v>57</v>
      </c>
      <c r="E135" s="103" t="s">
        <v>18</v>
      </c>
      <c r="F135" s="469">
        <v>75</v>
      </c>
      <c r="G135" s="40">
        <v>10000000</v>
      </c>
      <c r="H135" s="41"/>
      <c r="I135" s="16" t="s">
        <v>19</v>
      </c>
      <c r="J135" s="100" t="str">
        <f>IF(List3[[#This Row],[TRF]]="Done","Sudah Transfer","Proses PP/Pengajuan Approval")</f>
        <v>Sudah Transfer</v>
      </c>
      <c r="K135" s="183">
        <v>44409</v>
      </c>
      <c r="L135" s="100" t="s">
        <v>427</v>
      </c>
      <c r="M135" s="105">
        <f>MONTH(List3[[#This Row],[Tanggal Pengajuan]])</f>
        <v>6</v>
      </c>
      <c r="N135" s="183"/>
      <c r="O135" s="105" t="s">
        <v>428</v>
      </c>
      <c r="P135" s="154" t="s">
        <v>435</v>
      </c>
      <c r="Q135" s="230" t="s">
        <v>958</v>
      </c>
      <c r="R135" s="577"/>
    </row>
    <row r="136" spans="1:18" s="4" customFormat="1" ht="40.5" customHeight="1" x14ac:dyDescent="0.2">
      <c r="A136" s="21">
        <v>44531</v>
      </c>
      <c r="B136" s="593" t="s">
        <v>608</v>
      </c>
      <c r="C136" s="176" t="s">
        <v>392</v>
      </c>
      <c r="D136" s="600" t="s">
        <v>57</v>
      </c>
      <c r="E136" s="103" t="s">
        <v>18</v>
      </c>
      <c r="F136" s="469">
        <v>75</v>
      </c>
      <c r="G136" s="40">
        <v>10000000</v>
      </c>
      <c r="H136" s="41"/>
      <c r="I136" s="16" t="s">
        <v>19</v>
      </c>
      <c r="J136" s="100" t="str">
        <f>IF(List3[[#This Row],[TRF]]="Done","Sudah Transfer","Proses PP/Pengajuan Approval")</f>
        <v>Sudah Transfer</v>
      </c>
      <c r="K136" s="183">
        <v>44409</v>
      </c>
      <c r="L136" s="100" t="s">
        <v>430</v>
      </c>
      <c r="M136" s="105">
        <f>MONTH(List3[[#This Row],[Tanggal Pengajuan]])</f>
        <v>6</v>
      </c>
      <c r="N136" s="183">
        <v>44439</v>
      </c>
      <c r="O136" s="105" t="s">
        <v>431</v>
      </c>
      <c r="P136" s="111"/>
      <c r="Q136" s="230" t="s">
        <v>958</v>
      </c>
      <c r="R136" s="804">
        <f>SUM(G132:G136)</f>
        <v>60000000</v>
      </c>
    </row>
    <row r="137" spans="1:18" s="4" customFormat="1" ht="40.5" customHeight="1" x14ac:dyDescent="0.2">
      <c r="A137" s="102">
        <v>44497</v>
      </c>
      <c r="B137" s="163" t="s">
        <v>555</v>
      </c>
      <c r="C137" s="166" t="s">
        <v>558</v>
      </c>
      <c r="D137" s="165" t="s">
        <v>57</v>
      </c>
      <c r="E137" s="168" t="s">
        <v>28</v>
      </c>
      <c r="F137" s="178">
        <v>40</v>
      </c>
      <c r="G137" s="171">
        <v>30000000</v>
      </c>
      <c r="H137" s="180"/>
      <c r="I137" s="16" t="s">
        <v>19</v>
      </c>
      <c r="J137" s="100" t="s">
        <v>20</v>
      </c>
      <c r="K137" s="183">
        <v>44432</v>
      </c>
      <c r="L137" s="100" t="s">
        <v>406</v>
      </c>
      <c r="M137" s="105">
        <f>MONTH(List3[[#This Row],[Tanggal Pengajuan]])</f>
        <v>6</v>
      </c>
      <c r="N137" s="183"/>
      <c r="O137" s="105" t="s">
        <v>405</v>
      </c>
      <c r="P137" s="105"/>
      <c r="Q137" s="230" t="s">
        <v>958</v>
      </c>
      <c r="R137" s="577"/>
    </row>
    <row r="138" spans="1:18" s="4" customFormat="1" ht="40.5" customHeight="1" x14ac:dyDescent="0.2">
      <c r="A138" s="21">
        <v>44518</v>
      </c>
      <c r="B138" s="163" t="s">
        <v>586</v>
      </c>
      <c r="C138" s="24" t="s">
        <v>558</v>
      </c>
      <c r="D138" s="600" t="s">
        <v>57</v>
      </c>
      <c r="E138" s="103" t="s">
        <v>18</v>
      </c>
      <c r="F138" s="469">
        <v>0</v>
      </c>
      <c r="G138" s="40">
        <v>29100000</v>
      </c>
      <c r="H138" s="180"/>
      <c r="I138" s="16" t="s">
        <v>19</v>
      </c>
      <c r="J138" s="100" t="s">
        <v>20</v>
      </c>
      <c r="K138" s="183">
        <v>44432</v>
      </c>
      <c r="L138" s="100" t="s">
        <v>408</v>
      </c>
      <c r="M138" s="105">
        <f>MONTH(List3[[#This Row],[Tanggal Pengajuan]])</f>
        <v>6</v>
      </c>
      <c r="N138" s="183"/>
      <c r="O138" s="105" t="s">
        <v>409</v>
      </c>
      <c r="P138" s="105"/>
      <c r="Q138" s="230" t="s">
        <v>958</v>
      </c>
      <c r="R138" s="804">
        <f>SUM(G137:G138)</f>
        <v>59100000</v>
      </c>
    </row>
    <row r="139" spans="1:18" s="4" customFormat="1" ht="40.5" customHeight="1" x14ac:dyDescent="0.2">
      <c r="A139" s="102">
        <v>44406</v>
      </c>
      <c r="B139" s="67" t="s">
        <v>398</v>
      </c>
      <c r="C139" s="14" t="s">
        <v>420</v>
      </c>
      <c r="D139" s="22" t="s">
        <v>57</v>
      </c>
      <c r="E139" s="103" t="s">
        <v>18</v>
      </c>
      <c r="F139" s="15">
        <v>29</v>
      </c>
      <c r="G139" s="40">
        <v>10000000</v>
      </c>
      <c r="H139" s="180"/>
      <c r="I139" s="16" t="s">
        <v>19</v>
      </c>
      <c r="J139" s="100" t="s">
        <v>209</v>
      </c>
      <c r="K139" s="183"/>
      <c r="L139" s="100" t="s">
        <v>411</v>
      </c>
      <c r="M139" s="105">
        <f>MONTH(List3[[#This Row],[Tanggal Pengajuan]])</f>
        <v>6</v>
      </c>
      <c r="N139" s="183"/>
      <c r="O139" s="105" t="s">
        <v>412</v>
      </c>
      <c r="P139" s="105"/>
      <c r="Q139" s="230" t="s">
        <v>958</v>
      </c>
      <c r="R139" s="577"/>
    </row>
    <row r="140" spans="1:18" s="4" customFormat="1" ht="40.5" customHeight="1" x14ac:dyDescent="0.2">
      <c r="A140" s="102">
        <v>44439</v>
      </c>
      <c r="B140" s="163" t="s">
        <v>436</v>
      </c>
      <c r="C140" s="164" t="s">
        <v>420</v>
      </c>
      <c r="D140" s="165" t="s">
        <v>57</v>
      </c>
      <c r="E140" s="168" t="s">
        <v>18</v>
      </c>
      <c r="F140" s="178">
        <v>29</v>
      </c>
      <c r="G140" s="171">
        <v>10000000</v>
      </c>
      <c r="H140" s="180"/>
      <c r="I140" s="16" t="s">
        <v>19</v>
      </c>
      <c r="J140" s="100" t="s">
        <v>209</v>
      </c>
      <c r="K140" s="183"/>
      <c r="L140" s="100" t="str">
        <f>L91</f>
        <v>Sr. Hilaria, MASF / Jeffry</v>
      </c>
      <c r="M140" s="105">
        <f>MONTH(List3[[#This Row],[Tanggal Pengajuan]])</f>
        <v>6</v>
      </c>
      <c r="N140" s="183"/>
      <c r="O140" s="105" t="str">
        <f>O91</f>
        <v>Donasi Rumah Retret dan Gua Maria Bukit Rahmat Dusun Putak</v>
      </c>
      <c r="P140" s="111"/>
      <c r="Q140" s="230" t="s">
        <v>958</v>
      </c>
      <c r="R140" s="577"/>
    </row>
    <row r="141" spans="1:18" s="4" customFormat="1" ht="40.5" customHeight="1" x14ac:dyDescent="0.2">
      <c r="A141" s="102">
        <v>44483</v>
      </c>
      <c r="B141" s="163" t="s">
        <v>533</v>
      </c>
      <c r="C141" s="164" t="s">
        <v>420</v>
      </c>
      <c r="D141" s="165" t="s">
        <v>57</v>
      </c>
      <c r="E141" s="168" t="s">
        <v>18</v>
      </c>
      <c r="F141" s="178">
        <v>29</v>
      </c>
      <c r="G141" s="171">
        <v>20000000</v>
      </c>
      <c r="H141" s="180"/>
      <c r="I141" s="16" t="s">
        <v>19</v>
      </c>
      <c r="J141" s="100" t="s">
        <v>20</v>
      </c>
      <c r="K141" s="183"/>
      <c r="L141" s="100" t="str">
        <f>L90</f>
        <v>Yurnita Lombu</v>
      </c>
      <c r="M141" s="105">
        <f>MONTH(List3[[#This Row],[Tanggal Pengajuan]])</f>
        <v>6</v>
      </c>
      <c r="N141" s="183"/>
      <c r="O141" s="105"/>
      <c r="P141" s="111"/>
      <c r="Q141" s="230" t="s">
        <v>958</v>
      </c>
      <c r="R141" s="577"/>
    </row>
    <row r="142" spans="1:18" s="4" customFormat="1" ht="40.5" customHeight="1" x14ac:dyDescent="0.2">
      <c r="A142" s="21">
        <v>44509</v>
      </c>
      <c r="B142" s="163" t="s">
        <v>582</v>
      </c>
      <c r="C142" s="176" t="s">
        <v>420</v>
      </c>
      <c r="D142" s="600" t="s">
        <v>57</v>
      </c>
      <c r="E142" s="103" t="s">
        <v>18</v>
      </c>
      <c r="F142" s="469">
        <v>29</v>
      </c>
      <c r="G142" s="40">
        <v>10000000</v>
      </c>
      <c r="H142" s="180"/>
      <c r="I142" s="16" t="s">
        <v>72</v>
      </c>
      <c r="J142" s="100" t="s">
        <v>73</v>
      </c>
      <c r="K142" s="183"/>
      <c r="L142" s="100">
        <f>L92</f>
        <v>0</v>
      </c>
      <c r="M142" s="105">
        <f>MONTH(List3[[#This Row],[Tanggal Pengajuan]])</f>
        <v>6</v>
      </c>
      <c r="N142" s="183"/>
      <c r="O142" s="105"/>
      <c r="P142" s="111"/>
      <c r="Q142" s="230" t="s">
        <v>958</v>
      </c>
      <c r="R142" s="577"/>
    </row>
    <row r="143" spans="1:18" s="4" customFormat="1" ht="40.5" customHeight="1" x14ac:dyDescent="0.2">
      <c r="A143" s="21">
        <v>44531</v>
      </c>
      <c r="B143" s="593" t="s">
        <v>609</v>
      </c>
      <c r="C143" s="176" t="s">
        <v>420</v>
      </c>
      <c r="D143" s="600" t="s">
        <v>57</v>
      </c>
      <c r="E143" s="103" t="s">
        <v>18</v>
      </c>
      <c r="F143" s="469">
        <v>29</v>
      </c>
      <c r="G143" s="40">
        <v>10000000</v>
      </c>
      <c r="H143" s="180"/>
      <c r="I143" s="16" t="s">
        <v>19</v>
      </c>
      <c r="J143" s="100" t="s">
        <v>20</v>
      </c>
      <c r="K143" s="183"/>
      <c r="L143" s="100" t="str">
        <f>L93</f>
        <v>Anggiat Simanullang</v>
      </c>
      <c r="M143" s="105">
        <f>MONTH(List3[[#This Row],[Tanggal Pengajuan]])</f>
        <v>6</v>
      </c>
      <c r="N143" s="183"/>
      <c r="O143" s="105"/>
      <c r="P143" s="111"/>
      <c r="Q143" s="230" t="s">
        <v>958</v>
      </c>
      <c r="R143" s="804">
        <f>SUM(G139:G143)</f>
        <v>60000000</v>
      </c>
    </row>
    <row r="144" spans="1:18" s="4" customFormat="1" ht="40.5" customHeight="1" x14ac:dyDescent="0.2">
      <c r="A144" s="102">
        <v>44439</v>
      </c>
      <c r="B144" s="163" t="s">
        <v>438</v>
      </c>
      <c r="C144" s="586" t="str">
        <f>C100</f>
        <v>Sekolah Pondok Domba Kolong - Martini Waruwu</v>
      </c>
      <c r="D144" s="165" t="s">
        <v>57</v>
      </c>
      <c r="E144" s="168" t="s">
        <v>18</v>
      </c>
      <c r="F144" s="178">
        <v>38</v>
      </c>
      <c r="G144" s="171">
        <v>5000000</v>
      </c>
      <c r="H144" s="180"/>
      <c r="I144" s="16" t="s">
        <v>19</v>
      </c>
      <c r="J144" s="100" t="s">
        <v>20</v>
      </c>
      <c r="K144" s="183"/>
      <c r="L144" s="100" t="s">
        <v>440</v>
      </c>
      <c r="M144" s="105">
        <f>MONTH(List3[[#This Row],[Tanggal Pengajuan]])</f>
        <v>6</v>
      </c>
      <c r="N144" s="183"/>
      <c r="O144" s="105"/>
      <c r="P144" s="111"/>
      <c r="Q144" s="230" t="s">
        <v>958</v>
      </c>
      <c r="R144" s="577"/>
    </row>
    <row r="145" spans="1:18" s="4" customFormat="1" ht="40.5" customHeight="1" x14ac:dyDescent="0.2">
      <c r="A145" s="102">
        <v>44406</v>
      </c>
      <c r="B145" s="67" t="s">
        <v>396</v>
      </c>
      <c r="C145" s="14" t="s">
        <v>429</v>
      </c>
      <c r="D145" s="22" t="s">
        <v>57</v>
      </c>
      <c r="E145" s="103" t="s">
        <v>18</v>
      </c>
      <c r="F145" s="15">
        <v>38</v>
      </c>
      <c r="G145" s="40">
        <v>35000000</v>
      </c>
      <c r="H145" s="41"/>
      <c r="I145" s="16" t="s">
        <v>19</v>
      </c>
      <c r="J145" s="100" t="s">
        <v>20</v>
      </c>
      <c r="K145" s="183"/>
      <c r="L145" s="100" t="s">
        <v>424</v>
      </c>
      <c r="M145" s="105">
        <f>MONTH(List3[[#This Row],[Tanggal Pengajuan]])</f>
        <v>7</v>
      </c>
      <c r="N145" s="183"/>
      <c r="O145" s="105" t="s">
        <v>499</v>
      </c>
      <c r="P145" s="111"/>
      <c r="Q145" s="230" t="s">
        <v>958</v>
      </c>
      <c r="R145" s="577"/>
    </row>
    <row r="146" spans="1:18" s="4" customFormat="1" ht="40.5" customHeight="1" x14ac:dyDescent="0.2">
      <c r="A146" s="102">
        <v>44483</v>
      </c>
      <c r="B146" s="163" t="s">
        <v>536</v>
      </c>
      <c r="C146" s="164" t="s">
        <v>429</v>
      </c>
      <c r="D146" s="165" t="s">
        <v>57</v>
      </c>
      <c r="E146" s="168" t="s">
        <v>18</v>
      </c>
      <c r="F146" s="178">
        <v>38</v>
      </c>
      <c r="G146" s="171">
        <v>10000000</v>
      </c>
      <c r="H146" s="180"/>
      <c r="I146" s="16" t="s">
        <v>19</v>
      </c>
      <c r="J146" s="100" t="s">
        <v>20</v>
      </c>
      <c r="K146" s="183">
        <v>44490</v>
      </c>
      <c r="L146" s="100" t="s">
        <v>534</v>
      </c>
      <c r="M146" s="105">
        <f>MONTH(List3[[#This Row],[Tanggal Pengajuan]])</f>
        <v>7</v>
      </c>
      <c r="N146" s="183"/>
      <c r="O146" s="105" t="s">
        <v>535</v>
      </c>
      <c r="P146" s="111"/>
      <c r="Q146" s="230" t="s">
        <v>958</v>
      </c>
      <c r="R146" s="577"/>
    </row>
    <row r="147" spans="1:18" s="4" customFormat="1" ht="40.5" customHeight="1" x14ac:dyDescent="0.2">
      <c r="A147" s="21">
        <v>44509</v>
      </c>
      <c r="B147" s="163" t="s">
        <v>585</v>
      </c>
      <c r="C147" s="176" t="s">
        <v>429</v>
      </c>
      <c r="D147" s="600" t="s">
        <v>57</v>
      </c>
      <c r="E147" s="103" t="s">
        <v>18</v>
      </c>
      <c r="F147" s="469">
        <v>38</v>
      </c>
      <c r="G147" s="40">
        <v>5000000</v>
      </c>
      <c r="H147" s="751"/>
      <c r="I147" s="16" t="s">
        <v>19</v>
      </c>
      <c r="J147" s="100" t="s">
        <v>20</v>
      </c>
      <c r="K147" s="183"/>
      <c r="L147" s="100" t="s">
        <v>537</v>
      </c>
      <c r="M147" s="105">
        <f>MONTH(List3[[#This Row],[Tanggal Pengajuan]])</f>
        <v>7</v>
      </c>
      <c r="N147" s="183"/>
      <c r="O147" s="105" t="s">
        <v>538</v>
      </c>
      <c r="P147" s="111"/>
      <c r="Q147" s="230" t="s">
        <v>958</v>
      </c>
      <c r="R147" s="577"/>
    </row>
    <row r="148" spans="1:18" s="4" customFormat="1" ht="40.5" customHeight="1" x14ac:dyDescent="0.2">
      <c r="A148" s="21">
        <v>44531</v>
      </c>
      <c r="B148" s="593" t="s">
        <v>611</v>
      </c>
      <c r="C148" s="176" t="s">
        <v>429</v>
      </c>
      <c r="D148" s="600" t="s">
        <v>57</v>
      </c>
      <c r="E148" s="103" t="s">
        <v>18</v>
      </c>
      <c r="F148" s="469">
        <v>38</v>
      </c>
      <c r="G148" s="40">
        <v>10000000</v>
      </c>
      <c r="H148" s="180"/>
      <c r="I148" s="16" t="s">
        <v>19</v>
      </c>
      <c r="J148" s="100" t="s">
        <v>20</v>
      </c>
      <c r="K148" s="183">
        <v>44490</v>
      </c>
      <c r="L148" s="100" t="s">
        <v>540</v>
      </c>
      <c r="M148" s="105">
        <f>MONTH(List3[[#This Row],[Tanggal Pengajuan]])</f>
        <v>7</v>
      </c>
      <c r="N148" s="183"/>
      <c r="O148" s="105" t="s">
        <v>541</v>
      </c>
      <c r="P148" s="111"/>
      <c r="Q148" s="230" t="s">
        <v>958</v>
      </c>
      <c r="R148" s="804">
        <f>SUM(G144:G148)</f>
        <v>65000000</v>
      </c>
    </row>
    <row r="149" spans="1:18" s="4" customFormat="1" ht="40.5" customHeight="1" x14ac:dyDescent="0.2">
      <c r="A149" s="102">
        <v>44421</v>
      </c>
      <c r="B149" s="163" t="s">
        <v>402</v>
      </c>
      <c r="C149" s="164" t="s">
        <v>413</v>
      </c>
      <c r="D149" s="165" t="s">
        <v>57</v>
      </c>
      <c r="E149" s="168" t="s">
        <v>28</v>
      </c>
      <c r="F149" s="178">
        <v>16</v>
      </c>
      <c r="G149" s="171">
        <v>10000000</v>
      </c>
      <c r="H149" s="41"/>
      <c r="I149" s="16" t="s">
        <v>19</v>
      </c>
      <c r="J149" s="100" t="s">
        <v>20</v>
      </c>
      <c r="K149" s="183"/>
      <c r="L149" s="100" t="s">
        <v>526</v>
      </c>
      <c r="M149" s="105">
        <f>MONTH(List3[[#This Row],[Tanggal Pengajuan]])</f>
        <v>7</v>
      </c>
      <c r="N149" s="183"/>
      <c r="O149" s="105" t="s">
        <v>527</v>
      </c>
      <c r="P149" s="111"/>
      <c r="Q149" s="230" t="s">
        <v>958</v>
      </c>
      <c r="R149" s="577"/>
    </row>
    <row r="150" spans="1:18" s="4" customFormat="1" ht="40.5" customHeight="1" x14ac:dyDescent="0.2">
      <c r="A150" s="102">
        <v>44484</v>
      </c>
      <c r="B150" s="163" t="s">
        <v>542</v>
      </c>
      <c r="C150" s="164" t="s">
        <v>413</v>
      </c>
      <c r="D150" s="165" t="s">
        <v>57</v>
      </c>
      <c r="E150" s="168" t="s">
        <v>18</v>
      </c>
      <c r="F150" s="178">
        <v>16</v>
      </c>
      <c r="G150" s="171">
        <v>20000000</v>
      </c>
      <c r="H150" s="180"/>
      <c r="I150" s="16" t="s">
        <v>19</v>
      </c>
      <c r="J150" s="100" t="s">
        <v>20</v>
      </c>
      <c r="K150" s="183"/>
      <c r="L150" s="100" t="s">
        <v>544</v>
      </c>
      <c r="M150" s="105">
        <f>MONTH(List3[[#This Row],[Tanggal Pengajuan]])</f>
        <v>7</v>
      </c>
      <c r="N150" s="183"/>
      <c r="O150" s="105" t="s">
        <v>543</v>
      </c>
      <c r="P150" s="111"/>
      <c r="Q150" s="230" t="s">
        <v>958</v>
      </c>
      <c r="R150" s="577"/>
    </row>
    <row r="151" spans="1:18" s="4" customFormat="1" ht="40.5" customHeight="1" x14ac:dyDescent="0.2">
      <c r="A151" s="21">
        <v>44531</v>
      </c>
      <c r="B151" s="593" t="s">
        <v>613</v>
      </c>
      <c r="C151" s="176" t="s">
        <v>413</v>
      </c>
      <c r="D151" s="600" t="s">
        <v>57</v>
      </c>
      <c r="E151" s="103" t="s">
        <v>18</v>
      </c>
      <c r="F151" s="469">
        <v>16</v>
      </c>
      <c r="G151" s="40">
        <v>20000000</v>
      </c>
      <c r="H151" s="41"/>
      <c r="I151" s="16" t="s">
        <v>19</v>
      </c>
      <c r="J151" s="100" t="s">
        <v>20</v>
      </c>
      <c r="K151" s="595">
        <v>44509</v>
      </c>
      <c r="L151" s="100" t="s">
        <v>556</v>
      </c>
      <c r="M151" s="105">
        <f>MONTH(List3[[#This Row],[Tanggal Pengajuan]])</f>
        <v>7</v>
      </c>
      <c r="N151" s="183"/>
      <c r="O151" s="105" t="s">
        <v>557</v>
      </c>
      <c r="P151" s="111"/>
      <c r="Q151" s="230" t="s">
        <v>958</v>
      </c>
      <c r="R151" s="804">
        <f>SUM(G149:G151)</f>
        <v>50000000</v>
      </c>
    </row>
    <row r="152" spans="1:18" s="4" customFormat="1" ht="40.5" customHeight="1" x14ac:dyDescent="0.2">
      <c r="A152" s="102">
        <v>44406</v>
      </c>
      <c r="B152" s="67" t="s">
        <v>394</v>
      </c>
      <c r="C152" s="14" t="s">
        <v>423</v>
      </c>
      <c r="D152" s="22" t="s">
        <v>57</v>
      </c>
      <c r="E152" s="103" t="s">
        <v>18</v>
      </c>
      <c r="F152" s="15">
        <v>35</v>
      </c>
      <c r="G152" s="40">
        <v>35000000</v>
      </c>
      <c r="H152" s="41"/>
      <c r="I152" s="16" t="s">
        <v>19</v>
      </c>
      <c r="J152" s="20" t="s">
        <v>20</v>
      </c>
      <c r="K152" s="755">
        <v>44532</v>
      </c>
      <c r="L152" s="20"/>
      <c r="M152" s="24">
        <f>MONTH(List3[[#This Row],[Tanggal Pengajuan]])</f>
        <v>7</v>
      </c>
      <c r="N152" s="183"/>
      <c r="O152" s="24"/>
      <c r="P152" s="177"/>
      <c r="Q152" s="230" t="s">
        <v>958</v>
      </c>
      <c r="R152" s="577"/>
    </row>
    <row r="153" spans="1:18" s="4" customFormat="1" ht="40.5" customHeight="1" x14ac:dyDescent="0.2">
      <c r="A153" s="102">
        <v>44434</v>
      </c>
      <c r="B153" s="163" t="s">
        <v>434</v>
      </c>
      <c r="C153" s="164" t="s">
        <v>423</v>
      </c>
      <c r="D153" s="165" t="s">
        <v>57</v>
      </c>
      <c r="E153" s="168" t="s">
        <v>28</v>
      </c>
      <c r="F153" s="178">
        <v>35</v>
      </c>
      <c r="G153" s="171">
        <v>5000000</v>
      </c>
      <c r="H153" s="41"/>
      <c r="I153" s="16" t="s">
        <v>19</v>
      </c>
      <c r="J153" s="20" t="s">
        <v>20</v>
      </c>
      <c r="K153" s="755">
        <v>44532</v>
      </c>
      <c r="L153" s="20"/>
      <c r="M153" s="24">
        <f>MONTH(List3[[#This Row],[Tanggal Pengajuan]])</f>
        <v>7</v>
      </c>
      <c r="N153" s="183"/>
      <c r="O153" s="24"/>
      <c r="P153" s="177"/>
      <c r="Q153" s="230" t="s">
        <v>958</v>
      </c>
      <c r="R153" s="577"/>
    </row>
    <row r="154" spans="1:18" s="4" customFormat="1" ht="40.5" customHeight="1" x14ac:dyDescent="0.2">
      <c r="A154" s="102">
        <v>44470</v>
      </c>
      <c r="B154" s="163" t="s">
        <v>498</v>
      </c>
      <c r="C154" s="164" t="s">
        <v>423</v>
      </c>
      <c r="D154" s="165" t="s">
        <v>57</v>
      </c>
      <c r="E154" s="168" t="s">
        <v>18</v>
      </c>
      <c r="F154" s="178">
        <v>35</v>
      </c>
      <c r="G154" s="171">
        <v>10000000</v>
      </c>
      <c r="H154" s="41"/>
      <c r="I154" s="16" t="s">
        <v>19</v>
      </c>
      <c r="J154" s="20" t="s">
        <v>20</v>
      </c>
      <c r="K154" s="595">
        <v>44510</v>
      </c>
      <c r="L154" s="20"/>
      <c r="M154" s="24">
        <f>MONTH(List3[[#This Row],[Tanggal Pengajuan]])</f>
        <v>7</v>
      </c>
      <c r="N154" s="183"/>
      <c r="O154" s="24"/>
      <c r="P154" s="177"/>
      <c r="Q154" s="230" t="s">
        <v>958</v>
      </c>
      <c r="R154" s="577"/>
    </row>
    <row r="155" spans="1:18" s="4" customFormat="1" ht="40.5" customHeight="1" x14ac:dyDescent="0.2">
      <c r="A155" s="21">
        <v>44518</v>
      </c>
      <c r="B155" s="163" t="s">
        <v>590</v>
      </c>
      <c r="C155" s="176" t="s">
        <v>423</v>
      </c>
      <c r="D155" s="600" t="s">
        <v>57</v>
      </c>
      <c r="E155" s="103" t="s">
        <v>18</v>
      </c>
      <c r="F155" s="469">
        <v>35</v>
      </c>
      <c r="G155" s="40">
        <v>5000000</v>
      </c>
      <c r="H155" s="41"/>
      <c r="I155" s="16" t="s">
        <v>19</v>
      </c>
      <c r="J155" s="20" t="s">
        <v>20</v>
      </c>
      <c r="K155" s="595">
        <v>44516</v>
      </c>
      <c r="L155" s="20"/>
      <c r="M155" s="24">
        <f>MONTH(List3[[#This Row],[Tanggal Pengajuan]])</f>
        <v>7</v>
      </c>
      <c r="N155" s="183"/>
      <c r="O155" s="24"/>
      <c r="P155" s="177"/>
      <c r="Q155" s="230" t="s">
        <v>958</v>
      </c>
      <c r="R155" s="577"/>
    </row>
    <row r="156" spans="1:18" s="4" customFormat="1" ht="40.5" customHeight="1" x14ac:dyDescent="0.2">
      <c r="A156" s="21">
        <v>44531</v>
      </c>
      <c r="B156" s="593" t="s">
        <v>615</v>
      </c>
      <c r="C156" s="176" t="s">
        <v>423</v>
      </c>
      <c r="D156" s="600" t="s">
        <v>57</v>
      </c>
      <c r="E156" s="103" t="s">
        <v>18</v>
      </c>
      <c r="F156" s="469">
        <v>35</v>
      </c>
      <c r="G156" s="40">
        <v>5000000</v>
      </c>
      <c r="H156" s="41"/>
      <c r="I156" s="16" t="s">
        <v>19</v>
      </c>
      <c r="J156" s="20" t="s">
        <v>20</v>
      </c>
      <c r="K156" s="595">
        <v>44526</v>
      </c>
      <c r="L156" s="20"/>
      <c r="M156" s="24">
        <f>MONTH(List3[[#This Row],[Tanggal Pengajuan]])</f>
        <v>8</v>
      </c>
      <c r="N156" s="183"/>
      <c r="O156" s="24"/>
      <c r="P156" s="177"/>
      <c r="Q156" s="230" t="s">
        <v>958</v>
      </c>
      <c r="R156" s="804">
        <f>SUM(G152:G156)</f>
        <v>60000000</v>
      </c>
    </row>
    <row r="157" spans="1:18" s="4" customFormat="1" ht="40.5" customHeight="1" x14ac:dyDescent="0.2">
      <c r="A157" s="102">
        <v>44439</v>
      </c>
      <c r="B157" s="163" t="s">
        <v>437</v>
      </c>
      <c r="C157" s="587" t="str">
        <f>C113</f>
        <v>Sekolah Pondok Domba Kolong - Riski Adi Putra</v>
      </c>
      <c r="D157" s="165" t="s">
        <v>57</v>
      </c>
      <c r="E157" s="168" t="s">
        <v>18</v>
      </c>
      <c r="F157" s="178">
        <v>31</v>
      </c>
      <c r="G157" s="171"/>
      <c r="H157" s="41"/>
      <c r="I157" s="104" t="s">
        <v>19</v>
      </c>
      <c r="J157" s="20" t="s">
        <v>20</v>
      </c>
      <c r="K157" s="595">
        <v>44510</v>
      </c>
      <c r="L157" s="24"/>
      <c r="M157" s="24">
        <f>MONTH(List3[[#This Row],[Tanggal Pengajuan]])</f>
        <v>8</v>
      </c>
      <c r="N157" s="183"/>
      <c r="O157" s="176"/>
      <c r="P157" s="177"/>
      <c r="Q157" s="230" t="s">
        <v>958</v>
      </c>
      <c r="R157" s="577"/>
    </row>
    <row r="158" spans="1:18" s="4" customFormat="1" ht="40.5" customHeight="1" x14ac:dyDescent="0.2">
      <c r="A158" s="102">
        <v>44406</v>
      </c>
      <c r="B158" s="67" t="s">
        <v>395</v>
      </c>
      <c r="C158" s="105" t="s">
        <v>426</v>
      </c>
      <c r="D158" s="22" t="s">
        <v>57</v>
      </c>
      <c r="E158" s="103" t="s">
        <v>18</v>
      </c>
      <c r="F158" s="15">
        <v>31</v>
      </c>
      <c r="G158" s="40">
        <v>30000000</v>
      </c>
      <c r="H158" s="41"/>
      <c r="I158" s="104" t="s">
        <v>19</v>
      </c>
      <c r="J158" s="176" t="s">
        <v>20</v>
      </c>
      <c r="K158" s="595">
        <v>44526</v>
      </c>
      <c r="L158" s="24"/>
      <c r="M158" s="24">
        <f>MONTH(List3[[#This Row],[Tanggal Pengajuan]])</f>
        <v>8</v>
      </c>
      <c r="N158" s="183"/>
      <c r="O158" s="24"/>
      <c r="P158" s="177"/>
      <c r="Q158" s="230" t="s">
        <v>958</v>
      </c>
      <c r="R158" s="577"/>
    </row>
    <row r="159" spans="1:18" s="4" customFormat="1" ht="40.5" customHeight="1" x14ac:dyDescent="0.2">
      <c r="A159" s="21">
        <v>44508</v>
      </c>
      <c r="B159" s="163" t="s">
        <v>628</v>
      </c>
      <c r="C159" s="24" t="s">
        <v>426</v>
      </c>
      <c r="D159" s="600" t="s">
        <v>57</v>
      </c>
      <c r="E159" s="103" t="s">
        <v>18</v>
      </c>
      <c r="F159" s="469">
        <v>31</v>
      </c>
      <c r="G159" s="40">
        <v>16500000</v>
      </c>
      <c r="H159" s="41"/>
      <c r="I159" s="104" t="s">
        <v>19</v>
      </c>
      <c r="J159" s="176" t="s">
        <v>20</v>
      </c>
      <c r="K159" s="755">
        <v>44556</v>
      </c>
      <c r="L159" s="24"/>
      <c r="M159" s="24">
        <f>MONTH(List3[[#This Row],[Tanggal Pengajuan]])</f>
        <v>8</v>
      </c>
      <c r="N159" s="183"/>
      <c r="O159" s="24"/>
      <c r="P159" s="177"/>
      <c r="Q159" s="230" t="s">
        <v>958</v>
      </c>
      <c r="R159" s="577"/>
    </row>
    <row r="160" spans="1:18" s="4" customFormat="1" ht="40.5" customHeight="1" x14ac:dyDescent="0.2">
      <c r="A160" s="21">
        <v>44531</v>
      </c>
      <c r="B160" s="593" t="s">
        <v>610</v>
      </c>
      <c r="C160" s="176" t="s">
        <v>426</v>
      </c>
      <c r="D160" s="600" t="s">
        <v>57</v>
      </c>
      <c r="E160" s="103" t="s">
        <v>18</v>
      </c>
      <c r="F160" s="469">
        <v>31</v>
      </c>
      <c r="G160" s="40">
        <v>5500000</v>
      </c>
      <c r="H160" s="41"/>
      <c r="I160" s="104" t="s">
        <v>19</v>
      </c>
      <c r="J160" s="20" t="s">
        <v>20</v>
      </c>
      <c r="K160" s="755">
        <v>44554</v>
      </c>
      <c r="L160" s="24"/>
      <c r="M160" s="24">
        <f>MONTH(List3[[#This Row],[Tanggal Pengajuan]])</f>
        <v>8</v>
      </c>
      <c r="N160" s="183"/>
      <c r="O160" s="24"/>
      <c r="P160" s="177"/>
      <c r="Q160" s="230" t="s">
        <v>958</v>
      </c>
      <c r="R160" s="804">
        <f>SUM(G157:G160)</f>
        <v>52000000</v>
      </c>
    </row>
    <row r="161" spans="1:18" s="4" customFormat="1" ht="40.5" customHeight="1" x14ac:dyDescent="0.2">
      <c r="A161" s="102">
        <v>44421</v>
      </c>
      <c r="B161" s="163" t="s">
        <v>401</v>
      </c>
      <c r="C161" s="164" t="s">
        <v>410</v>
      </c>
      <c r="D161" s="165" t="s">
        <v>57</v>
      </c>
      <c r="E161" s="168" t="s">
        <v>28</v>
      </c>
      <c r="F161" s="178">
        <v>78</v>
      </c>
      <c r="G161" s="171">
        <v>35000000</v>
      </c>
      <c r="H161" s="41"/>
      <c r="I161" s="104" t="s">
        <v>19</v>
      </c>
      <c r="J161" s="20" t="s">
        <v>20</v>
      </c>
      <c r="K161" s="755">
        <v>44537</v>
      </c>
      <c r="L161" s="24"/>
      <c r="M161" s="24">
        <f>MONTH(List3[[#This Row],[Tanggal Pengajuan]])</f>
        <v>8</v>
      </c>
      <c r="N161" s="183"/>
      <c r="O161" s="24"/>
      <c r="P161" s="177"/>
      <c r="Q161" s="230" t="s">
        <v>958</v>
      </c>
      <c r="R161" s="577"/>
    </row>
    <row r="162" spans="1:18" s="4" customFormat="1" ht="40.5" customHeight="1" x14ac:dyDescent="0.2">
      <c r="A162" s="21">
        <v>44510</v>
      </c>
      <c r="B162" s="163" t="s">
        <v>571</v>
      </c>
      <c r="C162" s="176" t="s">
        <v>410</v>
      </c>
      <c r="D162" s="600" t="s">
        <v>57</v>
      </c>
      <c r="E162" s="103" t="s">
        <v>18</v>
      </c>
      <c r="F162" s="469">
        <v>78</v>
      </c>
      <c r="G162" s="40">
        <v>15000000</v>
      </c>
      <c r="H162" s="41"/>
      <c r="I162" s="104" t="s">
        <v>19</v>
      </c>
      <c r="J162" s="20" t="s">
        <v>20</v>
      </c>
      <c r="K162" s="755">
        <v>44547</v>
      </c>
      <c r="L162" s="24"/>
      <c r="M162" s="24">
        <f>MONTH(List3[[#This Row],[Tanggal Pengajuan]])</f>
        <v>8</v>
      </c>
      <c r="N162" s="183"/>
      <c r="O162" s="24"/>
      <c r="P162" s="177"/>
      <c r="Q162" s="230" t="s">
        <v>958</v>
      </c>
      <c r="R162" s="577"/>
    </row>
    <row r="163" spans="1:18" s="4" customFormat="1" ht="40.5" customHeight="1" x14ac:dyDescent="0.2">
      <c r="A163" s="21">
        <v>44531</v>
      </c>
      <c r="B163" s="593" t="s">
        <v>612</v>
      </c>
      <c r="C163" s="176" t="s">
        <v>410</v>
      </c>
      <c r="D163" s="176" t="s">
        <v>57</v>
      </c>
      <c r="E163" s="14" t="s">
        <v>18</v>
      </c>
      <c r="F163" s="469">
        <v>78</v>
      </c>
      <c r="G163" s="40">
        <v>10000000</v>
      </c>
      <c r="H163" s="41"/>
      <c r="I163" s="104" t="s">
        <v>19</v>
      </c>
      <c r="J163" s="20" t="s">
        <v>20</v>
      </c>
      <c r="K163" s="755">
        <v>44553</v>
      </c>
      <c r="L163" s="24"/>
      <c r="M163" s="24">
        <f>MONTH(List3[[#This Row],[Tanggal Pengajuan]])</f>
        <v>8</v>
      </c>
      <c r="N163" s="183"/>
      <c r="O163" s="24"/>
      <c r="P163" s="177"/>
      <c r="Q163" s="230" t="s">
        <v>958</v>
      </c>
      <c r="R163" s="804">
        <f>SUM(G161:G163)</f>
        <v>60000000</v>
      </c>
    </row>
    <row r="164" spans="1:18" s="4" customFormat="1" ht="40.5" customHeight="1" x14ac:dyDescent="0.2">
      <c r="A164" s="102">
        <v>44421</v>
      </c>
      <c r="B164" s="163" t="s">
        <v>400</v>
      </c>
      <c r="C164" s="164" t="s">
        <v>407</v>
      </c>
      <c r="D164" s="174" t="s">
        <v>57</v>
      </c>
      <c r="E164" s="164" t="s">
        <v>28</v>
      </c>
      <c r="F164" s="178">
        <v>64</v>
      </c>
      <c r="G164" s="171">
        <v>10000000</v>
      </c>
      <c r="H164" s="41"/>
      <c r="I164" s="104" t="s">
        <v>19</v>
      </c>
      <c r="J164" s="20" t="s">
        <v>20</v>
      </c>
      <c r="K164" s="755">
        <v>44537</v>
      </c>
      <c r="L164" s="24"/>
      <c r="M164" s="24">
        <f>MONTH(List3[[#This Row],[Tanggal Pengajuan]])</f>
        <v>8</v>
      </c>
      <c r="N164" s="183"/>
      <c r="O164" s="24"/>
      <c r="P164" s="177"/>
      <c r="Q164" s="230" t="s">
        <v>958</v>
      </c>
      <c r="R164" s="577"/>
    </row>
    <row r="165" spans="1:18" s="4" customFormat="1" ht="40.5" customHeight="1" x14ac:dyDescent="0.2">
      <c r="A165" s="102">
        <v>44484</v>
      </c>
      <c r="B165" s="163" t="s">
        <v>525</v>
      </c>
      <c r="C165" s="164" t="s">
        <v>407</v>
      </c>
      <c r="D165" s="174" t="s">
        <v>57</v>
      </c>
      <c r="E165" s="164" t="s">
        <v>28</v>
      </c>
      <c r="F165" s="178">
        <v>64</v>
      </c>
      <c r="G165" s="171">
        <v>20000000</v>
      </c>
      <c r="H165" s="41"/>
      <c r="I165" s="104" t="s">
        <v>19</v>
      </c>
      <c r="J165" s="20" t="s">
        <v>20</v>
      </c>
      <c r="K165" s="755">
        <v>44537</v>
      </c>
      <c r="L165" s="24"/>
      <c r="M165" s="24">
        <f>MONTH(List3[[#This Row],[Tanggal Pengajuan]])</f>
        <v>8</v>
      </c>
      <c r="N165" s="183"/>
      <c r="O165" s="24"/>
      <c r="P165" s="177"/>
      <c r="Q165" s="230" t="s">
        <v>958</v>
      </c>
      <c r="R165" s="577"/>
    </row>
    <row r="166" spans="1:18" s="4" customFormat="1" ht="40.5" customHeight="1" x14ac:dyDescent="0.2">
      <c r="A166" s="21">
        <v>44509</v>
      </c>
      <c r="B166" s="163" t="s">
        <v>581</v>
      </c>
      <c r="C166" s="24" t="s">
        <v>407</v>
      </c>
      <c r="D166" s="600" t="s">
        <v>57</v>
      </c>
      <c r="E166" s="103" t="s">
        <v>18</v>
      </c>
      <c r="F166" s="469">
        <v>64</v>
      </c>
      <c r="G166" s="40">
        <v>10000000</v>
      </c>
      <c r="H166" s="41"/>
      <c r="I166" s="104" t="s">
        <v>19</v>
      </c>
      <c r="J166" s="20" t="s">
        <v>20</v>
      </c>
      <c r="K166" s="755">
        <v>44540</v>
      </c>
      <c r="L166" s="24"/>
      <c r="M166" s="24">
        <f>MONTH(List3[[#This Row],[Tanggal Pengajuan]])</f>
        <v>8</v>
      </c>
      <c r="N166" s="183"/>
      <c r="O166" s="24"/>
      <c r="P166" s="177"/>
      <c r="Q166" s="230" t="s">
        <v>958</v>
      </c>
      <c r="R166" s="577"/>
    </row>
    <row r="167" spans="1:18" s="4" customFormat="1" ht="40.5" customHeight="1" x14ac:dyDescent="0.2">
      <c r="A167" s="21">
        <v>44531</v>
      </c>
      <c r="B167" s="593" t="s">
        <v>614</v>
      </c>
      <c r="C167" s="176" t="s">
        <v>407</v>
      </c>
      <c r="D167" s="600" t="s">
        <v>57</v>
      </c>
      <c r="E167" s="103" t="s">
        <v>18</v>
      </c>
      <c r="F167" s="469">
        <v>64</v>
      </c>
      <c r="G167" s="40">
        <v>10000000</v>
      </c>
      <c r="H167" s="41"/>
      <c r="I167" s="104" t="s">
        <v>19</v>
      </c>
      <c r="J167" s="20" t="s">
        <v>20</v>
      </c>
      <c r="K167" s="755">
        <v>44543</v>
      </c>
      <c r="L167" s="24"/>
      <c r="M167" s="24">
        <f>MONTH(List3[[#This Row],[Tanggal Pengajuan]])</f>
        <v>8</v>
      </c>
      <c r="N167" s="183"/>
      <c r="O167" s="24"/>
      <c r="P167" s="177"/>
      <c r="Q167" s="230" t="s">
        <v>958</v>
      </c>
      <c r="R167" s="804">
        <f>SUM(G164:G167)</f>
        <v>50000000</v>
      </c>
    </row>
    <row r="168" spans="1:18" s="8" customFormat="1" ht="15.75" x14ac:dyDescent="0.2">
      <c r="A168" s="764"/>
      <c r="B168" s="765"/>
      <c r="C168" s="766"/>
      <c r="D168" s="766"/>
      <c r="E168" s="406"/>
      <c r="F168" s="767"/>
      <c r="G168" s="768"/>
      <c r="H168" s="768"/>
      <c r="I168" s="769"/>
      <c r="J168" s="766"/>
      <c r="K168" s="764"/>
      <c r="L168" s="766"/>
      <c r="M168" s="766"/>
      <c r="N168" s="650"/>
      <c r="O168" s="766"/>
      <c r="P168" s="770"/>
      <c r="Q168" s="652"/>
      <c r="R168" s="771"/>
    </row>
    <row r="169" spans="1:18" s="8" customFormat="1" ht="15.75" x14ac:dyDescent="0.2">
      <c r="A169" s="772"/>
      <c r="B169" s="773"/>
      <c r="C169" s="774"/>
      <c r="D169" s="774"/>
      <c r="E169" s="618"/>
      <c r="F169" s="775"/>
      <c r="G169" s="805">
        <f>SUM(G131:G168)</f>
        <v>542500000</v>
      </c>
      <c r="H169" s="776"/>
      <c r="I169" s="777"/>
      <c r="J169" s="774"/>
      <c r="K169" s="772"/>
      <c r="L169" s="774"/>
      <c r="M169" s="774"/>
      <c r="N169" s="658"/>
      <c r="O169" s="774"/>
      <c r="P169" s="778"/>
      <c r="Q169" s="660"/>
      <c r="R169" s="805">
        <f>SUM(R131:R168)</f>
        <v>542500000</v>
      </c>
    </row>
    <row r="170" spans="1:18" s="8" customFormat="1" ht="15.75" x14ac:dyDescent="0.2">
      <c r="A170" s="772"/>
      <c r="B170" s="773"/>
      <c r="C170" s="774"/>
      <c r="D170" s="774"/>
      <c r="E170" s="618"/>
      <c r="F170" s="775"/>
      <c r="G170" s="776"/>
      <c r="H170" s="776"/>
      <c r="I170" s="777"/>
      <c r="J170" s="774"/>
      <c r="K170" s="772"/>
      <c r="L170" s="774"/>
      <c r="M170" s="774"/>
      <c r="N170" s="658"/>
      <c r="O170" s="774"/>
      <c r="P170" s="778"/>
      <c r="Q170" s="660"/>
      <c r="R170" s="803">
        <f>+R169-'S1-S2  2021'!O7</f>
        <v>0</v>
      </c>
    </row>
    <row r="171" spans="1:18" s="8" customFormat="1" ht="15.75" x14ac:dyDescent="0.2">
      <c r="A171" s="772"/>
      <c r="B171" s="773"/>
      <c r="C171" s="774"/>
      <c r="D171" s="774"/>
      <c r="E171" s="618"/>
      <c r="F171" s="775"/>
      <c r="G171" s="776"/>
      <c r="H171" s="776"/>
      <c r="I171" s="777"/>
      <c r="J171" s="774"/>
      <c r="K171" s="772"/>
      <c r="L171" s="774"/>
      <c r="M171" s="774"/>
      <c r="N171" s="658"/>
      <c r="O171" s="774"/>
      <c r="P171" s="778"/>
      <c r="Q171" s="660"/>
      <c r="R171" s="771"/>
    </row>
    <row r="172" spans="1:18" s="8" customFormat="1" ht="15.75" x14ac:dyDescent="0.2">
      <c r="A172" s="772"/>
      <c r="B172" s="773"/>
      <c r="C172" s="781"/>
      <c r="D172" s="774"/>
      <c r="E172" s="618"/>
      <c r="F172" s="782"/>
      <c r="G172" s="783"/>
      <c r="H172" s="776"/>
      <c r="I172" s="777"/>
      <c r="J172" s="781"/>
      <c r="K172" s="772"/>
      <c r="L172" s="774"/>
      <c r="M172" s="774"/>
      <c r="N172" s="658"/>
      <c r="O172" s="774"/>
      <c r="P172" s="778"/>
      <c r="Q172" s="670"/>
      <c r="R172" s="771"/>
    </row>
    <row r="173" spans="1:18" s="4" customFormat="1" ht="41.25" customHeight="1" x14ac:dyDescent="0.2">
      <c r="A173" s="102">
        <v>44616</v>
      </c>
      <c r="B173" s="67" t="s">
        <v>275</v>
      </c>
      <c r="C173" s="14" t="s">
        <v>986</v>
      </c>
      <c r="D173" s="22" t="s">
        <v>1054</v>
      </c>
      <c r="E173" s="103" t="s">
        <v>18</v>
      </c>
      <c r="F173" s="15">
        <v>0</v>
      </c>
      <c r="G173" s="40">
        <v>0</v>
      </c>
      <c r="H173" s="41"/>
      <c r="I173" s="104"/>
      <c r="J173" s="100"/>
      <c r="K173" s="183"/>
      <c r="L173" s="105" t="s">
        <v>21</v>
      </c>
      <c r="M173" s="105">
        <f>MONTH(List3[[#This Row],[Tanggal Pengajuan]])</f>
        <v>8</v>
      </c>
      <c r="N173" s="183"/>
      <c r="O173" s="105" t="s">
        <v>25</v>
      </c>
      <c r="P173" s="111" t="s">
        <v>317</v>
      </c>
      <c r="Q173" s="237"/>
      <c r="R173" s="804">
        <f>+G173</f>
        <v>0</v>
      </c>
    </row>
    <row r="174" spans="1:18" s="4" customFormat="1" ht="41.25" customHeight="1" x14ac:dyDescent="0.2">
      <c r="A174" s="102">
        <v>44646</v>
      </c>
      <c r="B174" s="67" t="s">
        <v>329</v>
      </c>
      <c r="C174" s="744" t="s">
        <v>983</v>
      </c>
      <c r="D174" s="22" t="s">
        <v>1054</v>
      </c>
      <c r="E174" s="103" t="s">
        <v>18</v>
      </c>
      <c r="F174" s="15">
        <v>0</v>
      </c>
      <c r="G174" s="40">
        <v>0</v>
      </c>
      <c r="H174" s="41"/>
      <c r="I174" s="104"/>
      <c r="J174" s="100"/>
      <c r="K174" s="183">
        <v>44274</v>
      </c>
      <c r="L174" s="105"/>
      <c r="M174" s="105">
        <f>MONTH(List3[[#This Row],[Tanggal Pengajuan]])</f>
        <v>8</v>
      </c>
      <c r="N174" s="183"/>
      <c r="O174" s="105"/>
      <c r="P174" s="111"/>
      <c r="Q174" s="230" t="s">
        <v>960</v>
      </c>
      <c r="R174" s="804">
        <f>+G174</f>
        <v>0</v>
      </c>
    </row>
    <row r="175" spans="1:18" s="4" customFormat="1" ht="41.25" customHeight="1" x14ac:dyDescent="0.2">
      <c r="A175" s="102">
        <v>44678</v>
      </c>
      <c r="B175" s="67" t="s">
        <v>974</v>
      </c>
      <c r="C175" s="14" t="s">
        <v>989</v>
      </c>
      <c r="D175" s="22" t="s">
        <v>1054</v>
      </c>
      <c r="E175" s="103" t="s">
        <v>18</v>
      </c>
      <c r="F175" s="15">
        <v>1</v>
      </c>
      <c r="G175" s="40">
        <v>0</v>
      </c>
      <c r="H175" s="41"/>
      <c r="I175" s="104"/>
      <c r="J175" s="100"/>
      <c r="K175" s="183"/>
      <c r="L175" s="105"/>
      <c r="M175" s="105">
        <f>MONTH(List3[[#This Row],[Tanggal Pengajuan]])</f>
        <v>8</v>
      </c>
      <c r="N175" s="183"/>
      <c r="O175" s="105" t="s">
        <v>25</v>
      </c>
      <c r="P175" s="111"/>
      <c r="Q175" s="230" t="s">
        <v>960</v>
      </c>
      <c r="R175" s="804">
        <f>+G175</f>
        <v>0</v>
      </c>
    </row>
    <row r="176" spans="1:18" s="4" customFormat="1" ht="41.25" customHeight="1" x14ac:dyDescent="0.2">
      <c r="A176" s="102">
        <v>44740</v>
      </c>
      <c r="B176" s="67" t="s">
        <v>377</v>
      </c>
      <c r="C176" s="14" t="s">
        <v>970</v>
      </c>
      <c r="D176" s="103" t="s">
        <v>1054</v>
      </c>
      <c r="E176" s="103" t="s">
        <v>18</v>
      </c>
      <c r="F176" s="15">
        <v>0</v>
      </c>
      <c r="G176" s="40">
        <v>0</v>
      </c>
      <c r="H176" s="41"/>
      <c r="I176" s="104"/>
      <c r="J176" s="100"/>
      <c r="K176" s="183"/>
      <c r="L176" s="105"/>
      <c r="M176" s="105">
        <f>MONTH(List3[[#This Row],[Tanggal Pengajuan]])</f>
        <v>8</v>
      </c>
      <c r="N176" s="183"/>
      <c r="O176" s="105" t="s">
        <v>970</v>
      </c>
      <c r="P176" s="111"/>
      <c r="Q176" s="230" t="s">
        <v>958</v>
      </c>
      <c r="R176" s="804">
        <f>+G176</f>
        <v>0</v>
      </c>
    </row>
    <row r="177" spans="1:18" s="4" customFormat="1" ht="41.25" customHeight="1" x14ac:dyDescent="0.2">
      <c r="A177" s="102">
        <v>44770</v>
      </c>
      <c r="B177" s="67" t="s">
        <v>399</v>
      </c>
      <c r="C177" s="103" t="s">
        <v>1011</v>
      </c>
      <c r="D177" s="103" t="s">
        <v>1054</v>
      </c>
      <c r="E177" s="103"/>
      <c r="F177" s="15">
        <v>1</v>
      </c>
      <c r="G177" s="40">
        <v>0</v>
      </c>
      <c r="H177" s="41"/>
      <c r="I177" s="104"/>
      <c r="J177" s="100"/>
      <c r="K177" s="183"/>
      <c r="L177" s="105"/>
      <c r="M177" s="105">
        <f>MONTH(List3[[#This Row],[Tanggal Pengajuan]])</f>
        <v>8</v>
      </c>
      <c r="N177" s="183"/>
      <c r="O177" s="105" t="s">
        <v>25</v>
      </c>
      <c r="P177" s="111"/>
      <c r="Q177" s="230" t="s">
        <v>958</v>
      </c>
      <c r="R177" s="804">
        <f>+G177</f>
        <v>0</v>
      </c>
    </row>
    <row r="178" spans="1:18" s="8" customFormat="1" ht="15.75" x14ac:dyDescent="0.2">
      <c r="A178" s="644"/>
      <c r="B178" s="645"/>
      <c r="C178" s="406"/>
      <c r="D178" s="406"/>
      <c r="E178" s="406"/>
      <c r="F178" s="787"/>
      <c r="G178" s="768"/>
      <c r="H178" s="768"/>
      <c r="I178" s="769"/>
      <c r="J178" s="406"/>
      <c r="K178" s="650"/>
      <c r="L178" s="406"/>
      <c r="M178" s="406"/>
      <c r="N178" s="650"/>
      <c r="O178" s="406"/>
      <c r="P178" s="651"/>
      <c r="Q178" s="652"/>
      <c r="R178" s="771"/>
    </row>
    <row r="179" spans="1:18" s="8" customFormat="1" ht="15.75" x14ac:dyDescent="0.2">
      <c r="A179" s="653"/>
      <c r="B179" s="654"/>
      <c r="C179" s="618"/>
      <c r="D179" s="618"/>
      <c r="E179" s="618"/>
      <c r="F179" s="789"/>
      <c r="G179" s="805">
        <f>SUM(G173:G178)</f>
        <v>0</v>
      </c>
      <c r="H179" s="776"/>
      <c r="I179" s="777"/>
      <c r="J179" s="618"/>
      <c r="K179" s="658"/>
      <c r="L179" s="618"/>
      <c r="M179" s="618"/>
      <c r="N179" s="658"/>
      <c r="O179" s="618"/>
      <c r="P179" s="659"/>
      <c r="Q179" s="660"/>
      <c r="R179" s="805">
        <f>SUM(R173:R178)</f>
        <v>0</v>
      </c>
    </row>
    <row r="180" spans="1:18" s="8" customFormat="1" ht="15.75" x14ac:dyDescent="0.2">
      <c r="A180" s="653"/>
      <c r="B180" s="654"/>
      <c r="C180" s="618"/>
      <c r="D180" s="618"/>
      <c r="E180" s="618"/>
      <c r="F180" s="789"/>
      <c r="G180" s="776"/>
      <c r="H180" s="776"/>
      <c r="I180" s="777"/>
      <c r="J180" s="618"/>
      <c r="K180" s="658"/>
      <c r="L180" s="618"/>
      <c r="M180" s="618"/>
      <c r="N180" s="658"/>
      <c r="O180" s="618"/>
      <c r="P180" s="659"/>
      <c r="Q180" s="660"/>
      <c r="R180" s="803">
        <f>+R179-'S1-S2  2021'!O9</f>
        <v>-6268542</v>
      </c>
    </row>
    <row r="181" spans="1:18" s="8" customFormat="1" ht="15.75" x14ac:dyDescent="0.2">
      <c r="A181" s="653"/>
      <c r="B181" s="654"/>
      <c r="C181" s="618"/>
      <c r="D181" s="618"/>
      <c r="E181" s="618"/>
      <c r="F181" s="789"/>
      <c r="G181" s="776"/>
      <c r="H181" s="776"/>
      <c r="I181" s="777"/>
      <c r="J181" s="618"/>
      <c r="K181" s="658"/>
      <c r="L181" s="618"/>
      <c r="M181" s="618"/>
      <c r="N181" s="658"/>
      <c r="O181" s="618"/>
      <c r="P181" s="659"/>
      <c r="Q181" s="660"/>
      <c r="R181" s="771"/>
    </row>
    <row r="182" spans="1:18" s="8" customFormat="1" ht="15.75" x14ac:dyDescent="0.2">
      <c r="A182" s="653"/>
      <c r="B182" s="654"/>
      <c r="C182" s="618"/>
      <c r="D182" s="618"/>
      <c r="E182" s="618"/>
      <c r="F182" s="789"/>
      <c r="G182" s="776"/>
      <c r="H182" s="776"/>
      <c r="I182" s="777"/>
      <c r="J182" s="618"/>
      <c r="K182" s="658"/>
      <c r="L182" s="618"/>
      <c r="M182" s="618"/>
      <c r="N182" s="658"/>
      <c r="O182" s="618"/>
      <c r="P182" s="659"/>
      <c r="Q182" s="660"/>
      <c r="R182" s="771"/>
    </row>
    <row r="183" spans="1:18" s="8" customFormat="1" ht="15.75" x14ac:dyDescent="0.2">
      <c r="A183" s="653"/>
      <c r="B183" s="654"/>
      <c r="C183" s="618"/>
      <c r="D183" s="618"/>
      <c r="E183" s="618"/>
      <c r="F183" s="790"/>
      <c r="G183" s="783"/>
      <c r="H183" s="776"/>
      <c r="I183" s="777"/>
      <c r="J183" s="663"/>
      <c r="K183" s="658"/>
      <c r="L183" s="618"/>
      <c r="M183" s="618"/>
      <c r="N183" s="658"/>
      <c r="O183" s="618"/>
      <c r="P183" s="659"/>
      <c r="Q183" s="670"/>
      <c r="R183" s="771"/>
    </row>
    <row r="184" spans="1:18" s="4" customFormat="1" ht="32.25" customHeight="1" x14ac:dyDescent="0.2">
      <c r="A184" s="102">
        <v>44391</v>
      </c>
      <c r="B184" s="67" t="s">
        <v>375</v>
      </c>
      <c r="C184" s="14" t="s">
        <v>859</v>
      </c>
      <c r="D184" s="18" t="s">
        <v>17</v>
      </c>
      <c r="E184" s="103" t="s">
        <v>28</v>
      </c>
      <c r="F184" s="15">
        <v>23</v>
      </c>
      <c r="G184" s="40">
        <v>6000000</v>
      </c>
      <c r="H184" s="40"/>
      <c r="I184" s="104" t="s">
        <v>19</v>
      </c>
      <c r="J184" s="14" t="s">
        <v>41</v>
      </c>
      <c r="K184" s="183">
        <v>44308</v>
      </c>
      <c r="L184" s="100" t="s">
        <v>21</v>
      </c>
      <c r="M184" s="100">
        <f>MONTH(List3[[#This Row],[Tanggal Pengajuan]])</f>
        <v>8</v>
      </c>
      <c r="N184" s="183">
        <v>44309</v>
      </c>
      <c r="O184" s="100" t="s">
        <v>331</v>
      </c>
      <c r="P184" s="111"/>
      <c r="Q184" s="230" t="s">
        <v>958</v>
      </c>
      <c r="R184" s="577"/>
    </row>
    <row r="185" spans="1:18" s="4" customFormat="1" ht="32.25" customHeight="1" x14ac:dyDescent="0.2">
      <c r="A185" s="102">
        <v>44426</v>
      </c>
      <c r="B185" s="67" t="s">
        <v>404</v>
      </c>
      <c r="C185" s="14" t="s">
        <v>859</v>
      </c>
      <c r="D185" s="18" t="s">
        <v>17</v>
      </c>
      <c r="E185" s="103" t="s">
        <v>18</v>
      </c>
      <c r="F185" s="178">
        <v>23</v>
      </c>
      <c r="G185" s="40">
        <v>6000000</v>
      </c>
      <c r="H185" s="40"/>
      <c r="I185" s="104" t="s">
        <v>19</v>
      </c>
      <c r="J185" s="14" t="s">
        <v>41</v>
      </c>
      <c r="K185" s="183">
        <v>44308</v>
      </c>
      <c r="L185" s="100" t="s">
        <v>21</v>
      </c>
      <c r="M185" s="100">
        <f>MONTH(List3[[#This Row],[Tanggal Pengajuan]])</f>
        <v>8</v>
      </c>
      <c r="N185" s="183">
        <v>44309</v>
      </c>
      <c r="O185" s="100" t="s">
        <v>285</v>
      </c>
      <c r="P185" s="111"/>
      <c r="Q185" s="230" t="s">
        <v>958</v>
      </c>
      <c r="R185" s="577"/>
    </row>
    <row r="186" spans="1:18" s="4" customFormat="1" ht="32.25" customHeight="1" x14ac:dyDescent="0.2">
      <c r="A186" s="102">
        <v>44468</v>
      </c>
      <c r="B186" s="67" t="s">
        <v>500</v>
      </c>
      <c r="C186" s="14" t="s">
        <v>859</v>
      </c>
      <c r="D186" s="18" t="s">
        <v>17</v>
      </c>
      <c r="E186" s="103" t="s">
        <v>18</v>
      </c>
      <c r="F186" s="178">
        <v>23</v>
      </c>
      <c r="G186" s="40">
        <v>6000000</v>
      </c>
      <c r="H186" s="40"/>
      <c r="I186" s="104" t="s">
        <v>19</v>
      </c>
      <c r="J186" s="14" t="s">
        <v>41</v>
      </c>
      <c r="K186" s="183">
        <v>44308</v>
      </c>
      <c r="L186" s="100" t="s">
        <v>21</v>
      </c>
      <c r="M186" s="100">
        <f>MONTH(List3[[#This Row],[Tanggal Pengajuan]])</f>
        <v>8</v>
      </c>
      <c r="N186" s="183">
        <v>44309</v>
      </c>
      <c r="O186" s="100" t="s">
        <v>284</v>
      </c>
      <c r="P186" s="111"/>
      <c r="Q186" s="230" t="s">
        <v>958</v>
      </c>
      <c r="R186" s="577"/>
    </row>
    <row r="187" spans="1:18" s="4" customFormat="1" ht="32.25" customHeight="1" x14ac:dyDescent="0.2">
      <c r="A187" s="102">
        <v>44483</v>
      </c>
      <c r="B187" s="67" t="s">
        <v>559</v>
      </c>
      <c r="C187" s="748" t="s">
        <v>859</v>
      </c>
      <c r="D187" s="18" t="s">
        <v>17</v>
      </c>
      <c r="E187" s="103" t="s">
        <v>18</v>
      </c>
      <c r="F187" s="178">
        <v>23</v>
      </c>
      <c r="G187" s="40">
        <v>6000000</v>
      </c>
      <c r="H187" s="40"/>
      <c r="I187" s="104" t="s">
        <v>19</v>
      </c>
      <c r="J187" s="14" t="s">
        <v>41</v>
      </c>
      <c r="K187" s="183">
        <v>44308</v>
      </c>
      <c r="L187" s="100" t="s">
        <v>21</v>
      </c>
      <c r="M187" s="100">
        <f>MONTH(List3[[#This Row],[Tanggal Pengajuan]])</f>
        <v>8</v>
      </c>
      <c r="N187" s="183">
        <v>44309</v>
      </c>
      <c r="O187" s="100" t="s">
        <v>305</v>
      </c>
      <c r="P187" s="111"/>
      <c r="Q187" s="230" t="s">
        <v>958</v>
      </c>
      <c r="R187" s="577"/>
    </row>
    <row r="188" spans="1:18" s="4" customFormat="1" ht="32.25" customHeight="1" x14ac:dyDescent="0.2">
      <c r="A188" s="21">
        <v>44508</v>
      </c>
      <c r="B188" s="67" t="s">
        <v>575</v>
      </c>
      <c r="C188" s="176" t="s">
        <v>859</v>
      </c>
      <c r="D188" s="176" t="s">
        <v>17</v>
      </c>
      <c r="E188" s="103" t="s">
        <v>18</v>
      </c>
      <c r="F188" s="469">
        <v>23</v>
      </c>
      <c r="G188" s="40">
        <v>6000000</v>
      </c>
      <c r="H188" s="40"/>
      <c r="I188" s="104" t="s">
        <v>19</v>
      </c>
      <c r="J188" s="14" t="s">
        <v>41</v>
      </c>
      <c r="K188" s="183">
        <v>44308</v>
      </c>
      <c r="L188" s="100" t="s">
        <v>21</v>
      </c>
      <c r="M188" s="100">
        <f>MONTH(List3[[#This Row],[Tanggal Pengajuan]])</f>
        <v>8</v>
      </c>
      <c r="N188" s="183">
        <v>44309</v>
      </c>
      <c r="O188" s="100" t="s">
        <v>298</v>
      </c>
      <c r="P188" s="111"/>
      <c r="Q188" s="230" t="s">
        <v>958</v>
      </c>
      <c r="R188" s="577"/>
    </row>
    <row r="189" spans="1:18" s="4" customFormat="1" ht="32.25" customHeight="1" x14ac:dyDescent="0.2">
      <c r="A189" s="21">
        <v>44531</v>
      </c>
      <c r="B189" s="593" t="s">
        <v>603</v>
      </c>
      <c r="C189" s="600" t="s">
        <v>382</v>
      </c>
      <c r="D189" s="176" t="s">
        <v>17</v>
      </c>
      <c r="E189" s="103" t="s">
        <v>18</v>
      </c>
      <c r="F189" s="469">
        <v>23</v>
      </c>
      <c r="G189" s="40">
        <v>6000000</v>
      </c>
      <c r="H189" s="40"/>
      <c r="I189" s="24" t="s">
        <v>19</v>
      </c>
      <c r="J189" s="14" t="str">
        <f>IF(List3[[#This Row],[TRF]]="Done","Sudah Transfer","Proses PP/Pengajuan Approval")</f>
        <v>Sudah Transfer</v>
      </c>
      <c r="K189" s="183">
        <v>44214</v>
      </c>
      <c r="L189" s="100" t="s">
        <v>21</v>
      </c>
      <c r="M189" s="100">
        <f>MONTH(List3[[#This Row],[Tanggal Pengajuan]])</f>
        <v>8</v>
      </c>
      <c r="N189" s="183">
        <v>44231</v>
      </c>
      <c r="O189" s="100" t="s">
        <v>212</v>
      </c>
      <c r="P189" s="111"/>
      <c r="Q189" s="237"/>
      <c r="R189" s="804">
        <f>SUM(G184:G189)</f>
        <v>36000000</v>
      </c>
    </row>
    <row r="190" spans="1:18" s="4" customFormat="1" ht="32.25" customHeight="1" x14ac:dyDescent="0.2">
      <c r="A190" s="102">
        <v>44204</v>
      </c>
      <c r="B190" s="595" t="s">
        <v>220</v>
      </c>
      <c r="C190" s="103" t="s">
        <v>257</v>
      </c>
      <c r="D190" s="18" t="s">
        <v>17</v>
      </c>
      <c r="E190" s="103" t="s">
        <v>18</v>
      </c>
      <c r="F190" s="15">
        <v>134</v>
      </c>
      <c r="G190" s="40">
        <v>5500000</v>
      </c>
      <c r="H190" s="40"/>
      <c r="I190" s="24" t="s">
        <v>19</v>
      </c>
      <c r="J190" s="14" t="str">
        <f>IF(List3[[#This Row],[TRF]]="Done","Sudah Transfer","Proses PP/Pengajuan Approval")</f>
        <v>Sudah Transfer</v>
      </c>
      <c r="K190" s="183">
        <v>44214</v>
      </c>
      <c r="L190" s="100" t="s">
        <v>21</v>
      </c>
      <c r="M190" s="100">
        <f>MONTH(List3[[#This Row],[Tanggal Pengajuan]])</f>
        <v>8</v>
      </c>
      <c r="N190" s="183">
        <v>44242</v>
      </c>
      <c r="O190" s="100" t="s">
        <v>214</v>
      </c>
      <c r="P190" s="111"/>
      <c r="Q190" s="237"/>
      <c r="R190" s="577"/>
    </row>
    <row r="191" spans="1:18" s="4" customFormat="1" ht="32.25" customHeight="1" x14ac:dyDescent="0.2">
      <c r="A191" s="102">
        <v>44259</v>
      </c>
      <c r="B191" s="67" t="s">
        <v>307</v>
      </c>
      <c r="C191" s="103" t="s">
        <v>257</v>
      </c>
      <c r="D191" s="18" t="s">
        <v>17</v>
      </c>
      <c r="E191" s="103" t="s">
        <v>18</v>
      </c>
      <c r="F191" s="15">
        <v>134</v>
      </c>
      <c r="G191" s="40">
        <v>5500000</v>
      </c>
      <c r="H191" s="40"/>
      <c r="I191" s="24" t="s">
        <v>19</v>
      </c>
      <c r="J191" s="14" t="str">
        <f>IF(List3[[#This Row],[TRF]]="Done","Sudah Transfer","Proses PP/Pengajuan Approval")</f>
        <v>Sudah Transfer</v>
      </c>
      <c r="K191" s="183">
        <v>44214</v>
      </c>
      <c r="L191" s="100" t="s">
        <v>21</v>
      </c>
      <c r="M191" s="100">
        <f>MONTH(List3[[#This Row],[Tanggal Pengajuan]])</f>
        <v>8</v>
      </c>
      <c r="N191" s="183"/>
      <c r="O191" s="100" t="s">
        <v>216</v>
      </c>
      <c r="P191" s="111"/>
      <c r="Q191" s="237"/>
      <c r="R191" s="577"/>
    </row>
    <row r="192" spans="1:18" s="4" customFormat="1" ht="32.25" customHeight="1" x14ac:dyDescent="0.2">
      <c r="A192" s="102">
        <v>44306</v>
      </c>
      <c r="B192" s="67" t="s">
        <v>341</v>
      </c>
      <c r="C192" s="103" t="s">
        <v>257</v>
      </c>
      <c r="D192" s="18" t="s">
        <v>17</v>
      </c>
      <c r="E192" s="103" t="s">
        <v>18</v>
      </c>
      <c r="F192" s="15">
        <v>134</v>
      </c>
      <c r="G192" s="40">
        <v>5500000</v>
      </c>
      <c r="H192" s="40"/>
      <c r="I192" s="24" t="s">
        <v>19</v>
      </c>
      <c r="J192" s="14" t="str">
        <f>IF(List3[[#This Row],[TRF]]="Done","Sudah Transfer","Proses PP/Pengajuan Approval")</f>
        <v>Sudah Transfer</v>
      </c>
      <c r="K192" s="183">
        <v>44214</v>
      </c>
      <c r="L192" s="100" t="s">
        <v>21</v>
      </c>
      <c r="M192" s="100">
        <f>MONTH(List3[[#This Row],[Tanggal Pengajuan]])</f>
        <v>8</v>
      </c>
      <c r="N192" s="183">
        <v>44222</v>
      </c>
      <c r="O192" s="100" t="s">
        <v>230</v>
      </c>
      <c r="P192" s="111"/>
      <c r="Q192" s="237"/>
      <c r="R192" s="577"/>
    </row>
    <row r="193" spans="1:19" s="4" customFormat="1" ht="32.25" customHeight="1" x14ac:dyDescent="0.2">
      <c r="A193" s="102">
        <v>44362</v>
      </c>
      <c r="B193" s="67" t="s">
        <v>365</v>
      </c>
      <c r="C193" s="103" t="s">
        <v>257</v>
      </c>
      <c r="D193" s="18" t="s">
        <v>17</v>
      </c>
      <c r="E193" s="103" t="s">
        <v>18</v>
      </c>
      <c r="F193" s="15">
        <v>134</v>
      </c>
      <c r="G193" s="40">
        <v>5500000</v>
      </c>
      <c r="H193" s="40"/>
      <c r="I193" s="24" t="s">
        <v>19</v>
      </c>
      <c r="J193" s="14" t="str">
        <f>IF(List3[[#This Row],[TRF]]="Done","Sudah Transfer","Proses PP/Pengajuan Approval")</f>
        <v>Sudah Transfer</v>
      </c>
      <c r="K193" s="183">
        <v>44224</v>
      </c>
      <c r="L193" s="100" t="s">
        <v>21</v>
      </c>
      <c r="M193" s="100">
        <f>MONTH(List3[[#This Row],[Tanggal Pengajuan]])</f>
        <v>8</v>
      </c>
      <c r="N193" s="183">
        <v>44235</v>
      </c>
      <c r="O193" s="100" t="s">
        <v>247</v>
      </c>
      <c r="P193" s="111"/>
      <c r="Q193" s="237"/>
      <c r="R193" s="577"/>
    </row>
    <row r="194" spans="1:19" s="4" customFormat="1" ht="32.25" customHeight="1" x14ac:dyDescent="0.2">
      <c r="A194" s="590">
        <v>44392</v>
      </c>
      <c r="B194" s="585" t="s">
        <v>388</v>
      </c>
      <c r="C194" s="579" t="s">
        <v>257</v>
      </c>
      <c r="D194" s="579" t="s">
        <v>17</v>
      </c>
      <c r="E194" s="579" t="s">
        <v>18</v>
      </c>
      <c r="F194" s="580">
        <v>128</v>
      </c>
      <c r="G194" s="583">
        <v>5500000</v>
      </c>
      <c r="H194" s="40"/>
      <c r="I194" s="24"/>
      <c r="J194" s="14"/>
      <c r="K194" s="183"/>
      <c r="L194" s="100"/>
      <c r="M194" s="100"/>
      <c r="N194" s="183"/>
      <c r="O194" s="100"/>
      <c r="P194" s="111"/>
      <c r="Q194" s="237"/>
      <c r="R194" s="577"/>
    </row>
    <row r="195" spans="1:19" s="4" customFormat="1" ht="32.25" customHeight="1" x14ac:dyDescent="0.2">
      <c r="A195" s="102">
        <v>44461</v>
      </c>
      <c r="B195" s="163" t="s">
        <v>487</v>
      </c>
      <c r="C195" s="168" t="s">
        <v>257</v>
      </c>
      <c r="D195" s="174" t="s">
        <v>17</v>
      </c>
      <c r="E195" s="168" t="s">
        <v>18</v>
      </c>
      <c r="F195" s="178">
        <v>134</v>
      </c>
      <c r="G195" s="171">
        <v>5500000</v>
      </c>
      <c r="H195" s="40"/>
      <c r="I195" s="24" t="s">
        <v>19</v>
      </c>
      <c r="J195" s="14" t="str">
        <f>IF(List3[[#This Row],[TRF]]="Done","Sudah Transfer","Proses PP/Pengajuan Approval")</f>
        <v>Sudah Transfer</v>
      </c>
      <c r="K195" s="183">
        <v>44214</v>
      </c>
      <c r="L195" s="100" t="s">
        <v>21</v>
      </c>
      <c r="M195" s="100">
        <f>MONTH(List3[[#This Row],[Tanggal Pengajuan]])</f>
        <v>8</v>
      </c>
      <c r="N195" s="183"/>
      <c r="O195" s="100" t="s">
        <v>219</v>
      </c>
      <c r="P195" s="111"/>
      <c r="Q195" s="237"/>
      <c r="R195" s="577"/>
    </row>
    <row r="196" spans="1:19" s="4" customFormat="1" ht="32.25" customHeight="1" x14ac:dyDescent="0.2">
      <c r="A196" s="102">
        <v>44495</v>
      </c>
      <c r="B196" s="163" t="s">
        <v>549</v>
      </c>
      <c r="C196" s="168" t="s">
        <v>257</v>
      </c>
      <c r="D196" s="174" t="s">
        <v>17</v>
      </c>
      <c r="E196" s="168" t="s">
        <v>18</v>
      </c>
      <c r="F196" s="178">
        <v>134</v>
      </c>
      <c r="G196" s="171">
        <v>5500000</v>
      </c>
      <c r="H196" s="40"/>
      <c r="I196" s="24" t="s">
        <v>19</v>
      </c>
      <c r="J196" s="14" t="str">
        <f>IF(List3[[#This Row],[TRF]]="Done","Sudah Transfer","Proses PP/Pengajuan Approval")</f>
        <v>Sudah Transfer</v>
      </c>
      <c r="K196" s="183">
        <v>44218</v>
      </c>
      <c r="L196" s="100" t="s">
        <v>136</v>
      </c>
      <c r="M196" s="100">
        <f>MONTH(List3[[#This Row],[Tanggal Pengajuan]])</f>
        <v>8</v>
      </c>
      <c r="N196" s="183"/>
      <c r="O196" s="100" t="s">
        <v>223</v>
      </c>
      <c r="P196" s="111"/>
      <c r="Q196" s="237"/>
      <c r="R196" s="577"/>
    </row>
    <row r="197" spans="1:19" s="4" customFormat="1" ht="32.25" customHeight="1" x14ac:dyDescent="0.2">
      <c r="A197" s="21">
        <v>44518</v>
      </c>
      <c r="B197" s="163" t="s">
        <v>589</v>
      </c>
      <c r="C197" s="600" t="s">
        <v>257</v>
      </c>
      <c r="D197" s="176" t="s">
        <v>17</v>
      </c>
      <c r="E197" s="103" t="s">
        <v>18</v>
      </c>
      <c r="F197" s="469">
        <v>134</v>
      </c>
      <c r="G197" s="40">
        <v>5500000</v>
      </c>
      <c r="H197" s="40"/>
      <c r="I197" s="24" t="s">
        <v>19</v>
      </c>
      <c r="J197" s="14" t="str">
        <f>IF(List3[[#This Row],[TRF]]="Done","Sudah Transfer","Proses PP/Pengajuan Approval")</f>
        <v>Proses PP/Pengajuan Approval</v>
      </c>
      <c r="K197" s="183">
        <v>44218</v>
      </c>
      <c r="L197" s="100" t="s">
        <v>136</v>
      </c>
      <c r="M197" s="100">
        <f>MONTH(List3[[#This Row],[Tanggal Pengajuan]])</f>
        <v>8</v>
      </c>
      <c r="N197" s="183"/>
      <c r="O197" s="100" t="s">
        <v>223</v>
      </c>
      <c r="P197" s="111"/>
      <c r="Q197" s="237"/>
      <c r="R197" s="577"/>
    </row>
    <row r="198" spans="1:19" s="4" customFormat="1" ht="32.25" customHeight="1" x14ac:dyDescent="0.2">
      <c r="A198" s="21">
        <v>44532</v>
      </c>
      <c r="B198" s="593" t="s">
        <v>635</v>
      </c>
      <c r="C198" s="809" t="s">
        <v>257</v>
      </c>
      <c r="D198" s="176" t="s">
        <v>17</v>
      </c>
      <c r="E198" s="103" t="s">
        <v>18</v>
      </c>
      <c r="F198" s="469">
        <v>134</v>
      </c>
      <c r="G198" s="40">
        <v>5500000</v>
      </c>
      <c r="H198" s="40"/>
      <c r="I198" s="24" t="s">
        <v>19</v>
      </c>
      <c r="J198" s="14" t="str">
        <f>IF(List3[[#This Row],[TRF]]="Done","Sudah Transfer","Proses PP/Pengajuan Approval")</f>
        <v>Proses PP/Pengajuan Approval</v>
      </c>
      <c r="K198" s="183">
        <v>44218</v>
      </c>
      <c r="L198" s="100" t="s">
        <v>136</v>
      </c>
      <c r="M198" s="100">
        <f>MONTH(List3[[#This Row],[Tanggal Pengajuan]])</f>
        <v>8</v>
      </c>
      <c r="N198" s="183"/>
      <c r="O198" s="100" t="s">
        <v>224</v>
      </c>
      <c r="P198" s="111"/>
      <c r="Q198" s="237"/>
      <c r="R198" s="804">
        <f>SUM(G190:G198)</f>
        <v>49500000</v>
      </c>
      <c r="S198" s="810">
        <f>+R198</f>
        <v>49500000</v>
      </c>
    </row>
    <row r="199" spans="1:19" s="4" customFormat="1" ht="32.25" customHeight="1" x14ac:dyDescent="0.2">
      <c r="A199" s="102">
        <v>44321</v>
      </c>
      <c r="B199" s="67" t="s">
        <v>351</v>
      </c>
      <c r="C199" s="103" t="s">
        <v>361</v>
      </c>
      <c r="D199" s="18" t="s">
        <v>17</v>
      </c>
      <c r="E199" s="103" t="s">
        <v>28</v>
      </c>
      <c r="F199" s="15">
        <v>150</v>
      </c>
      <c r="G199" s="40">
        <v>5500000</v>
      </c>
      <c r="H199" s="40"/>
      <c r="I199" s="24" t="s">
        <v>19</v>
      </c>
      <c r="J199" s="14" t="str">
        <f>IF(List3[[#This Row],[TRF]]="Done","Sudah Transfer","Proses PP/Pengajuan Approval")</f>
        <v>Sudah Transfer</v>
      </c>
      <c r="K199" s="183">
        <v>44225</v>
      </c>
      <c r="L199" s="100" t="s">
        <v>21</v>
      </c>
      <c r="M199" s="100">
        <f>MONTH(List3[[#This Row],[Tanggal Pengajuan]])</f>
        <v>8</v>
      </c>
      <c r="N199" s="183"/>
      <c r="O199" s="100" t="s">
        <v>241</v>
      </c>
      <c r="P199" s="111"/>
      <c r="Q199" s="237"/>
      <c r="R199" s="804">
        <f>+G199</f>
        <v>5500000</v>
      </c>
    </row>
    <row r="200" spans="1:19" s="4" customFormat="1" ht="32.25" customHeight="1" x14ac:dyDescent="0.2">
      <c r="A200" s="102">
        <v>44267</v>
      </c>
      <c r="B200" s="67" t="s">
        <v>318</v>
      </c>
      <c r="C200" s="103" t="s">
        <v>857</v>
      </c>
      <c r="D200" s="18" t="s">
        <v>17</v>
      </c>
      <c r="E200" s="103" t="s">
        <v>18</v>
      </c>
      <c r="F200" s="15">
        <v>52</v>
      </c>
      <c r="G200" s="40">
        <v>5500000</v>
      </c>
      <c r="H200" s="40"/>
      <c r="I200" s="24" t="s">
        <v>19</v>
      </c>
      <c r="J200" s="14" t="str">
        <f>IF(List3[[#This Row],[TRF]]="Done","Sudah Transfer","Proses PP/Pengajuan Approval")</f>
        <v>Proses PP/Pengajuan Approval</v>
      </c>
      <c r="K200" s="183">
        <v>44225</v>
      </c>
      <c r="L200" s="100" t="s">
        <v>21</v>
      </c>
      <c r="M200" s="100">
        <f>MONTH(List3[[#This Row],[Tanggal Pengajuan]])</f>
        <v>8</v>
      </c>
      <c r="N200" s="183"/>
      <c r="O200" s="100" t="s">
        <v>241</v>
      </c>
      <c r="P200" s="111"/>
      <c r="Q200" s="237"/>
      <c r="R200" s="577"/>
    </row>
    <row r="201" spans="1:19" s="4" customFormat="1" ht="32.25" customHeight="1" x14ac:dyDescent="0.2">
      <c r="A201" s="102">
        <v>44335</v>
      </c>
      <c r="B201" s="67" t="s">
        <v>355</v>
      </c>
      <c r="C201" s="103" t="s">
        <v>857</v>
      </c>
      <c r="D201" s="18" t="s">
        <v>17</v>
      </c>
      <c r="E201" s="103" t="s">
        <v>18</v>
      </c>
      <c r="F201" s="15">
        <v>52</v>
      </c>
      <c r="G201" s="40">
        <v>5499550</v>
      </c>
      <c r="H201" s="40"/>
      <c r="I201" s="24" t="s">
        <v>19</v>
      </c>
      <c r="J201" s="14" t="str">
        <f>IF(List3[[#This Row],[TRF]]="Done","Sudah Transfer","Proses PP/Pengajuan Approval")</f>
        <v>Sudah Transfer</v>
      </c>
      <c r="K201" s="183">
        <v>44225</v>
      </c>
      <c r="L201" s="100" t="s">
        <v>21</v>
      </c>
      <c r="M201" s="100">
        <f>MONTH(List3[[#This Row],[Tanggal Pengajuan]])</f>
        <v>8</v>
      </c>
      <c r="N201" s="183"/>
      <c r="O201" s="100" t="s">
        <v>241</v>
      </c>
      <c r="P201" s="111"/>
      <c r="Q201" s="237"/>
      <c r="R201" s="577"/>
    </row>
    <row r="202" spans="1:19" s="4" customFormat="1" ht="32.25" customHeight="1" x14ac:dyDescent="0.2">
      <c r="A202" s="102">
        <v>44371</v>
      </c>
      <c r="B202" s="67" t="s">
        <v>376</v>
      </c>
      <c r="C202" s="103" t="s">
        <v>857</v>
      </c>
      <c r="D202" s="18" t="s">
        <v>17</v>
      </c>
      <c r="E202" s="103" t="s">
        <v>18</v>
      </c>
      <c r="F202" s="15">
        <v>52</v>
      </c>
      <c r="G202" s="40">
        <v>5440600</v>
      </c>
      <c r="H202" s="40"/>
      <c r="I202" s="24" t="s">
        <v>19</v>
      </c>
      <c r="J202" s="14" t="str">
        <f>IF(List3[[#This Row],[TRF]]="Done","Sudah Transfer","Proses PP/Pengajuan Approval")</f>
        <v>Sudah Transfer</v>
      </c>
      <c r="K202" s="183">
        <v>44225</v>
      </c>
      <c r="L202" s="100" t="s">
        <v>21</v>
      </c>
      <c r="M202" s="100">
        <f>MONTH(List3[[#This Row],[Tanggal Pengajuan]])</f>
        <v>8</v>
      </c>
      <c r="N202" s="183"/>
      <c r="O202" s="100" t="s">
        <v>241</v>
      </c>
      <c r="P202" s="111"/>
      <c r="Q202" s="237"/>
      <c r="R202" s="577"/>
    </row>
    <row r="203" spans="1:19" s="4" customFormat="1" ht="32.25" customHeight="1" x14ac:dyDescent="0.2">
      <c r="A203" s="102">
        <v>44414</v>
      </c>
      <c r="B203" s="67" t="s">
        <v>397</v>
      </c>
      <c r="C203" s="103" t="s">
        <v>857</v>
      </c>
      <c r="D203" s="176" t="s">
        <v>17</v>
      </c>
      <c r="E203" s="103" t="s">
        <v>18</v>
      </c>
      <c r="F203" s="469">
        <v>52</v>
      </c>
      <c r="G203" s="40">
        <v>5999100</v>
      </c>
      <c r="H203" s="40"/>
      <c r="I203" s="24" t="s">
        <v>19</v>
      </c>
      <c r="J203" s="14" t="s">
        <v>41</v>
      </c>
      <c r="K203" s="183">
        <v>44225</v>
      </c>
      <c r="L203" s="100" t="s">
        <v>21</v>
      </c>
      <c r="M203" s="100">
        <f>MONTH(List3[[#This Row],[Tanggal Pengajuan]])</f>
        <v>9</v>
      </c>
      <c r="N203" s="183">
        <v>44309</v>
      </c>
      <c r="O203" s="100" t="s">
        <v>241</v>
      </c>
      <c r="P203" s="111"/>
      <c r="Q203" s="237"/>
      <c r="R203" s="577"/>
    </row>
    <row r="204" spans="1:19" s="4" customFormat="1" ht="32.25" customHeight="1" x14ac:dyDescent="0.2">
      <c r="A204" s="21">
        <v>44502</v>
      </c>
      <c r="B204" s="163" t="s">
        <v>564</v>
      </c>
      <c r="C204" s="103" t="s">
        <v>857</v>
      </c>
      <c r="D204" s="176" t="s">
        <v>17</v>
      </c>
      <c r="E204" s="103" t="s">
        <v>18</v>
      </c>
      <c r="F204" s="469">
        <v>52</v>
      </c>
      <c r="G204" s="40">
        <v>6132100</v>
      </c>
      <c r="H204" s="40"/>
      <c r="I204" s="24" t="s">
        <v>19</v>
      </c>
      <c r="J204" s="14" t="str">
        <f>IF(List3[[#This Row],[TRF]]="Done","Sudah Transfer","Proses PP/Pengajuan Approval")</f>
        <v>Sudah Transfer</v>
      </c>
      <c r="K204" s="183">
        <v>44225</v>
      </c>
      <c r="L204" s="100" t="s">
        <v>21</v>
      </c>
      <c r="M204" s="100">
        <f>MONTH(List3[[#This Row],[Tanggal Pengajuan]])</f>
        <v>9</v>
      </c>
      <c r="N204" s="183"/>
      <c r="O204" s="100" t="s">
        <v>241</v>
      </c>
      <c r="P204" s="111"/>
      <c r="Q204" s="237"/>
      <c r="R204" s="577"/>
    </row>
    <row r="205" spans="1:19" s="4" customFormat="1" ht="32.25" customHeight="1" x14ac:dyDescent="0.2">
      <c r="A205" s="21">
        <v>44509</v>
      </c>
      <c r="B205" s="163" t="s">
        <v>583</v>
      </c>
      <c r="C205" s="600" t="s">
        <v>857</v>
      </c>
      <c r="D205" s="176" t="s">
        <v>17</v>
      </c>
      <c r="E205" s="103" t="s">
        <v>18</v>
      </c>
      <c r="F205" s="469">
        <v>52</v>
      </c>
      <c r="G205" s="40">
        <v>6132100</v>
      </c>
      <c r="H205" s="40"/>
      <c r="I205" s="24" t="s">
        <v>19</v>
      </c>
      <c r="J205" s="14" t="str">
        <f>IF(List3[[#This Row],[TRF]]="Done","Sudah Transfer","Proses PP/Pengajuan Approval")</f>
        <v>Proses PP/Pengajuan Approval</v>
      </c>
      <c r="K205" s="183">
        <v>44232</v>
      </c>
      <c r="L205" s="100" t="s">
        <v>21</v>
      </c>
      <c r="M205" s="100">
        <f>MONTH(List3[[#This Row],[Tanggal Pengajuan]])</f>
        <v>9</v>
      </c>
      <c r="N205" s="183">
        <v>44235</v>
      </c>
      <c r="O205" s="100" t="s">
        <v>241</v>
      </c>
      <c r="P205" s="111"/>
      <c r="Q205" s="237"/>
      <c r="R205" s="577"/>
    </row>
    <row r="206" spans="1:19" s="4" customFormat="1" ht="32.25" customHeight="1" x14ac:dyDescent="0.2">
      <c r="A206" s="21">
        <v>44550</v>
      </c>
      <c r="B206" s="593" t="s">
        <v>599</v>
      </c>
      <c r="C206" s="600" t="s">
        <v>857</v>
      </c>
      <c r="D206" s="176" t="s">
        <v>17</v>
      </c>
      <c r="E206" s="103" t="s">
        <v>18</v>
      </c>
      <c r="F206" s="469">
        <v>52</v>
      </c>
      <c r="G206" s="40">
        <v>5999100</v>
      </c>
      <c r="H206" s="40"/>
      <c r="I206" s="24" t="s">
        <v>19</v>
      </c>
      <c r="J206" s="14" t="str">
        <f>IF(List3[[#This Row],[TRF]]="Done","Sudah Transfer","Proses PP/Pengajuan Approval")</f>
        <v>Proses PP/Pengajuan Approval</v>
      </c>
      <c r="K206" s="183">
        <v>44232</v>
      </c>
      <c r="L206" s="100" t="s">
        <v>21</v>
      </c>
      <c r="M206" s="100">
        <f>MONTH(List3[[#This Row],[Tanggal Pengajuan]])</f>
        <v>9</v>
      </c>
      <c r="N206" s="183">
        <v>44236</v>
      </c>
      <c r="O206" s="100" t="s">
        <v>241</v>
      </c>
      <c r="P206" s="111"/>
      <c r="Q206" s="237"/>
      <c r="R206" s="804">
        <f>SUM(G200:G206)</f>
        <v>40702550</v>
      </c>
    </row>
    <row r="207" spans="1:19" s="4" customFormat="1" ht="32.25" customHeight="1" x14ac:dyDescent="0.2">
      <c r="A207" s="102">
        <v>44243</v>
      </c>
      <c r="B207" s="67" t="s">
        <v>258</v>
      </c>
      <c r="C207" s="103" t="s">
        <v>990</v>
      </c>
      <c r="D207" s="18" t="s">
        <v>17</v>
      </c>
      <c r="E207" s="103" t="s">
        <v>18</v>
      </c>
      <c r="F207" s="15">
        <v>0</v>
      </c>
      <c r="G207" s="40">
        <v>5500000</v>
      </c>
      <c r="H207" s="40"/>
      <c r="I207" s="24" t="s">
        <v>19</v>
      </c>
      <c r="J207" s="14" t="str">
        <f>IF(List3[[#This Row],[TRF]]="Done","Sudah Transfer","Proses PP/Pengajuan Approval")</f>
        <v>Sudah Transfer</v>
      </c>
      <c r="K207" s="183">
        <v>44246</v>
      </c>
      <c r="L207" s="100" t="s">
        <v>21</v>
      </c>
      <c r="M207" s="100">
        <f>MONTH(List3[[#This Row],[Tanggal Pengajuan]])</f>
        <v>9</v>
      </c>
      <c r="N207" s="183"/>
      <c r="O207" s="100" t="s">
        <v>259</v>
      </c>
      <c r="P207" s="111"/>
      <c r="Q207" s="237"/>
      <c r="R207" s="804">
        <f>+G207</f>
        <v>5500000</v>
      </c>
    </row>
    <row r="208" spans="1:19" s="4" customFormat="1" ht="32.25" customHeight="1" x14ac:dyDescent="0.2">
      <c r="A208" s="102">
        <v>44414</v>
      </c>
      <c r="B208" s="67" t="s">
        <v>397</v>
      </c>
      <c r="C208" s="103" t="s">
        <v>866</v>
      </c>
      <c r="D208" s="176" t="s">
        <v>17</v>
      </c>
      <c r="E208" s="103" t="s">
        <v>18</v>
      </c>
      <c r="F208" s="469">
        <v>56</v>
      </c>
      <c r="G208" s="40">
        <v>6000400</v>
      </c>
      <c r="H208" s="40"/>
      <c r="I208" s="24" t="s">
        <v>19</v>
      </c>
      <c r="J208" s="14" t="str">
        <f>IF(List3[[#This Row],[TRF]]="Done","Sudah Transfer","Proses PP/Pengajuan Approval")</f>
        <v>Sudah Transfer</v>
      </c>
      <c r="K208" s="183">
        <v>44246</v>
      </c>
      <c r="L208" s="100" t="s">
        <v>21</v>
      </c>
      <c r="M208" s="100">
        <f>MONTH(List3[[#This Row],[Tanggal Pengajuan]])</f>
        <v>9</v>
      </c>
      <c r="N208" s="183">
        <v>44253</v>
      </c>
      <c r="O208" s="100" t="s">
        <v>263</v>
      </c>
      <c r="P208" s="111"/>
      <c r="Q208" s="237"/>
      <c r="R208" s="577"/>
    </row>
    <row r="209" spans="1:18" s="4" customFormat="1" ht="32.25" customHeight="1" x14ac:dyDescent="0.2">
      <c r="A209" s="21">
        <v>44502</v>
      </c>
      <c r="B209" s="163" t="s">
        <v>564</v>
      </c>
      <c r="C209" s="103" t="s">
        <v>866</v>
      </c>
      <c r="D209" s="176" t="s">
        <v>17</v>
      </c>
      <c r="E209" s="103" t="s">
        <v>18</v>
      </c>
      <c r="F209" s="469">
        <v>56</v>
      </c>
      <c r="G209" s="40">
        <v>5999600</v>
      </c>
      <c r="H209" s="40"/>
      <c r="I209" s="104" t="s">
        <v>19</v>
      </c>
      <c r="J209" s="14" t="str">
        <f>IF(List3[[#This Row],[TRF]]="Done","Sudah Transfer","Proses PP/Pengajuan Approval")</f>
        <v>Sudah Transfer</v>
      </c>
      <c r="K209" s="183">
        <v>44259</v>
      </c>
      <c r="L209" s="100" t="s">
        <v>21</v>
      </c>
      <c r="M209" s="100">
        <f>MONTH(List3[[#This Row],[Tanggal Pengajuan]])</f>
        <v>9</v>
      </c>
      <c r="N209" s="183">
        <v>44263</v>
      </c>
      <c r="O209" s="100" t="s">
        <v>316</v>
      </c>
      <c r="P209" s="111"/>
      <c r="Q209" s="230" t="s">
        <v>958</v>
      </c>
      <c r="R209" s="577"/>
    </row>
    <row r="210" spans="1:18" s="4" customFormat="1" ht="32.25" customHeight="1" x14ac:dyDescent="0.2">
      <c r="A210" s="21">
        <v>44509</v>
      </c>
      <c r="B210" s="163" t="s">
        <v>583</v>
      </c>
      <c r="C210" s="600" t="s">
        <v>866</v>
      </c>
      <c r="D210" s="176" t="s">
        <v>17</v>
      </c>
      <c r="E210" s="103" t="s">
        <v>18</v>
      </c>
      <c r="F210" s="469">
        <v>56</v>
      </c>
      <c r="G210" s="40">
        <v>5999600</v>
      </c>
      <c r="H210" s="40"/>
      <c r="I210" s="104" t="s">
        <v>19</v>
      </c>
      <c r="J210" s="14" t="str">
        <f>IF(List3[[#This Row],[TRF]]="Done","Sudah Transfer","Proses PP/Pengajuan Approval")</f>
        <v>Sudah Transfer</v>
      </c>
      <c r="K210" s="183">
        <v>44259</v>
      </c>
      <c r="L210" s="100" t="s">
        <v>21</v>
      </c>
      <c r="M210" s="100">
        <f>MONTH(List3[[#This Row],[Tanggal Pengajuan]])</f>
        <v>9</v>
      </c>
      <c r="N210" s="183">
        <v>44263</v>
      </c>
      <c r="O210" s="100" t="s">
        <v>276</v>
      </c>
      <c r="P210" s="111"/>
      <c r="Q210" s="230" t="s">
        <v>958</v>
      </c>
      <c r="R210" s="577"/>
    </row>
    <row r="211" spans="1:18" s="4" customFormat="1" ht="32.25" customHeight="1" x14ac:dyDescent="0.2">
      <c r="A211" s="21">
        <v>44550</v>
      </c>
      <c r="B211" s="593" t="s">
        <v>599</v>
      </c>
      <c r="C211" s="600" t="s">
        <v>866</v>
      </c>
      <c r="D211" s="176" t="s">
        <v>17</v>
      </c>
      <c r="E211" s="103" t="s">
        <v>18</v>
      </c>
      <c r="F211" s="469">
        <v>56</v>
      </c>
      <c r="G211" s="40">
        <v>5999600</v>
      </c>
      <c r="H211" s="40"/>
      <c r="I211" s="104" t="s">
        <v>19</v>
      </c>
      <c r="J211" s="14" t="s">
        <v>41</v>
      </c>
      <c r="K211" s="183">
        <v>44308</v>
      </c>
      <c r="L211" s="100" t="s">
        <v>21</v>
      </c>
      <c r="M211" s="100">
        <f>MONTH(List3[[#This Row],[Tanggal Pengajuan]])</f>
        <v>9</v>
      </c>
      <c r="N211" s="183">
        <v>44309</v>
      </c>
      <c r="O211" s="100" t="s">
        <v>279</v>
      </c>
      <c r="P211" s="111"/>
      <c r="Q211" s="230" t="s">
        <v>958</v>
      </c>
      <c r="R211" s="804">
        <f>SUM(G208:G211)</f>
        <v>23999200</v>
      </c>
    </row>
    <row r="212" spans="1:18" s="4" customFormat="1" ht="32.25" customHeight="1" x14ac:dyDescent="0.2">
      <c r="A212" s="102">
        <v>44221</v>
      </c>
      <c r="B212" s="67" t="s">
        <v>242</v>
      </c>
      <c r="C212" s="14" t="s">
        <v>867</v>
      </c>
      <c r="D212" s="18" t="s">
        <v>17</v>
      </c>
      <c r="E212" s="103" t="s">
        <v>18</v>
      </c>
      <c r="F212" s="15">
        <v>83</v>
      </c>
      <c r="G212" s="40">
        <v>5500000</v>
      </c>
      <c r="H212" s="40"/>
      <c r="I212" s="104" t="s">
        <v>19</v>
      </c>
      <c r="J212" s="14" t="s">
        <v>41</v>
      </c>
      <c r="K212" s="183">
        <v>44308</v>
      </c>
      <c r="L212" s="100" t="s">
        <v>21</v>
      </c>
      <c r="M212" s="100">
        <f>MONTH(List3[[#This Row],[Tanggal Pengajuan]])</f>
        <v>9</v>
      </c>
      <c r="N212" s="183">
        <v>44309</v>
      </c>
      <c r="O212" s="100" t="s">
        <v>304</v>
      </c>
      <c r="P212" s="111"/>
      <c r="Q212" s="230" t="s">
        <v>958</v>
      </c>
      <c r="R212" s="577"/>
    </row>
    <row r="213" spans="1:18" s="4" customFormat="1" ht="32.25" customHeight="1" x14ac:dyDescent="0.2">
      <c r="A213" s="102">
        <v>44257</v>
      </c>
      <c r="B213" s="67" t="s">
        <v>290</v>
      </c>
      <c r="C213" s="14" t="s">
        <v>867</v>
      </c>
      <c r="D213" s="18" t="s">
        <v>17</v>
      </c>
      <c r="E213" s="103" t="s">
        <v>18</v>
      </c>
      <c r="F213" s="15">
        <v>83</v>
      </c>
      <c r="G213" s="40">
        <v>5500000</v>
      </c>
      <c r="H213" s="40"/>
      <c r="I213" s="104" t="s">
        <v>19</v>
      </c>
      <c r="J213" s="14" t="s">
        <v>41</v>
      </c>
      <c r="K213" s="183">
        <v>44308</v>
      </c>
      <c r="L213" s="100" t="s">
        <v>21</v>
      </c>
      <c r="M213" s="100">
        <f>MONTH(List3[[#This Row],[Tanggal Pengajuan]])</f>
        <v>9</v>
      </c>
      <c r="N213" s="183">
        <v>44309</v>
      </c>
      <c r="O213" s="100" t="s">
        <v>330</v>
      </c>
      <c r="P213" s="111"/>
      <c r="Q213" s="230" t="s">
        <v>958</v>
      </c>
      <c r="R213" s="577"/>
    </row>
    <row r="214" spans="1:18" s="4" customFormat="1" ht="32.25" customHeight="1" x14ac:dyDescent="0.2">
      <c r="A214" s="102">
        <v>44294</v>
      </c>
      <c r="B214" s="67" t="s">
        <v>987</v>
      </c>
      <c r="C214" s="14" t="s">
        <v>867</v>
      </c>
      <c r="D214" s="22" t="s">
        <v>17</v>
      </c>
      <c r="E214" s="103" t="s">
        <v>18</v>
      </c>
      <c r="F214" s="15">
        <v>83</v>
      </c>
      <c r="G214" s="40">
        <v>5481800</v>
      </c>
      <c r="H214" s="41"/>
      <c r="I214" s="104" t="s">
        <v>19</v>
      </c>
      <c r="J214" s="100" t="s">
        <v>41</v>
      </c>
      <c r="K214" s="183">
        <v>44308</v>
      </c>
      <c r="L214" s="105" t="s">
        <v>21</v>
      </c>
      <c r="M214" s="105">
        <f>MONTH(List3[[#This Row],[Tanggal Pengajuan]])</f>
        <v>9</v>
      </c>
      <c r="N214" s="183">
        <v>44309</v>
      </c>
      <c r="O214" s="105" t="s">
        <v>301</v>
      </c>
      <c r="P214" s="111"/>
      <c r="Q214" s="230" t="s">
        <v>958</v>
      </c>
      <c r="R214" s="577"/>
    </row>
    <row r="215" spans="1:18" s="4" customFormat="1" ht="32.25" customHeight="1" x14ac:dyDescent="0.2">
      <c r="A215" s="102">
        <v>44335</v>
      </c>
      <c r="B215" s="67" t="s">
        <v>355</v>
      </c>
      <c r="C215" s="14" t="s">
        <v>867</v>
      </c>
      <c r="D215" s="22" t="s">
        <v>17</v>
      </c>
      <c r="E215" s="103" t="s">
        <v>18</v>
      </c>
      <c r="F215" s="15">
        <v>77</v>
      </c>
      <c r="G215" s="40">
        <v>5498790</v>
      </c>
      <c r="H215" s="41"/>
      <c r="I215" s="104" t="s">
        <v>19</v>
      </c>
      <c r="J215" s="100" t="s">
        <v>41</v>
      </c>
      <c r="K215" s="183">
        <v>44308</v>
      </c>
      <c r="L215" s="105" t="s">
        <v>21</v>
      </c>
      <c r="M215" s="105">
        <f>MONTH(List3[[#This Row],[Tanggal Pengajuan]])</f>
        <v>9</v>
      </c>
      <c r="N215" s="183">
        <v>44309</v>
      </c>
      <c r="O215" s="105" t="s">
        <v>292</v>
      </c>
      <c r="P215" s="111"/>
      <c r="Q215" s="230" t="s">
        <v>958</v>
      </c>
      <c r="R215" s="577"/>
    </row>
    <row r="216" spans="1:18" s="4" customFormat="1" ht="32.25" customHeight="1" x14ac:dyDescent="0.2">
      <c r="A216" s="102">
        <v>44371</v>
      </c>
      <c r="B216" s="67" t="s">
        <v>376</v>
      </c>
      <c r="C216" s="14" t="s">
        <v>867</v>
      </c>
      <c r="D216" s="22" t="s">
        <v>17</v>
      </c>
      <c r="E216" s="103" t="s">
        <v>18</v>
      </c>
      <c r="F216" s="15">
        <v>77</v>
      </c>
      <c r="G216" s="40">
        <v>5449800</v>
      </c>
      <c r="H216" s="41"/>
      <c r="I216" s="104" t="s">
        <v>19</v>
      </c>
      <c r="J216" s="100" t="str">
        <f>IF(List3[[#This Row],[TRF]]="Done","Sudah Transfer","Proses PP/Pengajuan Approval")</f>
        <v>Sudah Transfer</v>
      </c>
      <c r="K216" s="183">
        <v>44308</v>
      </c>
      <c r="L216" s="105" t="s">
        <v>21</v>
      </c>
      <c r="M216" s="105">
        <f>MONTH(List3[[#This Row],[Tanggal Pengajuan]])</f>
        <v>9</v>
      </c>
      <c r="N216" s="183"/>
      <c r="O216" s="105" t="s">
        <v>303</v>
      </c>
      <c r="P216" s="111"/>
      <c r="Q216" s="230" t="s">
        <v>958</v>
      </c>
      <c r="R216" s="577"/>
    </row>
    <row r="217" spans="1:18" s="4" customFormat="1" ht="32.25" customHeight="1" x14ac:dyDescent="0.2">
      <c r="A217" s="102">
        <v>44414</v>
      </c>
      <c r="B217" s="67" t="s">
        <v>397</v>
      </c>
      <c r="C217" s="14" t="s">
        <v>867</v>
      </c>
      <c r="D217" s="600" t="s">
        <v>17</v>
      </c>
      <c r="E217" s="103" t="s">
        <v>18</v>
      </c>
      <c r="F217" s="469">
        <v>77</v>
      </c>
      <c r="G217" s="40">
        <v>5998900</v>
      </c>
      <c r="H217" s="41"/>
      <c r="I217" s="104" t="s">
        <v>19</v>
      </c>
      <c r="J217" s="100" t="s">
        <v>41</v>
      </c>
      <c r="K217" s="183">
        <v>44308</v>
      </c>
      <c r="L217" s="105" t="s">
        <v>21</v>
      </c>
      <c r="M217" s="105">
        <f>MONTH(List3[[#This Row],[Tanggal Pengajuan]])</f>
        <v>9</v>
      </c>
      <c r="N217" s="183">
        <v>44309</v>
      </c>
      <c r="O217" s="105" t="s">
        <v>300</v>
      </c>
      <c r="P217" s="111"/>
      <c r="Q217" s="230" t="s">
        <v>958</v>
      </c>
      <c r="R217" s="577"/>
    </row>
    <row r="218" spans="1:18" s="4" customFormat="1" ht="32.25" customHeight="1" x14ac:dyDescent="0.2">
      <c r="A218" s="21">
        <v>44502</v>
      </c>
      <c r="B218" s="163" t="s">
        <v>564</v>
      </c>
      <c r="C218" s="14" t="s">
        <v>867</v>
      </c>
      <c r="D218" s="600" t="s">
        <v>17</v>
      </c>
      <c r="E218" s="103" t="s">
        <v>18</v>
      </c>
      <c r="F218" s="469">
        <v>77</v>
      </c>
      <c r="G218" s="40">
        <v>5998800</v>
      </c>
      <c r="H218" s="41"/>
      <c r="I218" s="104" t="s">
        <v>19</v>
      </c>
      <c r="J218" s="100" t="s">
        <v>41</v>
      </c>
      <c r="K218" s="183">
        <v>44308</v>
      </c>
      <c r="L218" s="105" t="s">
        <v>21</v>
      </c>
      <c r="M218" s="105">
        <f>MONTH(List3[[#This Row],[Tanggal Pengajuan]])</f>
        <v>9</v>
      </c>
      <c r="N218" s="183">
        <v>44309</v>
      </c>
      <c r="O218" s="105" t="s">
        <v>299</v>
      </c>
      <c r="P218" s="111"/>
      <c r="Q218" s="230" t="s">
        <v>958</v>
      </c>
      <c r="R218" s="577"/>
    </row>
    <row r="219" spans="1:18" s="4" customFormat="1" ht="32.25" customHeight="1" x14ac:dyDescent="0.2">
      <c r="A219" s="21">
        <v>44509</v>
      </c>
      <c r="B219" s="163" t="s">
        <v>583</v>
      </c>
      <c r="C219" s="176" t="s">
        <v>867</v>
      </c>
      <c r="D219" s="600" t="s">
        <v>17</v>
      </c>
      <c r="E219" s="14" t="s">
        <v>18</v>
      </c>
      <c r="F219" s="469">
        <v>77</v>
      </c>
      <c r="G219" s="160">
        <v>5998800</v>
      </c>
      <c r="H219" s="41"/>
      <c r="I219" s="104" t="s">
        <v>19</v>
      </c>
      <c r="J219" s="100" t="s">
        <v>41</v>
      </c>
      <c r="K219" s="183">
        <v>44308</v>
      </c>
      <c r="L219" s="105" t="s">
        <v>21</v>
      </c>
      <c r="M219" s="105">
        <f>MONTH(List3[[#This Row],[Tanggal Pengajuan]])</f>
        <v>9</v>
      </c>
      <c r="N219" s="183">
        <v>44309</v>
      </c>
      <c r="O219" s="105" t="s">
        <v>297</v>
      </c>
      <c r="P219" s="111"/>
      <c r="Q219" s="230" t="s">
        <v>958</v>
      </c>
      <c r="R219" s="577"/>
    </row>
    <row r="220" spans="1:18" s="4" customFormat="1" ht="32.25" customHeight="1" x14ac:dyDescent="0.2">
      <c r="A220" s="21">
        <v>44550</v>
      </c>
      <c r="B220" s="593" t="s">
        <v>599</v>
      </c>
      <c r="C220" s="176" t="s">
        <v>867</v>
      </c>
      <c r="D220" s="600" t="s">
        <v>17</v>
      </c>
      <c r="E220" s="103" t="s">
        <v>18</v>
      </c>
      <c r="F220" s="469">
        <v>77</v>
      </c>
      <c r="G220" s="40">
        <v>6000100</v>
      </c>
      <c r="H220" s="41"/>
      <c r="I220" s="104" t="s">
        <v>19</v>
      </c>
      <c r="J220" s="100" t="str">
        <f>IF(List3[[#This Row],[TRF]]="Done","Sudah Transfer","Proses PP/Pengajuan Approval")</f>
        <v>Sudah Transfer</v>
      </c>
      <c r="K220" s="183">
        <v>44315</v>
      </c>
      <c r="L220" s="105" t="s">
        <v>136</v>
      </c>
      <c r="M220" s="105">
        <f>MONTH(List3[[#This Row],[Tanggal Pengajuan]])</f>
        <v>9</v>
      </c>
      <c r="N220" s="183"/>
      <c r="O220" s="105" t="s">
        <v>311</v>
      </c>
      <c r="P220" s="111"/>
      <c r="Q220" s="230" t="s">
        <v>958</v>
      </c>
      <c r="R220" s="804">
        <f>SUM(G212:G220)</f>
        <v>51426990</v>
      </c>
    </row>
    <row r="221" spans="1:18" s="4" customFormat="1" ht="32.25" customHeight="1" x14ac:dyDescent="0.2">
      <c r="A221" s="102">
        <v>44414</v>
      </c>
      <c r="B221" s="67" t="s">
        <v>397</v>
      </c>
      <c r="C221" s="14" t="s">
        <v>861</v>
      </c>
      <c r="D221" s="600" t="s">
        <v>17</v>
      </c>
      <c r="E221" s="103" t="s">
        <v>18</v>
      </c>
      <c r="F221" s="469">
        <v>54</v>
      </c>
      <c r="G221" s="40">
        <v>5999100</v>
      </c>
      <c r="H221" s="41"/>
      <c r="I221" s="104" t="s">
        <v>19</v>
      </c>
      <c r="J221" s="100" t="str">
        <f>IF(List3[[#This Row],[TRF]]="Done","Sudah Transfer","Proses PP/Pengajuan Approval")</f>
        <v>Sudah Transfer</v>
      </c>
      <c r="K221" s="183"/>
      <c r="L221" s="105" t="s">
        <v>136</v>
      </c>
      <c r="M221" s="105">
        <f>MONTH(List3[[#This Row],[Tanggal Pengajuan]])</f>
        <v>9</v>
      </c>
      <c r="N221" s="183"/>
      <c r="O221" s="105" t="s">
        <v>311</v>
      </c>
      <c r="P221" s="111"/>
      <c r="Q221" s="230" t="s">
        <v>958</v>
      </c>
      <c r="R221" s="577"/>
    </row>
    <row r="222" spans="1:18" s="4" customFormat="1" ht="32.25" customHeight="1" x14ac:dyDescent="0.2">
      <c r="A222" s="21">
        <v>44502</v>
      </c>
      <c r="B222" s="163" t="s">
        <v>564</v>
      </c>
      <c r="C222" s="14" t="s">
        <v>861</v>
      </c>
      <c r="D222" s="600" t="s">
        <v>17</v>
      </c>
      <c r="E222" s="103" t="s">
        <v>18</v>
      </c>
      <c r="F222" s="469">
        <v>54</v>
      </c>
      <c r="G222" s="40">
        <v>6600900</v>
      </c>
      <c r="H222" s="41"/>
      <c r="I222" s="104" t="s">
        <v>19</v>
      </c>
      <c r="J222" s="100" t="str">
        <f>IF(List3[[#This Row],[TRF]]="Done","Sudah Transfer","Proses PP/Pengajuan Approval")</f>
        <v>Sudah Transfer</v>
      </c>
      <c r="K222" s="183"/>
      <c r="L222" s="105" t="s">
        <v>136</v>
      </c>
      <c r="M222" s="105">
        <f>MONTH(List3[[#This Row],[Tanggal Pengajuan]])</f>
        <v>9</v>
      </c>
      <c r="N222" s="183"/>
      <c r="O222" s="105" t="s">
        <v>223</v>
      </c>
      <c r="P222" s="111"/>
      <c r="Q222" s="230" t="s">
        <v>958</v>
      </c>
      <c r="R222" s="577"/>
    </row>
    <row r="223" spans="1:18" s="4" customFormat="1" ht="32.25" customHeight="1" x14ac:dyDescent="0.2">
      <c r="A223" s="21">
        <v>44509</v>
      </c>
      <c r="B223" s="163" t="s">
        <v>583</v>
      </c>
      <c r="C223" s="176" t="s">
        <v>861</v>
      </c>
      <c r="D223" s="600" t="s">
        <v>17</v>
      </c>
      <c r="E223" s="103" t="s">
        <v>18</v>
      </c>
      <c r="F223" s="469">
        <v>54</v>
      </c>
      <c r="G223" s="40">
        <v>6600900</v>
      </c>
      <c r="H223" s="41"/>
      <c r="I223" s="104" t="s">
        <v>19</v>
      </c>
      <c r="J223" s="100" t="s">
        <v>41</v>
      </c>
      <c r="K223" s="183">
        <v>44308</v>
      </c>
      <c r="L223" s="105" t="s">
        <v>21</v>
      </c>
      <c r="M223" s="105">
        <f>MONTH(List3[[#This Row],[Tanggal Pengajuan]])</f>
        <v>9</v>
      </c>
      <c r="N223" s="183">
        <v>44309</v>
      </c>
      <c r="O223" s="105" t="s">
        <v>308</v>
      </c>
      <c r="P223" s="111"/>
      <c r="Q223" s="230" t="s">
        <v>958</v>
      </c>
      <c r="R223" s="577"/>
    </row>
    <row r="224" spans="1:18" s="4" customFormat="1" ht="32.25" customHeight="1" x14ac:dyDescent="0.2">
      <c r="A224" s="21">
        <v>44550</v>
      </c>
      <c r="B224" s="593" t="s">
        <v>599</v>
      </c>
      <c r="C224" s="176" t="s">
        <v>861</v>
      </c>
      <c r="D224" s="600" t="s">
        <v>17</v>
      </c>
      <c r="E224" s="103" t="s">
        <v>18</v>
      </c>
      <c r="F224" s="469">
        <v>54</v>
      </c>
      <c r="G224" s="40">
        <v>5999900</v>
      </c>
      <c r="H224" s="41"/>
      <c r="I224" s="104"/>
      <c r="J224" s="100"/>
      <c r="K224" s="183"/>
      <c r="L224" s="105"/>
      <c r="M224" s="105">
        <f>MONTH(List3[[#This Row],[Tanggal Pengajuan]])</f>
        <v>9</v>
      </c>
      <c r="N224" s="183"/>
      <c r="O224" s="760" t="s">
        <v>982</v>
      </c>
      <c r="P224" s="111" t="s">
        <v>317</v>
      </c>
      <c r="Q224" s="230" t="s">
        <v>958</v>
      </c>
      <c r="R224" s="804">
        <f>SUM(G221:G224)</f>
        <v>25200800</v>
      </c>
    </row>
    <row r="225" spans="1:18" s="4" customFormat="1" ht="32.25" customHeight="1" x14ac:dyDescent="0.2">
      <c r="A225" s="102">
        <v>44414</v>
      </c>
      <c r="B225" s="67" t="s">
        <v>397</v>
      </c>
      <c r="C225" s="105" t="s">
        <v>862</v>
      </c>
      <c r="D225" s="600" t="s">
        <v>17</v>
      </c>
      <c r="E225" s="103" t="s">
        <v>18</v>
      </c>
      <c r="F225" s="469">
        <v>40</v>
      </c>
      <c r="G225" s="40">
        <v>5999800</v>
      </c>
      <c r="H225" s="41"/>
      <c r="I225" s="104" t="s">
        <v>19</v>
      </c>
      <c r="J225" s="100" t="str">
        <f>IF(List3[[#This Row],[TRF]]="Done","Sudah Transfer","Proses PP/Pengajuan Approval")</f>
        <v>Proses PP/Pengajuan Approval</v>
      </c>
      <c r="K225" s="183">
        <v>44274</v>
      </c>
      <c r="L225" s="105" t="s">
        <v>21</v>
      </c>
      <c r="M225" s="105">
        <f>MONTH(List3[[#This Row],[Tanggal Pengajuan]])</f>
        <v>9</v>
      </c>
      <c r="N225" s="183">
        <v>44291</v>
      </c>
      <c r="O225" s="105" t="s">
        <v>322</v>
      </c>
      <c r="P225" s="111"/>
      <c r="Q225" s="230" t="s">
        <v>958</v>
      </c>
      <c r="R225" s="577"/>
    </row>
    <row r="226" spans="1:18" s="4" customFormat="1" ht="32.25" customHeight="1" x14ac:dyDescent="0.2">
      <c r="A226" s="21">
        <v>44502</v>
      </c>
      <c r="B226" s="163" t="s">
        <v>564</v>
      </c>
      <c r="C226" s="105" t="s">
        <v>862</v>
      </c>
      <c r="D226" s="600" t="s">
        <v>17</v>
      </c>
      <c r="E226" s="103" t="s">
        <v>18</v>
      </c>
      <c r="F226" s="469">
        <v>40</v>
      </c>
      <c r="G226" s="40">
        <v>5999800</v>
      </c>
      <c r="H226" s="41"/>
      <c r="I226" s="104" t="s">
        <v>19</v>
      </c>
      <c r="J226" s="100" t="s">
        <v>41</v>
      </c>
      <c r="K226" s="183">
        <v>44308</v>
      </c>
      <c r="L226" s="105" t="s">
        <v>21</v>
      </c>
      <c r="M226" s="105">
        <f>MONTH(List3[[#This Row],[Tanggal Pengajuan]])</f>
        <v>9</v>
      </c>
      <c r="N226" s="183">
        <v>44309</v>
      </c>
      <c r="O226" s="105" t="s">
        <v>347</v>
      </c>
      <c r="P226" s="111"/>
      <c r="Q226" s="230" t="s">
        <v>958</v>
      </c>
      <c r="R226" s="577"/>
    </row>
    <row r="227" spans="1:18" s="4" customFormat="1" ht="32.25" customHeight="1" x14ac:dyDescent="0.2">
      <c r="A227" s="21">
        <v>44509</v>
      </c>
      <c r="B227" s="163" t="s">
        <v>583</v>
      </c>
      <c r="C227" s="176" t="s">
        <v>862</v>
      </c>
      <c r="D227" s="600" t="s">
        <v>17</v>
      </c>
      <c r="E227" s="103" t="s">
        <v>18</v>
      </c>
      <c r="F227" s="469">
        <v>40</v>
      </c>
      <c r="G227" s="40">
        <v>5999800</v>
      </c>
      <c r="H227" s="41"/>
      <c r="I227" s="104" t="s">
        <v>19</v>
      </c>
      <c r="J227" s="100" t="str">
        <f>IF(List3[[#This Row],[TRF]]="Done","Sudah Transfer","Proses PP/Pengajuan Approval")</f>
        <v>Sudah Transfer</v>
      </c>
      <c r="K227" s="183">
        <v>44294</v>
      </c>
      <c r="L227" s="105" t="s">
        <v>332</v>
      </c>
      <c r="M227" s="105">
        <f>MONTH(List3[[#This Row],[Tanggal Pengajuan]])</f>
        <v>9</v>
      </c>
      <c r="N227" s="183"/>
      <c r="O227" s="105" t="s">
        <v>333</v>
      </c>
      <c r="P227" s="151" t="s">
        <v>349</v>
      </c>
      <c r="Q227" s="230" t="s">
        <v>958</v>
      </c>
      <c r="R227" s="577"/>
    </row>
    <row r="228" spans="1:18" s="4" customFormat="1" ht="32.25" customHeight="1" x14ac:dyDescent="0.2">
      <c r="A228" s="21">
        <v>44550</v>
      </c>
      <c r="B228" s="593" t="s">
        <v>599</v>
      </c>
      <c r="C228" s="600" t="s">
        <v>862</v>
      </c>
      <c r="D228" s="600" t="s">
        <v>17</v>
      </c>
      <c r="E228" s="103" t="s">
        <v>18</v>
      </c>
      <c r="F228" s="469">
        <v>40</v>
      </c>
      <c r="G228" s="160">
        <v>5999800</v>
      </c>
      <c r="H228" s="41"/>
      <c r="I228" s="104"/>
      <c r="J228" s="100"/>
      <c r="K228" s="161">
        <v>44294</v>
      </c>
      <c r="L228" s="105" t="s">
        <v>332</v>
      </c>
      <c r="M228" s="105">
        <f>MONTH(List3[[#This Row],[Tanggal Pengajuan]])</f>
        <v>10</v>
      </c>
      <c r="N228" s="183"/>
      <c r="O228" s="105" t="s">
        <v>333</v>
      </c>
      <c r="P228" s="151"/>
      <c r="Q228" s="230" t="s">
        <v>958</v>
      </c>
      <c r="R228" s="804">
        <f>SUM(G225:G228)</f>
        <v>23999200</v>
      </c>
    </row>
    <row r="229" spans="1:18" s="4" customFormat="1" ht="32.25" customHeight="1" x14ac:dyDescent="0.2">
      <c r="A229" s="102">
        <v>44221</v>
      </c>
      <c r="B229" s="67" t="s">
        <v>234</v>
      </c>
      <c r="C229" s="103" t="s">
        <v>848</v>
      </c>
      <c r="D229" s="22" t="s">
        <v>17</v>
      </c>
      <c r="E229" s="103" t="s">
        <v>18</v>
      </c>
      <c r="F229" s="15">
        <v>36</v>
      </c>
      <c r="G229" s="160">
        <v>5500000</v>
      </c>
      <c r="H229" s="41"/>
      <c r="I229" s="104"/>
      <c r="J229" s="100"/>
      <c r="K229" s="161">
        <v>44294</v>
      </c>
      <c r="L229" s="105" t="s">
        <v>332</v>
      </c>
      <c r="M229" s="105">
        <f>MONTH(List3[[#This Row],[Tanggal Pengajuan]])</f>
        <v>10</v>
      </c>
      <c r="N229" s="183"/>
      <c r="O229" s="105" t="s">
        <v>333</v>
      </c>
      <c r="P229" s="151"/>
      <c r="Q229" s="230" t="s">
        <v>958</v>
      </c>
      <c r="R229" s="577"/>
    </row>
    <row r="230" spans="1:18" s="4" customFormat="1" ht="32.25" customHeight="1" x14ac:dyDescent="0.2">
      <c r="A230" s="102">
        <v>44257</v>
      </c>
      <c r="B230" s="67" t="s">
        <v>289</v>
      </c>
      <c r="C230" s="103" t="s">
        <v>848</v>
      </c>
      <c r="D230" s="22" t="s">
        <v>17</v>
      </c>
      <c r="E230" s="103" t="s">
        <v>18</v>
      </c>
      <c r="F230" s="15">
        <v>36</v>
      </c>
      <c r="G230" s="40">
        <v>5500000</v>
      </c>
      <c r="H230" s="41"/>
      <c r="I230" s="104"/>
      <c r="J230" s="100"/>
      <c r="K230" s="161">
        <v>44294</v>
      </c>
      <c r="L230" s="105" t="s">
        <v>332</v>
      </c>
      <c r="M230" s="105">
        <f>MONTH(List3[[#This Row],[Tanggal Pengajuan]])</f>
        <v>10</v>
      </c>
      <c r="N230" s="183"/>
      <c r="O230" s="105" t="s">
        <v>333</v>
      </c>
      <c r="P230" s="151"/>
      <c r="Q230" s="230" t="s">
        <v>958</v>
      </c>
      <c r="R230" s="577"/>
    </row>
    <row r="231" spans="1:18" s="4" customFormat="1" ht="32.25" customHeight="1" x14ac:dyDescent="0.2">
      <c r="A231" s="102">
        <v>44294</v>
      </c>
      <c r="B231" s="67" t="s">
        <v>987</v>
      </c>
      <c r="C231" s="103" t="s">
        <v>848</v>
      </c>
      <c r="D231" s="22" t="s">
        <v>17</v>
      </c>
      <c r="E231" s="103" t="s">
        <v>18</v>
      </c>
      <c r="F231" s="15">
        <v>36</v>
      </c>
      <c r="G231" s="160">
        <v>5483500</v>
      </c>
      <c r="H231" s="41"/>
      <c r="I231" s="104"/>
      <c r="J231" s="100"/>
      <c r="K231" s="161">
        <v>44294</v>
      </c>
      <c r="L231" s="105" t="s">
        <v>332</v>
      </c>
      <c r="M231" s="105">
        <f>MONTH(List3[[#This Row],[Tanggal Pengajuan]])</f>
        <v>10</v>
      </c>
      <c r="N231" s="183"/>
      <c r="O231" s="105" t="s">
        <v>333</v>
      </c>
      <c r="P231" s="151"/>
      <c r="Q231" s="230" t="s">
        <v>958</v>
      </c>
      <c r="R231" s="577"/>
    </row>
    <row r="232" spans="1:18" s="4" customFormat="1" ht="32.25" customHeight="1" x14ac:dyDescent="0.2">
      <c r="A232" s="102">
        <v>44335</v>
      </c>
      <c r="B232" s="67" t="s">
        <v>355</v>
      </c>
      <c r="C232" s="103" t="s">
        <v>848</v>
      </c>
      <c r="D232" s="22" t="s">
        <v>17</v>
      </c>
      <c r="E232" s="103" t="s">
        <v>18</v>
      </c>
      <c r="F232" s="15">
        <v>42</v>
      </c>
      <c r="G232" s="160">
        <v>5499170</v>
      </c>
      <c r="H232" s="41"/>
      <c r="I232" s="104"/>
      <c r="J232" s="100"/>
      <c r="K232" s="161">
        <v>44294</v>
      </c>
      <c r="L232" s="105" t="s">
        <v>332</v>
      </c>
      <c r="M232" s="105">
        <f>MONTH(List3[[#This Row],[Tanggal Pengajuan]])</f>
        <v>10</v>
      </c>
      <c r="N232" s="183"/>
      <c r="O232" s="105" t="s">
        <v>333</v>
      </c>
      <c r="P232" s="151"/>
      <c r="Q232" s="230" t="s">
        <v>958</v>
      </c>
      <c r="R232" s="577"/>
    </row>
    <row r="233" spans="1:18" s="4" customFormat="1" ht="32.25" customHeight="1" x14ac:dyDescent="0.2">
      <c r="A233" s="102">
        <v>44371</v>
      </c>
      <c r="B233" s="67" t="s">
        <v>376</v>
      </c>
      <c r="C233" s="103" t="s">
        <v>848</v>
      </c>
      <c r="D233" s="22" t="s">
        <v>17</v>
      </c>
      <c r="E233" s="103" t="s">
        <v>18</v>
      </c>
      <c r="F233" s="15">
        <v>42</v>
      </c>
      <c r="G233" s="160">
        <v>5424600</v>
      </c>
      <c r="H233" s="41"/>
      <c r="I233" s="104"/>
      <c r="J233" s="100"/>
      <c r="K233" s="161">
        <v>44294</v>
      </c>
      <c r="L233" s="105" t="s">
        <v>332</v>
      </c>
      <c r="M233" s="105">
        <f>MONTH(List3[[#This Row],[Tanggal Pengajuan]])</f>
        <v>10</v>
      </c>
      <c r="N233" s="183"/>
      <c r="O233" s="105" t="s">
        <v>333</v>
      </c>
      <c r="P233" s="151"/>
      <c r="Q233" s="230" t="s">
        <v>958</v>
      </c>
      <c r="R233" s="577"/>
    </row>
    <row r="234" spans="1:18" s="4" customFormat="1" ht="32.25" customHeight="1" x14ac:dyDescent="0.2">
      <c r="A234" s="102">
        <v>44414</v>
      </c>
      <c r="B234" s="67" t="s">
        <v>397</v>
      </c>
      <c r="C234" s="103" t="s">
        <v>848</v>
      </c>
      <c r="D234" s="600" t="s">
        <v>17</v>
      </c>
      <c r="E234" s="103" t="s">
        <v>18</v>
      </c>
      <c r="F234" s="469">
        <v>42</v>
      </c>
      <c r="G234" s="160">
        <v>5999900</v>
      </c>
      <c r="H234" s="41"/>
      <c r="I234" s="104"/>
      <c r="J234" s="100"/>
      <c r="K234" s="161">
        <v>44294</v>
      </c>
      <c r="L234" s="105" t="s">
        <v>332</v>
      </c>
      <c r="M234" s="105">
        <f>MONTH(List3[[#This Row],[Tanggal Pengajuan]])</f>
        <v>10</v>
      </c>
      <c r="N234" s="183"/>
      <c r="O234" s="105" t="s">
        <v>333</v>
      </c>
      <c r="P234" s="151"/>
      <c r="Q234" s="230" t="s">
        <v>958</v>
      </c>
      <c r="R234" s="577"/>
    </row>
    <row r="235" spans="1:18" s="4" customFormat="1" ht="32.25" customHeight="1" x14ac:dyDescent="0.2">
      <c r="A235" s="21">
        <v>44502</v>
      </c>
      <c r="B235" s="163" t="s">
        <v>564</v>
      </c>
      <c r="C235" s="103" t="s">
        <v>848</v>
      </c>
      <c r="D235" s="600" t="s">
        <v>17</v>
      </c>
      <c r="E235" s="103" t="s">
        <v>18</v>
      </c>
      <c r="F235" s="469">
        <v>42</v>
      </c>
      <c r="G235" s="160">
        <v>6314900</v>
      </c>
      <c r="H235" s="41"/>
      <c r="I235" s="104"/>
      <c r="J235" s="100"/>
      <c r="K235" s="161">
        <v>44294</v>
      </c>
      <c r="L235" s="105" t="s">
        <v>332</v>
      </c>
      <c r="M235" s="105">
        <f>MONTH(List3[[#This Row],[Tanggal Pengajuan]])</f>
        <v>10</v>
      </c>
      <c r="N235" s="183"/>
      <c r="O235" s="105" t="s">
        <v>333</v>
      </c>
      <c r="P235" s="151"/>
      <c r="Q235" s="230" t="s">
        <v>958</v>
      </c>
      <c r="R235" s="577"/>
    </row>
    <row r="236" spans="1:18" s="4" customFormat="1" ht="32.25" customHeight="1" x14ac:dyDescent="0.2">
      <c r="A236" s="21">
        <v>44509</v>
      </c>
      <c r="B236" s="163" t="s">
        <v>583</v>
      </c>
      <c r="C236" s="600" t="s">
        <v>848</v>
      </c>
      <c r="D236" s="600" t="s">
        <v>17</v>
      </c>
      <c r="E236" s="103" t="s">
        <v>18</v>
      </c>
      <c r="F236" s="469">
        <v>42</v>
      </c>
      <c r="G236" s="160">
        <v>6314900</v>
      </c>
      <c r="H236" s="41"/>
      <c r="I236" s="104"/>
      <c r="J236" s="100"/>
      <c r="K236" s="161">
        <v>44294</v>
      </c>
      <c r="L236" s="105" t="s">
        <v>332</v>
      </c>
      <c r="M236" s="105">
        <f>MONTH(List3[[#This Row],[Tanggal Pengajuan]])</f>
        <v>10</v>
      </c>
      <c r="N236" s="183"/>
      <c r="O236" s="105" t="s">
        <v>333</v>
      </c>
      <c r="P236" s="151"/>
      <c r="Q236" s="230" t="s">
        <v>958</v>
      </c>
      <c r="R236" s="577"/>
    </row>
    <row r="237" spans="1:18" s="4" customFormat="1" ht="32.25" customHeight="1" x14ac:dyDescent="0.2">
      <c r="A237" s="21">
        <v>44550</v>
      </c>
      <c r="B237" s="593" t="s">
        <v>599</v>
      </c>
      <c r="C237" s="600" t="s">
        <v>848</v>
      </c>
      <c r="D237" s="600" t="s">
        <v>17</v>
      </c>
      <c r="E237" s="103" t="s">
        <v>18</v>
      </c>
      <c r="F237" s="469">
        <v>42</v>
      </c>
      <c r="G237" s="160">
        <v>5999900</v>
      </c>
      <c r="H237" s="41"/>
      <c r="I237" s="104"/>
      <c r="J237" s="100"/>
      <c r="K237" s="161">
        <v>44294</v>
      </c>
      <c r="L237" s="105" t="s">
        <v>332</v>
      </c>
      <c r="M237" s="105">
        <f>MONTH(List3[[#This Row],[Tanggal Pengajuan]])</f>
        <v>10</v>
      </c>
      <c r="N237" s="183"/>
      <c r="O237" s="105" t="s">
        <v>333</v>
      </c>
      <c r="P237" s="151"/>
      <c r="Q237" s="230" t="s">
        <v>958</v>
      </c>
      <c r="R237" s="804">
        <f>SUM(G229:G237)</f>
        <v>52036870</v>
      </c>
    </row>
    <row r="238" spans="1:18" s="4" customFormat="1" ht="32.25" customHeight="1" x14ac:dyDescent="0.2">
      <c r="A238" s="102">
        <v>44414</v>
      </c>
      <c r="B238" s="67" t="s">
        <v>397</v>
      </c>
      <c r="C238" s="103" t="s">
        <v>865</v>
      </c>
      <c r="D238" s="600" t="s">
        <v>17</v>
      </c>
      <c r="E238" s="103" t="s">
        <v>18</v>
      </c>
      <c r="F238" s="469">
        <v>71</v>
      </c>
      <c r="G238" s="160">
        <v>5999500</v>
      </c>
      <c r="H238" s="41"/>
      <c r="I238" s="104"/>
      <c r="J238" s="100"/>
      <c r="K238" s="161">
        <v>44294</v>
      </c>
      <c r="L238" s="105" t="s">
        <v>332</v>
      </c>
      <c r="M238" s="105">
        <f>MONTH(List3[[#This Row],[Tanggal Pengajuan]])</f>
        <v>10</v>
      </c>
      <c r="N238" s="183"/>
      <c r="O238" s="105" t="s">
        <v>333</v>
      </c>
      <c r="P238" s="151"/>
      <c r="Q238" s="230" t="s">
        <v>958</v>
      </c>
      <c r="R238" s="577"/>
    </row>
    <row r="239" spans="1:18" s="4" customFormat="1" ht="32.25" customHeight="1" x14ac:dyDescent="0.2">
      <c r="A239" s="21">
        <v>44502</v>
      </c>
      <c r="B239" s="163" t="s">
        <v>564</v>
      </c>
      <c r="C239" s="103" t="s">
        <v>865</v>
      </c>
      <c r="D239" s="600" t="s">
        <v>17</v>
      </c>
      <c r="E239" s="103" t="s">
        <v>18</v>
      </c>
      <c r="F239" s="469">
        <v>71</v>
      </c>
      <c r="G239" s="160">
        <v>6021900</v>
      </c>
      <c r="H239" s="41"/>
      <c r="I239" s="104"/>
      <c r="J239" s="100"/>
      <c r="K239" s="161">
        <v>44294</v>
      </c>
      <c r="L239" s="105" t="s">
        <v>332</v>
      </c>
      <c r="M239" s="105">
        <f>MONTH(List3[[#This Row],[Tanggal Pengajuan]])</f>
        <v>10</v>
      </c>
      <c r="N239" s="183"/>
      <c r="O239" s="105" t="s">
        <v>333</v>
      </c>
      <c r="P239" s="151"/>
      <c r="Q239" s="230" t="s">
        <v>958</v>
      </c>
      <c r="R239" s="577"/>
    </row>
    <row r="240" spans="1:18" s="4" customFormat="1" ht="32.25" customHeight="1" x14ac:dyDescent="0.2">
      <c r="A240" s="21">
        <v>44509</v>
      </c>
      <c r="B240" s="163" t="s">
        <v>583</v>
      </c>
      <c r="C240" s="600" t="s">
        <v>865</v>
      </c>
      <c r="D240" s="600" t="s">
        <v>17</v>
      </c>
      <c r="E240" s="103" t="s">
        <v>18</v>
      </c>
      <c r="F240" s="469">
        <v>71</v>
      </c>
      <c r="G240" s="160">
        <v>6021900</v>
      </c>
      <c r="H240" s="41"/>
      <c r="I240" s="104"/>
      <c r="J240" s="100"/>
      <c r="K240" s="161">
        <v>44294</v>
      </c>
      <c r="L240" s="105" t="s">
        <v>332</v>
      </c>
      <c r="M240" s="105">
        <f>MONTH(List3[[#This Row],[Tanggal Pengajuan]])</f>
        <v>10</v>
      </c>
      <c r="N240" s="183"/>
      <c r="O240" s="105" t="s">
        <v>333</v>
      </c>
      <c r="P240" s="151"/>
      <c r="Q240" s="230" t="s">
        <v>958</v>
      </c>
      <c r="R240" s="577"/>
    </row>
    <row r="241" spans="1:18" s="4" customFormat="1" ht="32.25" customHeight="1" x14ac:dyDescent="0.2">
      <c r="A241" s="21">
        <v>44550</v>
      </c>
      <c r="B241" s="593" t="s">
        <v>599</v>
      </c>
      <c r="C241" s="600" t="s">
        <v>865</v>
      </c>
      <c r="D241" s="600" t="s">
        <v>17</v>
      </c>
      <c r="E241" s="103" t="s">
        <v>18</v>
      </c>
      <c r="F241" s="469">
        <v>71</v>
      </c>
      <c r="G241" s="160">
        <v>5999700</v>
      </c>
      <c r="H241" s="41"/>
      <c r="I241" s="104"/>
      <c r="J241" s="100"/>
      <c r="K241" s="161">
        <v>44294</v>
      </c>
      <c r="L241" s="105" t="s">
        <v>332</v>
      </c>
      <c r="M241" s="105">
        <f>MONTH(List3[[#This Row],[Tanggal Pengajuan]])</f>
        <v>10</v>
      </c>
      <c r="N241" s="183"/>
      <c r="O241" s="105" t="s">
        <v>333</v>
      </c>
      <c r="P241" s="151"/>
      <c r="Q241" s="230" t="s">
        <v>958</v>
      </c>
      <c r="R241" s="804">
        <f>SUM(G238:G241)</f>
        <v>24043000</v>
      </c>
    </row>
    <row r="242" spans="1:18" s="4" customFormat="1" ht="32.25" customHeight="1" x14ac:dyDescent="0.2">
      <c r="A242" s="102">
        <v>44257</v>
      </c>
      <c r="B242" s="67" t="s">
        <v>273</v>
      </c>
      <c r="C242" s="103" t="s">
        <v>856</v>
      </c>
      <c r="D242" s="22" t="s">
        <v>17</v>
      </c>
      <c r="E242" s="103" t="s">
        <v>18</v>
      </c>
      <c r="F242" s="15">
        <v>52</v>
      </c>
      <c r="G242" s="160">
        <v>5500000</v>
      </c>
      <c r="H242" s="41"/>
      <c r="I242" s="104"/>
      <c r="J242" s="105"/>
      <c r="K242" s="161">
        <v>44294</v>
      </c>
      <c r="L242" s="105"/>
      <c r="M242" s="105">
        <f>MONTH(List3[[#This Row],[Tanggal Pengajuan]])</f>
        <v>10</v>
      </c>
      <c r="N242" s="183"/>
      <c r="O242" s="105"/>
      <c r="P242" s="151"/>
      <c r="Q242" s="230" t="s">
        <v>958</v>
      </c>
      <c r="R242" s="577"/>
    </row>
    <row r="243" spans="1:18" s="4" customFormat="1" ht="32.25" customHeight="1" x14ac:dyDescent="0.2">
      <c r="A243" s="102">
        <v>44335</v>
      </c>
      <c r="B243" s="67" t="s">
        <v>355</v>
      </c>
      <c r="C243" s="103" t="s">
        <v>856</v>
      </c>
      <c r="D243" s="22" t="s">
        <v>17</v>
      </c>
      <c r="E243" s="103" t="s">
        <v>18</v>
      </c>
      <c r="F243" s="15">
        <v>28</v>
      </c>
      <c r="G243" s="160">
        <v>5499120</v>
      </c>
      <c r="H243" s="41"/>
      <c r="I243" s="104" t="s">
        <v>19</v>
      </c>
      <c r="J243" s="105" t="str">
        <f>IF(List3[[#This Row],[TRF]]="Done","Sudah Transfer","Proses PP/Pengajuan Approval")</f>
        <v>Sudah Transfer</v>
      </c>
      <c r="K243" s="161">
        <v>44343</v>
      </c>
      <c r="L243" s="105" t="s">
        <v>136</v>
      </c>
      <c r="M243" s="105">
        <f>MONTH(List3[[#This Row],[Tanggal Pengajuan]])</f>
        <v>10</v>
      </c>
      <c r="N243" s="183"/>
      <c r="O243" s="105" t="s">
        <v>342</v>
      </c>
      <c r="P243" s="111"/>
      <c r="Q243" s="230" t="s">
        <v>958</v>
      </c>
      <c r="R243" s="577"/>
    </row>
    <row r="244" spans="1:18" s="4" customFormat="1" ht="32.25" customHeight="1" x14ac:dyDescent="0.2">
      <c r="A244" s="102">
        <v>44371</v>
      </c>
      <c r="B244" s="67" t="s">
        <v>376</v>
      </c>
      <c r="C244" s="103" t="s">
        <v>856</v>
      </c>
      <c r="D244" s="22" t="s">
        <v>17</v>
      </c>
      <c r="E244" s="103" t="s">
        <v>18</v>
      </c>
      <c r="F244" s="15">
        <v>28</v>
      </c>
      <c r="G244" s="160">
        <v>5438100</v>
      </c>
      <c r="H244" s="41"/>
      <c r="I244" s="104" t="s">
        <v>19</v>
      </c>
      <c r="J244" s="100" t="str">
        <f>IF(List3[[#This Row],[TRF]]="Done","Sudah Transfer","Proses PP/Pengajuan Approval")</f>
        <v>Sudah Transfer</v>
      </c>
      <c r="K244" s="161">
        <v>44343</v>
      </c>
      <c r="L244" s="105" t="s">
        <v>136</v>
      </c>
      <c r="M244" s="105">
        <f>MONTH(List3[[#This Row],[Tanggal Pengajuan]])</f>
        <v>10</v>
      </c>
      <c r="N244" s="183"/>
      <c r="O244" s="105" t="s">
        <v>342</v>
      </c>
      <c r="P244" s="111"/>
      <c r="Q244" s="230" t="s">
        <v>958</v>
      </c>
      <c r="R244" s="577"/>
    </row>
    <row r="245" spans="1:18" s="4" customFormat="1" ht="32.25" customHeight="1" x14ac:dyDescent="0.2">
      <c r="A245" s="102">
        <v>44414</v>
      </c>
      <c r="B245" s="67" t="s">
        <v>397</v>
      </c>
      <c r="C245" s="14" t="s">
        <v>856</v>
      </c>
      <c r="D245" s="176" t="s">
        <v>17</v>
      </c>
      <c r="E245" s="14" t="s">
        <v>18</v>
      </c>
      <c r="F245" s="469">
        <v>28</v>
      </c>
      <c r="G245" s="40">
        <v>5999400</v>
      </c>
      <c r="H245" s="41"/>
      <c r="I245" s="104" t="s">
        <v>19</v>
      </c>
      <c r="J245" s="105" t="str">
        <f>IF(List3[[#This Row],[TRF]]="Done","Sudah Transfer","Proses PP/Pengajuan Approval")</f>
        <v>Sudah Transfer</v>
      </c>
      <c r="K245" s="161"/>
      <c r="L245" s="105" t="s">
        <v>21</v>
      </c>
      <c r="M245" s="105">
        <f>MONTH(List3[[#This Row],[Tanggal Pengajuan]])</f>
        <v>10</v>
      </c>
      <c r="N245" s="183">
        <v>44334</v>
      </c>
      <c r="O245" s="105" t="s">
        <v>352</v>
      </c>
      <c r="P245" s="111"/>
      <c r="Q245" s="230" t="s">
        <v>958</v>
      </c>
      <c r="R245" s="577"/>
    </row>
    <row r="246" spans="1:18" s="4" customFormat="1" ht="32.25" customHeight="1" x14ac:dyDescent="0.2">
      <c r="A246" s="21">
        <v>44502</v>
      </c>
      <c r="B246" s="163" t="s">
        <v>564</v>
      </c>
      <c r="C246" s="14" t="s">
        <v>856</v>
      </c>
      <c r="D246" s="176" t="s">
        <v>17</v>
      </c>
      <c r="E246" s="14" t="s">
        <v>18</v>
      </c>
      <c r="F246" s="469">
        <v>28</v>
      </c>
      <c r="G246" s="40">
        <v>6449800</v>
      </c>
      <c r="H246" s="41"/>
      <c r="I246" s="104" t="s">
        <v>19</v>
      </c>
      <c r="J246" s="105" t="str">
        <f>IF(List3[[#This Row],[TRF]]="Done","Sudah Transfer","Proses PP/Pengajuan Approval")</f>
        <v>Sudah Transfer</v>
      </c>
      <c r="K246" s="161">
        <v>44337</v>
      </c>
      <c r="L246" s="105" t="s">
        <v>332</v>
      </c>
      <c r="M246" s="105">
        <f>MONTH(List3[[#This Row],[Tanggal Pengajuan]])</f>
        <v>10</v>
      </c>
      <c r="N246" s="183"/>
      <c r="O246" s="105" t="s">
        <v>356</v>
      </c>
      <c r="P246" s="111"/>
      <c r="Q246" s="230" t="s">
        <v>958</v>
      </c>
      <c r="R246" s="577"/>
    </row>
    <row r="247" spans="1:18" s="4" customFormat="1" ht="32.25" customHeight="1" x14ac:dyDescent="0.2">
      <c r="A247" s="21">
        <v>44509</v>
      </c>
      <c r="B247" s="163" t="s">
        <v>583</v>
      </c>
      <c r="C247" s="600" t="s">
        <v>856</v>
      </c>
      <c r="D247" s="600" t="s">
        <v>17</v>
      </c>
      <c r="E247" s="14" t="s">
        <v>18</v>
      </c>
      <c r="F247" s="469">
        <v>28</v>
      </c>
      <c r="G247" s="160">
        <v>6449800</v>
      </c>
      <c r="H247" s="41"/>
      <c r="I247" s="104" t="s">
        <v>19</v>
      </c>
      <c r="J247" s="100" t="str">
        <f>IF(List3[[#This Row],[TRF]]="Done","Sudah Transfer","Proses PP/Pengajuan Approval")</f>
        <v>Sudah Transfer</v>
      </c>
      <c r="K247" s="161">
        <v>44337</v>
      </c>
      <c r="L247" s="105" t="s">
        <v>332</v>
      </c>
      <c r="M247" s="105">
        <f>MONTH(List3[[#This Row],[Tanggal Pengajuan]])</f>
        <v>10</v>
      </c>
      <c r="N247" s="183"/>
      <c r="O247" s="105" t="s">
        <v>356</v>
      </c>
      <c r="P247" s="111"/>
      <c r="Q247" s="230" t="s">
        <v>958</v>
      </c>
      <c r="R247" s="577"/>
    </row>
    <row r="248" spans="1:18" s="4" customFormat="1" ht="32.25" customHeight="1" x14ac:dyDescent="0.2">
      <c r="A248" s="21">
        <v>44550</v>
      </c>
      <c r="B248" s="593" t="s">
        <v>599</v>
      </c>
      <c r="C248" s="176" t="s">
        <v>856</v>
      </c>
      <c r="D248" s="600" t="s">
        <v>17</v>
      </c>
      <c r="E248" s="14" t="s">
        <v>18</v>
      </c>
      <c r="F248" s="469">
        <v>28</v>
      </c>
      <c r="G248" s="160">
        <v>6000000</v>
      </c>
      <c r="H248" s="41"/>
      <c r="I248" s="104" t="s">
        <v>19</v>
      </c>
      <c r="J248" s="100" t="str">
        <f>IF(List3[[#This Row],[TRF]]="Done","Sudah Transfer","Proses PP/Pengajuan Approval")</f>
        <v>Sudah Transfer</v>
      </c>
      <c r="K248" s="161">
        <v>44337</v>
      </c>
      <c r="L248" s="105" t="s">
        <v>332</v>
      </c>
      <c r="M248" s="105">
        <f>MONTH(List3[[#This Row],[Tanggal Pengajuan]])</f>
        <v>10</v>
      </c>
      <c r="N248" s="183"/>
      <c r="O248" s="105" t="s">
        <v>356</v>
      </c>
      <c r="P248" s="111"/>
      <c r="Q248" s="230" t="s">
        <v>958</v>
      </c>
      <c r="R248" s="804">
        <f>SUM(G242:G248)</f>
        <v>41336220</v>
      </c>
    </row>
    <row r="249" spans="1:18" s="4" customFormat="1" ht="32.25" customHeight="1" x14ac:dyDescent="0.2">
      <c r="A249" s="102">
        <v>44243</v>
      </c>
      <c r="B249" s="67" t="s">
        <v>262</v>
      </c>
      <c r="C249" s="103" t="s">
        <v>853</v>
      </c>
      <c r="D249" s="22" t="s">
        <v>17</v>
      </c>
      <c r="E249" s="14" t="s">
        <v>18</v>
      </c>
      <c r="F249" s="15">
        <v>26</v>
      </c>
      <c r="G249" s="160">
        <v>11000000</v>
      </c>
      <c r="H249" s="41"/>
      <c r="I249" s="104" t="s">
        <v>19</v>
      </c>
      <c r="J249" s="100" t="str">
        <f>IF(List3[[#This Row],[TRF]]="Done","Sudah Transfer","Proses PP/Pengajuan Approval")</f>
        <v>Sudah Transfer</v>
      </c>
      <c r="K249" s="161">
        <v>44337</v>
      </c>
      <c r="L249" s="105" t="s">
        <v>332</v>
      </c>
      <c r="M249" s="105">
        <f>MONTH(List3[[#This Row],[Tanggal Pengajuan]])</f>
        <v>10</v>
      </c>
      <c r="N249" s="183"/>
      <c r="O249" s="105" t="s">
        <v>356</v>
      </c>
      <c r="P249" s="111"/>
      <c r="Q249" s="230" t="s">
        <v>958</v>
      </c>
      <c r="R249" s="577"/>
    </row>
    <row r="250" spans="1:18" s="4" customFormat="1" ht="32.25" customHeight="1" x14ac:dyDescent="0.2">
      <c r="A250" s="102">
        <v>44335</v>
      </c>
      <c r="B250" s="67" t="s">
        <v>355</v>
      </c>
      <c r="C250" s="14" t="s">
        <v>853</v>
      </c>
      <c r="D250" s="22" t="s">
        <v>17</v>
      </c>
      <c r="E250" s="105" t="s">
        <v>18</v>
      </c>
      <c r="F250" s="15">
        <v>25</v>
      </c>
      <c r="G250" s="160">
        <v>5499730</v>
      </c>
      <c r="H250" s="41"/>
      <c r="I250" s="104" t="s">
        <v>19</v>
      </c>
      <c r="J250" s="100" t="str">
        <f>IF(List3[[#This Row],[TRF]]="Done","Sudah Transfer","Proses PP/Pengajuan Approval")</f>
        <v>Sudah Transfer</v>
      </c>
      <c r="K250" s="161">
        <v>44337</v>
      </c>
      <c r="L250" s="105" t="s">
        <v>332</v>
      </c>
      <c r="M250" s="105">
        <f>MONTH(List3[[#This Row],[Tanggal Pengajuan]])</f>
        <v>1</v>
      </c>
      <c r="N250" s="183"/>
      <c r="O250" s="105" t="s">
        <v>356</v>
      </c>
      <c r="P250" s="111"/>
      <c r="Q250" s="230" t="s">
        <v>958</v>
      </c>
      <c r="R250" s="577"/>
    </row>
    <row r="251" spans="1:18" s="4" customFormat="1" ht="32.25" customHeight="1" x14ac:dyDescent="0.2">
      <c r="A251" s="102">
        <v>44371</v>
      </c>
      <c r="B251" s="67" t="s">
        <v>376</v>
      </c>
      <c r="C251" s="14" t="s">
        <v>853</v>
      </c>
      <c r="D251" s="22" t="s">
        <v>17</v>
      </c>
      <c r="E251" s="105" t="s">
        <v>18</v>
      </c>
      <c r="F251" s="15">
        <v>25</v>
      </c>
      <c r="G251" s="160">
        <v>5447600</v>
      </c>
      <c r="H251" s="41"/>
      <c r="I251" s="104" t="s">
        <v>19</v>
      </c>
      <c r="J251" s="100" t="str">
        <f>IF(List3[[#This Row],[TRF]]="Done","Sudah Transfer","Proses PP/Pengajuan Approval")</f>
        <v>Sudah Transfer</v>
      </c>
      <c r="K251" s="161">
        <v>44337</v>
      </c>
      <c r="L251" s="105" t="s">
        <v>332</v>
      </c>
      <c r="M251" s="105">
        <f>MONTH(List3[[#This Row],[Tanggal Pengajuan]])</f>
        <v>1</v>
      </c>
      <c r="N251" s="183"/>
      <c r="O251" s="105" t="s">
        <v>356</v>
      </c>
      <c r="P251" s="111"/>
      <c r="Q251" s="230" t="s">
        <v>958</v>
      </c>
      <c r="R251" s="577"/>
    </row>
    <row r="252" spans="1:18" s="4" customFormat="1" ht="32.25" customHeight="1" x14ac:dyDescent="0.2">
      <c r="A252" s="102">
        <v>44414</v>
      </c>
      <c r="B252" s="67" t="s">
        <v>397</v>
      </c>
      <c r="C252" s="14" t="s">
        <v>853</v>
      </c>
      <c r="D252" s="600" t="s">
        <v>17</v>
      </c>
      <c r="E252" s="105" t="s">
        <v>18</v>
      </c>
      <c r="F252" s="469">
        <v>25</v>
      </c>
      <c r="G252" s="160">
        <v>5998400</v>
      </c>
      <c r="H252" s="41"/>
      <c r="I252" s="104" t="s">
        <v>19</v>
      </c>
      <c r="J252" s="100" t="str">
        <f>IF(List3[[#This Row],[TRF]]="Done","Sudah Transfer","Proses PP/Pengajuan Approval")</f>
        <v>Sudah Transfer</v>
      </c>
      <c r="K252" s="161">
        <v>44337</v>
      </c>
      <c r="L252" s="105" t="s">
        <v>332</v>
      </c>
      <c r="M252" s="105">
        <f>MONTH(List3[[#This Row],[Tanggal Pengajuan]])</f>
        <v>10</v>
      </c>
      <c r="N252" s="183"/>
      <c r="O252" s="105" t="s">
        <v>356</v>
      </c>
      <c r="P252" s="111"/>
      <c r="Q252" s="230" t="s">
        <v>958</v>
      </c>
      <c r="R252" s="577"/>
    </row>
    <row r="253" spans="1:18" s="4" customFormat="1" ht="32.25" customHeight="1" x14ac:dyDescent="0.2">
      <c r="A253" s="21">
        <v>44502</v>
      </c>
      <c r="B253" s="163" t="s">
        <v>564</v>
      </c>
      <c r="C253" s="14" t="s">
        <v>853</v>
      </c>
      <c r="D253" s="600" t="s">
        <v>17</v>
      </c>
      <c r="E253" s="105" t="s">
        <v>18</v>
      </c>
      <c r="F253" s="469">
        <v>25</v>
      </c>
      <c r="G253" s="160">
        <v>5998600</v>
      </c>
      <c r="H253" s="41"/>
      <c r="I253" s="104" t="s">
        <v>19</v>
      </c>
      <c r="J253" s="100" t="str">
        <f>IF(List3[[#This Row],[TRF]]="Done","Sudah Transfer","Proses PP/Pengajuan Approval")</f>
        <v>Sudah Transfer</v>
      </c>
      <c r="K253" s="161">
        <v>44337</v>
      </c>
      <c r="L253" s="105" t="s">
        <v>332</v>
      </c>
      <c r="M253" s="105">
        <f>MONTH(List3[[#This Row],[Tanggal Pengajuan]])</f>
        <v>10</v>
      </c>
      <c r="N253" s="183"/>
      <c r="O253" s="105" t="s">
        <v>356</v>
      </c>
      <c r="P253" s="111"/>
      <c r="Q253" s="230" t="s">
        <v>958</v>
      </c>
      <c r="R253" s="577"/>
    </row>
    <row r="254" spans="1:18" s="4" customFormat="1" ht="32.25" customHeight="1" x14ac:dyDescent="0.2">
      <c r="A254" s="21">
        <v>44509</v>
      </c>
      <c r="B254" s="163" t="s">
        <v>583</v>
      </c>
      <c r="C254" s="176" t="s">
        <v>853</v>
      </c>
      <c r="D254" s="600" t="s">
        <v>17</v>
      </c>
      <c r="E254" s="105" t="s">
        <v>18</v>
      </c>
      <c r="F254" s="469">
        <v>25</v>
      </c>
      <c r="G254" s="160">
        <v>5998600</v>
      </c>
      <c r="H254" s="41"/>
      <c r="I254" s="104" t="s">
        <v>19</v>
      </c>
      <c r="J254" s="100" t="str">
        <f>IF(List3[[#This Row],[TRF]]="Done","Sudah Transfer","Proses PP/Pengajuan Approval")</f>
        <v>Sudah Transfer</v>
      </c>
      <c r="K254" s="161">
        <v>44337</v>
      </c>
      <c r="L254" s="105" t="s">
        <v>332</v>
      </c>
      <c r="M254" s="105">
        <f>MONTH(List3[[#This Row],[Tanggal Pengajuan]])</f>
        <v>10</v>
      </c>
      <c r="N254" s="183"/>
      <c r="O254" s="105" t="s">
        <v>356</v>
      </c>
      <c r="P254" s="111"/>
      <c r="Q254" s="230" t="s">
        <v>958</v>
      </c>
      <c r="R254" s="577"/>
    </row>
    <row r="255" spans="1:18" s="4" customFormat="1" ht="32.25" customHeight="1" x14ac:dyDescent="0.2">
      <c r="A255" s="21">
        <v>44549</v>
      </c>
      <c r="B255" s="593" t="s">
        <v>600</v>
      </c>
      <c r="C255" s="176" t="s">
        <v>853</v>
      </c>
      <c r="D255" s="600" t="s">
        <v>17</v>
      </c>
      <c r="E255" s="105" t="s">
        <v>18</v>
      </c>
      <c r="F255" s="469">
        <v>25</v>
      </c>
      <c r="G255" s="160">
        <v>6000200</v>
      </c>
      <c r="H255" s="41"/>
      <c r="I255" s="104" t="s">
        <v>19</v>
      </c>
      <c r="J255" s="100" t="str">
        <f>IF(List3[[#This Row],[TRF]]="Done","Sudah Transfer","Proses PP/Pengajuan Approval")</f>
        <v>Sudah Transfer</v>
      </c>
      <c r="K255" s="161">
        <v>44337</v>
      </c>
      <c r="L255" s="105" t="s">
        <v>332</v>
      </c>
      <c r="M255" s="105">
        <f>MONTH(List3[[#This Row],[Tanggal Pengajuan]])</f>
        <v>10</v>
      </c>
      <c r="N255" s="183"/>
      <c r="O255" s="105" t="s">
        <v>356</v>
      </c>
      <c r="P255" s="111"/>
      <c r="Q255" s="230" t="s">
        <v>958</v>
      </c>
      <c r="R255" s="804">
        <f>SUM(G249:G255)</f>
        <v>45943130</v>
      </c>
    </row>
    <row r="256" spans="1:18" s="4" customFormat="1" ht="32.25" customHeight="1" x14ac:dyDescent="0.2">
      <c r="A256" s="102">
        <v>44201</v>
      </c>
      <c r="B256" s="67" t="s">
        <v>211</v>
      </c>
      <c r="C256" s="14" t="s">
        <v>872</v>
      </c>
      <c r="D256" s="22" t="s">
        <v>17</v>
      </c>
      <c r="E256" s="105" t="s">
        <v>18</v>
      </c>
      <c r="F256" s="15">
        <v>70</v>
      </c>
      <c r="G256" s="160">
        <v>5500000</v>
      </c>
      <c r="H256" s="41"/>
      <c r="I256" s="104" t="s">
        <v>19</v>
      </c>
      <c r="J256" s="100" t="str">
        <f>IF(List3[[#This Row],[TRF]]="Done","Sudah Transfer","Proses PP/Pengajuan Approval")</f>
        <v>Proses PP/Pengajuan Approval</v>
      </c>
      <c r="K256" s="161">
        <v>44337</v>
      </c>
      <c r="L256" s="105" t="s">
        <v>332</v>
      </c>
      <c r="M256" s="105">
        <f>MONTH(List3[[#This Row],[Tanggal Pengajuan]])</f>
        <v>10</v>
      </c>
      <c r="N256" s="183"/>
      <c r="O256" s="105" t="s">
        <v>356</v>
      </c>
      <c r="P256" s="111"/>
      <c r="Q256" s="230" t="s">
        <v>958</v>
      </c>
      <c r="R256" s="577"/>
    </row>
    <row r="257" spans="1:18" s="4" customFormat="1" ht="32.25" customHeight="1" x14ac:dyDescent="0.2">
      <c r="A257" s="102">
        <v>44257</v>
      </c>
      <c r="B257" s="67" t="s">
        <v>280</v>
      </c>
      <c r="C257" s="14" t="s">
        <v>872</v>
      </c>
      <c r="D257" s="22" t="s">
        <v>17</v>
      </c>
      <c r="E257" s="105" t="s">
        <v>18</v>
      </c>
      <c r="F257" s="15">
        <v>70</v>
      </c>
      <c r="G257" s="160">
        <v>5500000</v>
      </c>
      <c r="H257" s="41"/>
      <c r="I257" s="104" t="s">
        <v>19</v>
      </c>
      <c r="J257" s="100" t="str">
        <f>IF(List3[[#This Row],[TRF]]="Done","Sudah Transfer","Proses PP/Pengajuan Approval")</f>
        <v>Sudah Transfer</v>
      </c>
      <c r="K257" s="161">
        <v>44337</v>
      </c>
      <c r="L257" s="105" t="s">
        <v>332</v>
      </c>
      <c r="M257" s="105">
        <f>MONTH(List3[[#This Row],[Tanggal Pengajuan]])</f>
        <v>10</v>
      </c>
      <c r="N257" s="183"/>
      <c r="O257" s="105" t="s">
        <v>356</v>
      </c>
      <c r="P257" s="111"/>
      <c r="Q257" s="230" t="s">
        <v>958</v>
      </c>
      <c r="R257" s="577"/>
    </row>
    <row r="258" spans="1:18" s="4" customFormat="1" ht="32.25" customHeight="1" x14ac:dyDescent="0.2">
      <c r="A258" s="102">
        <v>44294</v>
      </c>
      <c r="B258" s="67" t="s">
        <v>987</v>
      </c>
      <c r="C258" s="14" t="s">
        <v>872</v>
      </c>
      <c r="D258" s="22" t="s">
        <v>17</v>
      </c>
      <c r="E258" s="105" t="s">
        <v>18</v>
      </c>
      <c r="F258" s="15">
        <v>70</v>
      </c>
      <c r="G258" s="160">
        <v>5481500</v>
      </c>
      <c r="H258" s="41"/>
      <c r="I258" s="104" t="s">
        <v>19</v>
      </c>
      <c r="J258" s="100" t="str">
        <f>IF(List3[[#This Row],[TRF]]="Done","Sudah Transfer","Proses PP/Pengajuan Approval")</f>
        <v>Proses PP/Pengajuan Approval</v>
      </c>
      <c r="K258" s="161">
        <v>44337</v>
      </c>
      <c r="L258" s="105" t="s">
        <v>332</v>
      </c>
      <c r="M258" s="105">
        <f>MONTH(List3[[#This Row],[Tanggal Pengajuan]])</f>
        <v>1</v>
      </c>
      <c r="N258" s="183"/>
      <c r="O258" s="105" t="s">
        <v>356</v>
      </c>
      <c r="P258" s="111"/>
      <c r="Q258" s="230" t="s">
        <v>958</v>
      </c>
      <c r="R258" s="577"/>
    </row>
    <row r="259" spans="1:18" s="4" customFormat="1" ht="32.25" customHeight="1" x14ac:dyDescent="0.2">
      <c r="A259" s="102">
        <v>44335</v>
      </c>
      <c r="B259" s="67" t="s">
        <v>355</v>
      </c>
      <c r="C259" s="14" t="s">
        <v>872</v>
      </c>
      <c r="D259" s="22" t="s">
        <v>17</v>
      </c>
      <c r="E259" s="105" t="s">
        <v>18</v>
      </c>
      <c r="F259" s="15">
        <v>70</v>
      </c>
      <c r="G259" s="160">
        <v>5497504</v>
      </c>
      <c r="H259" s="41"/>
      <c r="I259" s="104" t="s">
        <v>19</v>
      </c>
      <c r="J259" s="100" t="str">
        <f>IF(List3[[#This Row],[TRF]]="Done","Sudah Transfer","Proses PP/Pengajuan Approval")</f>
        <v>Proses PP/Pengajuan Approval</v>
      </c>
      <c r="K259" s="161">
        <v>44337</v>
      </c>
      <c r="L259" s="105" t="s">
        <v>332</v>
      </c>
      <c r="M259" s="105">
        <f>MONTH(List3[[#This Row],[Tanggal Pengajuan]])</f>
        <v>1</v>
      </c>
      <c r="N259" s="183"/>
      <c r="O259" s="105" t="s">
        <v>356</v>
      </c>
      <c r="P259" s="111"/>
      <c r="Q259" s="230" t="s">
        <v>958</v>
      </c>
      <c r="R259" s="577"/>
    </row>
    <row r="260" spans="1:18" s="4" customFormat="1" ht="32.25" customHeight="1" x14ac:dyDescent="0.2">
      <c r="A260" s="102">
        <v>44371</v>
      </c>
      <c r="B260" s="67" t="s">
        <v>376</v>
      </c>
      <c r="C260" s="14" t="s">
        <v>872</v>
      </c>
      <c r="D260" s="22" t="s">
        <v>17</v>
      </c>
      <c r="E260" s="105" t="s">
        <v>18</v>
      </c>
      <c r="F260" s="15">
        <v>70</v>
      </c>
      <c r="G260" s="160">
        <v>5467500</v>
      </c>
      <c r="H260" s="41"/>
      <c r="I260" s="104" t="s">
        <v>19</v>
      </c>
      <c r="J260" s="100" t="str">
        <f>IF(List3[[#This Row],[TRF]]="Done","Sudah Transfer","Proses PP/Pengajuan Approval")</f>
        <v>Sudah Transfer</v>
      </c>
      <c r="K260" s="161">
        <v>44337</v>
      </c>
      <c r="L260" s="105" t="s">
        <v>332</v>
      </c>
      <c r="M260" s="105">
        <f>MONTH(List3[[#This Row],[Tanggal Pengajuan]])</f>
        <v>11</v>
      </c>
      <c r="N260" s="183"/>
      <c r="O260" s="105" t="s">
        <v>356</v>
      </c>
      <c r="P260" s="111"/>
      <c r="Q260" s="230" t="s">
        <v>958</v>
      </c>
      <c r="R260" s="577"/>
    </row>
    <row r="261" spans="1:18" s="4" customFormat="1" ht="32.25" customHeight="1" x14ac:dyDescent="0.2">
      <c r="A261" s="102">
        <v>44414</v>
      </c>
      <c r="B261" s="67" t="s">
        <v>397</v>
      </c>
      <c r="C261" s="14" t="s">
        <v>872</v>
      </c>
      <c r="D261" s="22" t="s">
        <v>17</v>
      </c>
      <c r="E261" s="105" t="s">
        <v>18</v>
      </c>
      <c r="F261" s="469">
        <v>70</v>
      </c>
      <c r="G261" s="160">
        <v>5998800</v>
      </c>
      <c r="H261" s="41"/>
      <c r="I261" s="104" t="s">
        <v>19</v>
      </c>
      <c r="J261" s="100" t="str">
        <f>IF(List3[[#This Row],[TRF]]="Done","Sudah Transfer","Proses PP/Pengajuan Approval")</f>
        <v>Sudah Transfer</v>
      </c>
      <c r="K261" s="161">
        <v>44337</v>
      </c>
      <c r="L261" s="105" t="s">
        <v>332</v>
      </c>
      <c r="M261" s="105">
        <f>MONTH(List3[[#This Row],[Tanggal Pengajuan]])</f>
        <v>11</v>
      </c>
      <c r="N261" s="183"/>
      <c r="O261" s="105" t="s">
        <v>356</v>
      </c>
      <c r="P261" s="111"/>
      <c r="Q261" s="230" t="s">
        <v>958</v>
      </c>
      <c r="R261" s="577"/>
    </row>
    <row r="262" spans="1:18" s="4" customFormat="1" ht="32.25" customHeight="1" x14ac:dyDescent="0.2">
      <c r="A262" s="21">
        <v>44502</v>
      </c>
      <c r="B262" s="163" t="s">
        <v>564</v>
      </c>
      <c r="C262" s="618" t="s">
        <v>872</v>
      </c>
      <c r="D262" s="600" t="s">
        <v>17</v>
      </c>
      <c r="E262" s="105" t="s">
        <v>18</v>
      </c>
      <c r="F262" s="469">
        <v>70</v>
      </c>
      <c r="G262" s="160">
        <v>6016800</v>
      </c>
      <c r="H262" s="41"/>
      <c r="I262" s="104" t="s">
        <v>19</v>
      </c>
      <c r="J262" s="100" t="str">
        <f>IF(List3[[#This Row],[TRF]]="Done","Sudah Transfer","Proses PP/Pengajuan Approval")</f>
        <v>Sudah Transfer</v>
      </c>
      <c r="K262" s="161">
        <v>44337</v>
      </c>
      <c r="L262" s="105" t="s">
        <v>332</v>
      </c>
      <c r="M262" s="105">
        <f>MONTH(List3[[#This Row],[Tanggal Pengajuan]])</f>
        <v>11</v>
      </c>
      <c r="N262" s="183"/>
      <c r="O262" s="105" t="s">
        <v>356</v>
      </c>
      <c r="P262" s="111"/>
      <c r="Q262" s="230" t="s">
        <v>958</v>
      </c>
      <c r="R262" s="577"/>
    </row>
    <row r="263" spans="1:18" s="4" customFormat="1" ht="32.25" customHeight="1" x14ac:dyDescent="0.2">
      <c r="A263" s="21">
        <v>44509</v>
      </c>
      <c r="B263" s="163" t="s">
        <v>583</v>
      </c>
      <c r="C263" s="176" t="s">
        <v>872</v>
      </c>
      <c r="D263" s="600" t="s">
        <v>17</v>
      </c>
      <c r="E263" s="105" t="s">
        <v>18</v>
      </c>
      <c r="F263" s="469">
        <v>70</v>
      </c>
      <c r="G263" s="40">
        <v>6016800</v>
      </c>
      <c r="H263" s="41"/>
      <c r="I263" s="104" t="s">
        <v>19</v>
      </c>
      <c r="J263" s="100" t="str">
        <f>IF(List3[[#This Row],[TRF]]="Done","Sudah Transfer","Proses PP/Pengajuan Approval")</f>
        <v>Sudah Transfer</v>
      </c>
      <c r="K263" s="161">
        <v>44337</v>
      </c>
      <c r="L263" s="105" t="s">
        <v>332</v>
      </c>
      <c r="M263" s="105">
        <f>MONTH(List3[[#This Row],[Tanggal Pengajuan]])</f>
        <v>11</v>
      </c>
      <c r="N263" s="183"/>
      <c r="O263" s="105" t="s">
        <v>356</v>
      </c>
      <c r="P263" s="111"/>
      <c r="Q263" s="230" t="s">
        <v>958</v>
      </c>
      <c r="R263" s="577"/>
    </row>
    <row r="264" spans="1:18" s="4" customFormat="1" ht="32.25" customHeight="1" x14ac:dyDescent="0.2">
      <c r="A264" s="21">
        <v>44550</v>
      </c>
      <c r="B264" s="593" t="s">
        <v>599</v>
      </c>
      <c r="C264" s="176" t="s">
        <v>872</v>
      </c>
      <c r="D264" s="600" t="s">
        <v>17</v>
      </c>
      <c r="E264" s="105" t="s">
        <v>18</v>
      </c>
      <c r="F264" s="469">
        <v>70</v>
      </c>
      <c r="G264" s="40">
        <v>5999600</v>
      </c>
      <c r="H264" s="41"/>
      <c r="I264" s="104" t="s">
        <v>19</v>
      </c>
      <c r="J264" s="100" t="str">
        <f>IF(List3[[#This Row],[TRF]]="Done","Sudah Transfer","Proses PP/Pengajuan Approval")</f>
        <v>Sudah Transfer</v>
      </c>
      <c r="K264" s="161">
        <v>44337</v>
      </c>
      <c r="L264" s="105" t="s">
        <v>332</v>
      </c>
      <c r="M264" s="105">
        <f>MONTH(List3[[#This Row],[Tanggal Pengajuan]])</f>
        <v>11</v>
      </c>
      <c r="N264" s="183"/>
      <c r="O264" s="105" t="s">
        <v>356</v>
      </c>
      <c r="P264" s="111"/>
      <c r="Q264" s="230" t="s">
        <v>958</v>
      </c>
      <c r="R264" s="804">
        <f>SUM(G256:G264)</f>
        <v>51478504</v>
      </c>
    </row>
    <row r="265" spans="1:18" s="4" customFormat="1" ht="32.25" customHeight="1" x14ac:dyDescent="0.2">
      <c r="A265" s="102">
        <v>44223</v>
      </c>
      <c r="B265" s="67" t="s">
        <v>245</v>
      </c>
      <c r="C265" s="14" t="s">
        <v>849</v>
      </c>
      <c r="D265" s="22" t="s">
        <v>17</v>
      </c>
      <c r="E265" s="105" t="s">
        <v>18</v>
      </c>
      <c r="F265" s="15">
        <v>63</v>
      </c>
      <c r="G265" s="40">
        <v>5500000</v>
      </c>
      <c r="H265" s="41"/>
      <c r="I265" s="104" t="s">
        <v>19</v>
      </c>
      <c r="J265" s="100" t="str">
        <f>IF(List3[[#This Row],[TRF]]="Done","Sudah Transfer","Proses PP/Pengajuan Approval")</f>
        <v>Sudah Transfer</v>
      </c>
      <c r="K265" s="161">
        <v>44337</v>
      </c>
      <c r="L265" s="105" t="s">
        <v>332</v>
      </c>
      <c r="M265" s="105">
        <f>MONTH(List3[[#This Row],[Tanggal Pengajuan]])</f>
        <v>11</v>
      </c>
      <c r="N265" s="183"/>
      <c r="O265" s="105" t="s">
        <v>356</v>
      </c>
      <c r="P265" s="111"/>
      <c r="Q265" s="230" t="s">
        <v>958</v>
      </c>
      <c r="R265" s="577"/>
    </row>
    <row r="266" spans="1:18" s="4" customFormat="1" ht="32.25" customHeight="1" x14ac:dyDescent="0.2">
      <c r="A266" s="102">
        <v>44257</v>
      </c>
      <c r="B266" s="67" t="s">
        <v>294</v>
      </c>
      <c r="C266" s="14" t="s">
        <v>849</v>
      </c>
      <c r="D266" s="22" t="s">
        <v>17</v>
      </c>
      <c r="E266" s="105" t="s">
        <v>18</v>
      </c>
      <c r="F266" s="15">
        <v>63</v>
      </c>
      <c r="G266" s="160">
        <v>5500000</v>
      </c>
      <c r="H266" s="41"/>
      <c r="I266" s="104" t="s">
        <v>19</v>
      </c>
      <c r="J266" s="100" t="str">
        <f>IF(List3[[#This Row],[TRF]]="Done","Sudah Transfer","Proses PP/Pengajuan Approval")</f>
        <v>Sudah Transfer</v>
      </c>
      <c r="K266" s="161">
        <v>44337</v>
      </c>
      <c r="L266" s="105" t="s">
        <v>332</v>
      </c>
      <c r="M266" s="105">
        <f>MONTH(List3[[#This Row],[Tanggal Pengajuan]])</f>
        <v>11</v>
      </c>
      <c r="N266" s="183"/>
      <c r="O266" s="105" t="s">
        <v>356</v>
      </c>
      <c r="P266" s="111"/>
      <c r="Q266" s="230" t="s">
        <v>958</v>
      </c>
      <c r="R266" s="577"/>
    </row>
    <row r="267" spans="1:18" s="4" customFormat="1" ht="32.25" customHeight="1" x14ac:dyDescent="0.2">
      <c r="A267" s="102">
        <v>44294</v>
      </c>
      <c r="B267" s="67" t="s">
        <v>987</v>
      </c>
      <c r="C267" s="14" t="s">
        <v>849</v>
      </c>
      <c r="D267" s="22" t="s">
        <v>17</v>
      </c>
      <c r="E267" s="105" t="s">
        <v>18</v>
      </c>
      <c r="F267" s="15">
        <v>63</v>
      </c>
      <c r="G267" s="160">
        <v>5481700</v>
      </c>
      <c r="H267" s="41"/>
      <c r="I267" s="104" t="s">
        <v>19</v>
      </c>
      <c r="J267" s="100" t="str">
        <f>IF(List3[[#This Row],[TRF]]="Done","Sudah Transfer","Proses PP/Pengajuan Approval")</f>
        <v>Sudah Transfer</v>
      </c>
      <c r="K267" s="161">
        <v>44337</v>
      </c>
      <c r="L267" s="105" t="s">
        <v>332</v>
      </c>
      <c r="M267" s="105">
        <f>MONTH(List3[[#This Row],[Tanggal Pengajuan]])</f>
        <v>11</v>
      </c>
      <c r="N267" s="183"/>
      <c r="O267" s="105" t="s">
        <v>356</v>
      </c>
      <c r="P267" s="111"/>
      <c r="Q267" s="230" t="s">
        <v>958</v>
      </c>
      <c r="R267" s="577"/>
    </row>
    <row r="268" spans="1:18" s="4" customFormat="1" ht="32.25" customHeight="1" x14ac:dyDescent="0.2">
      <c r="A268" s="102">
        <v>44335</v>
      </c>
      <c r="B268" s="67" t="s">
        <v>355</v>
      </c>
      <c r="C268" s="14" t="s">
        <v>849</v>
      </c>
      <c r="D268" s="22" t="s">
        <v>17</v>
      </c>
      <c r="E268" s="103" t="s">
        <v>18</v>
      </c>
      <c r="F268" s="15">
        <v>63</v>
      </c>
      <c r="G268" s="40">
        <v>5497880</v>
      </c>
      <c r="H268" s="41"/>
      <c r="I268" s="104" t="s">
        <v>19</v>
      </c>
      <c r="J268" s="100" t="str">
        <f>IF(List3[[#This Row],[TRF]]="Done","Sudah Transfer","Proses PP/Pengajuan Approval")</f>
        <v>Sudah Transfer</v>
      </c>
      <c r="K268" s="161">
        <v>44337</v>
      </c>
      <c r="L268" s="105" t="s">
        <v>332</v>
      </c>
      <c r="M268" s="105">
        <f>MONTH(List3[[#This Row],[Tanggal Pengajuan]])</f>
        <v>11</v>
      </c>
      <c r="N268" s="183"/>
      <c r="O268" s="105" t="s">
        <v>356</v>
      </c>
      <c r="P268" s="111"/>
      <c r="Q268" s="230" t="s">
        <v>958</v>
      </c>
      <c r="R268" s="577"/>
    </row>
    <row r="269" spans="1:18" s="4" customFormat="1" ht="32.25" customHeight="1" x14ac:dyDescent="0.2">
      <c r="A269" s="102">
        <v>44371</v>
      </c>
      <c r="B269" s="67" t="s">
        <v>376</v>
      </c>
      <c r="C269" s="103" t="s">
        <v>849</v>
      </c>
      <c r="D269" s="22" t="s">
        <v>17</v>
      </c>
      <c r="E269" s="105" t="s">
        <v>18</v>
      </c>
      <c r="F269" s="15">
        <v>63</v>
      </c>
      <c r="G269" s="40">
        <v>5475900</v>
      </c>
      <c r="H269" s="41"/>
      <c r="I269" s="104" t="s">
        <v>19</v>
      </c>
      <c r="J269" s="100" t="str">
        <f>IF(List3[[#This Row],[TRF]]="Done","Sudah Transfer","Proses PP/Pengajuan Approval")</f>
        <v>Sudah Transfer</v>
      </c>
      <c r="K269" s="161">
        <v>44374</v>
      </c>
      <c r="L269" s="105" t="s">
        <v>136</v>
      </c>
      <c r="M269" s="105">
        <f>MONTH(List3[[#This Row],[Tanggal Pengajuan]])</f>
        <v>11</v>
      </c>
      <c r="N269" s="183"/>
      <c r="O269" s="105" t="s">
        <v>367</v>
      </c>
      <c r="P269" s="111"/>
      <c r="Q269" s="230" t="s">
        <v>958</v>
      </c>
      <c r="R269" s="577"/>
    </row>
    <row r="270" spans="1:18" s="4" customFormat="1" ht="32.25" customHeight="1" x14ac:dyDescent="0.2">
      <c r="A270" s="102">
        <v>44414</v>
      </c>
      <c r="B270" s="67" t="s">
        <v>397</v>
      </c>
      <c r="C270" s="103" t="s">
        <v>849</v>
      </c>
      <c r="D270" s="600" t="s">
        <v>17</v>
      </c>
      <c r="E270" s="105" t="s">
        <v>18</v>
      </c>
      <c r="F270" s="469">
        <v>63</v>
      </c>
      <c r="G270" s="160">
        <v>5999800</v>
      </c>
      <c r="H270" s="41"/>
      <c r="I270" s="104" t="s">
        <v>19</v>
      </c>
      <c r="J270" s="100" t="str">
        <f>IF(List3[[#This Row],[TRF]]="Done","Sudah Transfer","Proses PP/Pengajuan Approval")</f>
        <v>Sudah Transfer</v>
      </c>
      <c r="K270" s="161">
        <v>44374</v>
      </c>
      <c r="L270" s="105" t="s">
        <v>136</v>
      </c>
      <c r="M270" s="105">
        <f>MONTH(List3[[#This Row],[Tanggal Pengajuan]])</f>
        <v>11</v>
      </c>
      <c r="N270" s="183"/>
      <c r="O270" s="105" t="s">
        <v>367</v>
      </c>
      <c r="P270" s="111"/>
      <c r="Q270" s="230" t="s">
        <v>958</v>
      </c>
      <c r="R270" s="577"/>
    </row>
    <row r="271" spans="1:18" s="4" customFormat="1" ht="32.25" customHeight="1" x14ac:dyDescent="0.2">
      <c r="A271" s="21">
        <v>44502</v>
      </c>
      <c r="B271" s="163" t="s">
        <v>564</v>
      </c>
      <c r="C271" s="103" t="s">
        <v>849</v>
      </c>
      <c r="D271" s="600" t="s">
        <v>17</v>
      </c>
      <c r="E271" s="105" t="s">
        <v>18</v>
      </c>
      <c r="F271" s="469">
        <v>63</v>
      </c>
      <c r="G271" s="160">
        <v>6039400</v>
      </c>
      <c r="H271" s="41"/>
      <c r="I271" s="104" t="s">
        <v>19</v>
      </c>
      <c r="J271" s="105" t="str">
        <f>IF(List3[[#This Row],[TRF]]="Done","Sudah Transfer","Proses PP/Pengajuan Approval")</f>
        <v>Sudah Transfer</v>
      </c>
      <c r="K271" s="161">
        <v>44374</v>
      </c>
      <c r="L271" s="105" t="s">
        <v>136</v>
      </c>
      <c r="M271" s="105">
        <f>MONTH(List3[[#This Row],[Tanggal Pengajuan]])</f>
        <v>11</v>
      </c>
      <c r="N271" s="183"/>
      <c r="O271" s="105" t="s">
        <v>342</v>
      </c>
      <c r="P271" s="111"/>
      <c r="Q271" s="230" t="s">
        <v>958</v>
      </c>
      <c r="R271" s="577"/>
    </row>
    <row r="272" spans="1:18" s="4" customFormat="1" ht="32.25" customHeight="1" x14ac:dyDescent="0.2">
      <c r="A272" s="21">
        <v>44509</v>
      </c>
      <c r="B272" s="163" t="s">
        <v>583</v>
      </c>
      <c r="C272" s="600" t="s">
        <v>849</v>
      </c>
      <c r="D272" s="600" t="s">
        <v>17</v>
      </c>
      <c r="E272" s="103" t="s">
        <v>18</v>
      </c>
      <c r="F272" s="469">
        <v>63</v>
      </c>
      <c r="G272" s="160">
        <v>6039400</v>
      </c>
      <c r="H272" s="41"/>
      <c r="I272" s="104" t="s">
        <v>19</v>
      </c>
      <c r="J272" s="100" t="str">
        <f>IF(List3[[#This Row],[TRF]]="Done","Sudah Transfer","Proses PP/Pengajuan Approval")</f>
        <v>Sudah Transfer</v>
      </c>
      <c r="K272" s="161">
        <v>44376</v>
      </c>
      <c r="L272" s="105" t="s">
        <v>332</v>
      </c>
      <c r="M272" s="105">
        <f>MONTH(List3[[#This Row],[Tanggal Pengajuan]])</f>
        <v>11</v>
      </c>
      <c r="N272" s="183"/>
      <c r="O272" s="105" t="s">
        <v>373</v>
      </c>
      <c r="P272" s="111"/>
      <c r="Q272" s="230" t="s">
        <v>958</v>
      </c>
      <c r="R272" s="577"/>
    </row>
    <row r="273" spans="1:18" s="4" customFormat="1" ht="32.25" customHeight="1" x14ac:dyDescent="0.2">
      <c r="A273" s="21">
        <v>44550</v>
      </c>
      <c r="B273" s="593" t="s">
        <v>599</v>
      </c>
      <c r="C273" s="176" t="s">
        <v>849</v>
      </c>
      <c r="D273" s="176" t="s">
        <v>17</v>
      </c>
      <c r="E273" s="14" t="s">
        <v>18</v>
      </c>
      <c r="F273" s="469">
        <v>63</v>
      </c>
      <c r="G273" s="40">
        <v>6000100</v>
      </c>
      <c r="H273" s="40"/>
      <c r="I273" s="104" t="s">
        <v>19</v>
      </c>
      <c r="J273" s="100" t="str">
        <f>IF(List3[[#This Row],[TRF]]="Done","Sudah Transfer","Proses PP/Pengajuan Approval")</f>
        <v>Sudah Transfer</v>
      </c>
      <c r="K273" s="756">
        <v>44376</v>
      </c>
      <c r="L273" s="105" t="s">
        <v>332</v>
      </c>
      <c r="M273" s="105">
        <f>MONTH(List3[[#This Row],[Tanggal Pengajuan]])</f>
        <v>11</v>
      </c>
      <c r="N273" s="183"/>
      <c r="O273" s="105" t="s">
        <v>373</v>
      </c>
      <c r="P273" s="111"/>
      <c r="Q273" s="230" t="s">
        <v>958</v>
      </c>
      <c r="R273" s="804">
        <f>SUM(G265:G273)</f>
        <v>51534180</v>
      </c>
    </row>
    <row r="274" spans="1:18" s="4" customFormat="1" ht="32.25" customHeight="1" x14ac:dyDescent="0.2">
      <c r="A274" s="102">
        <v>44201</v>
      </c>
      <c r="B274" s="67" t="s">
        <v>213</v>
      </c>
      <c r="C274" s="14" t="s">
        <v>869</v>
      </c>
      <c r="D274" s="18" t="s">
        <v>17</v>
      </c>
      <c r="E274" s="14" t="s">
        <v>18</v>
      </c>
      <c r="F274" s="15">
        <v>98</v>
      </c>
      <c r="G274" s="40">
        <v>5500000</v>
      </c>
      <c r="H274" s="40"/>
      <c r="I274" s="104" t="s">
        <v>19</v>
      </c>
      <c r="J274" s="100" t="str">
        <f>IF(List3[[#This Row],[TRF]]="Done","Sudah Transfer","Proses PP/Pengajuan Approval")</f>
        <v>Sudah Transfer</v>
      </c>
      <c r="K274" s="756">
        <v>44376</v>
      </c>
      <c r="L274" s="105" t="s">
        <v>332</v>
      </c>
      <c r="M274" s="105">
        <f>MONTH(List3[[#This Row],[Tanggal Pengajuan]])</f>
        <v>11</v>
      </c>
      <c r="N274" s="183"/>
      <c r="O274" s="105" t="s">
        <v>373</v>
      </c>
      <c r="P274" s="111"/>
      <c r="Q274" s="230" t="s">
        <v>958</v>
      </c>
      <c r="R274" s="577"/>
    </row>
    <row r="275" spans="1:18" s="4" customFormat="1" ht="32.25" customHeight="1" x14ac:dyDescent="0.2">
      <c r="A275" s="102">
        <v>44257</v>
      </c>
      <c r="B275" s="67" t="s">
        <v>283</v>
      </c>
      <c r="C275" s="14" t="s">
        <v>869</v>
      </c>
      <c r="D275" s="18" t="s">
        <v>17</v>
      </c>
      <c r="E275" s="14" t="s">
        <v>18</v>
      </c>
      <c r="F275" s="15">
        <v>98</v>
      </c>
      <c r="G275" s="40">
        <v>5500000</v>
      </c>
      <c r="H275" s="40"/>
      <c r="I275" s="104" t="s">
        <v>19</v>
      </c>
      <c r="J275" s="100" t="str">
        <f>IF(List3[[#This Row],[TRF]]="Done","Sudah Transfer","Proses PP/Pengajuan Approval")</f>
        <v>Sudah Transfer</v>
      </c>
      <c r="K275" s="756">
        <v>44376</v>
      </c>
      <c r="L275" s="105" t="s">
        <v>332</v>
      </c>
      <c r="M275" s="105">
        <f>MONTH(List3[[#This Row],[Tanggal Pengajuan]])</f>
        <v>11</v>
      </c>
      <c r="N275" s="183"/>
      <c r="O275" s="105" t="s">
        <v>373</v>
      </c>
      <c r="P275" s="111"/>
      <c r="Q275" s="230" t="s">
        <v>958</v>
      </c>
      <c r="R275" s="577"/>
    </row>
    <row r="276" spans="1:18" s="4" customFormat="1" ht="32.25" customHeight="1" x14ac:dyDescent="0.2">
      <c r="A276" s="102">
        <v>44294</v>
      </c>
      <c r="B276" s="67" t="s">
        <v>987</v>
      </c>
      <c r="C276" s="618" t="s">
        <v>869</v>
      </c>
      <c r="D276" s="22" t="s">
        <v>17</v>
      </c>
      <c r="E276" s="105" t="s">
        <v>18</v>
      </c>
      <c r="F276" s="15">
        <v>98</v>
      </c>
      <c r="G276" s="160">
        <v>5486400</v>
      </c>
      <c r="H276" s="41"/>
      <c r="I276" s="104" t="s">
        <v>19</v>
      </c>
      <c r="J276" s="100" t="str">
        <f>IF(List3[[#This Row],[TRF]]="Done","Sudah Transfer","Proses PP/Pengajuan Approval")</f>
        <v>Sudah Transfer</v>
      </c>
      <c r="K276" s="756">
        <v>44376</v>
      </c>
      <c r="L276" s="105" t="s">
        <v>332</v>
      </c>
      <c r="M276" s="105">
        <f>MONTH(List3[[#This Row],[Tanggal Pengajuan]])</f>
        <v>11</v>
      </c>
      <c r="N276" s="183"/>
      <c r="O276" s="105" t="s">
        <v>373</v>
      </c>
      <c r="P276" s="111"/>
      <c r="Q276" s="230" t="s">
        <v>958</v>
      </c>
      <c r="R276" s="577"/>
    </row>
    <row r="277" spans="1:18" s="4" customFormat="1" ht="32.25" customHeight="1" x14ac:dyDescent="0.2">
      <c r="A277" s="102">
        <v>44335</v>
      </c>
      <c r="B277" s="67" t="s">
        <v>355</v>
      </c>
      <c r="C277" s="103" t="s">
        <v>869</v>
      </c>
      <c r="D277" s="22" t="s">
        <v>17</v>
      </c>
      <c r="E277" s="105" t="s">
        <v>18</v>
      </c>
      <c r="F277" s="15">
        <v>22</v>
      </c>
      <c r="G277" s="160">
        <v>5497380</v>
      </c>
      <c r="H277" s="41"/>
      <c r="I277" s="104" t="s">
        <v>19</v>
      </c>
      <c r="J277" s="100" t="str">
        <f>IF(List3[[#This Row],[TRF]]="Done","Sudah Transfer","Proses PP/Pengajuan Approval")</f>
        <v>Sudah Transfer</v>
      </c>
      <c r="K277" s="161">
        <v>44376</v>
      </c>
      <c r="L277" s="105" t="s">
        <v>332</v>
      </c>
      <c r="M277" s="105">
        <f>MONTH(List3[[#This Row],[Tanggal Pengajuan]])</f>
        <v>11</v>
      </c>
      <c r="N277" s="183"/>
      <c r="O277" s="105" t="s">
        <v>373</v>
      </c>
      <c r="P277" s="111"/>
      <c r="Q277" s="230" t="s">
        <v>958</v>
      </c>
      <c r="R277" s="577"/>
    </row>
    <row r="278" spans="1:18" s="4" customFormat="1" ht="32.25" customHeight="1" x14ac:dyDescent="0.2">
      <c r="A278" s="102">
        <v>44371</v>
      </c>
      <c r="B278" s="67" t="s">
        <v>376</v>
      </c>
      <c r="C278" s="103" t="s">
        <v>869</v>
      </c>
      <c r="D278" s="22" t="s">
        <v>17</v>
      </c>
      <c r="E278" s="105" t="s">
        <v>18</v>
      </c>
      <c r="F278" s="15">
        <v>22</v>
      </c>
      <c r="G278" s="160">
        <v>5475600</v>
      </c>
      <c r="H278" s="41"/>
      <c r="I278" s="104" t="s">
        <v>19</v>
      </c>
      <c r="J278" s="100" t="str">
        <f>IF(List3[[#This Row],[TRF]]="Done","Sudah Transfer","Proses PP/Pengajuan Approval")</f>
        <v>Sudah Transfer</v>
      </c>
      <c r="K278" s="756">
        <v>44376</v>
      </c>
      <c r="L278" s="105" t="s">
        <v>332</v>
      </c>
      <c r="M278" s="105">
        <f>MONTH(List3[[#This Row],[Tanggal Pengajuan]])</f>
        <v>11</v>
      </c>
      <c r="N278" s="183"/>
      <c r="O278" s="105" t="s">
        <v>373</v>
      </c>
      <c r="P278" s="111"/>
      <c r="Q278" s="230" t="s">
        <v>958</v>
      </c>
      <c r="R278" s="577"/>
    </row>
    <row r="279" spans="1:18" s="4" customFormat="1" ht="32.25" customHeight="1" x14ac:dyDescent="0.2">
      <c r="A279" s="13">
        <v>44414</v>
      </c>
      <c r="B279" s="67" t="s">
        <v>397</v>
      </c>
      <c r="C279" s="14" t="s">
        <v>869</v>
      </c>
      <c r="D279" s="176" t="s">
        <v>17</v>
      </c>
      <c r="E279" s="103" t="s">
        <v>18</v>
      </c>
      <c r="F279" s="469">
        <v>22</v>
      </c>
      <c r="G279" s="40">
        <v>5998900</v>
      </c>
      <c r="H279" s="40"/>
      <c r="I279" s="16" t="s">
        <v>19</v>
      </c>
      <c r="J279" s="14" t="str">
        <f>IF(List3[[#This Row],[TRF]]="Done","Sudah Transfer","Proses PP/Pengajuan Approval")</f>
        <v>Sudah Transfer</v>
      </c>
      <c r="K279" s="183">
        <v>44376</v>
      </c>
      <c r="L279" s="100" t="s">
        <v>332</v>
      </c>
      <c r="M279" s="100">
        <f>MONTH(List3[[#This Row],[Tanggal Pengajuan]])</f>
        <v>11</v>
      </c>
      <c r="N279" s="183"/>
      <c r="O279" s="100" t="s">
        <v>373</v>
      </c>
      <c r="P279" s="111"/>
      <c r="Q279" s="230" t="s">
        <v>958</v>
      </c>
      <c r="R279" s="577"/>
    </row>
    <row r="280" spans="1:18" s="4" customFormat="1" ht="32.25" customHeight="1" x14ac:dyDescent="0.2">
      <c r="A280" s="19">
        <v>44502</v>
      </c>
      <c r="B280" s="163" t="s">
        <v>564</v>
      </c>
      <c r="C280" s="14" t="s">
        <v>869</v>
      </c>
      <c r="D280" s="176" t="s">
        <v>17</v>
      </c>
      <c r="E280" s="103" t="s">
        <v>18</v>
      </c>
      <c r="F280" s="469">
        <v>22</v>
      </c>
      <c r="G280" s="40">
        <v>6084000</v>
      </c>
      <c r="H280" s="40"/>
      <c r="I280" s="16" t="s">
        <v>19</v>
      </c>
      <c r="J280" s="14" t="str">
        <f>IF(List3[[#This Row],[TRF]]="Done","Sudah Transfer","Proses PP/Pengajuan Approval")</f>
        <v>Sudah Transfer</v>
      </c>
      <c r="K280" s="183">
        <v>44376</v>
      </c>
      <c r="L280" s="100" t="s">
        <v>332</v>
      </c>
      <c r="M280" s="100">
        <f>MONTH(List3[[#This Row],[Tanggal Pengajuan]])</f>
        <v>11</v>
      </c>
      <c r="N280" s="183"/>
      <c r="O280" s="100" t="s">
        <v>373</v>
      </c>
      <c r="P280" s="111"/>
      <c r="Q280" s="230" t="s">
        <v>958</v>
      </c>
      <c r="R280" s="577"/>
    </row>
    <row r="281" spans="1:18" s="4" customFormat="1" ht="32.25" customHeight="1" x14ac:dyDescent="0.2">
      <c r="A281" s="19">
        <v>44509</v>
      </c>
      <c r="B281" s="163" t="s">
        <v>583</v>
      </c>
      <c r="C281" s="600" t="s">
        <v>869</v>
      </c>
      <c r="D281" s="176" t="s">
        <v>17</v>
      </c>
      <c r="E281" s="103" t="s">
        <v>18</v>
      </c>
      <c r="F281" s="469">
        <v>22</v>
      </c>
      <c r="G281" s="40">
        <v>6084000</v>
      </c>
      <c r="H281" s="40"/>
      <c r="I281" s="16" t="s">
        <v>19</v>
      </c>
      <c r="J281" s="14" t="str">
        <f>IF(List3[[#This Row],[TRF]]="Done","Sudah Transfer","Proses PP/Pengajuan Approval")</f>
        <v>Sudah Transfer</v>
      </c>
      <c r="K281" s="756">
        <v>44376</v>
      </c>
      <c r="L281" s="100" t="s">
        <v>332</v>
      </c>
      <c r="M281" s="105">
        <f>MONTH(List3[[#This Row],[Tanggal Pengajuan]])</f>
        <v>11</v>
      </c>
      <c r="N281" s="183"/>
      <c r="O281" s="100" t="s">
        <v>373</v>
      </c>
      <c r="P281" s="111"/>
      <c r="Q281" s="230" t="s">
        <v>958</v>
      </c>
      <c r="R281" s="577"/>
    </row>
    <row r="282" spans="1:18" s="4" customFormat="1" ht="32.25" customHeight="1" x14ac:dyDescent="0.2">
      <c r="A282" s="19">
        <v>44550</v>
      </c>
      <c r="B282" s="593" t="s">
        <v>599</v>
      </c>
      <c r="C282" s="600" t="s">
        <v>869</v>
      </c>
      <c r="D282" s="176" t="s">
        <v>17</v>
      </c>
      <c r="E282" s="103" t="s">
        <v>18</v>
      </c>
      <c r="F282" s="469">
        <v>22</v>
      </c>
      <c r="G282" s="40">
        <v>5998900</v>
      </c>
      <c r="H282" s="40"/>
      <c r="I282" s="16" t="s">
        <v>19</v>
      </c>
      <c r="J282" s="14" t="str">
        <f>IF(List3[[#This Row],[TRF]]="Done","Sudah Transfer","Proses PP/Pengajuan Approval")</f>
        <v>Sudah Transfer</v>
      </c>
      <c r="K282" s="756">
        <v>44376</v>
      </c>
      <c r="L282" s="100" t="s">
        <v>332</v>
      </c>
      <c r="M282" s="105">
        <f>MONTH(List3[[#This Row],[Tanggal Pengajuan]])</f>
        <v>11</v>
      </c>
      <c r="N282" s="183"/>
      <c r="O282" s="100" t="s">
        <v>373</v>
      </c>
      <c r="P282" s="111"/>
      <c r="Q282" s="230" t="s">
        <v>958</v>
      </c>
      <c r="R282" s="804">
        <f>SUM(G274:G282)</f>
        <v>51625180</v>
      </c>
    </row>
    <row r="283" spans="1:18" s="4" customFormat="1" ht="32.25" customHeight="1" x14ac:dyDescent="0.2">
      <c r="A283" s="13">
        <v>44414</v>
      </c>
      <c r="B283" s="67" t="s">
        <v>397</v>
      </c>
      <c r="C283" s="103" t="s">
        <v>860</v>
      </c>
      <c r="D283" s="176" t="s">
        <v>17</v>
      </c>
      <c r="E283" s="103" t="s">
        <v>18</v>
      </c>
      <c r="F283" s="469">
        <v>69</v>
      </c>
      <c r="G283" s="40">
        <v>6000700</v>
      </c>
      <c r="H283" s="40"/>
      <c r="I283" s="16" t="s">
        <v>19</v>
      </c>
      <c r="J283" s="14" t="str">
        <f>IF(List3[[#This Row],[TRF]]="Done","Sudah Transfer","Proses PP/Pengajuan Approval")</f>
        <v>Sudah Transfer</v>
      </c>
      <c r="K283" s="756">
        <v>44376</v>
      </c>
      <c r="L283" s="100" t="s">
        <v>332</v>
      </c>
      <c r="M283" s="105">
        <f>MONTH(List3[[#This Row],[Tanggal Pengajuan]])</f>
        <v>11</v>
      </c>
      <c r="N283" s="183"/>
      <c r="O283" s="100" t="s">
        <v>373</v>
      </c>
      <c r="P283" s="111"/>
      <c r="Q283" s="230" t="s">
        <v>958</v>
      </c>
      <c r="R283" s="577"/>
    </row>
    <row r="284" spans="1:18" s="4" customFormat="1" ht="32.25" customHeight="1" x14ac:dyDescent="0.2">
      <c r="A284" s="19">
        <v>44502</v>
      </c>
      <c r="B284" s="163" t="s">
        <v>564</v>
      </c>
      <c r="C284" s="103" t="s">
        <v>860</v>
      </c>
      <c r="D284" s="176" t="s">
        <v>17</v>
      </c>
      <c r="E284" s="103" t="s">
        <v>18</v>
      </c>
      <c r="F284" s="469">
        <v>69</v>
      </c>
      <c r="G284" s="40">
        <v>6000700</v>
      </c>
      <c r="H284" s="40"/>
      <c r="I284" s="16" t="s">
        <v>19</v>
      </c>
      <c r="J284" s="14" t="str">
        <f>IF(List3[[#This Row],[TRF]]="Done","Sudah Transfer","Proses PP/Pengajuan Approval")</f>
        <v>Sudah Transfer</v>
      </c>
      <c r="K284" s="756">
        <v>44376</v>
      </c>
      <c r="L284" s="100" t="s">
        <v>332</v>
      </c>
      <c r="M284" s="100">
        <f>MONTH(List3[[#This Row],[Tanggal Pengajuan]])</f>
        <v>11</v>
      </c>
      <c r="N284" s="183"/>
      <c r="O284" s="100" t="s">
        <v>373</v>
      </c>
      <c r="P284" s="111"/>
      <c r="Q284" s="230" t="s">
        <v>958</v>
      </c>
      <c r="R284" s="577"/>
    </row>
    <row r="285" spans="1:18" s="4" customFormat="1" ht="32.25" customHeight="1" x14ac:dyDescent="0.2">
      <c r="A285" s="19">
        <v>44509</v>
      </c>
      <c r="B285" s="163" t="s">
        <v>583</v>
      </c>
      <c r="C285" s="600" t="s">
        <v>860</v>
      </c>
      <c r="D285" s="176" t="s">
        <v>17</v>
      </c>
      <c r="E285" s="103" t="s">
        <v>18</v>
      </c>
      <c r="F285" s="469">
        <v>69</v>
      </c>
      <c r="G285" s="40">
        <v>6000700</v>
      </c>
      <c r="H285" s="40"/>
      <c r="I285" s="16" t="s">
        <v>19</v>
      </c>
      <c r="J285" s="14" t="str">
        <f>IF(List3[[#This Row],[TRF]]="Done","Sudah Transfer","Proses PP/Pengajuan Approval")</f>
        <v>Sudah Transfer</v>
      </c>
      <c r="K285" s="756">
        <v>44376</v>
      </c>
      <c r="L285" s="100" t="s">
        <v>332</v>
      </c>
      <c r="M285" s="100">
        <f>MONTH(List3[[#This Row],[Tanggal Pengajuan]])</f>
        <v>11</v>
      </c>
      <c r="N285" s="183"/>
      <c r="O285" s="100" t="s">
        <v>373</v>
      </c>
      <c r="P285" s="111"/>
      <c r="Q285" s="230" t="s">
        <v>958</v>
      </c>
      <c r="R285" s="577"/>
    </row>
    <row r="286" spans="1:18" s="4" customFormat="1" ht="32.25" customHeight="1" x14ac:dyDescent="0.2">
      <c r="A286" s="19">
        <v>44549</v>
      </c>
      <c r="B286" s="593" t="s">
        <v>600</v>
      </c>
      <c r="C286" s="600" t="s">
        <v>860</v>
      </c>
      <c r="D286" s="176" t="s">
        <v>17</v>
      </c>
      <c r="E286" s="103" t="s">
        <v>18</v>
      </c>
      <c r="F286" s="469">
        <v>69</v>
      </c>
      <c r="G286" s="40">
        <v>6000700</v>
      </c>
      <c r="H286" s="40"/>
      <c r="I286" s="16" t="s">
        <v>19</v>
      </c>
      <c r="J286" s="14" t="str">
        <f>IF(List3[[#This Row],[TRF]]="Done","Sudah Transfer","Proses PP/Pengajuan Approval")</f>
        <v>Sudah Transfer</v>
      </c>
      <c r="K286" s="756">
        <v>44376</v>
      </c>
      <c r="L286" s="100" t="s">
        <v>332</v>
      </c>
      <c r="M286" s="100">
        <f>MONTH(List3[[#This Row],[Tanggal Pengajuan]])</f>
        <v>11</v>
      </c>
      <c r="N286" s="183"/>
      <c r="O286" s="100" t="s">
        <v>373</v>
      </c>
      <c r="P286" s="111"/>
      <c r="Q286" s="230" t="s">
        <v>958</v>
      </c>
      <c r="R286" s="804">
        <f>SUM(G283:G286)</f>
        <v>24002800</v>
      </c>
    </row>
    <row r="287" spans="1:18" s="4" customFormat="1" ht="32.25" customHeight="1" x14ac:dyDescent="0.2">
      <c r="A287" s="13">
        <v>44221</v>
      </c>
      <c r="B287" s="67" t="s">
        <v>243</v>
      </c>
      <c r="C287" s="103" t="s">
        <v>855</v>
      </c>
      <c r="D287" s="18" t="s">
        <v>17</v>
      </c>
      <c r="E287" s="103" t="s">
        <v>18</v>
      </c>
      <c r="F287" s="15">
        <v>91</v>
      </c>
      <c r="G287" s="40">
        <v>5500000</v>
      </c>
      <c r="H287" s="40"/>
      <c r="I287" s="16" t="s">
        <v>19</v>
      </c>
      <c r="J287" s="14" t="str">
        <f>IF(List3[[#This Row],[TRF]]="Done","Sudah Transfer","Proses PP/Pengajuan Approval")</f>
        <v>Sudah Transfer</v>
      </c>
      <c r="K287" s="756">
        <v>44376</v>
      </c>
      <c r="L287" s="100" t="s">
        <v>332</v>
      </c>
      <c r="M287" s="100">
        <f>MONTH(List3[[#This Row],[Tanggal Pengajuan]])</f>
        <v>11</v>
      </c>
      <c r="N287" s="183"/>
      <c r="O287" s="100" t="s">
        <v>373</v>
      </c>
      <c r="P287" s="111"/>
      <c r="Q287" s="230" t="s">
        <v>958</v>
      </c>
      <c r="R287" s="577"/>
    </row>
    <row r="288" spans="1:18" s="4" customFormat="1" ht="32.25" customHeight="1" x14ac:dyDescent="0.2">
      <c r="A288" s="13">
        <v>44257</v>
      </c>
      <c r="B288" s="67" t="s">
        <v>291</v>
      </c>
      <c r="C288" s="103" t="s">
        <v>855</v>
      </c>
      <c r="D288" s="18" t="s">
        <v>17</v>
      </c>
      <c r="E288" s="103" t="s">
        <v>18</v>
      </c>
      <c r="F288" s="15">
        <v>91</v>
      </c>
      <c r="G288" s="40">
        <v>5500000</v>
      </c>
      <c r="H288" s="40"/>
      <c r="I288" s="16" t="s">
        <v>19</v>
      </c>
      <c r="J288" s="14" t="str">
        <f>IF(List3[[#This Row],[TRF]]="Done","Sudah Transfer","Proses PP/Pengajuan Approval")</f>
        <v>Sudah Transfer</v>
      </c>
      <c r="K288" s="756">
        <v>44376</v>
      </c>
      <c r="L288" s="100" t="s">
        <v>332</v>
      </c>
      <c r="M288" s="100">
        <f>MONTH(List3[[#This Row],[Tanggal Pengajuan]])</f>
        <v>11</v>
      </c>
      <c r="N288" s="183"/>
      <c r="O288" s="100" t="s">
        <v>373</v>
      </c>
      <c r="P288" s="111"/>
      <c r="Q288" s="230" t="s">
        <v>958</v>
      </c>
      <c r="R288" s="577"/>
    </row>
    <row r="289" spans="1:18" s="4" customFormat="1" ht="32.25" customHeight="1" x14ac:dyDescent="0.2">
      <c r="A289" s="13">
        <v>44294</v>
      </c>
      <c r="B289" s="67" t="s">
        <v>987</v>
      </c>
      <c r="C289" s="103" t="s">
        <v>855</v>
      </c>
      <c r="D289" s="18" t="s">
        <v>17</v>
      </c>
      <c r="E289" s="103" t="s">
        <v>18</v>
      </c>
      <c r="F289" s="15">
        <v>91</v>
      </c>
      <c r="G289" s="40">
        <v>5485700</v>
      </c>
      <c r="H289" s="40"/>
      <c r="I289" s="16" t="s">
        <v>19</v>
      </c>
      <c r="J289" s="14" t="str">
        <f>IF(List3[[#This Row],[TRF]]="Done","Sudah Transfer","Proses PP/Pengajuan Approval")</f>
        <v>Sudah Transfer</v>
      </c>
      <c r="K289" s="756">
        <v>44376</v>
      </c>
      <c r="L289" s="100" t="s">
        <v>332</v>
      </c>
      <c r="M289" s="100">
        <f>MONTH(List3[[#This Row],[Tanggal Pengajuan]])</f>
        <v>11</v>
      </c>
      <c r="N289" s="183"/>
      <c r="O289" s="100" t="s">
        <v>373</v>
      </c>
      <c r="P289" s="111"/>
      <c r="Q289" s="230" t="s">
        <v>958</v>
      </c>
      <c r="R289" s="577"/>
    </row>
    <row r="290" spans="1:18" s="4" customFormat="1" ht="32.25" customHeight="1" x14ac:dyDescent="0.2">
      <c r="A290" s="13">
        <v>44335</v>
      </c>
      <c r="B290" s="67" t="s">
        <v>355</v>
      </c>
      <c r="C290" s="103" t="s">
        <v>855</v>
      </c>
      <c r="D290" s="18" t="s">
        <v>17</v>
      </c>
      <c r="E290" s="103" t="s">
        <v>18</v>
      </c>
      <c r="F290" s="15">
        <v>91</v>
      </c>
      <c r="G290" s="40">
        <v>5497480</v>
      </c>
      <c r="H290" s="40"/>
      <c r="I290" s="16" t="s">
        <v>19</v>
      </c>
      <c r="J290" s="14" t="str">
        <f>IF(List3[[#This Row],[TRF]]="Done","Sudah Transfer","Proses PP/Pengajuan Approval")</f>
        <v>Sudah Transfer</v>
      </c>
      <c r="K290" s="756">
        <v>44376</v>
      </c>
      <c r="L290" s="100" t="s">
        <v>332</v>
      </c>
      <c r="M290" s="100">
        <f>MONTH(List3[[#This Row],[Tanggal Pengajuan]])</f>
        <v>11</v>
      </c>
      <c r="N290" s="183"/>
      <c r="O290" s="100" t="s">
        <v>373</v>
      </c>
      <c r="P290" s="111"/>
      <c r="Q290" s="230" t="s">
        <v>958</v>
      </c>
      <c r="R290" s="577"/>
    </row>
    <row r="291" spans="1:18" s="4" customFormat="1" ht="32.25" customHeight="1" x14ac:dyDescent="0.2">
      <c r="A291" s="13">
        <v>44371</v>
      </c>
      <c r="B291" s="67" t="s">
        <v>376</v>
      </c>
      <c r="C291" s="103" t="s">
        <v>855</v>
      </c>
      <c r="D291" s="18" t="s">
        <v>17</v>
      </c>
      <c r="E291" s="103" t="s">
        <v>18</v>
      </c>
      <c r="F291" s="15">
        <v>91</v>
      </c>
      <c r="G291" s="40">
        <v>5484400</v>
      </c>
      <c r="H291" s="40"/>
      <c r="I291" s="16" t="s">
        <v>19</v>
      </c>
      <c r="J291" s="14" t="str">
        <f>IF(List3[[#This Row],[TRF]]="Done","Sudah Transfer","Proses PP/Pengajuan Approval")</f>
        <v>Sudah Transfer</v>
      </c>
      <c r="K291" s="756">
        <v>44376</v>
      </c>
      <c r="L291" s="100" t="s">
        <v>332</v>
      </c>
      <c r="M291" s="100">
        <f>MONTH(List3[[#This Row],[Tanggal Pengajuan]])</f>
        <v>11</v>
      </c>
      <c r="N291" s="183"/>
      <c r="O291" s="100" t="s">
        <v>373</v>
      </c>
      <c r="P291" s="111"/>
      <c r="Q291" s="230" t="s">
        <v>958</v>
      </c>
      <c r="R291" s="577"/>
    </row>
    <row r="292" spans="1:18" s="4" customFormat="1" ht="32.25" customHeight="1" x14ac:dyDescent="0.2">
      <c r="A292" s="13">
        <v>44414</v>
      </c>
      <c r="B292" s="67" t="s">
        <v>397</v>
      </c>
      <c r="C292" s="103" t="s">
        <v>855</v>
      </c>
      <c r="D292" s="176" t="s">
        <v>17</v>
      </c>
      <c r="E292" s="103" t="s">
        <v>18</v>
      </c>
      <c r="F292" s="469">
        <v>91</v>
      </c>
      <c r="G292" s="40">
        <v>5999000</v>
      </c>
      <c r="H292" s="40"/>
      <c r="I292" s="16" t="s">
        <v>19</v>
      </c>
      <c r="J292" s="14" t="str">
        <f>IF(List3[[#This Row],[TRF]]="Done","Sudah Transfer","Proses PP/Pengajuan Approval")</f>
        <v>Sudah Transfer</v>
      </c>
      <c r="K292" s="756">
        <v>44376</v>
      </c>
      <c r="L292" s="100" t="s">
        <v>332</v>
      </c>
      <c r="M292" s="100">
        <f>MONTH(List3[[#This Row],[Tanggal Pengajuan]])</f>
        <v>11</v>
      </c>
      <c r="N292" s="183"/>
      <c r="O292" s="100" t="s">
        <v>373</v>
      </c>
      <c r="P292" s="111"/>
      <c r="Q292" s="230" t="s">
        <v>958</v>
      </c>
      <c r="R292" s="577"/>
    </row>
    <row r="293" spans="1:18" s="4" customFormat="1" ht="32.25" customHeight="1" x14ac:dyDescent="0.2">
      <c r="A293" s="19">
        <v>44502</v>
      </c>
      <c r="B293" s="163" t="s">
        <v>564</v>
      </c>
      <c r="C293" s="103" t="s">
        <v>855</v>
      </c>
      <c r="D293" s="176" t="s">
        <v>17</v>
      </c>
      <c r="E293" s="103" t="s">
        <v>18</v>
      </c>
      <c r="F293" s="469">
        <v>91</v>
      </c>
      <c r="G293" s="40">
        <v>6286900</v>
      </c>
      <c r="H293" s="40"/>
      <c r="I293" s="16" t="s">
        <v>19</v>
      </c>
      <c r="J293" s="14" t="str">
        <f>IF(List3[[#This Row],[TRF]]="Done","Sudah Transfer","Proses PP/Pengajuan Approval")</f>
        <v>Sudah Transfer</v>
      </c>
      <c r="K293" s="756">
        <v>44376</v>
      </c>
      <c r="L293" s="100" t="s">
        <v>332</v>
      </c>
      <c r="M293" s="100">
        <f>MONTH(List3[[#This Row],[Tanggal Pengajuan]])</f>
        <v>11</v>
      </c>
      <c r="N293" s="183"/>
      <c r="O293" s="100" t="s">
        <v>373</v>
      </c>
      <c r="P293" s="111"/>
      <c r="Q293" s="230" t="s">
        <v>958</v>
      </c>
      <c r="R293" s="577"/>
    </row>
    <row r="294" spans="1:18" s="4" customFormat="1" ht="32.25" customHeight="1" x14ac:dyDescent="0.2">
      <c r="A294" s="19">
        <v>44509</v>
      </c>
      <c r="B294" s="163" t="s">
        <v>583</v>
      </c>
      <c r="C294" s="600" t="s">
        <v>855</v>
      </c>
      <c r="D294" s="176" t="s">
        <v>17</v>
      </c>
      <c r="E294" s="103" t="s">
        <v>18</v>
      </c>
      <c r="F294" s="469">
        <v>91</v>
      </c>
      <c r="G294" s="40">
        <v>6286900</v>
      </c>
      <c r="H294" s="40"/>
      <c r="I294" s="16" t="s">
        <v>19</v>
      </c>
      <c r="J294" s="14" t="str">
        <f>IF(List3[[#This Row],[TRF]]="Done","Sudah Transfer","Proses PP/Pengajuan Approval")</f>
        <v>Sudah Transfer</v>
      </c>
      <c r="K294" s="756">
        <v>44376</v>
      </c>
      <c r="L294" s="100" t="s">
        <v>332</v>
      </c>
      <c r="M294" s="100">
        <f>MONTH(List3[[#This Row],[Tanggal Pengajuan]])</f>
        <v>11</v>
      </c>
      <c r="N294" s="183"/>
      <c r="O294" s="100" t="s">
        <v>373</v>
      </c>
      <c r="P294" s="111"/>
      <c r="Q294" s="230" t="s">
        <v>958</v>
      </c>
      <c r="R294" s="577"/>
    </row>
    <row r="295" spans="1:18" s="4" customFormat="1" ht="32.25" customHeight="1" x14ac:dyDescent="0.2">
      <c r="A295" s="19">
        <v>44550</v>
      </c>
      <c r="B295" s="593" t="s">
        <v>599</v>
      </c>
      <c r="C295" s="600" t="s">
        <v>855</v>
      </c>
      <c r="D295" s="176" t="s">
        <v>17</v>
      </c>
      <c r="E295" s="103" t="s">
        <v>18</v>
      </c>
      <c r="F295" s="469">
        <v>91</v>
      </c>
      <c r="G295" s="40">
        <v>6000800</v>
      </c>
      <c r="H295" s="40"/>
      <c r="I295" s="16" t="s">
        <v>19</v>
      </c>
      <c r="J295" s="14" t="str">
        <f>IF(List3[[#This Row],[TRF]]="Done","Sudah Transfer","Proses PP/Pengajuan Approval")</f>
        <v>Sudah Transfer</v>
      </c>
      <c r="K295" s="756">
        <v>44376</v>
      </c>
      <c r="L295" s="100" t="s">
        <v>332</v>
      </c>
      <c r="M295" s="100">
        <f>MONTH(List3[[#This Row],[Tanggal Pengajuan]])</f>
        <v>11</v>
      </c>
      <c r="N295" s="183"/>
      <c r="O295" s="100" t="s">
        <v>373</v>
      </c>
      <c r="P295" s="111"/>
      <c r="Q295" s="230" t="s">
        <v>958</v>
      </c>
      <c r="R295" s="804">
        <f>SUM(G287:G295)</f>
        <v>52041180</v>
      </c>
    </row>
    <row r="296" spans="1:18" s="4" customFormat="1" ht="32.25" customHeight="1" x14ac:dyDescent="0.2">
      <c r="A296" s="13">
        <v>44257</v>
      </c>
      <c r="B296" s="67" t="s">
        <v>277</v>
      </c>
      <c r="C296" s="103" t="s">
        <v>854</v>
      </c>
      <c r="D296" s="18" t="s">
        <v>17</v>
      </c>
      <c r="E296" s="103" t="s">
        <v>18</v>
      </c>
      <c r="F296" s="15">
        <v>150</v>
      </c>
      <c r="G296" s="40">
        <v>5500000</v>
      </c>
      <c r="H296" s="40"/>
      <c r="I296" s="16" t="s">
        <v>19</v>
      </c>
      <c r="J296" s="14" t="str">
        <f>IF(List3[[#This Row],[TRF]]="Done","Sudah Transfer","Proses PP/Pengajuan Approval")</f>
        <v>Sudah Transfer</v>
      </c>
      <c r="K296" s="756">
        <v>44399</v>
      </c>
      <c r="L296" s="100" t="s">
        <v>381</v>
      </c>
      <c r="M296" s="100">
        <f>MONTH(List3[[#This Row],[Tanggal Pengajuan]])</f>
        <v>11</v>
      </c>
      <c r="N296" s="183"/>
      <c r="O296" s="100" t="s">
        <v>380</v>
      </c>
      <c r="P296" s="111"/>
      <c r="Q296" s="230" t="s">
        <v>958</v>
      </c>
      <c r="R296" s="577"/>
    </row>
    <row r="297" spans="1:18" s="4" customFormat="1" ht="32.25" customHeight="1" x14ac:dyDescent="0.2">
      <c r="A297" s="13">
        <v>44335</v>
      </c>
      <c r="B297" s="67" t="s">
        <v>355</v>
      </c>
      <c r="C297" s="103" t="s">
        <v>854</v>
      </c>
      <c r="D297" s="18" t="s">
        <v>17</v>
      </c>
      <c r="E297" s="103" t="s">
        <v>18</v>
      </c>
      <c r="F297" s="15">
        <v>150</v>
      </c>
      <c r="G297" s="40">
        <v>5497480</v>
      </c>
      <c r="H297" s="40"/>
      <c r="I297" s="16" t="s">
        <v>19</v>
      </c>
      <c r="J297" s="14" t="str">
        <f>IF(List3[[#This Row],[TRF]]="Done","Sudah Transfer","Proses PP/Pengajuan Approval")</f>
        <v>Sudah Transfer</v>
      </c>
      <c r="K297" s="756">
        <v>44399</v>
      </c>
      <c r="L297" s="100" t="str">
        <f>L263</f>
        <v>PT. Lion Super Indo</v>
      </c>
      <c r="M297" s="100">
        <v>7</v>
      </c>
      <c r="N297" s="183"/>
      <c r="O297" s="100" t="s">
        <v>390</v>
      </c>
      <c r="P297" s="111"/>
      <c r="Q297" s="230" t="s">
        <v>958</v>
      </c>
      <c r="R297" s="577"/>
    </row>
    <row r="298" spans="1:18" s="4" customFormat="1" ht="32.25" customHeight="1" x14ac:dyDescent="0.2">
      <c r="A298" s="13">
        <v>44371</v>
      </c>
      <c r="B298" s="67" t="s">
        <v>376</v>
      </c>
      <c r="C298" s="103" t="s">
        <v>854</v>
      </c>
      <c r="D298" s="18" t="s">
        <v>17</v>
      </c>
      <c r="E298" s="103" t="s">
        <v>18</v>
      </c>
      <c r="F298" s="15">
        <v>150</v>
      </c>
      <c r="G298" s="40">
        <v>5438200</v>
      </c>
      <c r="H298" s="40"/>
      <c r="I298" s="16" t="s">
        <v>19</v>
      </c>
      <c r="J298" s="14" t="str">
        <f>IF(List3[[#This Row],[TRF]]="Done","Sudah Transfer","Proses PP/Pengajuan Approval")</f>
        <v>Sudah Transfer</v>
      </c>
      <c r="K298" s="756">
        <v>44399</v>
      </c>
      <c r="L298" s="100" t="str">
        <f>L264</f>
        <v>PT. Lion Super Indo</v>
      </c>
      <c r="M298" s="100">
        <v>7</v>
      </c>
      <c r="N298" s="183"/>
      <c r="O298" s="100" t="s">
        <v>390</v>
      </c>
      <c r="P298" s="111"/>
      <c r="Q298" s="230" t="s">
        <v>958</v>
      </c>
      <c r="R298" s="577"/>
    </row>
    <row r="299" spans="1:18" s="4" customFormat="1" ht="32.25" customHeight="1" x14ac:dyDescent="0.2">
      <c r="A299" s="13">
        <v>44414</v>
      </c>
      <c r="B299" s="67" t="s">
        <v>397</v>
      </c>
      <c r="C299" s="103" t="s">
        <v>854</v>
      </c>
      <c r="D299" s="176" t="s">
        <v>17</v>
      </c>
      <c r="E299" s="103" t="s">
        <v>18</v>
      </c>
      <c r="F299" s="469">
        <v>150</v>
      </c>
      <c r="G299" s="40">
        <v>5999800</v>
      </c>
      <c r="H299" s="40"/>
      <c r="I299" s="16" t="s">
        <v>19</v>
      </c>
      <c r="J299" s="14" t="str">
        <f>IF(List3[[#This Row],[TRF]]="Done","Sudah Transfer","Proses PP/Pengajuan Approval")</f>
        <v>Sudah Transfer</v>
      </c>
      <c r="K299" s="756">
        <v>44449</v>
      </c>
      <c r="L299" s="100" t="s">
        <v>443</v>
      </c>
      <c r="M299" s="100">
        <f>MONTH(List3[[#This Row],[Tanggal Pengajuan]])</f>
        <v>11</v>
      </c>
      <c r="N299" s="183">
        <v>44481</v>
      </c>
      <c r="O299" s="100" t="s">
        <v>441</v>
      </c>
      <c r="P299" s="111" t="s">
        <v>442</v>
      </c>
      <c r="Q299" s="230" t="s">
        <v>958</v>
      </c>
      <c r="R299" s="577"/>
    </row>
    <row r="300" spans="1:18" s="4" customFormat="1" ht="32.25" customHeight="1" x14ac:dyDescent="0.2">
      <c r="A300" s="19">
        <v>44502</v>
      </c>
      <c r="B300" s="163" t="s">
        <v>564</v>
      </c>
      <c r="C300" s="103" t="s">
        <v>854</v>
      </c>
      <c r="D300" s="176" t="s">
        <v>17</v>
      </c>
      <c r="E300" s="103" t="s">
        <v>18</v>
      </c>
      <c r="F300" s="469">
        <v>150</v>
      </c>
      <c r="G300" s="40">
        <v>6108800</v>
      </c>
      <c r="H300" s="40"/>
      <c r="I300" s="16" t="s">
        <v>19</v>
      </c>
      <c r="J300" s="14"/>
      <c r="K300" s="756">
        <v>44449</v>
      </c>
      <c r="L300" s="100"/>
      <c r="M300" s="100">
        <f>MONTH(List3[[#This Row],[Tanggal Pengajuan]])</f>
        <v>11</v>
      </c>
      <c r="N300" s="183"/>
      <c r="O300" s="100"/>
      <c r="P300" s="111"/>
      <c r="Q300" s="230" t="s">
        <v>958</v>
      </c>
      <c r="R300" s="577"/>
    </row>
    <row r="301" spans="1:18" s="4" customFormat="1" ht="32.25" customHeight="1" x14ac:dyDescent="0.2">
      <c r="A301" s="19">
        <v>44509</v>
      </c>
      <c r="B301" s="163" t="s">
        <v>583</v>
      </c>
      <c r="C301" s="600" t="s">
        <v>854</v>
      </c>
      <c r="D301" s="176" t="s">
        <v>17</v>
      </c>
      <c r="E301" s="103" t="s">
        <v>18</v>
      </c>
      <c r="F301" s="469">
        <v>150</v>
      </c>
      <c r="G301" s="40">
        <v>6108800</v>
      </c>
      <c r="H301" s="40"/>
      <c r="I301" s="16" t="s">
        <v>19</v>
      </c>
      <c r="J301" s="176"/>
      <c r="K301" s="756">
        <v>44449</v>
      </c>
      <c r="L301" s="20"/>
      <c r="M301" s="20">
        <f>MONTH(List3[[#This Row],[Tanggal Pengajuan]])</f>
        <v>11</v>
      </c>
      <c r="N301" s="183"/>
      <c r="O301" s="20"/>
      <c r="P301" s="177"/>
      <c r="Q301" s="230" t="s">
        <v>958</v>
      </c>
      <c r="R301" s="577"/>
    </row>
    <row r="302" spans="1:18" s="4" customFormat="1" ht="32.25" customHeight="1" x14ac:dyDescent="0.2">
      <c r="A302" s="19">
        <v>44550</v>
      </c>
      <c r="B302" s="593" t="s">
        <v>599</v>
      </c>
      <c r="C302" s="600" t="s">
        <v>854</v>
      </c>
      <c r="D302" s="176" t="s">
        <v>17</v>
      </c>
      <c r="E302" s="103" t="s">
        <v>18</v>
      </c>
      <c r="F302" s="469">
        <v>150</v>
      </c>
      <c r="G302" s="40">
        <v>6000200</v>
      </c>
      <c r="H302" s="40"/>
      <c r="I302" s="16" t="s">
        <v>19</v>
      </c>
      <c r="J302" s="176"/>
      <c r="K302" s="756">
        <v>44449</v>
      </c>
      <c r="L302" s="20"/>
      <c r="M302" s="20">
        <f>MONTH(List3[[#This Row],[Tanggal Pengajuan]])</f>
        <v>11</v>
      </c>
      <c r="N302" s="183"/>
      <c r="O302" s="20"/>
      <c r="P302" s="177"/>
      <c r="Q302" s="230" t="s">
        <v>958</v>
      </c>
      <c r="R302" s="804">
        <f>SUM(G296:G302)</f>
        <v>40653280</v>
      </c>
    </row>
    <row r="303" spans="1:18" s="4" customFormat="1" ht="32.25" customHeight="1" x14ac:dyDescent="0.2">
      <c r="A303" s="13">
        <v>44223</v>
      </c>
      <c r="B303" s="67" t="s">
        <v>246</v>
      </c>
      <c r="C303" s="103" t="s">
        <v>850</v>
      </c>
      <c r="D303" s="18" t="s">
        <v>17</v>
      </c>
      <c r="E303" s="103" t="s">
        <v>18</v>
      </c>
      <c r="F303" s="15">
        <v>57</v>
      </c>
      <c r="G303" s="40">
        <v>5500000</v>
      </c>
      <c r="H303" s="40"/>
      <c r="I303" s="16" t="s">
        <v>19</v>
      </c>
      <c r="J303" s="176"/>
      <c r="K303" s="756">
        <v>44449</v>
      </c>
      <c r="L303" s="20"/>
      <c r="M303" s="20">
        <f>MONTH(List3[[#This Row],[Tanggal Pengajuan]])</f>
        <v>11</v>
      </c>
      <c r="N303" s="183"/>
      <c r="O303" s="20"/>
      <c r="P303" s="177"/>
      <c r="Q303" s="230" t="s">
        <v>958</v>
      </c>
      <c r="R303" s="577"/>
    </row>
    <row r="304" spans="1:18" s="4" customFormat="1" ht="32.25" customHeight="1" x14ac:dyDescent="0.2">
      <c r="A304" s="13">
        <v>44257</v>
      </c>
      <c r="B304" s="67" t="s">
        <v>295</v>
      </c>
      <c r="C304" s="103" t="s">
        <v>850</v>
      </c>
      <c r="D304" s="18" t="s">
        <v>17</v>
      </c>
      <c r="E304" s="103" t="s">
        <v>18</v>
      </c>
      <c r="F304" s="15">
        <v>57</v>
      </c>
      <c r="G304" s="40">
        <v>5500000</v>
      </c>
      <c r="H304" s="40"/>
      <c r="I304" s="16" t="s">
        <v>19</v>
      </c>
      <c r="J304" s="176"/>
      <c r="K304" s="756">
        <v>44449</v>
      </c>
      <c r="L304" s="20"/>
      <c r="M304" s="20">
        <f>MONTH(List3[[#This Row],[Tanggal Pengajuan]])</f>
        <v>11</v>
      </c>
      <c r="N304" s="183"/>
      <c r="O304" s="20"/>
      <c r="P304" s="177"/>
      <c r="Q304" s="230" t="s">
        <v>958</v>
      </c>
      <c r="R304" s="577"/>
    </row>
    <row r="305" spans="1:18" s="4" customFormat="1" ht="32.25" customHeight="1" x14ac:dyDescent="0.2">
      <c r="A305" s="13">
        <v>44294</v>
      </c>
      <c r="B305" s="67" t="s">
        <v>987</v>
      </c>
      <c r="C305" s="103" t="s">
        <v>850</v>
      </c>
      <c r="D305" s="18" t="s">
        <v>17</v>
      </c>
      <c r="E305" s="103" t="s">
        <v>18</v>
      </c>
      <c r="F305" s="15">
        <v>57</v>
      </c>
      <c r="G305" s="40">
        <v>5486200</v>
      </c>
      <c r="H305" s="40"/>
      <c r="I305" s="16" t="s">
        <v>19</v>
      </c>
      <c r="J305" s="176"/>
      <c r="K305" s="756">
        <v>44449</v>
      </c>
      <c r="L305" s="20"/>
      <c r="M305" s="20">
        <f>MONTH(List3[[#This Row],[Tanggal Pengajuan]])</f>
        <v>11</v>
      </c>
      <c r="N305" s="183"/>
      <c r="O305" s="20"/>
      <c r="P305" s="177"/>
      <c r="Q305" s="230" t="s">
        <v>958</v>
      </c>
      <c r="R305" s="577"/>
    </row>
    <row r="306" spans="1:18" s="4" customFormat="1" ht="32.25" customHeight="1" x14ac:dyDescent="0.2">
      <c r="A306" s="13">
        <v>44335</v>
      </c>
      <c r="B306" s="67" t="s">
        <v>355</v>
      </c>
      <c r="C306" s="103" t="s">
        <v>850</v>
      </c>
      <c r="D306" s="18" t="s">
        <v>17</v>
      </c>
      <c r="E306" s="103" t="s">
        <v>18</v>
      </c>
      <c r="F306" s="15">
        <v>19</v>
      </c>
      <c r="G306" s="40">
        <v>5499220</v>
      </c>
      <c r="H306" s="40"/>
      <c r="I306" s="16" t="s">
        <v>19</v>
      </c>
      <c r="J306" s="176"/>
      <c r="K306" s="756">
        <v>44449</v>
      </c>
      <c r="L306" s="20"/>
      <c r="M306" s="20">
        <f>MONTH(List3[[#This Row],[Tanggal Pengajuan]])</f>
        <v>11</v>
      </c>
      <c r="N306" s="183"/>
      <c r="O306" s="20"/>
      <c r="P306" s="177"/>
      <c r="Q306" s="230" t="s">
        <v>958</v>
      </c>
      <c r="R306" s="577"/>
    </row>
    <row r="307" spans="1:18" s="4" customFormat="1" ht="32.25" customHeight="1" x14ac:dyDescent="0.2">
      <c r="A307" s="13">
        <v>44371</v>
      </c>
      <c r="B307" s="67" t="s">
        <v>376</v>
      </c>
      <c r="C307" s="103" t="s">
        <v>850</v>
      </c>
      <c r="D307" s="18" t="s">
        <v>17</v>
      </c>
      <c r="E307" s="103" t="s">
        <v>18</v>
      </c>
      <c r="F307" s="15">
        <v>19</v>
      </c>
      <c r="G307" s="40">
        <v>5484400</v>
      </c>
      <c r="H307" s="40"/>
      <c r="I307" s="16" t="s">
        <v>19</v>
      </c>
      <c r="J307" s="176"/>
      <c r="K307" s="756">
        <v>44449</v>
      </c>
      <c r="L307" s="20"/>
      <c r="M307" s="20">
        <f>MONTH(List3[[#This Row],[Tanggal Pengajuan]])</f>
        <v>11</v>
      </c>
      <c r="N307" s="183"/>
      <c r="O307" s="20"/>
      <c r="P307" s="177"/>
      <c r="Q307" s="230" t="s">
        <v>958</v>
      </c>
      <c r="R307" s="577"/>
    </row>
    <row r="308" spans="1:18" s="4" customFormat="1" ht="32.25" customHeight="1" x14ac:dyDescent="0.2">
      <c r="A308" s="13">
        <v>44414</v>
      </c>
      <c r="B308" s="67" t="s">
        <v>397</v>
      </c>
      <c r="C308" s="103" t="s">
        <v>850</v>
      </c>
      <c r="D308" s="176" t="s">
        <v>17</v>
      </c>
      <c r="E308" s="103" t="s">
        <v>18</v>
      </c>
      <c r="F308" s="469">
        <v>19</v>
      </c>
      <c r="G308" s="40">
        <v>5999900</v>
      </c>
      <c r="H308" s="40"/>
      <c r="I308" s="16" t="s">
        <v>19</v>
      </c>
      <c r="J308" s="176"/>
      <c r="K308" s="756">
        <v>44449</v>
      </c>
      <c r="L308" s="20"/>
      <c r="M308" s="20">
        <f>MONTH(List3[[#This Row],[Tanggal Pengajuan]])</f>
        <v>11</v>
      </c>
      <c r="N308" s="183"/>
      <c r="O308" s="20"/>
      <c r="P308" s="177"/>
      <c r="Q308" s="230" t="s">
        <v>958</v>
      </c>
      <c r="R308" s="577"/>
    </row>
    <row r="309" spans="1:18" s="4" customFormat="1" ht="32.25" customHeight="1" x14ac:dyDescent="0.2">
      <c r="A309" s="19">
        <v>44502</v>
      </c>
      <c r="B309" s="163" t="s">
        <v>564</v>
      </c>
      <c r="C309" s="103" t="s">
        <v>850</v>
      </c>
      <c r="D309" s="176" t="s">
        <v>17</v>
      </c>
      <c r="E309" s="103" t="s">
        <v>18</v>
      </c>
      <c r="F309" s="469">
        <v>19</v>
      </c>
      <c r="G309" s="40">
        <v>5998600</v>
      </c>
      <c r="H309" s="40"/>
      <c r="I309" s="16" t="s">
        <v>19</v>
      </c>
      <c r="J309" s="176"/>
      <c r="K309" s="756">
        <v>44449</v>
      </c>
      <c r="L309" s="20"/>
      <c r="M309" s="20">
        <f>MONTH(List3[[#This Row],[Tanggal Pengajuan]])</f>
        <v>11</v>
      </c>
      <c r="N309" s="183"/>
      <c r="O309" s="20"/>
      <c r="P309" s="177"/>
      <c r="Q309" s="230" t="s">
        <v>958</v>
      </c>
      <c r="R309" s="577"/>
    </row>
    <row r="310" spans="1:18" s="4" customFormat="1" ht="32.25" customHeight="1" x14ac:dyDescent="0.2">
      <c r="A310" s="19">
        <v>44509</v>
      </c>
      <c r="B310" s="163" t="s">
        <v>583</v>
      </c>
      <c r="C310" s="600" t="s">
        <v>850</v>
      </c>
      <c r="D310" s="176" t="s">
        <v>17</v>
      </c>
      <c r="E310" s="103" t="s">
        <v>18</v>
      </c>
      <c r="F310" s="469">
        <v>19</v>
      </c>
      <c r="G310" s="40">
        <v>5998600</v>
      </c>
      <c r="H310" s="40"/>
      <c r="I310" s="16" t="s">
        <v>19</v>
      </c>
      <c r="J310" s="176"/>
      <c r="K310" s="756">
        <v>44449</v>
      </c>
      <c r="L310" s="20"/>
      <c r="M310" s="20">
        <f>MONTH(List3[[#This Row],[Tanggal Pengajuan]])</f>
        <v>1</v>
      </c>
      <c r="N310" s="183"/>
      <c r="O310" s="20"/>
      <c r="P310" s="177"/>
      <c r="Q310" s="230" t="s">
        <v>958</v>
      </c>
      <c r="R310" s="577"/>
    </row>
    <row r="311" spans="1:18" s="4" customFormat="1" ht="32.25" customHeight="1" x14ac:dyDescent="0.2">
      <c r="A311" s="19">
        <v>44550</v>
      </c>
      <c r="B311" s="593" t="s">
        <v>599</v>
      </c>
      <c r="C311" s="176" t="s">
        <v>850</v>
      </c>
      <c r="D311" s="176" t="s">
        <v>17</v>
      </c>
      <c r="E311" s="103" t="s">
        <v>18</v>
      </c>
      <c r="F311" s="469">
        <v>19</v>
      </c>
      <c r="G311" s="40">
        <v>5999500</v>
      </c>
      <c r="H311" s="40"/>
      <c r="I311" s="16" t="s">
        <v>19</v>
      </c>
      <c r="J311" s="176"/>
      <c r="K311" s="756">
        <v>44449</v>
      </c>
      <c r="L311" s="20"/>
      <c r="M311" s="20">
        <f>MONTH(List3[[#This Row],[Tanggal Pengajuan]])</f>
        <v>11</v>
      </c>
      <c r="N311" s="183"/>
      <c r="O311" s="20"/>
      <c r="P311" s="177"/>
      <c r="Q311" s="230" t="s">
        <v>958</v>
      </c>
      <c r="R311" s="804">
        <f>SUM(G303:G311)</f>
        <v>51466420</v>
      </c>
    </row>
    <row r="312" spans="1:18" s="4" customFormat="1" ht="32.25" customHeight="1" x14ac:dyDescent="0.2">
      <c r="A312" s="13">
        <v>44414</v>
      </c>
      <c r="B312" s="67" t="s">
        <v>397</v>
      </c>
      <c r="C312" s="14" t="s">
        <v>864</v>
      </c>
      <c r="D312" s="176" t="s">
        <v>17</v>
      </c>
      <c r="E312" s="103" t="s">
        <v>18</v>
      </c>
      <c r="F312" s="469">
        <v>140</v>
      </c>
      <c r="G312" s="40">
        <v>5999700</v>
      </c>
      <c r="H312" s="40"/>
      <c r="I312" s="16" t="s">
        <v>19</v>
      </c>
      <c r="J312" s="176"/>
      <c r="K312" s="756">
        <v>44449</v>
      </c>
      <c r="L312" s="20"/>
      <c r="M312" s="20">
        <f>MONTH(List3[[#This Row],[Tanggal Pengajuan]])</f>
        <v>11</v>
      </c>
      <c r="N312" s="183"/>
      <c r="O312" s="20"/>
      <c r="P312" s="177"/>
      <c r="Q312" s="230" t="s">
        <v>958</v>
      </c>
      <c r="R312" s="577"/>
    </row>
    <row r="313" spans="1:18" s="4" customFormat="1" ht="32.25" customHeight="1" x14ac:dyDescent="0.2">
      <c r="A313" s="19">
        <v>44502</v>
      </c>
      <c r="B313" s="163" t="s">
        <v>564</v>
      </c>
      <c r="C313" s="14" t="s">
        <v>864</v>
      </c>
      <c r="D313" s="176" t="s">
        <v>17</v>
      </c>
      <c r="E313" s="103" t="s">
        <v>18</v>
      </c>
      <c r="F313" s="469">
        <v>140</v>
      </c>
      <c r="G313" s="40">
        <v>5999700</v>
      </c>
      <c r="H313" s="40"/>
      <c r="I313" s="16" t="s">
        <v>19</v>
      </c>
      <c r="J313" s="176"/>
      <c r="K313" s="756">
        <v>44449</v>
      </c>
      <c r="L313" s="20"/>
      <c r="M313" s="20">
        <f>MONTH(List3[[#This Row],[Tanggal Pengajuan]])</f>
        <v>11</v>
      </c>
      <c r="N313" s="183"/>
      <c r="O313" s="20"/>
      <c r="P313" s="177"/>
      <c r="Q313" s="230" t="s">
        <v>958</v>
      </c>
      <c r="R313" s="577"/>
    </row>
    <row r="314" spans="1:18" s="4" customFormat="1" ht="32.25" customHeight="1" x14ac:dyDescent="0.2">
      <c r="A314" s="19">
        <v>44509</v>
      </c>
      <c r="B314" s="163" t="s">
        <v>583</v>
      </c>
      <c r="C314" s="176" t="s">
        <v>864</v>
      </c>
      <c r="D314" s="176" t="s">
        <v>17</v>
      </c>
      <c r="E314" s="103" t="s">
        <v>18</v>
      </c>
      <c r="F314" s="469">
        <v>140</v>
      </c>
      <c r="G314" s="40">
        <v>5999700</v>
      </c>
      <c r="H314" s="40"/>
      <c r="I314" s="16" t="s">
        <v>19</v>
      </c>
      <c r="J314" s="176"/>
      <c r="K314" s="756">
        <v>44449</v>
      </c>
      <c r="L314" s="20"/>
      <c r="M314" s="20">
        <f>MONTH(List3[[#This Row],[Tanggal Pengajuan]])</f>
        <v>11</v>
      </c>
      <c r="N314" s="183"/>
      <c r="O314" s="20"/>
      <c r="P314" s="177"/>
      <c r="Q314" s="230" t="s">
        <v>958</v>
      </c>
      <c r="R314" s="577"/>
    </row>
    <row r="315" spans="1:18" s="4" customFormat="1" ht="32.25" customHeight="1" x14ac:dyDescent="0.2">
      <c r="A315" s="19">
        <v>44550</v>
      </c>
      <c r="B315" s="593" t="s">
        <v>599</v>
      </c>
      <c r="C315" s="176" t="s">
        <v>864</v>
      </c>
      <c r="D315" s="176" t="s">
        <v>17</v>
      </c>
      <c r="E315" s="103" t="s">
        <v>18</v>
      </c>
      <c r="F315" s="469">
        <v>140</v>
      </c>
      <c r="G315" s="40">
        <v>5999700</v>
      </c>
      <c r="H315" s="40"/>
      <c r="I315" s="16" t="s">
        <v>19</v>
      </c>
      <c r="J315" s="176"/>
      <c r="K315" s="756">
        <v>44449</v>
      </c>
      <c r="L315" s="176"/>
      <c r="M315" s="20">
        <f>MONTH(List3[[#This Row],[Tanggal Pengajuan]])</f>
        <v>11</v>
      </c>
      <c r="N315" s="183"/>
      <c r="O315" s="20"/>
      <c r="P315" s="177"/>
      <c r="Q315" s="230" t="s">
        <v>958</v>
      </c>
      <c r="R315" s="804">
        <f>SUM(G312:G315)</f>
        <v>23998800</v>
      </c>
    </row>
    <row r="316" spans="1:18" s="4" customFormat="1" ht="32.25" customHeight="1" x14ac:dyDescent="0.2">
      <c r="A316" s="13">
        <v>44414</v>
      </c>
      <c r="B316" s="67" t="s">
        <v>397</v>
      </c>
      <c r="C316" s="14" t="s">
        <v>863</v>
      </c>
      <c r="D316" s="176" t="s">
        <v>17</v>
      </c>
      <c r="E316" s="103" t="s">
        <v>18</v>
      </c>
      <c r="F316" s="469">
        <v>128</v>
      </c>
      <c r="G316" s="40">
        <v>5999800</v>
      </c>
      <c r="H316" s="40"/>
      <c r="I316" s="16" t="s">
        <v>19</v>
      </c>
      <c r="J316" s="176"/>
      <c r="K316" s="756">
        <v>44449</v>
      </c>
      <c r="L316" s="176"/>
      <c r="M316" s="20">
        <f>MONTH(List3[[#This Row],[Tanggal Pengajuan]])</f>
        <v>11</v>
      </c>
      <c r="N316" s="183"/>
      <c r="O316" s="20"/>
      <c r="P316" s="177"/>
      <c r="Q316" s="230" t="s">
        <v>958</v>
      </c>
      <c r="R316" s="577"/>
    </row>
    <row r="317" spans="1:18" s="4" customFormat="1" ht="32.25" customHeight="1" x14ac:dyDescent="0.2">
      <c r="A317" s="19">
        <v>44502</v>
      </c>
      <c r="B317" s="163" t="s">
        <v>564</v>
      </c>
      <c r="C317" s="14" t="s">
        <v>863</v>
      </c>
      <c r="D317" s="176" t="s">
        <v>17</v>
      </c>
      <c r="E317" s="103" t="s">
        <v>18</v>
      </c>
      <c r="F317" s="469">
        <v>128</v>
      </c>
      <c r="G317" s="40">
        <v>6012600</v>
      </c>
      <c r="H317" s="40"/>
      <c r="I317" s="16" t="s">
        <v>19</v>
      </c>
      <c r="J317" s="176"/>
      <c r="K317" s="756">
        <v>44449</v>
      </c>
      <c r="L317" s="176"/>
      <c r="M317" s="20">
        <f>MONTH(List3[[#This Row],[Tanggal Pengajuan]])</f>
        <v>11</v>
      </c>
      <c r="N317" s="183"/>
      <c r="O317" s="20"/>
      <c r="P317" s="177"/>
      <c r="Q317" s="230" t="s">
        <v>958</v>
      </c>
      <c r="R317" s="577"/>
    </row>
    <row r="318" spans="1:18" s="4" customFormat="1" ht="32.25" customHeight="1" x14ac:dyDescent="0.2">
      <c r="A318" s="19">
        <v>44509</v>
      </c>
      <c r="B318" s="163" t="s">
        <v>583</v>
      </c>
      <c r="C318" s="176" t="s">
        <v>863</v>
      </c>
      <c r="D318" s="176" t="s">
        <v>17</v>
      </c>
      <c r="E318" s="103" t="s">
        <v>18</v>
      </c>
      <c r="F318" s="469">
        <v>128</v>
      </c>
      <c r="G318" s="40">
        <v>6012600</v>
      </c>
      <c r="H318" s="40"/>
      <c r="I318" s="16" t="s">
        <v>19</v>
      </c>
      <c r="J318" s="176"/>
      <c r="K318" s="756">
        <v>44449</v>
      </c>
      <c r="L318" s="176"/>
      <c r="M318" s="20">
        <f>MONTH(List3[[#This Row],[Tanggal Pengajuan]])</f>
        <v>11</v>
      </c>
      <c r="N318" s="183"/>
      <c r="O318" s="20"/>
      <c r="P318" s="177"/>
      <c r="Q318" s="230" t="s">
        <v>958</v>
      </c>
      <c r="R318" s="577"/>
    </row>
    <row r="319" spans="1:18" s="4" customFormat="1" ht="32.25" customHeight="1" x14ac:dyDescent="0.2">
      <c r="A319" s="19">
        <v>44549</v>
      </c>
      <c r="B319" s="593" t="s">
        <v>600</v>
      </c>
      <c r="C319" s="176" t="s">
        <v>863</v>
      </c>
      <c r="D319" s="176" t="s">
        <v>17</v>
      </c>
      <c r="E319" s="103" t="s">
        <v>18</v>
      </c>
      <c r="F319" s="469">
        <v>128</v>
      </c>
      <c r="G319" s="40">
        <v>5999400</v>
      </c>
      <c r="H319" s="40"/>
      <c r="I319" s="16" t="s">
        <v>19</v>
      </c>
      <c r="J319" s="176"/>
      <c r="K319" s="756">
        <v>44449</v>
      </c>
      <c r="L319" s="176"/>
      <c r="M319" s="20">
        <f>MONTH(List3[[#This Row],[Tanggal Pengajuan]])</f>
        <v>11</v>
      </c>
      <c r="N319" s="183"/>
      <c r="O319" s="20"/>
      <c r="P319" s="177"/>
      <c r="Q319" s="230" t="s">
        <v>958</v>
      </c>
      <c r="R319" s="804">
        <f>SUM(G316:G319)</f>
        <v>24024400</v>
      </c>
    </row>
    <row r="320" spans="1:18" s="4" customFormat="1" ht="32.25" customHeight="1" x14ac:dyDescent="0.2">
      <c r="A320" s="13">
        <v>44230</v>
      </c>
      <c r="B320" s="67" t="s">
        <v>251</v>
      </c>
      <c r="C320" s="14" t="s">
        <v>851</v>
      </c>
      <c r="D320" s="18" t="s">
        <v>17</v>
      </c>
      <c r="E320" s="103" t="s">
        <v>18</v>
      </c>
      <c r="F320" s="15">
        <v>22</v>
      </c>
      <c r="G320" s="40">
        <v>5500000</v>
      </c>
      <c r="H320" s="40"/>
      <c r="I320" s="16" t="s">
        <v>19</v>
      </c>
      <c r="J320" s="176"/>
      <c r="K320" s="756">
        <v>44449</v>
      </c>
      <c r="L320" s="176"/>
      <c r="M320" s="20">
        <f>MONTH(List3[[#This Row],[Tanggal Pengajuan]])</f>
        <v>11</v>
      </c>
      <c r="N320" s="183"/>
      <c r="O320" s="20"/>
      <c r="P320" s="177"/>
      <c r="Q320" s="230" t="s">
        <v>958</v>
      </c>
      <c r="R320" s="577"/>
    </row>
    <row r="321" spans="1:18" s="4" customFormat="1" ht="32.25" customHeight="1" x14ac:dyDescent="0.2">
      <c r="A321" s="13">
        <v>44257</v>
      </c>
      <c r="B321" s="67" t="s">
        <v>296</v>
      </c>
      <c r="C321" s="14" t="s">
        <v>851</v>
      </c>
      <c r="D321" s="18" t="s">
        <v>17</v>
      </c>
      <c r="E321" s="103" t="s">
        <v>18</v>
      </c>
      <c r="F321" s="15">
        <v>22</v>
      </c>
      <c r="G321" s="40">
        <v>5500000</v>
      </c>
      <c r="H321" s="40"/>
      <c r="I321" s="16" t="s">
        <v>19</v>
      </c>
      <c r="J321" s="176"/>
      <c r="K321" s="756">
        <v>44449</v>
      </c>
      <c r="L321" s="176"/>
      <c r="M321" s="20">
        <f>MONTH(List3[[#This Row],[Tanggal Pengajuan]])</f>
        <v>11</v>
      </c>
      <c r="N321" s="183"/>
      <c r="O321" s="20"/>
      <c r="P321" s="177"/>
      <c r="Q321" s="230" t="s">
        <v>958</v>
      </c>
      <c r="R321" s="577"/>
    </row>
    <row r="322" spans="1:18" s="4" customFormat="1" ht="32.25" customHeight="1" x14ac:dyDescent="0.2">
      <c r="A322" s="13">
        <v>44294</v>
      </c>
      <c r="B322" s="67" t="s">
        <v>987</v>
      </c>
      <c r="C322" s="14" t="s">
        <v>851</v>
      </c>
      <c r="D322" s="18" t="s">
        <v>17</v>
      </c>
      <c r="E322" s="103" t="s">
        <v>18</v>
      </c>
      <c r="F322" s="15">
        <v>22</v>
      </c>
      <c r="G322" s="40">
        <v>5480100</v>
      </c>
      <c r="H322" s="40"/>
      <c r="I322" s="16" t="s">
        <v>19</v>
      </c>
      <c r="J322" s="176"/>
      <c r="K322" s="756">
        <v>44449</v>
      </c>
      <c r="L322" s="176"/>
      <c r="M322" s="20">
        <f>MONTH(List3[[#This Row],[Tanggal Pengajuan]])</f>
        <v>11</v>
      </c>
      <c r="N322" s="183"/>
      <c r="O322" s="20"/>
      <c r="P322" s="177"/>
      <c r="Q322" s="230" t="s">
        <v>958</v>
      </c>
      <c r="R322" s="577"/>
    </row>
    <row r="323" spans="1:18" s="4" customFormat="1" ht="32.25" customHeight="1" x14ac:dyDescent="0.2">
      <c r="A323" s="13">
        <v>44335</v>
      </c>
      <c r="B323" s="67" t="s">
        <v>355</v>
      </c>
      <c r="C323" s="14" t="s">
        <v>851</v>
      </c>
      <c r="D323" s="18" t="s">
        <v>17</v>
      </c>
      <c r="E323" s="103" t="s">
        <v>18</v>
      </c>
      <c r="F323" s="15">
        <v>57</v>
      </c>
      <c r="G323" s="40">
        <v>5495810</v>
      </c>
      <c r="H323" s="40"/>
      <c r="I323" s="16" t="s">
        <v>19</v>
      </c>
      <c r="J323" s="176"/>
      <c r="K323" s="756">
        <v>44449</v>
      </c>
      <c r="L323" s="176"/>
      <c r="M323" s="20">
        <f>MONTH(List3[[#This Row],[Tanggal Pengajuan]])</f>
        <v>11</v>
      </c>
      <c r="N323" s="183"/>
      <c r="O323" s="20"/>
      <c r="P323" s="177"/>
      <c r="Q323" s="230" t="s">
        <v>958</v>
      </c>
      <c r="R323" s="577"/>
    </row>
    <row r="324" spans="1:18" s="4" customFormat="1" ht="32.25" customHeight="1" x14ac:dyDescent="0.2">
      <c r="A324" s="13">
        <v>44371</v>
      </c>
      <c r="B324" s="67" t="s">
        <v>376</v>
      </c>
      <c r="C324" s="14" t="s">
        <v>851</v>
      </c>
      <c r="D324" s="18" t="s">
        <v>17</v>
      </c>
      <c r="E324" s="103" t="s">
        <v>18</v>
      </c>
      <c r="F324" s="15">
        <v>57</v>
      </c>
      <c r="G324" s="40">
        <v>5446300</v>
      </c>
      <c r="H324" s="40"/>
      <c r="I324" s="16" t="s">
        <v>19</v>
      </c>
      <c r="J324" s="176"/>
      <c r="K324" s="756">
        <v>44449</v>
      </c>
      <c r="L324" s="176"/>
      <c r="M324" s="20">
        <f>MONTH(List3[[#This Row],[Tanggal Pengajuan]])</f>
        <v>11</v>
      </c>
      <c r="N324" s="183"/>
      <c r="O324" s="20"/>
      <c r="P324" s="177"/>
      <c r="Q324" s="230" t="s">
        <v>958</v>
      </c>
      <c r="R324" s="577"/>
    </row>
    <row r="325" spans="1:18" s="4" customFormat="1" ht="32.25" customHeight="1" x14ac:dyDescent="0.2">
      <c r="A325" s="13">
        <v>44414</v>
      </c>
      <c r="B325" s="67" t="s">
        <v>397</v>
      </c>
      <c r="C325" s="14" t="s">
        <v>851</v>
      </c>
      <c r="D325" s="176" t="s">
        <v>17</v>
      </c>
      <c r="E325" s="103" t="s">
        <v>18</v>
      </c>
      <c r="F325" s="469">
        <v>57</v>
      </c>
      <c r="G325" s="40">
        <v>5999100</v>
      </c>
      <c r="H325" s="40"/>
      <c r="I325" s="16" t="s">
        <v>19</v>
      </c>
      <c r="J325" s="176"/>
      <c r="K325" s="756">
        <v>44449</v>
      </c>
      <c r="L325" s="176"/>
      <c r="M325" s="20">
        <f>MONTH(List3[[#This Row],[Tanggal Pengajuan]])</f>
        <v>11</v>
      </c>
      <c r="N325" s="183"/>
      <c r="O325" s="20"/>
      <c r="P325" s="177"/>
      <c r="Q325" s="230" t="s">
        <v>958</v>
      </c>
      <c r="R325" s="577"/>
    </row>
    <row r="326" spans="1:18" s="4" customFormat="1" ht="32.25" customHeight="1" x14ac:dyDescent="0.2">
      <c r="A326" s="19">
        <v>44502</v>
      </c>
      <c r="B326" s="163" t="s">
        <v>564</v>
      </c>
      <c r="C326" s="14" t="s">
        <v>851</v>
      </c>
      <c r="D326" s="176" t="s">
        <v>17</v>
      </c>
      <c r="E326" s="103" t="s">
        <v>18</v>
      </c>
      <c r="F326" s="469">
        <v>57</v>
      </c>
      <c r="G326" s="40">
        <v>6000900</v>
      </c>
      <c r="H326" s="40"/>
      <c r="I326" s="16" t="s">
        <v>19</v>
      </c>
      <c r="J326" s="176"/>
      <c r="K326" s="756">
        <v>44449</v>
      </c>
      <c r="L326" s="176"/>
      <c r="M326" s="20">
        <f>MONTH(List3[[#This Row],[Tanggal Pengajuan]])</f>
        <v>11</v>
      </c>
      <c r="N326" s="183"/>
      <c r="O326" s="20"/>
      <c r="P326" s="177"/>
      <c r="Q326" s="230" t="s">
        <v>958</v>
      </c>
      <c r="R326" s="577"/>
    </row>
    <row r="327" spans="1:18" s="4" customFormat="1" ht="32.25" customHeight="1" x14ac:dyDescent="0.2">
      <c r="A327" s="19">
        <v>44509</v>
      </c>
      <c r="B327" s="163" t="s">
        <v>583</v>
      </c>
      <c r="C327" s="176" t="s">
        <v>851</v>
      </c>
      <c r="D327" s="176" t="s">
        <v>17</v>
      </c>
      <c r="E327" s="103" t="s">
        <v>18</v>
      </c>
      <c r="F327" s="469">
        <v>57</v>
      </c>
      <c r="G327" s="40">
        <v>6000900</v>
      </c>
      <c r="H327" s="40"/>
      <c r="I327" s="16" t="s">
        <v>19</v>
      </c>
      <c r="J327" s="176"/>
      <c r="K327" s="756">
        <v>44449</v>
      </c>
      <c r="L327" s="176"/>
      <c r="M327" s="20">
        <f>MONTH(List3[[#This Row],[Tanggal Pengajuan]])</f>
        <v>11</v>
      </c>
      <c r="N327" s="183"/>
      <c r="O327" s="20"/>
      <c r="P327" s="177"/>
      <c r="Q327" s="230" t="s">
        <v>958</v>
      </c>
      <c r="R327" s="577"/>
    </row>
    <row r="328" spans="1:18" s="4" customFormat="1" ht="32.25" customHeight="1" x14ac:dyDescent="0.2">
      <c r="A328" s="19">
        <v>44550</v>
      </c>
      <c r="B328" s="593" t="s">
        <v>599</v>
      </c>
      <c r="C328" s="176" t="s">
        <v>851</v>
      </c>
      <c r="D328" s="176" t="s">
        <v>17</v>
      </c>
      <c r="E328" s="103" t="s">
        <v>18</v>
      </c>
      <c r="F328" s="469">
        <v>57</v>
      </c>
      <c r="G328" s="40">
        <v>6000000</v>
      </c>
      <c r="H328" s="40"/>
      <c r="I328" s="16" t="s">
        <v>19</v>
      </c>
      <c r="J328" s="176"/>
      <c r="K328" s="757">
        <v>44449</v>
      </c>
      <c r="L328" s="20"/>
      <c r="M328" s="20">
        <f>MONTH(List3[[#This Row],[Tanggal Pengajuan]])</f>
        <v>11</v>
      </c>
      <c r="N328" s="183"/>
      <c r="O328" s="20"/>
      <c r="P328" s="177"/>
      <c r="Q328" s="230" t="s">
        <v>958</v>
      </c>
      <c r="R328" s="804">
        <f>SUM(G320:G328)</f>
        <v>51423110</v>
      </c>
    </row>
    <row r="329" spans="1:18" s="4" customFormat="1" ht="32.25" customHeight="1" x14ac:dyDescent="0.2">
      <c r="A329" s="13">
        <v>44230</v>
      </c>
      <c r="B329" s="67" t="s">
        <v>249</v>
      </c>
      <c r="C329" s="14" t="s">
        <v>852</v>
      </c>
      <c r="D329" s="18" t="s">
        <v>17</v>
      </c>
      <c r="E329" s="103" t="s">
        <v>18</v>
      </c>
      <c r="F329" s="15">
        <v>42</v>
      </c>
      <c r="G329" s="40">
        <v>5500000</v>
      </c>
      <c r="H329" s="40"/>
      <c r="I329" s="16" t="s">
        <v>19</v>
      </c>
      <c r="J329" s="176"/>
      <c r="K329" s="756">
        <v>44449</v>
      </c>
      <c r="L329" s="20"/>
      <c r="M329" s="20">
        <f>MONTH(List3[[#This Row],[Tanggal Pengajuan]])</f>
        <v>11</v>
      </c>
      <c r="N329" s="183"/>
      <c r="O329" s="20"/>
      <c r="P329" s="177"/>
      <c r="Q329" s="230" t="s">
        <v>958</v>
      </c>
      <c r="R329" s="577"/>
    </row>
    <row r="330" spans="1:18" s="4" customFormat="1" ht="32.25" customHeight="1" x14ac:dyDescent="0.2">
      <c r="A330" s="13">
        <v>44257</v>
      </c>
      <c r="B330" s="67" t="s">
        <v>293</v>
      </c>
      <c r="C330" s="14" t="s">
        <v>852</v>
      </c>
      <c r="D330" s="18" t="s">
        <v>17</v>
      </c>
      <c r="E330" s="103" t="s">
        <v>18</v>
      </c>
      <c r="F330" s="15">
        <v>42</v>
      </c>
      <c r="G330" s="40">
        <v>5500000</v>
      </c>
      <c r="H330" s="40"/>
      <c r="I330" s="16" t="s">
        <v>19</v>
      </c>
      <c r="J330" s="14"/>
      <c r="K330" s="183">
        <v>44428</v>
      </c>
      <c r="L330" s="100" t="s">
        <v>887</v>
      </c>
      <c r="M330" s="100">
        <v>8</v>
      </c>
      <c r="N330" s="183"/>
      <c r="O330" s="100" t="s">
        <v>888</v>
      </c>
      <c r="P330" s="111"/>
      <c r="Q330" s="230" t="s">
        <v>958</v>
      </c>
      <c r="R330" s="577"/>
    </row>
    <row r="331" spans="1:18" s="4" customFormat="1" ht="32.25" customHeight="1" x14ac:dyDescent="0.2">
      <c r="A331" s="13">
        <v>44294</v>
      </c>
      <c r="B331" s="67" t="s">
        <v>987</v>
      </c>
      <c r="C331" s="14" t="s">
        <v>852</v>
      </c>
      <c r="D331" s="18" t="s">
        <v>17</v>
      </c>
      <c r="E331" s="103" t="s">
        <v>18</v>
      </c>
      <c r="F331" s="15">
        <v>42</v>
      </c>
      <c r="G331" s="40">
        <v>5482300</v>
      </c>
      <c r="H331" s="171"/>
      <c r="I331" s="752" t="s">
        <v>19</v>
      </c>
      <c r="J331" s="14" t="s">
        <v>20</v>
      </c>
      <c r="K331" s="757">
        <v>44470</v>
      </c>
      <c r="L331" s="100" t="s">
        <v>136</v>
      </c>
      <c r="M331" s="100">
        <f>MONTH(List3[[#This Row],[Tanggal Pengajuan]])</f>
        <v>11</v>
      </c>
      <c r="N331" s="183"/>
      <c r="O331" s="100" t="s">
        <v>494</v>
      </c>
      <c r="P331" s="111" t="s">
        <v>491</v>
      </c>
      <c r="Q331" s="230" t="s">
        <v>958</v>
      </c>
      <c r="R331" s="577"/>
    </row>
    <row r="332" spans="1:18" s="4" customFormat="1" ht="32.25" customHeight="1" x14ac:dyDescent="0.2">
      <c r="A332" s="13">
        <v>44335</v>
      </c>
      <c r="B332" s="67" t="s">
        <v>355</v>
      </c>
      <c r="C332" s="14" t="s">
        <v>852</v>
      </c>
      <c r="D332" s="18" t="s">
        <v>17</v>
      </c>
      <c r="E332" s="103" t="s">
        <v>18</v>
      </c>
      <c r="F332" s="15">
        <v>40</v>
      </c>
      <c r="G332" s="40">
        <v>5497210</v>
      </c>
      <c r="H332" s="171"/>
      <c r="I332" s="752" t="s">
        <v>19</v>
      </c>
      <c r="J332" s="14" t="s">
        <v>20</v>
      </c>
      <c r="K332" s="756">
        <v>44470</v>
      </c>
      <c r="L332" s="100" t="s">
        <v>136</v>
      </c>
      <c r="M332" s="100">
        <f>MONTH(List3[[#This Row],[Tanggal Pengajuan]])</f>
        <v>11</v>
      </c>
      <c r="N332" s="183"/>
      <c r="O332" s="100" t="s">
        <v>494</v>
      </c>
      <c r="P332" s="111"/>
      <c r="Q332" s="230" t="s">
        <v>958</v>
      </c>
      <c r="R332" s="577"/>
    </row>
    <row r="333" spans="1:18" s="4" customFormat="1" ht="32.25" customHeight="1" x14ac:dyDescent="0.2">
      <c r="A333" s="13">
        <v>44371</v>
      </c>
      <c r="B333" s="67" t="s">
        <v>376</v>
      </c>
      <c r="C333" s="14" t="s">
        <v>852</v>
      </c>
      <c r="D333" s="18" t="s">
        <v>17</v>
      </c>
      <c r="E333" s="103" t="s">
        <v>18</v>
      </c>
      <c r="F333" s="15">
        <v>40</v>
      </c>
      <c r="G333" s="40">
        <v>5493800</v>
      </c>
      <c r="H333" s="171"/>
      <c r="I333" s="752" t="s">
        <v>19</v>
      </c>
      <c r="J333" s="14" t="s">
        <v>20</v>
      </c>
      <c r="K333" s="756">
        <v>44470</v>
      </c>
      <c r="L333" s="100" t="s">
        <v>136</v>
      </c>
      <c r="M333" s="100">
        <f>MONTH(List3[[#This Row],[Tanggal Pengajuan]])</f>
        <v>11</v>
      </c>
      <c r="N333" s="183"/>
      <c r="O333" s="100" t="s">
        <v>494</v>
      </c>
      <c r="P333" s="111"/>
      <c r="Q333" s="230" t="s">
        <v>958</v>
      </c>
      <c r="R333" s="577"/>
    </row>
    <row r="334" spans="1:18" s="4" customFormat="1" ht="32.25" customHeight="1" x14ac:dyDescent="0.2">
      <c r="A334" s="13">
        <v>44414</v>
      </c>
      <c r="B334" s="67" t="s">
        <v>397</v>
      </c>
      <c r="C334" s="14" t="s">
        <v>852</v>
      </c>
      <c r="D334" s="176" t="s">
        <v>17</v>
      </c>
      <c r="E334" s="103" t="s">
        <v>18</v>
      </c>
      <c r="F334" s="469">
        <v>40</v>
      </c>
      <c r="G334" s="40">
        <v>5999700</v>
      </c>
      <c r="H334" s="40"/>
      <c r="I334" s="16" t="s">
        <v>19</v>
      </c>
      <c r="J334" s="14" t="s">
        <v>20</v>
      </c>
      <c r="K334" s="756">
        <v>44475</v>
      </c>
      <c r="L334" s="100" t="s">
        <v>501</v>
      </c>
      <c r="M334" s="100">
        <f>MONTH(List3[[#This Row],[Tanggal Pengajuan]])</f>
        <v>11</v>
      </c>
      <c r="N334" s="183"/>
      <c r="O334" s="100" t="s">
        <v>889</v>
      </c>
      <c r="P334" s="111"/>
      <c r="Q334" s="230" t="s">
        <v>958</v>
      </c>
      <c r="R334" s="577"/>
    </row>
    <row r="335" spans="1:18" s="4" customFormat="1" ht="32.25" customHeight="1" x14ac:dyDescent="0.2">
      <c r="A335" s="19">
        <v>44502</v>
      </c>
      <c r="B335" s="163" t="s">
        <v>564</v>
      </c>
      <c r="C335" s="14" t="s">
        <v>852</v>
      </c>
      <c r="D335" s="176" t="s">
        <v>17</v>
      </c>
      <c r="E335" s="103" t="s">
        <v>18</v>
      </c>
      <c r="F335" s="469">
        <v>40</v>
      </c>
      <c r="G335" s="40">
        <v>6005900</v>
      </c>
      <c r="H335" s="40"/>
      <c r="I335" s="16" t="s">
        <v>19</v>
      </c>
      <c r="J335" s="14" t="s">
        <v>20</v>
      </c>
      <c r="K335" s="183">
        <v>44503</v>
      </c>
      <c r="L335" s="100" t="s">
        <v>887</v>
      </c>
      <c r="M335" s="100">
        <v>10</v>
      </c>
      <c r="N335" s="183"/>
      <c r="O335" s="100" t="s">
        <v>890</v>
      </c>
      <c r="P335" s="111"/>
      <c r="Q335" s="230" t="s">
        <v>958</v>
      </c>
      <c r="R335" s="577"/>
    </row>
    <row r="336" spans="1:18" s="4" customFormat="1" ht="32.25" customHeight="1" x14ac:dyDescent="0.2">
      <c r="A336" s="19">
        <v>44509</v>
      </c>
      <c r="B336" s="163" t="s">
        <v>583</v>
      </c>
      <c r="C336" s="176" t="s">
        <v>852</v>
      </c>
      <c r="D336" s="176" t="s">
        <v>17</v>
      </c>
      <c r="E336" s="103" t="s">
        <v>18</v>
      </c>
      <c r="F336" s="469">
        <v>40</v>
      </c>
      <c r="G336" s="40">
        <v>6005900</v>
      </c>
      <c r="H336" s="40"/>
      <c r="I336" s="16" t="s">
        <v>19</v>
      </c>
      <c r="J336" s="14" t="s">
        <v>20</v>
      </c>
      <c r="K336" s="102">
        <v>44506</v>
      </c>
      <c r="L336" s="100" t="s">
        <v>136</v>
      </c>
      <c r="M336" s="100">
        <f>MONTH(List3[[#This Row],[Tanggal Pengajuan]])</f>
        <v>11</v>
      </c>
      <c r="N336" s="183"/>
      <c r="O336" s="100" t="s">
        <v>550</v>
      </c>
      <c r="P336" s="111"/>
      <c r="Q336" s="230" t="s">
        <v>958</v>
      </c>
      <c r="R336" s="577"/>
    </row>
    <row r="337" spans="1:18" s="4" customFormat="1" ht="32.25" customHeight="1" x14ac:dyDescent="0.2">
      <c r="A337" s="19">
        <v>44550</v>
      </c>
      <c r="B337" s="593" t="s">
        <v>599</v>
      </c>
      <c r="C337" s="176" t="s">
        <v>852</v>
      </c>
      <c r="D337" s="176" t="s">
        <v>17</v>
      </c>
      <c r="E337" s="103" t="s">
        <v>18</v>
      </c>
      <c r="F337" s="469">
        <v>40</v>
      </c>
      <c r="G337" s="40">
        <v>5999700</v>
      </c>
      <c r="H337" s="40"/>
      <c r="I337" s="16" t="s">
        <v>19</v>
      </c>
      <c r="J337" s="14" t="s">
        <v>20</v>
      </c>
      <c r="K337" s="102">
        <v>44506</v>
      </c>
      <c r="L337" s="100" t="s">
        <v>136</v>
      </c>
      <c r="M337" s="100">
        <f>MONTH(List3[[#This Row],[Tanggal Pengajuan]])</f>
        <v>11</v>
      </c>
      <c r="N337" s="183"/>
      <c r="O337" s="100" t="s">
        <v>550</v>
      </c>
      <c r="P337" s="111"/>
      <c r="Q337" s="230" t="s">
        <v>958</v>
      </c>
      <c r="R337" s="804">
        <f>SUM(G329:G337)</f>
        <v>51484510</v>
      </c>
    </row>
    <row r="338" spans="1:18" s="4" customFormat="1" ht="32.25" customHeight="1" x14ac:dyDescent="0.2">
      <c r="A338" s="13">
        <v>44201</v>
      </c>
      <c r="B338" s="67" t="s">
        <v>215</v>
      </c>
      <c r="C338" s="14" t="s">
        <v>870</v>
      </c>
      <c r="D338" s="18" t="s">
        <v>17</v>
      </c>
      <c r="E338" s="103" t="s">
        <v>18</v>
      </c>
      <c r="F338" s="15">
        <v>19</v>
      </c>
      <c r="G338" s="40">
        <v>5500000</v>
      </c>
      <c r="H338" s="40"/>
      <c r="I338" s="16" t="s">
        <v>19</v>
      </c>
      <c r="J338" s="14" t="s">
        <v>20</v>
      </c>
      <c r="K338" s="102">
        <v>44506</v>
      </c>
      <c r="L338" s="100" t="s">
        <v>136</v>
      </c>
      <c r="M338" s="100">
        <f>MONTH(List3[[#This Row],[Tanggal Pengajuan]])</f>
        <v>11</v>
      </c>
      <c r="N338" s="183"/>
      <c r="O338" s="100" t="s">
        <v>550</v>
      </c>
      <c r="P338" s="111"/>
      <c r="Q338" s="230" t="s">
        <v>958</v>
      </c>
      <c r="R338" s="577"/>
    </row>
    <row r="339" spans="1:18" s="4" customFormat="1" ht="32.25" customHeight="1" x14ac:dyDescent="0.2">
      <c r="A339" s="13">
        <v>44257</v>
      </c>
      <c r="B339" s="67" t="s">
        <v>282</v>
      </c>
      <c r="C339" s="14" t="s">
        <v>870</v>
      </c>
      <c r="D339" s="18" t="s">
        <v>17</v>
      </c>
      <c r="E339" s="103" t="s">
        <v>18</v>
      </c>
      <c r="F339" s="15">
        <v>19</v>
      </c>
      <c r="G339" s="40">
        <v>5500000</v>
      </c>
      <c r="H339" s="40"/>
      <c r="I339" s="16" t="s">
        <v>19</v>
      </c>
      <c r="J339" s="176" t="s">
        <v>20</v>
      </c>
      <c r="K339" s="102">
        <v>44516</v>
      </c>
      <c r="L339" s="20"/>
      <c r="M339" s="100">
        <f>MONTH(List3[[#This Row],[Tanggal Pengajuan]])</f>
        <v>11</v>
      </c>
      <c r="N339" s="183"/>
      <c r="O339" s="20"/>
      <c r="P339" s="177"/>
      <c r="Q339" s="230" t="s">
        <v>958</v>
      </c>
      <c r="R339" s="577"/>
    </row>
    <row r="340" spans="1:18" s="4" customFormat="1" ht="32.25" customHeight="1" x14ac:dyDescent="0.2">
      <c r="A340" s="13">
        <v>44294</v>
      </c>
      <c r="B340" s="67" t="s">
        <v>987</v>
      </c>
      <c r="C340" s="14" t="s">
        <v>870</v>
      </c>
      <c r="D340" s="18" t="s">
        <v>17</v>
      </c>
      <c r="E340" s="103" t="s">
        <v>18</v>
      </c>
      <c r="F340" s="15">
        <v>19</v>
      </c>
      <c r="G340" s="40">
        <v>5482200</v>
      </c>
      <c r="H340" s="40"/>
      <c r="I340" s="16" t="s">
        <v>19</v>
      </c>
      <c r="J340" s="176" t="s">
        <v>20</v>
      </c>
      <c r="K340" s="102">
        <v>44516</v>
      </c>
      <c r="L340" s="20"/>
      <c r="M340" s="100">
        <f>MONTH(List3[[#This Row],[Tanggal Pengajuan]])</f>
        <v>11</v>
      </c>
      <c r="N340" s="183"/>
      <c r="O340" s="20"/>
      <c r="P340" s="177"/>
      <c r="Q340" s="230" t="s">
        <v>958</v>
      </c>
      <c r="R340" s="577"/>
    </row>
    <row r="341" spans="1:18" s="4" customFormat="1" ht="32.25" customHeight="1" x14ac:dyDescent="0.2">
      <c r="A341" s="13">
        <v>44335</v>
      </c>
      <c r="B341" s="67" t="s">
        <v>355</v>
      </c>
      <c r="C341" s="14" t="s">
        <v>870</v>
      </c>
      <c r="D341" s="18" t="s">
        <v>17</v>
      </c>
      <c r="E341" s="103" t="s">
        <v>18</v>
      </c>
      <c r="F341" s="15">
        <v>98</v>
      </c>
      <c r="G341" s="40">
        <v>5493920</v>
      </c>
      <c r="H341" s="40"/>
      <c r="I341" s="16" t="s">
        <v>19</v>
      </c>
      <c r="J341" s="176" t="s">
        <v>20</v>
      </c>
      <c r="K341" s="102">
        <v>44516</v>
      </c>
      <c r="L341" s="20"/>
      <c r="M341" s="100">
        <f>MONTH(List3[[#This Row],[Tanggal Pengajuan]])</f>
        <v>11</v>
      </c>
      <c r="N341" s="183"/>
      <c r="O341" s="20"/>
      <c r="P341" s="177"/>
      <c r="Q341" s="230" t="s">
        <v>958</v>
      </c>
      <c r="R341" s="577"/>
    </row>
    <row r="342" spans="1:18" s="4" customFormat="1" ht="32.25" customHeight="1" x14ac:dyDescent="0.2">
      <c r="A342" s="13">
        <v>44371</v>
      </c>
      <c r="B342" s="67" t="s">
        <v>376</v>
      </c>
      <c r="C342" s="14" t="s">
        <v>870</v>
      </c>
      <c r="D342" s="18" t="s">
        <v>17</v>
      </c>
      <c r="E342" s="103" t="s">
        <v>18</v>
      </c>
      <c r="F342" s="15">
        <v>98</v>
      </c>
      <c r="G342" s="40">
        <v>5414000</v>
      </c>
      <c r="H342" s="40"/>
      <c r="I342" s="16" t="s">
        <v>19</v>
      </c>
      <c r="J342" s="176" t="s">
        <v>20</v>
      </c>
      <c r="K342" s="102">
        <v>44516</v>
      </c>
      <c r="L342" s="20"/>
      <c r="M342" s="20">
        <f>MONTH(List3[[#This Row],[Tanggal Pengajuan]])</f>
        <v>11</v>
      </c>
      <c r="N342" s="183"/>
      <c r="O342" s="20"/>
      <c r="P342" s="177"/>
      <c r="Q342" s="230" t="s">
        <v>958</v>
      </c>
      <c r="R342" s="577"/>
    </row>
    <row r="343" spans="1:18" s="4" customFormat="1" ht="32.25" customHeight="1" x14ac:dyDescent="0.2">
      <c r="A343" s="13">
        <v>44414</v>
      </c>
      <c r="B343" s="67" t="s">
        <v>397</v>
      </c>
      <c r="C343" s="14" t="s">
        <v>870</v>
      </c>
      <c r="D343" s="18" t="s">
        <v>17</v>
      </c>
      <c r="E343" s="103" t="s">
        <v>18</v>
      </c>
      <c r="F343" s="469">
        <v>98</v>
      </c>
      <c r="G343" s="40">
        <v>5998300</v>
      </c>
      <c r="H343" s="40"/>
      <c r="I343" s="16" t="s">
        <v>19</v>
      </c>
      <c r="J343" s="176" t="s">
        <v>20</v>
      </c>
      <c r="K343" s="102">
        <v>44516</v>
      </c>
      <c r="L343" s="20"/>
      <c r="M343" s="20">
        <f>MONTH(List3[[#This Row],[Tanggal Pengajuan]])</f>
        <v>11</v>
      </c>
      <c r="N343" s="183"/>
      <c r="O343" s="20"/>
      <c r="P343" s="177"/>
      <c r="Q343" s="230" t="s">
        <v>958</v>
      </c>
      <c r="R343" s="577"/>
    </row>
    <row r="344" spans="1:18" s="4" customFormat="1" ht="32.25" customHeight="1" x14ac:dyDescent="0.2">
      <c r="A344" s="19">
        <v>44502</v>
      </c>
      <c r="B344" s="163" t="s">
        <v>564</v>
      </c>
      <c r="C344" s="14" t="s">
        <v>870</v>
      </c>
      <c r="D344" s="176" t="s">
        <v>17</v>
      </c>
      <c r="E344" s="103" t="s">
        <v>18</v>
      </c>
      <c r="F344" s="469">
        <v>98</v>
      </c>
      <c r="G344" s="40">
        <v>6145300</v>
      </c>
      <c r="H344" s="40"/>
      <c r="I344" s="16" t="s">
        <v>19</v>
      </c>
      <c r="J344" s="176" t="s">
        <v>20</v>
      </c>
      <c r="K344" s="102">
        <v>44516</v>
      </c>
      <c r="L344" s="20"/>
      <c r="M344" s="20">
        <f>MONTH(List3[[#This Row],[Tanggal Pengajuan]])</f>
        <v>11</v>
      </c>
      <c r="N344" s="183"/>
      <c r="O344" s="20"/>
      <c r="P344" s="177"/>
      <c r="Q344" s="230" t="s">
        <v>958</v>
      </c>
      <c r="R344" s="577"/>
    </row>
    <row r="345" spans="1:18" s="4" customFormat="1" ht="32.25" customHeight="1" x14ac:dyDescent="0.2">
      <c r="A345" s="19">
        <v>44509</v>
      </c>
      <c r="B345" s="163" t="s">
        <v>583</v>
      </c>
      <c r="C345" s="176" t="s">
        <v>870</v>
      </c>
      <c r="D345" s="176" t="s">
        <v>17</v>
      </c>
      <c r="E345" s="103" t="s">
        <v>18</v>
      </c>
      <c r="F345" s="469">
        <v>98</v>
      </c>
      <c r="G345" s="40">
        <v>6145300</v>
      </c>
      <c r="H345" s="40"/>
      <c r="I345" s="16" t="s">
        <v>19</v>
      </c>
      <c r="J345" s="176" t="s">
        <v>20</v>
      </c>
      <c r="K345" s="102">
        <v>44516</v>
      </c>
      <c r="L345" s="20"/>
      <c r="M345" s="20">
        <f>MONTH(List3[[#This Row],[Tanggal Pengajuan]])</f>
        <v>11</v>
      </c>
      <c r="N345" s="183"/>
      <c r="O345" s="20"/>
      <c r="P345" s="177"/>
      <c r="Q345" s="230" t="s">
        <v>958</v>
      </c>
      <c r="R345" s="577"/>
    </row>
    <row r="346" spans="1:18" s="4" customFormat="1" ht="32.25" customHeight="1" x14ac:dyDescent="0.2">
      <c r="A346" s="19">
        <v>44550</v>
      </c>
      <c r="B346" s="593" t="s">
        <v>599</v>
      </c>
      <c r="C346" s="176" t="s">
        <v>870</v>
      </c>
      <c r="D346" s="176" t="s">
        <v>17</v>
      </c>
      <c r="E346" s="103" t="s">
        <v>18</v>
      </c>
      <c r="F346" s="469">
        <v>98</v>
      </c>
      <c r="G346" s="40">
        <v>5999600</v>
      </c>
      <c r="H346" s="40"/>
      <c r="I346" s="16" t="s">
        <v>19</v>
      </c>
      <c r="J346" s="176" t="s">
        <v>20</v>
      </c>
      <c r="K346" s="102">
        <v>44516</v>
      </c>
      <c r="L346" s="20"/>
      <c r="M346" s="20">
        <f>MONTH(List3[[#This Row],[Tanggal Pengajuan]])</f>
        <v>11</v>
      </c>
      <c r="N346" s="183"/>
      <c r="O346" s="20"/>
      <c r="P346" s="177"/>
      <c r="Q346" s="230" t="s">
        <v>958</v>
      </c>
      <c r="R346" s="804">
        <f>SUM(G338:G346)</f>
        <v>51678620</v>
      </c>
    </row>
    <row r="347" spans="1:18" s="4" customFormat="1" ht="32.25" customHeight="1" x14ac:dyDescent="0.2">
      <c r="A347" s="13">
        <v>44632</v>
      </c>
      <c r="B347" s="67" t="s">
        <v>320</v>
      </c>
      <c r="C347" s="745" t="s">
        <v>328</v>
      </c>
      <c r="D347" s="18" t="s">
        <v>17</v>
      </c>
      <c r="E347" s="103" t="s">
        <v>18</v>
      </c>
      <c r="F347" s="15">
        <v>14</v>
      </c>
      <c r="G347" s="40">
        <v>5500000</v>
      </c>
      <c r="H347" s="40"/>
      <c r="I347" s="16" t="s">
        <v>19</v>
      </c>
      <c r="J347" s="176" t="s">
        <v>20</v>
      </c>
      <c r="K347" s="102">
        <v>44516</v>
      </c>
      <c r="L347" s="20"/>
      <c r="M347" s="20">
        <f>MONTH(List3[[#This Row],[Tanggal Pengajuan]])</f>
        <v>11</v>
      </c>
      <c r="N347" s="183"/>
      <c r="O347" s="20"/>
      <c r="P347" s="177"/>
      <c r="Q347" s="230" t="s">
        <v>958</v>
      </c>
      <c r="R347" s="577"/>
    </row>
    <row r="348" spans="1:18" s="4" customFormat="1" ht="32.25" customHeight="1" x14ac:dyDescent="0.2">
      <c r="A348" s="13">
        <v>44335</v>
      </c>
      <c r="B348" s="67" t="s">
        <v>355</v>
      </c>
      <c r="C348" s="14" t="s">
        <v>328</v>
      </c>
      <c r="D348" s="18" t="s">
        <v>17</v>
      </c>
      <c r="E348" s="103" t="s">
        <v>18</v>
      </c>
      <c r="F348" s="15">
        <v>14</v>
      </c>
      <c r="G348" s="40">
        <v>5497990</v>
      </c>
      <c r="H348" s="40"/>
      <c r="I348" s="16" t="s">
        <v>19</v>
      </c>
      <c r="J348" s="176" t="s">
        <v>20</v>
      </c>
      <c r="K348" s="102">
        <v>44516</v>
      </c>
      <c r="L348" s="20"/>
      <c r="M348" s="20">
        <f>MONTH(List3[[#This Row],[Tanggal Pengajuan]])</f>
        <v>11</v>
      </c>
      <c r="N348" s="183"/>
      <c r="O348" s="20"/>
      <c r="P348" s="177"/>
      <c r="Q348" s="230" t="s">
        <v>958</v>
      </c>
      <c r="R348" s="577"/>
    </row>
    <row r="349" spans="1:18" s="4" customFormat="1" ht="32.25" customHeight="1" x14ac:dyDescent="0.2">
      <c r="A349" s="13">
        <v>44371</v>
      </c>
      <c r="B349" s="67" t="s">
        <v>376</v>
      </c>
      <c r="C349" s="14" t="s">
        <v>328</v>
      </c>
      <c r="D349" s="18" t="s">
        <v>17</v>
      </c>
      <c r="E349" s="103" t="s">
        <v>18</v>
      </c>
      <c r="F349" s="15">
        <v>14</v>
      </c>
      <c r="G349" s="40">
        <v>5396300</v>
      </c>
      <c r="H349" s="40"/>
      <c r="I349" s="16" t="s">
        <v>19</v>
      </c>
      <c r="J349" s="176" t="s">
        <v>20</v>
      </c>
      <c r="K349" s="102">
        <v>44516</v>
      </c>
      <c r="L349" s="20"/>
      <c r="M349" s="20">
        <f>MONTH(List3[[#This Row],[Tanggal Pengajuan]])</f>
        <v>11</v>
      </c>
      <c r="N349" s="183"/>
      <c r="O349" s="20"/>
      <c r="P349" s="177"/>
      <c r="Q349" s="230" t="s">
        <v>958</v>
      </c>
      <c r="R349" s="577"/>
    </row>
    <row r="350" spans="1:18" s="4" customFormat="1" ht="32.25" customHeight="1" x14ac:dyDescent="0.2">
      <c r="A350" s="13">
        <v>44414</v>
      </c>
      <c r="B350" s="67" t="s">
        <v>397</v>
      </c>
      <c r="C350" s="14" t="s">
        <v>328</v>
      </c>
      <c r="D350" s="176" t="s">
        <v>17</v>
      </c>
      <c r="E350" s="103" t="s">
        <v>18</v>
      </c>
      <c r="F350" s="469">
        <v>14</v>
      </c>
      <c r="G350" s="40">
        <v>5998900</v>
      </c>
      <c r="H350" s="40"/>
      <c r="I350" s="16" t="s">
        <v>19</v>
      </c>
      <c r="J350" s="176" t="s">
        <v>20</v>
      </c>
      <c r="K350" s="102">
        <v>44516</v>
      </c>
      <c r="L350" s="20"/>
      <c r="M350" s="20">
        <f>MONTH(List3[[#This Row],[Tanggal Pengajuan]])</f>
        <v>11</v>
      </c>
      <c r="N350" s="183"/>
      <c r="O350" s="20"/>
      <c r="P350" s="177"/>
      <c r="Q350" s="230" t="s">
        <v>958</v>
      </c>
      <c r="R350" s="577"/>
    </row>
    <row r="351" spans="1:18" s="4" customFormat="1" ht="32.25" customHeight="1" x14ac:dyDescent="0.2">
      <c r="A351" s="19">
        <v>44502</v>
      </c>
      <c r="B351" s="163" t="s">
        <v>564</v>
      </c>
      <c r="C351" s="14" t="s">
        <v>328</v>
      </c>
      <c r="D351" s="176" t="s">
        <v>17</v>
      </c>
      <c r="E351" s="103" t="s">
        <v>18</v>
      </c>
      <c r="F351" s="469">
        <v>14</v>
      </c>
      <c r="G351" s="40">
        <v>5999100</v>
      </c>
      <c r="H351" s="40"/>
      <c r="I351" s="16" t="s">
        <v>19</v>
      </c>
      <c r="J351" s="176" t="s">
        <v>20</v>
      </c>
      <c r="K351" s="102">
        <v>44516</v>
      </c>
      <c r="L351" s="20"/>
      <c r="M351" s="20">
        <f>MONTH(List3[[#This Row],[Tanggal Pengajuan]])</f>
        <v>11</v>
      </c>
      <c r="N351" s="183"/>
      <c r="O351" s="20"/>
      <c r="P351" s="177"/>
      <c r="Q351" s="230" t="s">
        <v>958</v>
      </c>
      <c r="R351" s="577"/>
    </row>
    <row r="352" spans="1:18" s="4" customFormat="1" ht="32.25" customHeight="1" x14ac:dyDescent="0.2">
      <c r="A352" s="19">
        <v>44509</v>
      </c>
      <c r="B352" s="163" t="s">
        <v>583</v>
      </c>
      <c r="C352" s="176" t="s">
        <v>328</v>
      </c>
      <c r="D352" s="176" t="s">
        <v>17</v>
      </c>
      <c r="E352" s="103" t="s">
        <v>18</v>
      </c>
      <c r="F352" s="469">
        <v>14</v>
      </c>
      <c r="G352" s="40">
        <v>5999100</v>
      </c>
      <c r="H352" s="40"/>
      <c r="I352" s="16" t="s">
        <v>19</v>
      </c>
      <c r="J352" s="176" t="s">
        <v>20</v>
      </c>
      <c r="K352" s="102">
        <v>44516</v>
      </c>
      <c r="L352" s="20"/>
      <c r="M352" s="20">
        <f>MONTH(List3[[#This Row],[Tanggal Pengajuan]])</f>
        <v>11</v>
      </c>
      <c r="N352" s="183"/>
      <c r="O352" s="20"/>
      <c r="P352" s="177"/>
      <c r="Q352" s="230" t="s">
        <v>958</v>
      </c>
      <c r="R352" s="577"/>
    </row>
    <row r="353" spans="1:18" s="4" customFormat="1" ht="32.25" customHeight="1" x14ac:dyDescent="0.2">
      <c r="A353" s="19">
        <v>44550</v>
      </c>
      <c r="B353" s="593" t="s">
        <v>599</v>
      </c>
      <c r="C353" s="176" t="s">
        <v>328</v>
      </c>
      <c r="D353" s="176" t="s">
        <v>17</v>
      </c>
      <c r="E353" s="103" t="s">
        <v>18</v>
      </c>
      <c r="F353" s="469">
        <v>14</v>
      </c>
      <c r="G353" s="40">
        <v>6001600</v>
      </c>
      <c r="H353" s="40"/>
      <c r="I353" s="16" t="s">
        <v>19</v>
      </c>
      <c r="J353" s="176" t="s">
        <v>20</v>
      </c>
      <c r="K353" s="102">
        <v>44516</v>
      </c>
      <c r="L353" s="20"/>
      <c r="M353" s="20">
        <f>MONTH(List3[[#This Row],[Tanggal Pengajuan]])</f>
        <v>11</v>
      </c>
      <c r="N353" s="183"/>
      <c r="O353" s="20"/>
      <c r="P353" s="177"/>
      <c r="Q353" s="230" t="s">
        <v>958</v>
      </c>
      <c r="R353" s="804">
        <f>SUM(G347:G353)</f>
        <v>40392990</v>
      </c>
    </row>
    <row r="354" spans="1:18" s="4" customFormat="1" ht="32.25" customHeight="1" x14ac:dyDescent="0.2">
      <c r="A354" s="13">
        <v>44291</v>
      </c>
      <c r="B354" s="67" t="s">
        <v>988</v>
      </c>
      <c r="C354" s="14" t="s">
        <v>228</v>
      </c>
      <c r="D354" s="18" t="s">
        <v>17</v>
      </c>
      <c r="E354" s="103" t="s">
        <v>18</v>
      </c>
      <c r="F354" s="15">
        <v>64</v>
      </c>
      <c r="G354" s="40">
        <v>5500000</v>
      </c>
      <c r="H354" s="40"/>
      <c r="I354" s="16" t="s">
        <v>19</v>
      </c>
      <c r="J354" s="176" t="s">
        <v>20</v>
      </c>
      <c r="K354" s="102">
        <v>44516</v>
      </c>
      <c r="L354" s="20"/>
      <c r="M354" s="20">
        <f>MONTH(List3[[#This Row],[Tanggal Pengajuan]])</f>
        <v>11</v>
      </c>
      <c r="N354" s="183"/>
      <c r="O354" s="20"/>
      <c r="P354" s="177"/>
      <c r="Q354" s="230" t="s">
        <v>958</v>
      </c>
      <c r="R354" s="577"/>
    </row>
    <row r="355" spans="1:18" s="4" customFormat="1" ht="32.25" customHeight="1" x14ac:dyDescent="0.2">
      <c r="A355" s="13">
        <v>44294</v>
      </c>
      <c r="B355" s="67" t="s">
        <v>987</v>
      </c>
      <c r="C355" s="14" t="s">
        <v>228</v>
      </c>
      <c r="D355" s="18" t="s">
        <v>17</v>
      </c>
      <c r="E355" s="103" t="s">
        <v>18</v>
      </c>
      <c r="F355" s="15">
        <v>64</v>
      </c>
      <c r="G355" s="40">
        <v>5486600</v>
      </c>
      <c r="H355" s="40"/>
      <c r="I355" s="16" t="s">
        <v>19</v>
      </c>
      <c r="J355" s="176" t="s">
        <v>20</v>
      </c>
      <c r="K355" s="102">
        <v>44516</v>
      </c>
      <c r="L355" s="20"/>
      <c r="M355" s="20">
        <f>MONTH(List3[[#This Row],[Tanggal Pengajuan]])</f>
        <v>11</v>
      </c>
      <c r="N355" s="183"/>
      <c r="O355" s="20"/>
      <c r="P355" s="177"/>
      <c r="Q355" s="230" t="s">
        <v>958</v>
      </c>
      <c r="R355" s="577"/>
    </row>
    <row r="356" spans="1:18" s="4" customFormat="1" ht="32.25" customHeight="1" x14ac:dyDescent="0.2">
      <c r="A356" s="13">
        <v>44335</v>
      </c>
      <c r="B356" s="67" t="s">
        <v>355</v>
      </c>
      <c r="C356" s="14" t="s">
        <v>228</v>
      </c>
      <c r="D356" s="18" t="s">
        <v>17</v>
      </c>
      <c r="E356" s="103" t="s">
        <v>18</v>
      </c>
      <c r="F356" s="15">
        <v>64</v>
      </c>
      <c r="G356" s="40">
        <v>5496500</v>
      </c>
      <c r="H356" s="40"/>
      <c r="I356" s="16" t="s">
        <v>19</v>
      </c>
      <c r="J356" s="176" t="s">
        <v>20</v>
      </c>
      <c r="K356" s="102">
        <v>44516</v>
      </c>
      <c r="L356" s="20"/>
      <c r="M356" s="20">
        <f>MONTH(List3[[#This Row],[Tanggal Pengajuan]])</f>
        <v>11</v>
      </c>
      <c r="N356" s="183"/>
      <c r="O356" s="20"/>
      <c r="P356" s="177"/>
      <c r="Q356" s="230" t="s">
        <v>958</v>
      </c>
      <c r="R356" s="577"/>
    </row>
    <row r="357" spans="1:18" s="4" customFormat="1" ht="32.25" customHeight="1" x14ac:dyDescent="0.2">
      <c r="A357" s="13">
        <v>44371</v>
      </c>
      <c r="B357" s="67" t="s">
        <v>376</v>
      </c>
      <c r="C357" s="14" t="s">
        <v>228</v>
      </c>
      <c r="D357" s="18" t="s">
        <v>17</v>
      </c>
      <c r="E357" s="103" t="s">
        <v>18</v>
      </c>
      <c r="F357" s="15">
        <v>64</v>
      </c>
      <c r="G357" s="40">
        <v>5564000</v>
      </c>
      <c r="H357" s="40"/>
      <c r="I357" s="16" t="s">
        <v>19</v>
      </c>
      <c r="J357" s="176" t="s">
        <v>20</v>
      </c>
      <c r="K357" s="102">
        <v>44516</v>
      </c>
      <c r="L357" s="20"/>
      <c r="M357" s="20">
        <f>MONTH(List3[[#This Row],[Tanggal Pengajuan]])</f>
        <v>11</v>
      </c>
      <c r="N357" s="183"/>
      <c r="O357" s="20"/>
      <c r="P357" s="177"/>
      <c r="Q357" s="230" t="s">
        <v>958</v>
      </c>
      <c r="R357" s="577"/>
    </row>
    <row r="358" spans="1:18" s="4" customFormat="1" ht="32.25" customHeight="1" x14ac:dyDescent="0.2">
      <c r="A358" s="13">
        <v>44414</v>
      </c>
      <c r="B358" s="67" t="s">
        <v>397</v>
      </c>
      <c r="C358" s="14" t="s">
        <v>228</v>
      </c>
      <c r="D358" s="176" t="s">
        <v>17</v>
      </c>
      <c r="E358" s="103" t="s">
        <v>18</v>
      </c>
      <c r="F358" s="469">
        <v>64</v>
      </c>
      <c r="G358" s="40">
        <v>5998200</v>
      </c>
      <c r="H358" s="40"/>
      <c r="I358" s="16" t="s">
        <v>19</v>
      </c>
      <c r="J358" s="176" t="s">
        <v>20</v>
      </c>
      <c r="K358" s="102">
        <v>44516</v>
      </c>
      <c r="L358" s="20"/>
      <c r="M358" s="20">
        <f>MONTH(List3[[#This Row],[Tanggal Pengajuan]])</f>
        <v>11</v>
      </c>
      <c r="N358" s="183"/>
      <c r="O358" s="20"/>
      <c r="P358" s="177"/>
      <c r="Q358" s="230" t="s">
        <v>958</v>
      </c>
      <c r="R358" s="577"/>
    </row>
    <row r="359" spans="1:18" s="4" customFormat="1" ht="32.25" customHeight="1" x14ac:dyDescent="0.2">
      <c r="A359" s="19">
        <v>44502</v>
      </c>
      <c r="B359" s="163" t="s">
        <v>564</v>
      </c>
      <c r="C359" s="14" t="s">
        <v>228</v>
      </c>
      <c r="D359" s="176" t="s">
        <v>17</v>
      </c>
      <c r="E359" s="103" t="s">
        <v>18</v>
      </c>
      <c r="F359" s="469">
        <v>64</v>
      </c>
      <c r="G359" s="40">
        <v>6006800</v>
      </c>
      <c r="H359" s="40"/>
      <c r="I359" s="16" t="s">
        <v>19</v>
      </c>
      <c r="J359" s="176" t="s">
        <v>20</v>
      </c>
      <c r="K359" s="102">
        <v>44516</v>
      </c>
      <c r="L359" s="20"/>
      <c r="M359" s="20">
        <f>MONTH(List3[[#This Row],[Tanggal Pengajuan]])</f>
        <v>11</v>
      </c>
      <c r="N359" s="183"/>
      <c r="O359" s="20"/>
      <c r="P359" s="177"/>
      <c r="Q359" s="230" t="s">
        <v>958</v>
      </c>
      <c r="R359" s="577"/>
    </row>
    <row r="360" spans="1:18" s="4" customFormat="1" ht="32.25" customHeight="1" x14ac:dyDescent="0.2">
      <c r="A360" s="19">
        <v>44509</v>
      </c>
      <c r="B360" s="163" t="s">
        <v>583</v>
      </c>
      <c r="C360" s="176" t="s">
        <v>228</v>
      </c>
      <c r="D360" s="176" t="s">
        <v>17</v>
      </c>
      <c r="E360" s="103" t="s">
        <v>18</v>
      </c>
      <c r="F360" s="469">
        <v>64</v>
      </c>
      <c r="G360" s="40">
        <v>6006800</v>
      </c>
      <c r="H360" s="40"/>
      <c r="I360" s="16" t="s">
        <v>19</v>
      </c>
      <c r="J360" s="176" t="s">
        <v>20</v>
      </c>
      <c r="K360" s="102">
        <v>44516</v>
      </c>
      <c r="L360" s="20"/>
      <c r="M360" s="20">
        <f>MONTH(List3[[#This Row],[Tanggal Pengajuan]])</f>
        <v>12</v>
      </c>
      <c r="N360" s="183"/>
      <c r="O360" s="20"/>
      <c r="P360" s="177"/>
      <c r="Q360" s="230" t="s">
        <v>958</v>
      </c>
      <c r="R360" s="577"/>
    </row>
    <row r="361" spans="1:18" s="4" customFormat="1" ht="32.25" customHeight="1" x14ac:dyDescent="0.2">
      <c r="A361" s="19">
        <v>44550</v>
      </c>
      <c r="B361" s="593" t="s">
        <v>599</v>
      </c>
      <c r="C361" s="176" t="s">
        <v>228</v>
      </c>
      <c r="D361" s="176" t="s">
        <v>17</v>
      </c>
      <c r="E361" s="103" t="s">
        <v>18</v>
      </c>
      <c r="F361" s="469">
        <v>64</v>
      </c>
      <c r="G361" s="40">
        <v>5999500</v>
      </c>
      <c r="H361" s="40"/>
      <c r="I361" s="16" t="s">
        <v>19</v>
      </c>
      <c r="J361" s="176" t="s">
        <v>20</v>
      </c>
      <c r="K361" s="102">
        <v>44516</v>
      </c>
      <c r="L361" s="20"/>
      <c r="M361" s="20">
        <f>MONTH(List3[[#This Row],[Tanggal Pengajuan]])</f>
        <v>12</v>
      </c>
      <c r="N361" s="183"/>
      <c r="O361" s="20"/>
      <c r="P361" s="177"/>
      <c r="Q361" s="230" t="s">
        <v>958</v>
      </c>
      <c r="R361" s="804">
        <f>SUM(G354:G361)</f>
        <v>46058400</v>
      </c>
    </row>
    <row r="362" spans="1:18" s="4" customFormat="1" ht="32.25" customHeight="1" x14ac:dyDescent="0.2">
      <c r="A362" s="13">
        <v>44201</v>
      </c>
      <c r="B362" s="67" t="s">
        <v>248</v>
      </c>
      <c r="C362" s="14" t="s">
        <v>124</v>
      </c>
      <c r="D362" s="18" t="s">
        <v>17</v>
      </c>
      <c r="E362" s="103" t="s">
        <v>18</v>
      </c>
      <c r="F362" s="15">
        <v>119</v>
      </c>
      <c r="G362" s="40">
        <v>5500000</v>
      </c>
      <c r="H362" s="40"/>
      <c r="I362" s="16" t="s">
        <v>19</v>
      </c>
      <c r="J362" s="176" t="s">
        <v>20</v>
      </c>
      <c r="K362" s="102">
        <v>44516</v>
      </c>
      <c r="L362" s="20"/>
      <c r="M362" s="20">
        <f>MONTH(List3[[#This Row],[Tanggal Pengajuan]])</f>
        <v>12</v>
      </c>
      <c r="N362" s="183"/>
      <c r="O362" s="20"/>
      <c r="P362" s="177"/>
      <c r="Q362" s="230" t="s">
        <v>958</v>
      </c>
      <c r="R362" s="577"/>
    </row>
    <row r="363" spans="1:18" s="4" customFormat="1" ht="32.25" customHeight="1" x14ac:dyDescent="0.2">
      <c r="A363" s="13">
        <v>44257</v>
      </c>
      <c r="B363" s="67" t="s">
        <v>287</v>
      </c>
      <c r="C363" s="14" t="s">
        <v>124</v>
      </c>
      <c r="D363" s="18" t="s">
        <v>17</v>
      </c>
      <c r="E363" s="103" t="s">
        <v>18</v>
      </c>
      <c r="F363" s="15">
        <v>119</v>
      </c>
      <c r="G363" s="40">
        <v>5500000</v>
      </c>
      <c r="H363" s="40"/>
      <c r="I363" s="16" t="s">
        <v>19</v>
      </c>
      <c r="J363" s="176" t="s">
        <v>20</v>
      </c>
      <c r="K363" s="102">
        <v>44516</v>
      </c>
      <c r="L363" s="20"/>
      <c r="M363" s="20">
        <f>MONTH(List3[[#This Row],[Tanggal Pengajuan]])</f>
        <v>12</v>
      </c>
      <c r="N363" s="183"/>
      <c r="O363" s="20"/>
      <c r="P363" s="177"/>
      <c r="Q363" s="230" t="s">
        <v>958</v>
      </c>
      <c r="R363" s="577"/>
    </row>
    <row r="364" spans="1:18" s="4" customFormat="1" ht="32.25" customHeight="1" x14ac:dyDescent="0.2">
      <c r="A364" s="13">
        <v>44294</v>
      </c>
      <c r="B364" s="67" t="s">
        <v>987</v>
      </c>
      <c r="C364" s="14" t="s">
        <v>124</v>
      </c>
      <c r="D364" s="18" t="s">
        <v>17</v>
      </c>
      <c r="E364" s="103" t="s">
        <v>18</v>
      </c>
      <c r="F364" s="15">
        <v>119</v>
      </c>
      <c r="G364" s="40">
        <v>5480800</v>
      </c>
      <c r="H364" s="40"/>
      <c r="I364" s="16" t="s">
        <v>19</v>
      </c>
      <c r="J364" s="176" t="s">
        <v>20</v>
      </c>
      <c r="K364" s="102">
        <v>44516</v>
      </c>
      <c r="L364" s="20"/>
      <c r="M364" s="20">
        <f>MONTH(List3[[#This Row],[Tanggal Pengajuan]])</f>
        <v>12</v>
      </c>
      <c r="N364" s="183"/>
      <c r="O364" s="20"/>
      <c r="P364" s="177"/>
      <c r="Q364" s="230" t="s">
        <v>958</v>
      </c>
      <c r="R364" s="577"/>
    </row>
    <row r="365" spans="1:18" s="4" customFormat="1" ht="32.25" customHeight="1" x14ac:dyDescent="0.2">
      <c r="A365" s="13">
        <v>44335</v>
      </c>
      <c r="B365" s="67" t="s">
        <v>355</v>
      </c>
      <c r="C365" s="14" t="s">
        <v>124</v>
      </c>
      <c r="D365" s="18" t="s">
        <v>17</v>
      </c>
      <c r="E365" s="103" t="s">
        <v>18</v>
      </c>
      <c r="F365" s="15">
        <v>83</v>
      </c>
      <c r="G365" s="40">
        <v>5499760</v>
      </c>
      <c r="H365" s="40"/>
      <c r="I365" s="16" t="s">
        <v>19</v>
      </c>
      <c r="J365" s="176" t="s">
        <v>20</v>
      </c>
      <c r="K365" s="102">
        <v>44516</v>
      </c>
      <c r="L365" s="20"/>
      <c r="M365" s="20">
        <f>MONTH(List3[[#This Row],[Tanggal Pengajuan]])</f>
        <v>12</v>
      </c>
      <c r="N365" s="183"/>
      <c r="O365" s="20"/>
      <c r="P365" s="177"/>
      <c r="Q365" s="230" t="s">
        <v>958</v>
      </c>
      <c r="R365" s="577"/>
    </row>
    <row r="366" spans="1:18" s="4" customFormat="1" ht="32.25" customHeight="1" x14ac:dyDescent="0.2">
      <c r="A366" s="13">
        <v>44371</v>
      </c>
      <c r="B366" s="67" t="s">
        <v>376</v>
      </c>
      <c r="C366" s="14" t="s">
        <v>124</v>
      </c>
      <c r="D366" s="18" t="s">
        <v>17</v>
      </c>
      <c r="E366" s="103" t="s">
        <v>18</v>
      </c>
      <c r="F366" s="15">
        <v>83</v>
      </c>
      <c r="G366" s="40">
        <v>5425300</v>
      </c>
      <c r="H366" s="40"/>
      <c r="I366" s="16" t="s">
        <v>19</v>
      </c>
      <c r="J366" s="176" t="s">
        <v>20</v>
      </c>
      <c r="K366" s="102">
        <v>44516</v>
      </c>
      <c r="L366" s="20"/>
      <c r="M366" s="20">
        <f>MONTH(List3[[#This Row],[Tanggal Pengajuan]])</f>
        <v>12</v>
      </c>
      <c r="N366" s="183"/>
      <c r="O366" s="20"/>
      <c r="P366" s="177"/>
      <c r="Q366" s="230" t="s">
        <v>958</v>
      </c>
      <c r="R366" s="577"/>
    </row>
    <row r="367" spans="1:18" s="4" customFormat="1" ht="32.25" customHeight="1" x14ac:dyDescent="0.2">
      <c r="A367" s="13">
        <v>44414</v>
      </c>
      <c r="B367" s="67" t="s">
        <v>397</v>
      </c>
      <c r="C367" s="14" t="s">
        <v>124</v>
      </c>
      <c r="D367" s="176" t="s">
        <v>17</v>
      </c>
      <c r="E367" s="103" t="s">
        <v>18</v>
      </c>
      <c r="F367" s="469">
        <v>83</v>
      </c>
      <c r="G367" s="40">
        <v>5999800</v>
      </c>
      <c r="H367" s="40"/>
      <c r="I367" s="16" t="s">
        <v>19</v>
      </c>
      <c r="J367" s="176" t="s">
        <v>20</v>
      </c>
      <c r="K367" s="102">
        <v>44516</v>
      </c>
      <c r="L367" s="20"/>
      <c r="M367" s="20">
        <f>MONTH(List3[[#This Row],[Tanggal Pengajuan]])</f>
        <v>12</v>
      </c>
      <c r="N367" s="183"/>
      <c r="O367" s="20"/>
      <c r="P367" s="177"/>
      <c r="Q367" s="230" t="s">
        <v>958</v>
      </c>
      <c r="R367" s="577"/>
    </row>
    <row r="368" spans="1:18" s="4" customFormat="1" ht="32.25" customHeight="1" x14ac:dyDescent="0.2">
      <c r="A368" s="19">
        <v>44502</v>
      </c>
      <c r="B368" s="163" t="s">
        <v>564</v>
      </c>
      <c r="C368" s="14" t="s">
        <v>124</v>
      </c>
      <c r="D368" s="176" t="s">
        <v>17</v>
      </c>
      <c r="E368" s="103" t="s">
        <v>18</v>
      </c>
      <c r="F368" s="469">
        <v>83</v>
      </c>
      <c r="G368" s="40">
        <v>5999900</v>
      </c>
      <c r="H368" s="40"/>
      <c r="I368" s="16" t="s">
        <v>19</v>
      </c>
      <c r="J368" s="176" t="s">
        <v>20</v>
      </c>
      <c r="K368" s="102">
        <v>44516</v>
      </c>
      <c r="L368" s="20"/>
      <c r="M368" s="20">
        <f>MONTH(List3[[#This Row],[Tanggal Pengajuan]])</f>
        <v>12</v>
      </c>
      <c r="N368" s="183"/>
      <c r="O368" s="20"/>
      <c r="P368" s="177"/>
      <c r="Q368" s="230" t="s">
        <v>958</v>
      </c>
      <c r="R368" s="577"/>
    </row>
    <row r="369" spans="1:18" s="4" customFormat="1" ht="32.25" customHeight="1" x14ac:dyDescent="0.2">
      <c r="A369" s="19">
        <v>44509</v>
      </c>
      <c r="B369" s="163" t="s">
        <v>583</v>
      </c>
      <c r="C369" s="176" t="s">
        <v>124</v>
      </c>
      <c r="D369" s="176" t="s">
        <v>17</v>
      </c>
      <c r="E369" s="103" t="s">
        <v>18</v>
      </c>
      <c r="F369" s="469">
        <v>83</v>
      </c>
      <c r="G369" s="40">
        <v>5999900</v>
      </c>
      <c r="H369" s="40"/>
      <c r="I369" s="16" t="s">
        <v>19</v>
      </c>
      <c r="J369" s="176" t="s">
        <v>20</v>
      </c>
      <c r="K369" s="102">
        <v>44510</v>
      </c>
      <c r="L369" s="20" t="s">
        <v>887</v>
      </c>
      <c r="M369" s="20">
        <f>MONTH(List3[[#This Row],[Tanggal Pengajuan]])</f>
        <v>12</v>
      </c>
      <c r="N369" s="183"/>
      <c r="O369" s="20" t="s">
        <v>891</v>
      </c>
      <c r="P369" s="177"/>
      <c r="Q369" s="230" t="s">
        <v>958</v>
      </c>
      <c r="R369" s="577"/>
    </row>
    <row r="370" spans="1:18" s="4" customFormat="1" ht="32.25" customHeight="1" x14ac:dyDescent="0.2">
      <c r="A370" s="19">
        <v>44550</v>
      </c>
      <c r="B370" s="593" t="s">
        <v>599</v>
      </c>
      <c r="C370" s="176" t="s">
        <v>124</v>
      </c>
      <c r="D370" s="176" t="s">
        <v>17</v>
      </c>
      <c r="E370" s="103" t="s">
        <v>18</v>
      </c>
      <c r="F370" s="469">
        <v>83</v>
      </c>
      <c r="G370" s="40">
        <v>6000600</v>
      </c>
      <c r="H370" s="40"/>
      <c r="I370" s="16" t="s">
        <v>19</v>
      </c>
      <c r="J370" s="176" t="s">
        <v>20</v>
      </c>
      <c r="K370" s="102">
        <v>44518</v>
      </c>
      <c r="L370" s="20"/>
      <c r="M370" s="20">
        <f>MONTH(List3[[#This Row],[Tanggal Pengajuan]])</f>
        <v>12</v>
      </c>
      <c r="N370" s="183"/>
      <c r="O370" s="20"/>
      <c r="P370" s="177"/>
      <c r="Q370" s="230" t="s">
        <v>958</v>
      </c>
      <c r="R370" s="804">
        <f>SUM(G362:G370)</f>
        <v>51406060</v>
      </c>
    </row>
    <row r="371" spans="1:18" s="4" customFormat="1" ht="32.25" customHeight="1" x14ac:dyDescent="0.2">
      <c r="A371" s="13">
        <v>44221</v>
      </c>
      <c r="B371" s="67" t="s">
        <v>244</v>
      </c>
      <c r="C371" s="14" t="s">
        <v>238</v>
      </c>
      <c r="D371" s="18" t="s">
        <v>17</v>
      </c>
      <c r="E371" s="103" t="s">
        <v>18</v>
      </c>
      <c r="F371" s="15">
        <v>40</v>
      </c>
      <c r="G371" s="40">
        <v>5500000</v>
      </c>
      <c r="H371" s="40"/>
      <c r="I371" s="16" t="s">
        <v>19</v>
      </c>
      <c r="J371" s="176" t="s">
        <v>20</v>
      </c>
      <c r="K371" s="102">
        <v>44518</v>
      </c>
      <c r="L371" s="20"/>
      <c r="M371" s="20">
        <f>MONTH(List3[[#This Row],[Tanggal Pengajuan]])</f>
        <v>12</v>
      </c>
      <c r="N371" s="183"/>
      <c r="O371" s="20"/>
      <c r="P371" s="177"/>
      <c r="Q371" s="230" t="s">
        <v>958</v>
      </c>
      <c r="R371" s="577"/>
    </row>
    <row r="372" spans="1:18" s="4" customFormat="1" ht="32.25" customHeight="1" x14ac:dyDescent="0.2">
      <c r="A372" s="13">
        <v>44257</v>
      </c>
      <c r="B372" s="67" t="s">
        <v>286</v>
      </c>
      <c r="C372" s="14" t="s">
        <v>238</v>
      </c>
      <c r="D372" s="18" t="s">
        <v>17</v>
      </c>
      <c r="E372" s="103" t="s">
        <v>18</v>
      </c>
      <c r="F372" s="15">
        <v>40</v>
      </c>
      <c r="G372" s="40">
        <v>5500000</v>
      </c>
      <c r="H372" s="40"/>
      <c r="I372" s="16" t="s">
        <v>19</v>
      </c>
      <c r="J372" s="176" t="s">
        <v>20</v>
      </c>
      <c r="K372" s="595">
        <v>44518</v>
      </c>
      <c r="L372" s="20"/>
      <c r="M372" s="20">
        <f>MONTH(List3[[#This Row],[Tanggal Pengajuan]])</f>
        <v>12</v>
      </c>
      <c r="N372" s="183"/>
      <c r="O372" s="20"/>
      <c r="P372" s="177"/>
      <c r="Q372" s="230" t="s">
        <v>958</v>
      </c>
      <c r="R372" s="577"/>
    </row>
    <row r="373" spans="1:18" s="4" customFormat="1" ht="32.25" customHeight="1" x14ac:dyDescent="0.2">
      <c r="A373" s="13">
        <v>44294</v>
      </c>
      <c r="B373" s="67" t="s">
        <v>987</v>
      </c>
      <c r="C373" s="14" t="s">
        <v>238</v>
      </c>
      <c r="D373" s="18" t="s">
        <v>17</v>
      </c>
      <c r="E373" s="103" t="s">
        <v>18</v>
      </c>
      <c r="F373" s="15">
        <v>40</v>
      </c>
      <c r="G373" s="40">
        <v>5484400</v>
      </c>
      <c r="H373" s="40"/>
      <c r="I373" s="16" t="s">
        <v>19</v>
      </c>
      <c r="J373" s="176" t="s">
        <v>20</v>
      </c>
      <c r="K373" s="102">
        <v>44518</v>
      </c>
      <c r="L373" s="20"/>
      <c r="M373" s="20">
        <f>MONTH(List3[[#This Row],[Tanggal Pengajuan]])</f>
        <v>12</v>
      </c>
      <c r="N373" s="183"/>
      <c r="O373" s="20"/>
      <c r="P373" s="177"/>
      <c r="Q373" s="230" t="s">
        <v>958</v>
      </c>
      <c r="R373" s="577"/>
    </row>
    <row r="374" spans="1:18" s="4" customFormat="1" ht="32.25" customHeight="1" x14ac:dyDescent="0.2">
      <c r="A374" s="13">
        <v>44335</v>
      </c>
      <c r="B374" s="67" t="s">
        <v>355</v>
      </c>
      <c r="C374" s="14" t="s">
        <v>238</v>
      </c>
      <c r="D374" s="18" t="s">
        <v>17</v>
      </c>
      <c r="E374" s="103" t="s">
        <v>18</v>
      </c>
      <c r="F374" s="15">
        <v>119</v>
      </c>
      <c r="G374" s="40">
        <v>5499280</v>
      </c>
      <c r="H374" s="40"/>
      <c r="I374" s="16" t="s">
        <v>19</v>
      </c>
      <c r="J374" s="176" t="s">
        <v>20</v>
      </c>
      <c r="K374" s="595">
        <v>44518</v>
      </c>
      <c r="L374" s="20"/>
      <c r="M374" s="20">
        <f>MONTH(List3[[#This Row],[Tanggal Pengajuan]])</f>
        <v>12</v>
      </c>
      <c r="N374" s="183"/>
      <c r="O374" s="20"/>
      <c r="P374" s="177"/>
      <c r="Q374" s="230" t="s">
        <v>958</v>
      </c>
      <c r="R374" s="577"/>
    </row>
    <row r="375" spans="1:18" s="4" customFormat="1" ht="32.25" customHeight="1" x14ac:dyDescent="0.2">
      <c r="A375" s="13">
        <v>44371</v>
      </c>
      <c r="B375" s="67" t="s">
        <v>376</v>
      </c>
      <c r="C375" s="14" t="s">
        <v>238</v>
      </c>
      <c r="D375" s="18" t="s">
        <v>17</v>
      </c>
      <c r="E375" s="103" t="s">
        <v>18</v>
      </c>
      <c r="F375" s="15">
        <v>119</v>
      </c>
      <c r="G375" s="40">
        <v>5461300</v>
      </c>
      <c r="H375" s="40"/>
      <c r="I375" s="16" t="s">
        <v>19</v>
      </c>
      <c r="J375" s="176" t="s">
        <v>20</v>
      </c>
      <c r="K375" s="13">
        <v>44518</v>
      </c>
      <c r="L375" s="20"/>
      <c r="M375" s="20">
        <f>MONTH(List3[[#This Row],[Tanggal Pengajuan]])</f>
        <v>12</v>
      </c>
      <c r="N375" s="183"/>
      <c r="O375" s="20"/>
      <c r="P375" s="177"/>
      <c r="Q375" s="230" t="s">
        <v>958</v>
      </c>
      <c r="R375" s="577"/>
    </row>
    <row r="376" spans="1:18" s="4" customFormat="1" ht="32.25" customHeight="1" x14ac:dyDescent="0.2">
      <c r="A376" s="13">
        <v>44414</v>
      </c>
      <c r="B376" s="67" t="s">
        <v>397</v>
      </c>
      <c r="C376" s="14" t="s">
        <v>238</v>
      </c>
      <c r="D376" s="176" t="s">
        <v>17</v>
      </c>
      <c r="E376" s="103" t="s">
        <v>18</v>
      </c>
      <c r="F376" s="469">
        <v>119</v>
      </c>
      <c r="G376" s="40">
        <v>5999900</v>
      </c>
      <c r="H376" s="40"/>
      <c r="I376" s="16" t="s">
        <v>19</v>
      </c>
      <c r="J376" s="176" t="s">
        <v>20</v>
      </c>
      <c r="K376" s="13">
        <v>44518</v>
      </c>
      <c r="L376" s="20"/>
      <c r="M376" s="20">
        <f>MONTH(List3[[#This Row],[Tanggal Pengajuan]])</f>
        <v>12</v>
      </c>
      <c r="N376" s="183"/>
      <c r="O376" s="20"/>
      <c r="P376" s="177"/>
      <c r="Q376" s="230" t="s">
        <v>958</v>
      </c>
      <c r="R376" s="577"/>
    </row>
    <row r="377" spans="1:18" s="4" customFormat="1" ht="32.25" customHeight="1" x14ac:dyDescent="0.2">
      <c r="A377" s="19">
        <v>44502</v>
      </c>
      <c r="B377" s="163" t="s">
        <v>564</v>
      </c>
      <c r="C377" s="14" t="s">
        <v>238</v>
      </c>
      <c r="D377" s="176" t="s">
        <v>17</v>
      </c>
      <c r="E377" s="103" t="s">
        <v>18</v>
      </c>
      <c r="F377" s="469">
        <v>119</v>
      </c>
      <c r="G377" s="40">
        <v>5998900</v>
      </c>
      <c r="H377" s="40"/>
      <c r="I377" s="16" t="s">
        <v>19</v>
      </c>
      <c r="J377" s="176" t="s">
        <v>20</v>
      </c>
      <c r="K377" s="13">
        <v>44518</v>
      </c>
      <c r="L377" s="20"/>
      <c r="M377" s="20">
        <f>MONTH(List3[[#This Row],[Tanggal Pengajuan]])</f>
        <v>12</v>
      </c>
      <c r="N377" s="183"/>
      <c r="O377" s="20"/>
      <c r="P377" s="177"/>
      <c r="Q377" s="230" t="s">
        <v>958</v>
      </c>
      <c r="R377" s="577"/>
    </row>
    <row r="378" spans="1:18" s="4" customFormat="1" ht="32.25" customHeight="1" x14ac:dyDescent="0.2">
      <c r="A378" s="19">
        <v>44509</v>
      </c>
      <c r="B378" s="163" t="s">
        <v>583</v>
      </c>
      <c r="C378" s="176" t="s">
        <v>238</v>
      </c>
      <c r="D378" s="176" t="s">
        <v>17</v>
      </c>
      <c r="E378" s="103" t="s">
        <v>18</v>
      </c>
      <c r="F378" s="469">
        <v>119</v>
      </c>
      <c r="G378" s="40">
        <v>5998900</v>
      </c>
      <c r="H378" s="40"/>
      <c r="I378" s="16" t="s">
        <v>19</v>
      </c>
      <c r="J378" s="176" t="s">
        <v>20</v>
      </c>
      <c r="K378" s="13">
        <v>44518</v>
      </c>
      <c r="L378" s="20"/>
      <c r="M378" s="20">
        <f>MONTH(List3[[#This Row],[Tanggal Pengajuan]])</f>
        <v>12</v>
      </c>
      <c r="N378" s="183"/>
      <c r="O378" s="20"/>
      <c r="P378" s="177"/>
      <c r="Q378" s="230" t="s">
        <v>958</v>
      </c>
      <c r="R378" s="577"/>
    </row>
    <row r="379" spans="1:18" s="4" customFormat="1" ht="32.25" customHeight="1" x14ac:dyDescent="0.2">
      <c r="A379" s="19">
        <v>44550</v>
      </c>
      <c r="B379" s="181" t="s">
        <v>599</v>
      </c>
      <c r="C379" s="176" t="s">
        <v>238</v>
      </c>
      <c r="D379" s="176" t="s">
        <v>17</v>
      </c>
      <c r="E379" s="103" t="s">
        <v>18</v>
      </c>
      <c r="F379" s="469">
        <v>119</v>
      </c>
      <c r="G379" s="40">
        <v>5999800</v>
      </c>
      <c r="H379" s="40"/>
      <c r="I379" s="16" t="s">
        <v>19</v>
      </c>
      <c r="J379" s="176" t="s">
        <v>20</v>
      </c>
      <c r="K379" s="13">
        <v>44518</v>
      </c>
      <c r="L379" s="176"/>
      <c r="M379" s="20">
        <f>MONTH(List3[[#This Row],[Tanggal Pengajuan]])</f>
        <v>12</v>
      </c>
      <c r="N379" s="183"/>
      <c r="O379" s="20"/>
      <c r="P379" s="177"/>
      <c r="Q379" s="230" t="s">
        <v>958</v>
      </c>
      <c r="R379" s="804">
        <f>SUM(G371:G379)</f>
        <v>51442480</v>
      </c>
    </row>
    <row r="380" spans="1:18" s="4" customFormat="1" ht="32.25" customHeight="1" x14ac:dyDescent="0.2">
      <c r="A380" s="13">
        <v>44335</v>
      </c>
      <c r="B380" s="66" t="s">
        <v>355</v>
      </c>
      <c r="C380" s="14" t="s">
        <v>858</v>
      </c>
      <c r="D380" s="18" t="s">
        <v>17</v>
      </c>
      <c r="E380" s="103" t="s">
        <v>18</v>
      </c>
      <c r="F380" s="15">
        <v>12</v>
      </c>
      <c r="G380" s="40">
        <v>5499160</v>
      </c>
      <c r="H380" s="40"/>
      <c r="I380" s="16" t="s">
        <v>19</v>
      </c>
      <c r="J380" s="176" t="s">
        <v>20</v>
      </c>
      <c r="K380" s="13">
        <v>44518</v>
      </c>
      <c r="L380" s="176"/>
      <c r="M380" s="20">
        <f>MONTH(List3[[#This Row],[Tanggal Pengajuan]])</f>
        <v>12</v>
      </c>
      <c r="N380" s="183"/>
      <c r="O380" s="20"/>
      <c r="P380" s="177"/>
      <c r="Q380" s="230" t="s">
        <v>958</v>
      </c>
      <c r="R380" s="577"/>
    </row>
    <row r="381" spans="1:18" s="4" customFormat="1" ht="32.25" customHeight="1" x14ac:dyDescent="0.2">
      <c r="A381" s="13">
        <v>44371</v>
      </c>
      <c r="B381" s="66" t="s">
        <v>376</v>
      </c>
      <c r="C381" s="14" t="s">
        <v>858</v>
      </c>
      <c r="D381" s="18" t="s">
        <v>17</v>
      </c>
      <c r="E381" s="103" t="s">
        <v>18</v>
      </c>
      <c r="F381" s="15">
        <v>12</v>
      </c>
      <c r="G381" s="40">
        <v>5392900</v>
      </c>
      <c r="H381" s="40"/>
      <c r="I381" s="16" t="s">
        <v>19</v>
      </c>
      <c r="J381" s="176" t="s">
        <v>20</v>
      </c>
      <c r="K381" s="13">
        <v>44518</v>
      </c>
      <c r="L381" s="176"/>
      <c r="M381" s="20">
        <f>MONTH(List3[[#This Row],[Tanggal Pengajuan]])</f>
        <v>12</v>
      </c>
      <c r="N381" s="183"/>
      <c r="O381" s="20"/>
      <c r="P381" s="177"/>
      <c r="Q381" s="230" t="s">
        <v>958</v>
      </c>
      <c r="R381" s="577"/>
    </row>
    <row r="382" spans="1:18" s="4" customFormat="1" ht="32.25" customHeight="1" x14ac:dyDescent="0.2">
      <c r="A382" s="13">
        <v>44414</v>
      </c>
      <c r="B382" s="66" t="s">
        <v>397</v>
      </c>
      <c r="C382" s="14" t="s">
        <v>858</v>
      </c>
      <c r="D382" s="176" t="s">
        <v>17</v>
      </c>
      <c r="E382" s="103" t="s">
        <v>18</v>
      </c>
      <c r="F382" s="469">
        <v>12</v>
      </c>
      <c r="G382" s="40">
        <v>5998900</v>
      </c>
      <c r="H382" s="40"/>
      <c r="I382" s="16" t="s">
        <v>19</v>
      </c>
      <c r="J382" s="176" t="s">
        <v>20</v>
      </c>
      <c r="K382" s="13">
        <v>44518</v>
      </c>
      <c r="L382" s="176"/>
      <c r="M382" s="20">
        <f>MONTH(List3[[#This Row],[Tanggal Pengajuan]])</f>
        <v>12</v>
      </c>
      <c r="N382" s="183"/>
      <c r="O382" s="20"/>
      <c r="P382" s="177"/>
      <c r="Q382" s="230" t="s">
        <v>958</v>
      </c>
      <c r="R382" s="577"/>
    </row>
    <row r="383" spans="1:18" s="4" customFormat="1" ht="32.25" customHeight="1" x14ac:dyDescent="0.2">
      <c r="A383" s="19">
        <v>44502</v>
      </c>
      <c r="B383" s="189" t="s">
        <v>564</v>
      </c>
      <c r="C383" s="14" t="s">
        <v>858</v>
      </c>
      <c r="D383" s="176" t="s">
        <v>17</v>
      </c>
      <c r="E383" s="103" t="s">
        <v>18</v>
      </c>
      <c r="F383" s="469">
        <v>12</v>
      </c>
      <c r="G383" s="40">
        <v>6181000</v>
      </c>
      <c r="H383" s="40"/>
      <c r="I383" s="16" t="s">
        <v>19</v>
      </c>
      <c r="J383" s="176" t="s">
        <v>20</v>
      </c>
      <c r="K383" s="13">
        <v>44518</v>
      </c>
      <c r="L383" s="176"/>
      <c r="M383" s="20">
        <f>MONTH(List3[[#This Row],[Tanggal Pengajuan]])</f>
        <v>12</v>
      </c>
      <c r="N383" s="183"/>
      <c r="O383" s="20"/>
      <c r="P383" s="177"/>
      <c r="Q383" s="230" t="s">
        <v>958</v>
      </c>
      <c r="R383" s="577"/>
    </row>
    <row r="384" spans="1:18" s="4" customFormat="1" ht="32.25" customHeight="1" x14ac:dyDescent="0.2">
      <c r="A384" s="19">
        <v>44509</v>
      </c>
      <c r="B384" s="189" t="s">
        <v>583</v>
      </c>
      <c r="C384" s="176" t="s">
        <v>858</v>
      </c>
      <c r="D384" s="176" t="s">
        <v>17</v>
      </c>
      <c r="E384" s="103" t="s">
        <v>18</v>
      </c>
      <c r="F384" s="469">
        <v>12</v>
      </c>
      <c r="G384" s="40">
        <v>6181000</v>
      </c>
      <c r="H384" s="40"/>
      <c r="I384" s="16" t="s">
        <v>19</v>
      </c>
      <c r="J384" s="176" t="s">
        <v>20</v>
      </c>
      <c r="K384" s="13">
        <v>44518</v>
      </c>
      <c r="L384" s="176"/>
      <c r="M384" s="20">
        <f>MONTH(List3[[#This Row],[Tanggal Pengajuan]])</f>
        <v>12</v>
      </c>
      <c r="N384" s="183"/>
      <c r="O384" s="20"/>
      <c r="P384" s="177"/>
      <c r="Q384" s="230" t="s">
        <v>958</v>
      </c>
      <c r="R384" s="577"/>
    </row>
    <row r="385" spans="1:19" s="4" customFormat="1" ht="32.25" customHeight="1" x14ac:dyDescent="0.2">
      <c r="A385" s="19">
        <v>44550</v>
      </c>
      <c r="B385" s="181" t="s">
        <v>599</v>
      </c>
      <c r="C385" s="176" t="s">
        <v>858</v>
      </c>
      <c r="D385" s="176" t="s">
        <v>17</v>
      </c>
      <c r="E385" s="103" t="s">
        <v>18</v>
      </c>
      <c r="F385" s="469">
        <v>12</v>
      </c>
      <c r="G385" s="40">
        <v>5998400</v>
      </c>
      <c r="H385" s="40"/>
      <c r="I385" s="16" t="s">
        <v>19</v>
      </c>
      <c r="J385" s="176" t="s">
        <v>20</v>
      </c>
      <c r="K385" s="13">
        <v>44518</v>
      </c>
      <c r="L385" s="176"/>
      <c r="M385" s="20">
        <f>MONTH(List3[[#This Row],[Tanggal Pengajuan]])</f>
        <v>12</v>
      </c>
      <c r="N385" s="183"/>
      <c r="O385" s="20"/>
      <c r="P385" s="177"/>
      <c r="Q385" s="230" t="s">
        <v>958</v>
      </c>
      <c r="R385" s="804">
        <f>SUM(G380:G385)</f>
        <v>35251360</v>
      </c>
    </row>
    <row r="386" spans="1:19" s="4" customFormat="1" ht="32.25" customHeight="1" x14ac:dyDescent="0.2">
      <c r="A386" s="13">
        <v>44204</v>
      </c>
      <c r="B386" s="801" t="s">
        <v>220</v>
      </c>
      <c r="C386" s="14" t="s">
        <v>222</v>
      </c>
      <c r="D386" s="18" t="s">
        <v>17</v>
      </c>
      <c r="E386" s="103" t="s">
        <v>18</v>
      </c>
      <c r="F386" s="15">
        <v>34</v>
      </c>
      <c r="G386" s="40">
        <v>5500000</v>
      </c>
      <c r="H386" s="40"/>
      <c r="I386" s="16" t="s">
        <v>19</v>
      </c>
      <c r="J386" s="176" t="s">
        <v>20</v>
      </c>
      <c r="K386" s="13">
        <v>44518</v>
      </c>
      <c r="L386" s="176"/>
      <c r="M386" s="20">
        <f>MONTH(List3[[#This Row],[Tanggal Pengajuan]])</f>
        <v>12</v>
      </c>
      <c r="N386" s="183"/>
      <c r="O386" s="20"/>
      <c r="P386" s="177"/>
      <c r="Q386" s="230" t="s">
        <v>958</v>
      </c>
      <c r="R386" s="577"/>
    </row>
    <row r="387" spans="1:19" s="4" customFormat="1" ht="32.25" customHeight="1" x14ac:dyDescent="0.2">
      <c r="A387" s="13">
        <v>44259</v>
      </c>
      <c r="B387" s="66" t="s">
        <v>307</v>
      </c>
      <c r="C387" s="14" t="s">
        <v>222</v>
      </c>
      <c r="D387" s="18" t="s">
        <v>17</v>
      </c>
      <c r="E387" s="103" t="s">
        <v>18</v>
      </c>
      <c r="F387" s="15">
        <v>34</v>
      </c>
      <c r="G387" s="40">
        <v>5500000</v>
      </c>
      <c r="H387" s="40"/>
      <c r="I387" s="16" t="s">
        <v>19</v>
      </c>
      <c r="J387" s="176" t="s">
        <v>20</v>
      </c>
      <c r="K387" s="13">
        <v>44518</v>
      </c>
      <c r="L387" s="176"/>
      <c r="M387" s="20">
        <f>MONTH(List3[[#This Row],[Tanggal Pengajuan]])</f>
        <v>12</v>
      </c>
      <c r="N387" s="183"/>
      <c r="O387" s="20"/>
      <c r="P387" s="177"/>
      <c r="Q387" s="230" t="s">
        <v>958</v>
      </c>
      <c r="R387" s="577"/>
    </row>
    <row r="388" spans="1:19" s="4" customFormat="1" ht="32.25" customHeight="1" x14ac:dyDescent="0.2">
      <c r="A388" s="13">
        <v>44306</v>
      </c>
      <c r="B388" s="66" t="s">
        <v>341</v>
      </c>
      <c r="C388" s="14" t="s">
        <v>222</v>
      </c>
      <c r="D388" s="18" t="s">
        <v>17</v>
      </c>
      <c r="E388" s="103" t="s">
        <v>18</v>
      </c>
      <c r="F388" s="15">
        <v>34</v>
      </c>
      <c r="G388" s="40">
        <v>5500000</v>
      </c>
      <c r="H388" s="40"/>
      <c r="I388" s="16" t="s">
        <v>19</v>
      </c>
      <c r="J388" s="176" t="s">
        <v>20</v>
      </c>
      <c r="K388" s="13">
        <v>44518</v>
      </c>
      <c r="L388" s="176"/>
      <c r="M388" s="20">
        <f>MONTH(List3[[#This Row],[Tanggal Pengajuan]])</f>
        <v>12</v>
      </c>
      <c r="N388" s="183"/>
      <c r="O388" s="20"/>
      <c r="P388" s="177"/>
      <c r="Q388" s="230" t="s">
        <v>958</v>
      </c>
      <c r="R388" s="577"/>
    </row>
    <row r="389" spans="1:19" s="4" customFormat="1" ht="32.25" customHeight="1" x14ac:dyDescent="0.2">
      <c r="A389" s="13">
        <v>44362</v>
      </c>
      <c r="B389" s="66" t="s">
        <v>365</v>
      </c>
      <c r="C389" s="14" t="s">
        <v>222</v>
      </c>
      <c r="D389" s="18" t="s">
        <v>17</v>
      </c>
      <c r="E389" s="103" t="s">
        <v>18</v>
      </c>
      <c r="F389" s="15">
        <v>34</v>
      </c>
      <c r="G389" s="40">
        <v>5500000</v>
      </c>
      <c r="H389" s="40"/>
      <c r="I389" s="16" t="s">
        <v>19</v>
      </c>
      <c r="J389" s="176" t="s">
        <v>20</v>
      </c>
      <c r="K389" s="13">
        <v>44518</v>
      </c>
      <c r="L389" s="176"/>
      <c r="M389" s="20">
        <f>MONTH(List3[[#This Row],[Tanggal Pengajuan]])</f>
        <v>12</v>
      </c>
      <c r="N389" s="183"/>
      <c r="O389" s="20"/>
      <c r="P389" s="177"/>
      <c r="Q389" s="230" t="s">
        <v>958</v>
      </c>
      <c r="R389" s="577"/>
    </row>
    <row r="390" spans="1:19" s="4" customFormat="1" ht="32.25" customHeight="1" x14ac:dyDescent="0.2">
      <c r="A390" s="13">
        <v>44392</v>
      </c>
      <c r="B390" s="66" t="s">
        <v>388</v>
      </c>
      <c r="C390" s="14" t="s">
        <v>222</v>
      </c>
      <c r="D390" s="18" t="s">
        <v>17</v>
      </c>
      <c r="E390" s="103" t="s">
        <v>18</v>
      </c>
      <c r="F390" s="15">
        <v>26</v>
      </c>
      <c r="G390" s="40">
        <v>5500000</v>
      </c>
      <c r="H390" s="40"/>
      <c r="I390" s="16"/>
      <c r="J390" s="176"/>
      <c r="K390" s="13"/>
      <c r="L390" s="176"/>
      <c r="M390" s="20"/>
      <c r="N390" s="183"/>
      <c r="O390" s="20"/>
      <c r="P390" s="177"/>
      <c r="Q390" s="230"/>
      <c r="R390" s="577"/>
    </row>
    <row r="391" spans="1:19" s="4" customFormat="1" ht="32.25" customHeight="1" x14ac:dyDescent="0.2">
      <c r="A391" s="13">
        <v>44461</v>
      </c>
      <c r="B391" s="189" t="s">
        <v>487</v>
      </c>
      <c r="C391" s="164" t="s">
        <v>222</v>
      </c>
      <c r="D391" s="174" t="s">
        <v>17</v>
      </c>
      <c r="E391" s="168" t="s">
        <v>18</v>
      </c>
      <c r="F391" s="178">
        <v>38</v>
      </c>
      <c r="G391" s="171">
        <v>5500000</v>
      </c>
      <c r="H391" s="40"/>
      <c r="I391" s="16" t="s">
        <v>19</v>
      </c>
      <c r="J391" s="176" t="s">
        <v>20</v>
      </c>
      <c r="K391" s="13">
        <v>44518</v>
      </c>
      <c r="L391" s="176"/>
      <c r="M391" s="20">
        <f>MONTH(List3[[#This Row],[Tanggal Pengajuan]])</f>
        <v>12</v>
      </c>
      <c r="N391" s="183"/>
      <c r="O391" s="20"/>
      <c r="P391" s="177"/>
      <c r="Q391" s="230" t="s">
        <v>958</v>
      </c>
      <c r="R391" s="577"/>
    </row>
    <row r="392" spans="1:19" s="4" customFormat="1" ht="32.25" customHeight="1" x14ac:dyDescent="0.2">
      <c r="A392" s="13">
        <v>44495</v>
      </c>
      <c r="B392" s="189" t="s">
        <v>549</v>
      </c>
      <c r="C392" s="164" t="s">
        <v>222</v>
      </c>
      <c r="D392" s="174" t="s">
        <v>17</v>
      </c>
      <c r="E392" s="168" t="s">
        <v>18</v>
      </c>
      <c r="F392" s="178">
        <v>38</v>
      </c>
      <c r="G392" s="171">
        <v>5500000</v>
      </c>
      <c r="H392" s="40"/>
      <c r="I392" s="16" t="s">
        <v>19</v>
      </c>
      <c r="J392" s="176" t="s">
        <v>20</v>
      </c>
      <c r="K392" s="13">
        <v>44518</v>
      </c>
      <c r="L392" s="176"/>
      <c r="M392" s="20">
        <f>MONTH(List3[[#This Row],[Tanggal Pengajuan]])</f>
        <v>12</v>
      </c>
      <c r="N392" s="183"/>
      <c r="O392" s="20"/>
      <c r="P392" s="177"/>
      <c r="Q392" s="230" t="s">
        <v>958</v>
      </c>
      <c r="R392" s="577"/>
    </row>
    <row r="393" spans="1:19" s="4" customFormat="1" ht="32.25" customHeight="1" x14ac:dyDescent="0.2">
      <c r="A393" s="19">
        <v>44518</v>
      </c>
      <c r="B393" s="189" t="s">
        <v>589</v>
      </c>
      <c r="C393" s="176" t="s">
        <v>222</v>
      </c>
      <c r="D393" s="176" t="s">
        <v>17</v>
      </c>
      <c r="E393" s="103" t="s">
        <v>18</v>
      </c>
      <c r="F393" s="469">
        <v>38</v>
      </c>
      <c r="G393" s="40">
        <v>5500000</v>
      </c>
      <c r="H393" s="40"/>
      <c r="I393" s="16" t="s">
        <v>19</v>
      </c>
      <c r="J393" s="176" t="s">
        <v>20</v>
      </c>
      <c r="K393" s="13">
        <v>44518</v>
      </c>
      <c r="L393" s="20"/>
      <c r="M393" s="20">
        <f>MONTH(List3[[#This Row],[Tanggal Pengajuan]])</f>
        <v>12</v>
      </c>
      <c r="N393" s="183"/>
      <c r="O393" s="20"/>
      <c r="P393" s="177"/>
      <c r="Q393" s="230" t="s">
        <v>958</v>
      </c>
      <c r="R393" s="804"/>
      <c r="S393" s="810"/>
    </row>
    <row r="394" spans="1:19" s="4" customFormat="1" ht="32.25" customHeight="1" x14ac:dyDescent="0.2">
      <c r="A394" s="19">
        <v>44532</v>
      </c>
      <c r="B394" s="181" t="s">
        <v>635</v>
      </c>
      <c r="C394" s="184" t="s">
        <v>222</v>
      </c>
      <c r="D394" s="176" t="s">
        <v>17</v>
      </c>
      <c r="E394" s="103" t="s">
        <v>18</v>
      </c>
      <c r="F394" s="469">
        <v>34</v>
      </c>
      <c r="G394" s="40">
        <v>5500000</v>
      </c>
      <c r="H394" s="40"/>
      <c r="I394" s="16" t="s">
        <v>19</v>
      </c>
      <c r="J394" s="176" t="s">
        <v>20</v>
      </c>
      <c r="K394" s="13">
        <v>44518</v>
      </c>
      <c r="L394" s="20"/>
      <c r="M394" s="20">
        <f>MONTH(List3[[#This Row],[Tanggal Pengajuan]])</f>
        <v>12</v>
      </c>
      <c r="N394" s="183"/>
      <c r="O394" s="20"/>
      <c r="P394" s="177"/>
      <c r="Q394" s="230" t="s">
        <v>958</v>
      </c>
      <c r="R394" s="804">
        <f>SUM(G386:G394)</f>
        <v>49500000</v>
      </c>
      <c r="S394" s="810">
        <f>+R394</f>
        <v>49500000</v>
      </c>
    </row>
    <row r="395" spans="1:19" s="4" customFormat="1" ht="32.25" customHeight="1" x14ac:dyDescent="0.2">
      <c r="A395" s="13">
        <v>44259</v>
      </c>
      <c r="B395" s="66" t="s">
        <v>306</v>
      </c>
      <c r="C395" s="14" t="s">
        <v>868</v>
      </c>
      <c r="D395" s="18" t="s">
        <v>17</v>
      </c>
      <c r="E395" s="103" t="s">
        <v>18</v>
      </c>
      <c r="F395" s="15">
        <v>28</v>
      </c>
      <c r="G395" s="40">
        <v>5500000</v>
      </c>
      <c r="H395" s="40"/>
      <c r="I395" s="16" t="s">
        <v>19</v>
      </c>
      <c r="J395" s="176" t="s">
        <v>20</v>
      </c>
      <c r="K395" s="13">
        <v>44518</v>
      </c>
      <c r="L395" s="20"/>
      <c r="M395" s="20">
        <f>MONTH(List3[[#This Row],[Tanggal Pengajuan]])</f>
        <v>12</v>
      </c>
      <c r="N395" s="183"/>
      <c r="O395" s="20"/>
      <c r="P395" s="177"/>
      <c r="Q395" s="230" t="s">
        <v>958</v>
      </c>
      <c r="R395" s="577"/>
    </row>
    <row r="396" spans="1:19" s="4" customFormat="1" ht="32.25" customHeight="1" x14ac:dyDescent="0.2">
      <c r="A396" s="13">
        <v>44294</v>
      </c>
      <c r="B396" s="66" t="s">
        <v>987</v>
      </c>
      <c r="C396" s="14" t="s">
        <v>868</v>
      </c>
      <c r="D396" s="18" t="s">
        <v>17</v>
      </c>
      <c r="E396" s="103" t="s">
        <v>18</v>
      </c>
      <c r="F396" s="15">
        <v>28</v>
      </c>
      <c r="G396" s="40">
        <v>5479900</v>
      </c>
      <c r="H396" s="40"/>
      <c r="I396" s="16" t="s">
        <v>19</v>
      </c>
      <c r="J396" s="176" t="s">
        <v>20</v>
      </c>
      <c r="K396" s="13">
        <v>44518</v>
      </c>
      <c r="L396" s="20"/>
      <c r="M396" s="20">
        <f>MONTH(List3[[#This Row],[Tanggal Pengajuan]])</f>
        <v>12</v>
      </c>
      <c r="N396" s="183"/>
      <c r="O396" s="20"/>
      <c r="P396" s="177"/>
      <c r="Q396" s="230" t="s">
        <v>958</v>
      </c>
      <c r="R396" s="577"/>
    </row>
    <row r="397" spans="1:19" s="4" customFormat="1" ht="32.25" customHeight="1" x14ac:dyDescent="0.2">
      <c r="A397" s="13">
        <v>44335</v>
      </c>
      <c r="B397" s="66" t="s">
        <v>355</v>
      </c>
      <c r="C397" s="14" t="s">
        <v>868</v>
      </c>
      <c r="D397" s="18" t="s">
        <v>17</v>
      </c>
      <c r="E397" s="103" t="s">
        <v>18</v>
      </c>
      <c r="F397" s="15">
        <v>36</v>
      </c>
      <c r="G397" s="40">
        <v>5498980</v>
      </c>
      <c r="H397" s="40"/>
      <c r="I397" s="16" t="s">
        <v>19</v>
      </c>
      <c r="J397" s="176" t="s">
        <v>20</v>
      </c>
      <c r="K397" s="13">
        <v>44518</v>
      </c>
      <c r="L397" s="20"/>
      <c r="M397" s="20">
        <f>MONTH(List3[[#This Row],[Tanggal Pengajuan]])</f>
        <v>12</v>
      </c>
      <c r="N397" s="183"/>
      <c r="O397" s="20"/>
      <c r="P397" s="177"/>
      <c r="Q397" s="230" t="s">
        <v>958</v>
      </c>
      <c r="R397" s="577"/>
    </row>
    <row r="398" spans="1:19" s="4" customFormat="1" ht="32.25" customHeight="1" x14ac:dyDescent="0.2">
      <c r="A398" s="13">
        <v>44371</v>
      </c>
      <c r="B398" s="66" t="s">
        <v>376</v>
      </c>
      <c r="C398" s="14" t="s">
        <v>868</v>
      </c>
      <c r="D398" s="18" t="s">
        <v>17</v>
      </c>
      <c r="E398" s="103" t="s">
        <v>18</v>
      </c>
      <c r="F398" s="15">
        <v>36</v>
      </c>
      <c r="G398" s="40">
        <v>5444000</v>
      </c>
      <c r="H398" s="40"/>
      <c r="I398" s="16" t="s">
        <v>19</v>
      </c>
      <c r="J398" s="176" t="s">
        <v>20</v>
      </c>
      <c r="K398" s="13">
        <v>44518</v>
      </c>
      <c r="L398" s="20"/>
      <c r="M398" s="20">
        <f>MONTH(List3[[#This Row],[Tanggal Pengajuan]])</f>
        <v>12</v>
      </c>
      <c r="N398" s="183"/>
      <c r="O398" s="20"/>
      <c r="P398" s="177"/>
      <c r="Q398" s="230" t="s">
        <v>958</v>
      </c>
      <c r="R398" s="577"/>
    </row>
    <row r="399" spans="1:19" s="4" customFormat="1" ht="32.25" customHeight="1" x14ac:dyDescent="0.2">
      <c r="A399" s="13">
        <v>44414</v>
      </c>
      <c r="B399" s="66" t="s">
        <v>397</v>
      </c>
      <c r="C399" s="14" t="s">
        <v>868</v>
      </c>
      <c r="D399" s="176" t="s">
        <v>17</v>
      </c>
      <c r="E399" s="103" t="s">
        <v>18</v>
      </c>
      <c r="F399" s="469">
        <v>36</v>
      </c>
      <c r="G399" s="40">
        <v>5998800</v>
      </c>
      <c r="H399" s="40"/>
      <c r="I399" s="16" t="s">
        <v>19</v>
      </c>
      <c r="J399" s="176" t="s">
        <v>20</v>
      </c>
      <c r="K399" s="13">
        <v>44518</v>
      </c>
      <c r="L399" s="20"/>
      <c r="M399" s="20">
        <f>MONTH(List3[[#This Row],[Tanggal Pengajuan]])</f>
        <v>12</v>
      </c>
      <c r="N399" s="183"/>
      <c r="O399" s="20"/>
      <c r="P399" s="177"/>
      <c r="Q399" s="230" t="s">
        <v>958</v>
      </c>
      <c r="R399" s="577"/>
    </row>
    <row r="400" spans="1:19" s="4" customFormat="1" ht="32.25" customHeight="1" x14ac:dyDescent="0.2">
      <c r="A400" s="19">
        <v>44502</v>
      </c>
      <c r="B400" s="189" t="s">
        <v>564</v>
      </c>
      <c r="C400" s="14" t="s">
        <v>868</v>
      </c>
      <c r="D400" s="176" t="s">
        <v>17</v>
      </c>
      <c r="E400" s="103" t="s">
        <v>18</v>
      </c>
      <c r="F400" s="469">
        <v>36</v>
      </c>
      <c r="G400" s="40">
        <v>5999700</v>
      </c>
      <c r="H400" s="40"/>
      <c r="I400" s="16" t="s">
        <v>19</v>
      </c>
      <c r="J400" s="176" t="s">
        <v>20</v>
      </c>
      <c r="K400" s="13">
        <v>44518</v>
      </c>
      <c r="L400" s="20"/>
      <c r="M400" s="20">
        <f>MONTH(List3[[#This Row],[Tanggal Pengajuan]])</f>
        <v>12</v>
      </c>
      <c r="N400" s="183"/>
      <c r="O400" s="20"/>
      <c r="P400" s="177"/>
      <c r="Q400" s="230" t="s">
        <v>958</v>
      </c>
      <c r="R400" s="577"/>
    </row>
    <row r="401" spans="1:19" s="4" customFormat="1" ht="32.25" customHeight="1" x14ac:dyDescent="0.2">
      <c r="A401" s="19">
        <v>44509</v>
      </c>
      <c r="B401" s="189" t="s">
        <v>583</v>
      </c>
      <c r="C401" s="176" t="s">
        <v>868</v>
      </c>
      <c r="D401" s="176" t="s">
        <v>17</v>
      </c>
      <c r="E401" s="103" t="s">
        <v>18</v>
      </c>
      <c r="F401" s="469">
        <v>36</v>
      </c>
      <c r="G401" s="40">
        <v>5999700</v>
      </c>
      <c r="H401" s="40"/>
      <c r="I401" s="16" t="s">
        <v>19</v>
      </c>
      <c r="J401" s="176" t="s">
        <v>20</v>
      </c>
      <c r="K401" s="13">
        <v>44518</v>
      </c>
      <c r="L401" s="20"/>
      <c r="M401" s="20">
        <f>MONTH(List3[[#This Row],[Tanggal Pengajuan]])</f>
        <v>12</v>
      </c>
      <c r="N401" s="183"/>
      <c r="O401" s="20"/>
      <c r="P401" s="177"/>
      <c r="Q401" s="230" t="s">
        <v>958</v>
      </c>
      <c r="R401" s="577"/>
    </row>
    <row r="402" spans="1:19" s="4" customFormat="1" ht="32.25" customHeight="1" x14ac:dyDescent="0.2">
      <c r="A402" s="19">
        <v>44550</v>
      </c>
      <c r="B402" s="181" t="s">
        <v>599</v>
      </c>
      <c r="C402" s="176" t="s">
        <v>868</v>
      </c>
      <c r="D402" s="176" t="s">
        <v>17</v>
      </c>
      <c r="E402" s="103" t="s">
        <v>18</v>
      </c>
      <c r="F402" s="469">
        <v>36</v>
      </c>
      <c r="G402" s="40">
        <v>5999100</v>
      </c>
      <c r="H402" s="40"/>
      <c r="I402" s="16" t="s">
        <v>19</v>
      </c>
      <c r="J402" s="176" t="s">
        <v>20</v>
      </c>
      <c r="K402" s="19">
        <v>44540</v>
      </c>
      <c r="L402" s="20"/>
      <c r="M402" s="20">
        <f>MONTH(List3[[#This Row],[Tanggal Pengajuan]])</f>
        <v>12</v>
      </c>
      <c r="N402" s="183"/>
      <c r="O402" s="20"/>
      <c r="P402" s="177"/>
      <c r="Q402" s="230" t="s">
        <v>958</v>
      </c>
      <c r="R402" s="804">
        <f>SUM(G395:G402)</f>
        <v>45920180</v>
      </c>
    </row>
    <row r="403" spans="1:19" s="4" customFormat="1" ht="32.25" customHeight="1" x14ac:dyDescent="0.2">
      <c r="A403" s="13">
        <v>44201</v>
      </c>
      <c r="B403" s="66" t="s">
        <v>218</v>
      </c>
      <c r="C403" s="14" t="s">
        <v>871</v>
      </c>
      <c r="D403" s="18" t="s">
        <v>17</v>
      </c>
      <c r="E403" s="103" t="s">
        <v>18</v>
      </c>
      <c r="F403" s="15">
        <v>77</v>
      </c>
      <c r="G403" s="40">
        <v>5500000</v>
      </c>
      <c r="H403" s="40"/>
      <c r="I403" s="16" t="s">
        <v>19</v>
      </c>
      <c r="J403" s="176" t="s">
        <v>20</v>
      </c>
      <c r="K403" s="19">
        <v>44540</v>
      </c>
      <c r="L403" s="20"/>
      <c r="M403" s="20">
        <f>MONTH(List3[[#This Row],[Tanggal Pengajuan]])</f>
        <v>12</v>
      </c>
      <c r="N403" s="183"/>
      <c r="O403" s="20"/>
      <c r="P403" s="177"/>
      <c r="Q403" s="230" t="s">
        <v>958</v>
      </c>
      <c r="R403" s="577"/>
    </row>
    <row r="404" spans="1:19" s="4" customFormat="1" ht="32.25" customHeight="1" x14ac:dyDescent="0.2">
      <c r="A404" s="13">
        <v>44257</v>
      </c>
      <c r="B404" s="66" t="s">
        <v>288</v>
      </c>
      <c r="C404" s="14" t="s">
        <v>871</v>
      </c>
      <c r="D404" s="18" t="s">
        <v>17</v>
      </c>
      <c r="E404" s="103" t="s">
        <v>18</v>
      </c>
      <c r="F404" s="15">
        <v>72</v>
      </c>
      <c r="G404" s="40">
        <v>5500000</v>
      </c>
      <c r="H404" s="40"/>
      <c r="I404" s="16" t="s">
        <v>19</v>
      </c>
      <c r="J404" s="176" t="s">
        <v>20</v>
      </c>
      <c r="K404" s="19">
        <v>44540</v>
      </c>
      <c r="L404" s="20"/>
      <c r="M404" s="20">
        <f>MONTH(List3[[#This Row],[Tanggal Pengajuan]])</f>
        <v>12</v>
      </c>
      <c r="N404" s="183"/>
      <c r="O404" s="20"/>
      <c r="P404" s="177"/>
      <c r="Q404" s="230" t="s">
        <v>958</v>
      </c>
      <c r="R404" s="577"/>
    </row>
    <row r="405" spans="1:19" s="4" customFormat="1" ht="32.25" customHeight="1" x14ac:dyDescent="0.2">
      <c r="A405" s="13">
        <v>44294</v>
      </c>
      <c r="B405" s="66" t="s">
        <v>987</v>
      </c>
      <c r="C405" s="14" t="s">
        <v>871</v>
      </c>
      <c r="D405" s="18" t="s">
        <v>17</v>
      </c>
      <c r="E405" s="103" t="s">
        <v>18</v>
      </c>
      <c r="F405" s="15">
        <v>77</v>
      </c>
      <c r="G405" s="40">
        <v>5485600</v>
      </c>
      <c r="H405" s="40"/>
      <c r="I405" s="16" t="s">
        <v>19</v>
      </c>
      <c r="J405" s="176" t="s">
        <v>20</v>
      </c>
      <c r="K405" s="19">
        <v>44553</v>
      </c>
      <c r="L405" s="20" t="s">
        <v>887</v>
      </c>
      <c r="M405" s="20">
        <f>MONTH(List3[[#This Row],[Tanggal Pengajuan]])</f>
        <v>12</v>
      </c>
      <c r="N405" s="183"/>
      <c r="O405" s="20" t="s">
        <v>892</v>
      </c>
      <c r="P405" s="177"/>
      <c r="Q405" s="230" t="s">
        <v>958</v>
      </c>
      <c r="R405" s="577"/>
    </row>
    <row r="406" spans="1:19" s="4" customFormat="1" ht="32.25" customHeight="1" x14ac:dyDescent="0.2">
      <c r="A406" s="13">
        <v>44335</v>
      </c>
      <c r="B406" s="66" t="s">
        <v>355</v>
      </c>
      <c r="C406" s="14" t="s">
        <v>871</v>
      </c>
      <c r="D406" s="18" t="s">
        <v>17</v>
      </c>
      <c r="E406" s="103" t="s">
        <v>18</v>
      </c>
      <c r="F406" s="15">
        <v>40</v>
      </c>
      <c r="G406" s="40">
        <v>5497660</v>
      </c>
      <c r="H406" s="40"/>
      <c r="I406" s="16" t="s">
        <v>19</v>
      </c>
      <c r="J406" s="176" t="s">
        <v>20</v>
      </c>
      <c r="K406" s="19">
        <v>44561</v>
      </c>
      <c r="L406" s="20"/>
      <c r="M406" s="20">
        <f>MONTH(List3[[#This Row],[Tanggal Pengajuan]])</f>
        <v>12</v>
      </c>
      <c r="N406" s="183"/>
      <c r="O406" s="20"/>
      <c r="P406" s="177"/>
      <c r="Q406" s="230" t="s">
        <v>958</v>
      </c>
      <c r="R406" s="577"/>
    </row>
    <row r="407" spans="1:19" s="4" customFormat="1" ht="32.25" customHeight="1" x14ac:dyDescent="0.2">
      <c r="A407" s="13">
        <v>44371</v>
      </c>
      <c r="B407" s="66" t="s">
        <v>376</v>
      </c>
      <c r="C407" s="14" t="s">
        <v>871</v>
      </c>
      <c r="D407" s="18" t="s">
        <v>17</v>
      </c>
      <c r="E407" s="103" t="s">
        <v>18</v>
      </c>
      <c r="F407" s="15">
        <v>40</v>
      </c>
      <c r="G407" s="40">
        <v>5165500</v>
      </c>
      <c r="H407" s="40"/>
      <c r="I407" s="16" t="s">
        <v>19</v>
      </c>
      <c r="J407" s="176" t="s">
        <v>20</v>
      </c>
      <c r="K407" s="19">
        <v>44561</v>
      </c>
      <c r="L407" s="20"/>
      <c r="M407" s="20">
        <f>MONTH(List3[[#This Row],[Tanggal Pengajuan]])</f>
        <v>12</v>
      </c>
      <c r="N407" s="183"/>
      <c r="O407" s="20"/>
      <c r="P407" s="177"/>
      <c r="Q407" s="230" t="s">
        <v>958</v>
      </c>
      <c r="R407" s="577"/>
    </row>
    <row r="408" spans="1:19" s="4" customFormat="1" ht="32.25" customHeight="1" x14ac:dyDescent="0.2">
      <c r="A408" s="13">
        <v>44414</v>
      </c>
      <c r="B408" s="66" t="s">
        <v>397</v>
      </c>
      <c r="C408" s="14" t="s">
        <v>871</v>
      </c>
      <c r="D408" s="176" t="s">
        <v>17</v>
      </c>
      <c r="E408" s="103" t="s">
        <v>18</v>
      </c>
      <c r="F408" s="469">
        <v>40</v>
      </c>
      <c r="G408" s="40">
        <v>5999800</v>
      </c>
      <c r="H408" s="40"/>
      <c r="I408" s="16" t="s">
        <v>19</v>
      </c>
      <c r="J408" s="176" t="s">
        <v>20</v>
      </c>
      <c r="K408" s="19">
        <v>44561</v>
      </c>
      <c r="L408" s="20"/>
      <c r="M408" s="20">
        <f>MONTH(List3[[#This Row],[Tanggal Pengajuan]])</f>
        <v>12</v>
      </c>
      <c r="N408" s="183"/>
      <c r="O408" s="20"/>
      <c r="P408" s="177"/>
      <c r="Q408" s="230" t="s">
        <v>958</v>
      </c>
      <c r="R408" s="577"/>
    </row>
    <row r="409" spans="1:19" s="4" customFormat="1" ht="32.25" customHeight="1" x14ac:dyDescent="0.2">
      <c r="A409" s="19">
        <v>44502</v>
      </c>
      <c r="B409" s="189" t="s">
        <v>564</v>
      </c>
      <c r="C409" s="14" t="s">
        <v>871</v>
      </c>
      <c r="D409" s="176" t="s">
        <v>17</v>
      </c>
      <c r="E409" s="103" t="s">
        <v>18</v>
      </c>
      <c r="F409" s="469">
        <v>40</v>
      </c>
      <c r="G409" s="40">
        <v>6460600</v>
      </c>
      <c r="H409" s="40"/>
      <c r="I409" s="16" t="s">
        <v>19</v>
      </c>
      <c r="J409" s="176" t="s">
        <v>20</v>
      </c>
      <c r="K409" s="19">
        <v>44553</v>
      </c>
      <c r="L409" s="20"/>
      <c r="M409" s="20">
        <f>MONTH(List3[[#This Row],[Tanggal Pengajuan]])</f>
        <v>12</v>
      </c>
      <c r="N409" s="183"/>
      <c r="O409" s="20"/>
      <c r="P409" s="177"/>
      <c r="Q409" s="230" t="s">
        <v>958</v>
      </c>
      <c r="R409" s="577"/>
    </row>
    <row r="410" spans="1:19" s="4" customFormat="1" ht="32.25" customHeight="1" x14ac:dyDescent="0.2">
      <c r="A410" s="19">
        <v>44509</v>
      </c>
      <c r="B410" s="189" t="s">
        <v>583</v>
      </c>
      <c r="C410" s="176" t="s">
        <v>871</v>
      </c>
      <c r="D410" s="176" t="s">
        <v>17</v>
      </c>
      <c r="E410" s="103" t="s">
        <v>18</v>
      </c>
      <c r="F410" s="469">
        <v>40</v>
      </c>
      <c r="G410" s="40">
        <v>6460600</v>
      </c>
      <c r="H410" s="40"/>
      <c r="I410" s="16" t="s">
        <v>19</v>
      </c>
      <c r="J410" s="176" t="s">
        <v>20</v>
      </c>
      <c r="K410" s="19">
        <v>44553</v>
      </c>
      <c r="L410" s="20"/>
      <c r="M410" s="20">
        <f>MONTH(List3[[#This Row],[Tanggal Pengajuan]])</f>
        <v>12</v>
      </c>
      <c r="N410" s="183"/>
      <c r="O410" s="20"/>
      <c r="P410" s="177"/>
      <c r="Q410" s="230" t="s">
        <v>958</v>
      </c>
      <c r="R410" s="577"/>
    </row>
    <row r="411" spans="1:19" s="4" customFormat="1" ht="32.25" customHeight="1" x14ac:dyDescent="0.2">
      <c r="A411" s="19">
        <v>44550</v>
      </c>
      <c r="B411" s="181" t="s">
        <v>599</v>
      </c>
      <c r="C411" s="176" t="s">
        <v>871</v>
      </c>
      <c r="D411" s="176" t="s">
        <v>17</v>
      </c>
      <c r="E411" s="103" t="s">
        <v>18</v>
      </c>
      <c r="F411" s="469">
        <v>40</v>
      </c>
      <c r="G411" s="40">
        <v>6000300</v>
      </c>
      <c r="H411" s="40"/>
      <c r="I411" s="16" t="s">
        <v>19</v>
      </c>
      <c r="J411" s="176" t="s">
        <v>20</v>
      </c>
      <c r="K411" s="19">
        <v>44553</v>
      </c>
      <c r="L411" s="20"/>
      <c r="M411" s="20">
        <f>MONTH(List3[[#This Row],[Tanggal Pengajuan]])</f>
        <v>12</v>
      </c>
      <c r="N411" s="183"/>
      <c r="O411" s="20"/>
      <c r="P411" s="177"/>
      <c r="Q411" s="230" t="s">
        <v>958</v>
      </c>
      <c r="R411" s="804">
        <f>SUM(G403:G411)</f>
        <v>52070060</v>
      </c>
    </row>
    <row r="412" spans="1:19" s="4" customFormat="1" ht="32.25" customHeight="1" x14ac:dyDescent="0.2">
      <c r="A412" s="13">
        <v>44204</v>
      </c>
      <c r="B412" s="801" t="s">
        <v>220</v>
      </c>
      <c r="C412" s="14" t="s">
        <v>256</v>
      </c>
      <c r="D412" s="18" t="s">
        <v>17</v>
      </c>
      <c r="E412" s="103" t="s">
        <v>18</v>
      </c>
      <c r="F412" s="15">
        <v>86</v>
      </c>
      <c r="G412" s="40">
        <v>8500000</v>
      </c>
      <c r="H412" s="40"/>
      <c r="I412" s="16" t="s">
        <v>19</v>
      </c>
      <c r="J412" s="176" t="s">
        <v>20</v>
      </c>
      <c r="K412" s="19">
        <v>44553</v>
      </c>
      <c r="L412" s="20"/>
      <c r="M412" s="20">
        <f>MONTH(List3[[#This Row],[Tanggal Pengajuan]])</f>
        <v>12</v>
      </c>
      <c r="N412" s="183"/>
      <c r="O412" s="20"/>
      <c r="P412" s="177"/>
      <c r="Q412" s="230" t="s">
        <v>958</v>
      </c>
      <c r="R412" s="577"/>
    </row>
    <row r="413" spans="1:19" s="4" customFormat="1" ht="32.25" customHeight="1" x14ac:dyDescent="0.2">
      <c r="A413" s="13">
        <v>44259</v>
      </c>
      <c r="B413" s="66" t="s">
        <v>307</v>
      </c>
      <c r="C413" s="14" t="s">
        <v>256</v>
      </c>
      <c r="D413" s="18" t="s">
        <v>17</v>
      </c>
      <c r="E413" s="103" t="s">
        <v>18</v>
      </c>
      <c r="F413" s="15">
        <v>86</v>
      </c>
      <c r="G413" s="40">
        <v>8500000</v>
      </c>
      <c r="H413" s="40"/>
      <c r="I413" s="16" t="s">
        <v>19</v>
      </c>
      <c r="J413" s="176" t="s">
        <v>20</v>
      </c>
      <c r="K413" s="19">
        <v>44553</v>
      </c>
      <c r="L413" s="20"/>
      <c r="M413" s="20">
        <f>MONTH(List3[[#This Row],[Tanggal Pengajuan]])</f>
        <v>12</v>
      </c>
      <c r="N413" s="183"/>
      <c r="O413" s="20"/>
      <c r="P413" s="177"/>
      <c r="Q413" s="230" t="s">
        <v>958</v>
      </c>
      <c r="R413" s="577"/>
    </row>
    <row r="414" spans="1:19" s="4" customFormat="1" ht="32.25" customHeight="1" x14ac:dyDescent="0.2">
      <c r="A414" s="13">
        <v>44306</v>
      </c>
      <c r="B414" s="66" t="s">
        <v>341</v>
      </c>
      <c r="C414" s="14" t="s">
        <v>256</v>
      </c>
      <c r="D414" s="18" t="s">
        <v>17</v>
      </c>
      <c r="E414" s="103" t="s">
        <v>18</v>
      </c>
      <c r="F414" s="15">
        <v>86</v>
      </c>
      <c r="G414" s="40">
        <v>8500000</v>
      </c>
      <c r="H414" s="40"/>
      <c r="I414" s="16" t="s">
        <v>19</v>
      </c>
      <c r="J414" s="176" t="s">
        <v>20</v>
      </c>
      <c r="K414" s="19">
        <v>44553</v>
      </c>
      <c r="L414" s="20"/>
      <c r="M414" s="20">
        <f>MONTH(List3[[#This Row],[Tanggal Pengajuan]])</f>
        <v>12</v>
      </c>
      <c r="N414" s="183"/>
      <c r="O414" s="20"/>
      <c r="P414" s="177"/>
      <c r="Q414" s="230" t="s">
        <v>958</v>
      </c>
      <c r="R414" s="577"/>
    </row>
    <row r="415" spans="1:19" s="4" customFormat="1" ht="32.25" customHeight="1" x14ac:dyDescent="0.2">
      <c r="A415" s="13">
        <v>44362</v>
      </c>
      <c r="B415" s="66" t="s">
        <v>365</v>
      </c>
      <c r="C415" s="14" t="s">
        <v>256</v>
      </c>
      <c r="D415" s="18" t="s">
        <v>17</v>
      </c>
      <c r="E415" s="103" t="s">
        <v>18</v>
      </c>
      <c r="F415" s="15">
        <v>86</v>
      </c>
      <c r="G415" s="40">
        <v>8500000</v>
      </c>
      <c r="H415" s="40"/>
      <c r="I415" s="16" t="s">
        <v>19</v>
      </c>
      <c r="J415" s="176" t="s">
        <v>20</v>
      </c>
      <c r="K415" s="19">
        <v>44553</v>
      </c>
      <c r="L415" s="20"/>
      <c r="M415" s="20">
        <f>MONTH(List3[[#This Row],[Tanggal Pengajuan]])</f>
        <v>12</v>
      </c>
      <c r="N415" s="183"/>
      <c r="O415" s="20"/>
      <c r="P415" s="177"/>
      <c r="Q415" s="230" t="s">
        <v>958</v>
      </c>
      <c r="R415" s="577"/>
    </row>
    <row r="416" spans="1:19" s="4" customFormat="1" ht="23.25" customHeight="1" x14ac:dyDescent="0.2">
      <c r="A416" s="589">
        <v>44392</v>
      </c>
      <c r="B416" s="588" t="s">
        <v>388</v>
      </c>
      <c r="C416" s="581" t="s">
        <v>256</v>
      </c>
      <c r="D416" s="581" t="s">
        <v>17</v>
      </c>
      <c r="E416" s="581" t="s">
        <v>18</v>
      </c>
      <c r="F416" s="582">
        <v>86</v>
      </c>
      <c r="G416" s="584">
        <v>8500000</v>
      </c>
      <c r="H416" s="40"/>
      <c r="I416" s="41"/>
      <c r="J416" s="104"/>
      <c r="K416" s="100"/>
      <c r="L416" s="183"/>
      <c r="M416" s="105"/>
      <c r="N416" s="105"/>
      <c r="O416" s="183"/>
      <c r="P416" s="105"/>
      <c r="Q416" s="111"/>
      <c r="R416" s="577"/>
      <c r="S416" s="577"/>
    </row>
    <row r="417" spans="1:19" s="4" customFormat="1" ht="32.25" customHeight="1" x14ac:dyDescent="0.2">
      <c r="A417" s="13">
        <v>44461</v>
      </c>
      <c r="B417" s="189" t="s">
        <v>487</v>
      </c>
      <c r="C417" s="164" t="s">
        <v>256</v>
      </c>
      <c r="D417" s="174" t="s">
        <v>17</v>
      </c>
      <c r="E417" s="168" t="s">
        <v>18</v>
      </c>
      <c r="F417" s="178">
        <v>86</v>
      </c>
      <c r="G417" s="171">
        <v>8500000</v>
      </c>
      <c r="H417" s="40"/>
      <c r="I417" s="16" t="s">
        <v>19</v>
      </c>
      <c r="J417" s="176" t="s">
        <v>20</v>
      </c>
      <c r="K417" s="755">
        <v>44553</v>
      </c>
      <c r="L417" s="20"/>
      <c r="M417" s="20">
        <f>MONTH(List3[[#This Row],[Tanggal Pengajuan]])</f>
        <v>12</v>
      </c>
      <c r="N417" s="183"/>
      <c r="O417" s="20"/>
      <c r="P417" s="177"/>
      <c r="Q417" s="230" t="s">
        <v>958</v>
      </c>
      <c r="R417" s="577"/>
    </row>
    <row r="418" spans="1:19" s="4" customFormat="1" ht="32.25" customHeight="1" x14ac:dyDescent="0.2">
      <c r="A418" s="13">
        <v>44495</v>
      </c>
      <c r="B418" s="189" t="s">
        <v>549</v>
      </c>
      <c r="C418" s="164" t="s">
        <v>256</v>
      </c>
      <c r="D418" s="174" t="s">
        <v>17</v>
      </c>
      <c r="E418" s="168" t="s">
        <v>18</v>
      </c>
      <c r="F418" s="178">
        <v>86</v>
      </c>
      <c r="G418" s="171">
        <v>8500000</v>
      </c>
      <c r="H418" s="40"/>
      <c r="I418" s="16" t="s">
        <v>19</v>
      </c>
      <c r="J418" s="176" t="s">
        <v>20</v>
      </c>
      <c r="K418" s="19">
        <v>44553</v>
      </c>
      <c r="L418" s="20"/>
      <c r="M418" s="20">
        <f>MONTH(List3[[#This Row],[Tanggal Pengajuan]])</f>
        <v>12</v>
      </c>
      <c r="N418" s="183"/>
      <c r="O418" s="20"/>
      <c r="P418" s="177"/>
      <c r="Q418" s="230" t="s">
        <v>958</v>
      </c>
      <c r="R418" s="577"/>
    </row>
    <row r="419" spans="1:19" s="4" customFormat="1" ht="32.25" customHeight="1" x14ac:dyDescent="0.2">
      <c r="A419" s="19">
        <v>44518</v>
      </c>
      <c r="B419" s="189" t="s">
        <v>589</v>
      </c>
      <c r="C419" s="176" t="s">
        <v>256</v>
      </c>
      <c r="D419" s="176" t="s">
        <v>17</v>
      </c>
      <c r="E419" s="103" t="s">
        <v>18</v>
      </c>
      <c r="F419" s="469">
        <v>86</v>
      </c>
      <c r="G419" s="40">
        <v>8500000</v>
      </c>
      <c r="H419" s="40"/>
      <c r="I419" s="16" t="s">
        <v>19</v>
      </c>
      <c r="J419" s="176" t="s">
        <v>20</v>
      </c>
      <c r="K419" s="19">
        <v>44553</v>
      </c>
      <c r="L419" s="20"/>
      <c r="M419" s="20">
        <f>MONTH(List3[[#This Row],[Tanggal Pengajuan]])</f>
        <v>12</v>
      </c>
      <c r="N419" s="183"/>
      <c r="O419" s="20"/>
      <c r="P419" s="177"/>
      <c r="Q419" s="230" t="s">
        <v>958</v>
      </c>
      <c r="R419" s="577"/>
    </row>
    <row r="420" spans="1:19" s="4" customFormat="1" ht="32.25" customHeight="1" x14ac:dyDescent="0.2">
      <c r="A420" s="19">
        <v>44532</v>
      </c>
      <c r="B420" s="181" t="s">
        <v>635</v>
      </c>
      <c r="C420" s="184" t="s">
        <v>256</v>
      </c>
      <c r="D420" s="176" t="s">
        <v>17</v>
      </c>
      <c r="E420" s="103" t="s">
        <v>18</v>
      </c>
      <c r="F420" s="469">
        <v>86</v>
      </c>
      <c r="G420" s="40">
        <v>8500000</v>
      </c>
      <c r="H420" s="40"/>
      <c r="I420" s="16" t="s">
        <v>19</v>
      </c>
      <c r="J420" s="176" t="s">
        <v>20</v>
      </c>
      <c r="K420" s="19">
        <v>44553</v>
      </c>
      <c r="L420" s="20"/>
      <c r="M420" s="20">
        <f>MONTH(List3[[#This Row],[Tanggal Pengajuan]])</f>
        <v>12</v>
      </c>
      <c r="N420" s="183"/>
      <c r="O420" s="20"/>
      <c r="P420" s="177"/>
      <c r="Q420" s="230" t="s">
        <v>958</v>
      </c>
      <c r="R420" s="804">
        <f>SUM(G412:G420)</f>
        <v>76500000</v>
      </c>
      <c r="S420" s="810">
        <f>+R420</f>
        <v>76500000</v>
      </c>
    </row>
    <row r="421" spans="1:19" s="4" customFormat="1" ht="32.25" customHeight="1" x14ac:dyDescent="0.2">
      <c r="A421" s="13">
        <v>44371</v>
      </c>
      <c r="B421" s="66" t="s">
        <v>376</v>
      </c>
      <c r="C421" s="14" t="s">
        <v>391</v>
      </c>
      <c r="D421" s="18" t="s">
        <v>17</v>
      </c>
      <c r="E421" s="103" t="s">
        <v>18</v>
      </c>
      <c r="F421" s="15">
        <v>40</v>
      </c>
      <c r="G421" s="40">
        <v>5366500</v>
      </c>
      <c r="H421" s="40"/>
      <c r="I421" s="16" t="s">
        <v>19</v>
      </c>
      <c r="J421" s="176" t="s">
        <v>20</v>
      </c>
      <c r="K421" s="19">
        <v>44553</v>
      </c>
      <c r="L421" s="20"/>
      <c r="M421" s="20">
        <f>MONTH(List3[[#This Row],[Tanggal Pengajuan]])</f>
        <v>12</v>
      </c>
      <c r="N421" s="183"/>
      <c r="O421" s="20"/>
      <c r="P421" s="177"/>
      <c r="Q421" s="230" t="s">
        <v>958</v>
      </c>
      <c r="R421" s="577"/>
    </row>
    <row r="422" spans="1:19" s="4" customFormat="1" ht="32.25" customHeight="1" x14ac:dyDescent="0.2">
      <c r="A422" s="13">
        <v>44414</v>
      </c>
      <c r="B422" s="66" t="s">
        <v>397</v>
      </c>
      <c r="C422" s="14" t="s">
        <v>391</v>
      </c>
      <c r="D422" s="176" t="s">
        <v>17</v>
      </c>
      <c r="E422" s="103" t="s">
        <v>18</v>
      </c>
      <c r="F422" s="469">
        <v>40</v>
      </c>
      <c r="G422" s="40">
        <v>6000200</v>
      </c>
      <c r="H422" s="40"/>
      <c r="I422" s="16" t="s">
        <v>19</v>
      </c>
      <c r="J422" s="176" t="s">
        <v>20</v>
      </c>
      <c r="K422" s="19">
        <v>44553</v>
      </c>
      <c r="L422" s="20"/>
      <c r="M422" s="20">
        <f>MONTH(List3[[#This Row],[Tanggal Pengajuan]])</f>
        <v>12</v>
      </c>
      <c r="N422" s="183"/>
      <c r="O422" s="20"/>
      <c r="P422" s="177"/>
      <c r="Q422" s="230" t="s">
        <v>958</v>
      </c>
      <c r="R422" s="577"/>
    </row>
    <row r="423" spans="1:19" s="4" customFormat="1" ht="32.25" customHeight="1" x14ac:dyDescent="0.2">
      <c r="A423" s="19">
        <v>44502</v>
      </c>
      <c r="B423" s="189" t="s">
        <v>564</v>
      </c>
      <c r="C423" s="14" t="s">
        <v>391</v>
      </c>
      <c r="D423" s="176" t="s">
        <v>17</v>
      </c>
      <c r="E423" s="103" t="s">
        <v>18</v>
      </c>
      <c r="F423" s="469">
        <v>40</v>
      </c>
      <c r="G423" s="40">
        <v>6000500</v>
      </c>
      <c r="H423" s="40"/>
      <c r="I423" s="16" t="s">
        <v>19</v>
      </c>
      <c r="J423" s="176" t="s">
        <v>20</v>
      </c>
      <c r="K423" s="19">
        <v>44553</v>
      </c>
      <c r="L423" s="20"/>
      <c r="M423" s="20">
        <f>MONTH(List3[[#This Row],[Tanggal Pengajuan]])</f>
        <v>12</v>
      </c>
      <c r="N423" s="183"/>
      <c r="O423" s="20"/>
      <c r="P423" s="177"/>
      <c r="Q423" s="230" t="s">
        <v>958</v>
      </c>
      <c r="R423" s="577"/>
    </row>
    <row r="424" spans="1:19" s="4" customFormat="1" ht="32.25" customHeight="1" x14ac:dyDescent="0.2">
      <c r="A424" s="19">
        <v>44509</v>
      </c>
      <c r="B424" s="189" t="s">
        <v>583</v>
      </c>
      <c r="C424" s="176" t="s">
        <v>391</v>
      </c>
      <c r="D424" s="176" t="s">
        <v>17</v>
      </c>
      <c r="E424" s="103" t="s">
        <v>18</v>
      </c>
      <c r="F424" s="469">
        <v>40</v>
      </c>
      <c r="G424" s="40">
        <v>6000500</v>
      </c>
      <c r="H424" s="40"/>
      <c r="I424" s="16" t="s">
        <v>19</v>
      </c>
      <c r="J424" s="176" t="s">
        <v>20</v>
      </c>
      <c r="K424" s="19">
        <v>44553</v>
      </c>
      <c r="L424" s="20"/>
      <c r="M424" s="20">
        <f>MONTH(List3[[#This Row],[Tanggal Pengajuan]])</f>
        <v>12</v>
      </c>
      <c r="N424" s="183"/>
      <c r="O424" s="20"/>
      <c r="P424" s="177"/>
      <c r="Q424" s="230" t="s">
        <v>958</v>
      </c>
      <c r="R424" s="577"/>
    </row>
    <row r="425" spans="1:19" s="4" customFormat="1" ht="32.25" customHeight="1" x14ac:dyDescent="0.2">
      <c r="A425" s="19">
        <v>44550</v>
      </c>
      <c r="B425" s="181" t="s">
        <v>599</v>
      </c>
      <c r="C425" s="176" t="s">
        <v>391</v>
      </c>
      <c r="D425" s="176" t="s">
        <v>17</v>
      </c>
      <c r="E425" s="103" t="s">
        <v>18</v>
      </c>
      <c r="F425" s="469">
        <v>40</v>
      </c>
      <c r="G425" s="40">
        <v>5999200</v>
      </c>
      <c r="H425" s="40"/>
      <c r="I425" s="16" t="s">
        <v>19</v>
      </c>
      <c r="J425" s="176" t="s">
        <v>20</v>
      </c>
      <c r="K425" s="19">
        <v>44553</v>
      </c>
      <c r="L425" s="20"/>
      <c r="M425" s="20">
        <f>MONTH(List3[[#This Row],[Tanggal Pengajuan]])</f>
        <v>12</v>
      </c>
      <c r="N425" s="183"/>
      <c r="O425" s="20"/>
      <c r="P425" s="177"/>
      <c r="Q425" s="230" t="s">
        <v>958</v>
      </c>
      <c r="R425" s="804">
        <f>SUM(G421:G425)</f>
        <v>29366900</v>
      </c>
    </row>
    <row r="426" spans="1:19" s="4" customFormat="1" ht="32.25" customHeight="1" x14ac:dyDescent="0.2">
      <c r="A426" s="13">
        <v>44201</v>
      </c>
      <c r="B426" s="66" t="s">
        <v>217</v>
      </c>
      <c r="C426" s="14" t="s">
        <v>229</v>
      </c>
      <c r="D426" s="18" t="s">
        <v>17</v>
      </c>
      <c r="E426" s="103" t="s">
        <v>18</v>
      </c>
      <c r="F426" s="15">
        <v>40</v>
      </c>
      <c r="G426" s="40">
        <v>5500000</v>
      </c>
      <c r="H426" s="40"/>
      <c r="I426" s="16" t="s">
        <v>19</v>
      </c>
      <c r="J426" s="176" t="s">
        <v>20</v>
      </c>
      <c r="K426" s="19">
        <v>44553</v>
      </c>
      <c r="L426" s="20"/>
      <c r="M426" s="20">
        <f>MONTH(List3[[#This Row],[Tanggal Pengajuan]])</f>
        <v>12</v>
      </c>
      <c r="N426" s="183"/>
      <c r="O426" s="20"/>
      <c r="P426" s="177"/>
      <c r="Q426" s="230" t="s">
        <v>958</v>
      </c>
      <c r="R426" s="577"/>
    </row>
    <row r="427" spans="1:19" s="4" customFormat="1" ht="32.25" customHeight="1" x14ac:dyDescent="0.2">
      <c r="A427" s="13">
        <v>44257</v>
      </c>
      <c r="B427" s="66" t="s">
        <v>281</v>
      </c>
      <c r="C427" s="14" t="s">
        <v>229</v>
      </c>
      <c r="D427" s="18" t="s">
        <v>17</v>
      </c>
      <c r="E427" s="103" t="s">
        <v>18</v>
      </c>
      <c r="F427" s="15">
        <v>40</v>
      </c>
      <c r="G427" s="40">
        <v>5500000</v>
      </c>
      <c r="H427" s="40"/>
      <c r="I427" s="16" t="s">
        <v>19</v>
      </c>
      <c r="J427" s="176" t="s">
        <v>20</v>
      </c>
      <c r="K427" s="19">
        <v>44553</v>
      </c>
      <c r="L427" s="20"/>
      <c r="M427" s="20">
        <f>MONTH(List3[[#This Row],[Tanggal Pengajuan]])</f>
        <v>12</v>
      </c>
      <c r="N427" s="183"/>
      <c r="O427" s="20"/>
      <c r="P427" s="177"/>
      <c r="Q427" s="230" t="s">
        <v>958</v>
      </c>
      <c r="R427" s="577"/>
    </row>
    <row r="428" spans="1:19" s="4" customFormat="1" ht="32.25" customHeight="1" x14ac:dyDescent="0.2">
      <c r="A428" s="13">
        <v>44294</v>
      </c>
      <c r="B428" s="66" t="s">
        <v>987</v>
      </c>
      <c r="C428" s="14" t="s">
        <v>229</v>
      </c>
      <c r="D428" s="18" t="s">
        <v>17</v>
      </c>
      <c r="E428" s="103" t="s">
        <v>18</v>
      </c>
      <c r="F428" s="15">
        <v>40</v>
      </c>
      <c r="G428" s="40">
        <v>5481700</v>
      </c>
      <c r="H428" s="40"/>
      <c r="I428" s="16" t="s">
        <v>19</v>
      </c>
      <c r="J428" s="176" t="s">
        <v>20</v>
      </c>
      <c r="K428" s="19">
        <v>44553</v>
      </c>
      <c r="L428" s="20"/>
      <c r="M428" s="20">
        <f>MONTH(List3[[#This Row],[Tanggal Pengajuan]])</f>
        <v>12</v>
      </c>
      <c r="N428" s="183"/>
      <c r="O428" s="20"/>
      <c r="P428" s="177"/>
      <c r="Q428" s="230" t="s">
        <v>958</v>
      </c>
      <c r="R428" s="577"/>
    </row>
    <row r="429" spans="1:19" s="4" customFormat="1" ht="32.25" customHeight="1" x14ac:dyDescent="0.2">
      <c r="A429" s="13">
        <v>44335</v>
      </c>
      <c r="B429" s="66" t="s">
        <v>355</v>
      </c>
      <c r="C429" s="14" t="s">
        <v>229</v>
      </c>
      <c r="D429" s="18" t="s">
        <v>17</v>
      </c>
      <c r="E429" s="103" t="s">
        <v>18</v>
      </c>
      <c r="F429" s="15">
        <v>28</v>
      </c>
      <c r="G429" s="40">
        <v>5495160</v>
      </c>
      <c r="H429" s="40"/>
      <c r="I429" s="16" t="s">
        <v>19</v>
      </c>
      <c r="J429" s="176" t="s">
        <v>20</v>
      </c>
      <c r="K429" s="19">
        <v>44553</v>
      </c>
      <c r="L429" s="20"/>
      <c r="M429" s="20">
        <f>MONTH(List3[[#This Row],[Tanggal Pengajuan]])</f>
        <v>12</v>
      </c>
      <c r="N429" s="183"/>
      <c r="O429" s="20"/>
      <c r="P429" s="177"/>
      <c r="Q429" s="230" t="s">
        <v>958</v>
      </c>
      <c r="R429" s="577"/>
    </row>
    <row r="430" spans="1:19" s="4" customFormat="1" ht="32.25" customHeight="1" x14ac:dyDescent="0.2">
      <c r="A430" s="13">
        <v>44371</v>
      </c>
      <c r="B430" s="66" t="s">
        <v>376</v>
      </c>
      <c r="C430" s="14" t="s">
        <v>229</v>
      </c>
      <c r="D430" s="18" t="s">
        <v>17</v>
      </c>
      <c r="E430" s="103" t="s">
        <v>18</v>
      </c>
      <c r="F430" s="15">
        <v>28</v>
      </c>
      <c r="G430" s="40">
        <v>5425300</v>
      </c>
      <c r="H430" s="40"/>
      <c r="I430" s="16" t="s">
        <v>19</v>
      </c>
      <c r="J430" s="176" t="s">
        <v>20</v>
      </c>
      <c r="K430" s="19">
        <v>44553</v>
      </c>
      <c r="L430" s="20"/>
      <c r="M430" s="20">
        <f>MONTH(List3[[#This Row],[Tanggal Pengajuan]])</f>
        <v>12</v>
      </c>
      <c r="N430" s="183"/>
      <c r="O430" s="20"/>
      <c r="P430" s="177"/>
      <c r="Q430" s="230" t="s">
        <v>958</v>
      </c>
      <c r="R430" s="577"/>
    </row>
    <row r="431" spans="1:19" s="4" customFormat="1" ht="32.25" customHeight="1" x14ac:dyDescent="0.2">
      <c r="A431" s="13">
        <v>44414</v>
      </c>
      <c r="B431" s="66" t="s">
        <v>397</v>
      </c>
      <c r="C431" s="14" t="s">
        <v>229</v>
      </c>
      <c r="D431" s="176" t="s">
        <v>17</v>
      </c>
      <c r="E431" s="103" t="s">
        <v>18</v>
      </c>
      <c r="F431" s="469">
        <v>28</v>
      </c>
      <c r="G431" s="40">
        <v>5999700</v>
      </c>
      <c r="H431" s="40"/>
      <c r="I431" s="16" t="s">
        <v>19</v>
      </c>
      <c r="J431" s="176" t="s">
        <v>20</v>
      </c>
      <c r="K431" s="19">
        <v>44547</v>
      </c>
      <c r="L431" s="20"/>
      <c r="M431" s="20">
        <f>MONTH(List3[[#This Row],[Tanggal Pengajuan]])</f>
        <v>12</v>
      </c>
      <c r="N431" s="183"/>
      <c r="O431" s="20"/>
      <c r="P431" s="177"/>
      <c r="Q431" s="230" t="s">
        <v>958</v>
      </c>
      <c r="R431" s="577"/>
    </row>
    <row r="432" spans="1:19" s="4" customFormat="1" ht="32.25" customHeight="1" x14ac:dyDescent="0.2">
      <c r="A432" s="19">
        <v>44502</v>
      </c>
      <c r="B432" s="189" t="s">
        <v>564</v>
      </c>
      <c r="C432" s="14" t="s">
        <v>229</v>
      </c>
      <c r="D432" s="176" t="s">
        <v>17</v>
      </c>
      <c r="E432" s="103" t="s">
        <v>18</v>
      </c>
      <c r="F432" s="469">
        <v>28</v>
      </c>
      <c r="G432" s="40">
        <v>6038400</v>
      </c>
      <c r="H432" s="40"/>
      <c r="I432" s="16" t="s">
        <v>19</v>
      </c>
      <c r="J432" s="176" t="s">
        <v>20</v>
      </c>
      <c r="K432" s="19">
        <v>44553</v>
      </c>
      <c r="L432" s="20"/>
      <c r="M432" s="20">
        <f>MONTH(List3[[#This Row],[Tanggal Pengajuan]])</f>
        <v>12</v>
      </c>
      <c r="N432" s="183"/>
      <c r="O432" s="20"/>
      <c r="P432" s="177"/>
      <c r="Q432" s="230" t="s">
        <v>958</v>
      </c>
      <c r="R432" s="577"/>
    </row>
    <row r="433" spans="1:18" s="4" customFormat="1" ht="32.25" customHeight="1" x14ac:dyDescent="0.2">
      <c r="A433" s="19">
        <v>44509</v>
      </c>
      <c r="B433" s="189" t="s">
        <v>583</v>
      </c>
      <c r="C433" s="176" t="s">
        <v>229</v>
      </c>
      <c r="D433" s="176" t="s">
        <v>17</v>
      </c>
      <c r="E433" s="103" t="s">
        <v>18</v>
      </c>
      <c r="F433" s="469">
        <v>28</v>
      </c>
      <c r="G433" s="40">
        <v>6038400</v>
      </c>
      <c r="H433" s="40"/>
      <c r="I433" s="16" t="s">
        <v>19</v>
      </c>
      <c r="J433" s="176" t="s">
        <v>20</v>
      </c>
      <c r="K433" s="19">
        <v>44553</v>
      </c>
      <c r="L433" s="20"/>
      <c r="M433" s="20">
        <f>MONTH(List3[[#This Row],[Tanggal Pengajuan]])</f>
        <v>12</v>
      </c>
      <c r="N433" s="183"/>
      <c r="O433" s="20"/>
      <c r="P433" s="177"/>
      <c r="Q433" s="230" t="s">
        <v>958</v>
      </c>
      <c r="R433" s="577"/>
    </row>
    <row r="434" spans="1:18" s="4" customFormat="1" ht="32.25" customHeight="1" x14ac:dyDescent="0.2">
      <c r="A434" s="19">
        <v>44550</v>
      </c>
      <c r="B434" s="181" t="s">
        <v>599</v>
      </c>
      <c r="C434" s="176" t="s">
        <v>229</v>
      </c>
      <c r="D434" s="176" t="s">
        <v>17</v>
      </c>
      <c r="E434" s="103" t="s">
        <v>18</v>
      </c>
      <c r="F434" s="469">
        <v>28</v>
      </c>
      <c r="G434" s="40">
        <v>6000441</v>
      </c>
      <c r="H434" s="40"/>
      <c r="I434" s="16" t="s">
        <v>19</v>
      </c>
      <c r="J434" s="176" t="s">
        <v>20</v>
      </c>
      <c r="K434" s="19">
        <v>44547</v>
      </c>
      <c r="L434" s="20"/>
      <c r="M434" s="20">
        <f>MONTH(List3[[#This Row],[Tanggal Pengajuan]])</f>
        <v>12</v>
      </c>
      <c r="N434" s="183"/>
      <c r="O434" s="20"/>
      <c r="P434" s="177"/>
      <c r="Q434" s="230" t="s">
        <v>958</v>
      </c>
      <c r="R434" s="804">
        <f>SUM(G426:G434)</f>
        <v>51479101</v>
      </c>
    </row>
    <row r="435" spans="1:18" s="4" customFormat="1" ht="32.25" customHeight="1" x14ac:dyDescent="0.2">
      <c r="A435" s="13">
        <v>44335</v>
      </c>
      <c r="B435" s="66" t="s">
        <v>355</v>
      </c>
      <c r="C435" s="14" t="s">
        <v>362</v>
      </c>
      <c r="D435" s="18" t="s">
        <v>17</v>
      </c>
      <c r="E435" s="103" t="s">
        <v>18</v>
      </c>
      <c r="F435" s="15">
        <v>128</v>
      </c>
      <c r="G435" s="40">
        <v>5499100</v>
      </c>
      <c r="H435" s="40"/>
      <c r="I435" s="16" t="s">
        <v>19</v>
      </c>
      <c r="J435" s="176" t="s">
        <v>20</v>
      </c>
      <c r="K435" s="19">
        <v>44553</v>
      </c>
      <c r="L435" s="20"/>
      <c r="M435" s="20">
        <f>MONTH(List3[[#This Row],[Tanggal Pengajuan]])</f>
        <v>12</v>
      </c>
      <c r="N435" s="183"/>
      <c r="O435" s="20"/>
      <c r="P435" s="177"/>
      <c r="Q435" s="230" t="s">
        <v>958</v>
      </c>
      <c r="R435" s="577"/>
    </row>
    <row r="436" spans="1:18" s="4" customFormat="1" ht="32.25" customHeight="1" x14ac:dyDescent="0.2">
      <c r="A436" s="13">
        <v>44371</v>
      </c>
      <c r="B436" s="66" t="s">
        <v>376</v>
      </c>
      <c r="C436" s="14" t="s">
        <v>362</v>
      </c>
      <c r="D436" s="18" t="s">
        <v>17</v>
      </c>
      <c r="E436" s="103" t="s">
        <v>18</v>
      </c>
      <c r="F436" s="15">
        <v>128</v>
      </c>
      <c r="G436" s="40">
        <v>7416200</v>
      </c>
      <c r="H436" s="40"/>
      <c r="I436" s="16" t="s">
        <v>19</v>
      </c>
      <c r="J436" s="176" t="s">
        <v>20</v>
      </c>
      <c r="K436" s="19">
        <v>44553</v>
      </c>
      <c r="L436" s="20"/>
      <c r="M436" s="20">
        <f>MONTH(List3[[#This Row],[Tanggal Pengajuan]])</f>
        <v>12</v>
      </c>
      <c r="N436" s="183"/>
      <c r="O436" s="20"/>
      <c r="P436" s="177"/>
      <c r="Q436" s="230" t="s">
        <v>958</v>
      </c>
      <c r="R436" s="577"/>
    </row>
    <row r="437" spans="1:18" s="4" customFormat="1" ht="32.25" customHeight="1" x14ac:dyDescent="0.2">
      <c r="A437" s="13">
        <v>44414</v>
      </c>
      <c r="B437" s="66" t="s">
        <v>397</v>
      </c>
      <c r="C437" s="14" t="s">
        <v>362</v>
      </c>
      <c r="D437" s="176" t="s">
        <v>17</v>
      </c>
      <c r="E437" s="103" t="s">
        <v>18</v>
      </c>
      <c r="F437" s="469">
        <v>128</v>
      </c>
      <c r="G437" s="40">
        <v>5998600</v>
      </c>
      <c r="H437" s="40"/>
      <c r="I437" s="16" t="s">
        <v>19</v>
      </c>
      <c r="J437" s="176" t="s">
        <v>20</v>
      </c>
      <c r="K437" s="19">
        <v>44547</v>
      </c>
      <c r="L437" s="20"/>
      <c r="M437" s="20">
        <f>MONTH(List3[[#This Row],[Tanggal Pengajuan]])</f>
        <v>1</v>
      </c>
      <c r="N437" s="183"/>
      <c r="O437" s="20"/>
      <c r="P437" s="177"/>
      <c r="Q437" s="230" t="s">
        <v>958</v>
      </c>
      <c r="R437" s="577"/>
    </row>
    <row r="438" spans="1:18" s="4" customFormat="1" ht="32.25" customHeight="1" x14ac:dyDescent="0.2">
      <c r="A438" s="19">
        <v>44502</v>
      </c>
      <c r="B438" s="189" t="s">
        <v>564</v>
      </c>
      <c r="C438" s="14" t="s">
        <v>362</v>
      </c>
      <c r="D438" s="176" t="s">
        <v>17</v>
      </c>
      <c r="E438" s="103" t="s">
        <v>18</v>
      </c>
      <c r="F438" s="469">
        <v>128</v>
      </c>
      <c r="G438" s="40">
        <v>6030400</v>
      </c>
      <c r="H438" s="40"/>
      <c r="I438" s="16" t="s">
        <v>19</v>
      </c>
      <c r="J438" s="176" t="s">
        <v>20</v>
      </c>
      <c r="K438" s="19">
        <v>44553</v>
      </c>
      <c r="L438" s="20"/>
      <c r="M438" s="20">
        <f>MONTH(List3[[#This Row],[Tanggal Pengajuan]])</f>
        <v>1</v>
      </c>
      <c r="N438" s="183"/>
      <c r="O438" s="20"/>
      <c r="P438" s="177"/>
      <c r="Q438" s="230" t="s">
        <v>958</v>
      </c>
      <c r="R438" s="577"/>
    </row>
    <row r="439" spans="1:18" s="4" customFormat="1" ht="32.25" customHeight="1" x14ac:dyDescent="0.2">
      <c r="A439" s="19">
        <v>44509</v>
      </c>
      <c r="B439" s="189" t="s">
        <v>583</v>
      </c>
      <c r="C439" s="176" t="s">
        <v>362</v>
      </c>
      <c r="D439" s="176" t="s">
        <v>17</v>
      </c>
      <c r="E439" s="103" t="s">
        <v>18</v>
      </c>
      <c r="F439" s="469">
        <v>128</v>
      </c>
      <c r="G439" s="40">
        <v>6030400</v>
      </c>
      <c r="H439" s="40"/>
      <c r="I439" s="16" t="s">
        <v>19</v>
      </c>
      <c r="J439" s="176" t="s">
        <v>20</v>
      </c>
      <c r="K439" s="19">
        <v>44553</v>
      </c>
      <c r="L439" s="20"/>
      <c r="M439" s="20">
        <f>MONTH(List3[[#This Row],[Tanggal Pengajuan]])</f>
        <v>1</v>
      </c>
      <c r="N439" s="183"/>
      <c r="O439" s="20"/>
      <c r="P439" s="177"/>
      <c r="Q439" s="230" t="s">
        <v>958</v>
      </c>
      <c r="R439" s="577"/>
    </row>
    <row r="440" spans="1:18" s="4" customFormat="1" ht="32.25" customHeight="1" x14ac:dyDescent="0.2">
      <c r="A440" s="19">
        <v>44550</v>
      </c>
      <c r="B440" s="181" t="s">
        <v>599</v>
      </c>
      <c r="C440" s="176" t="s">
        <v>362</v>
      </c>
      <c r="D440" s="176" t="s">
        <v>17</v>
      </c>
      <c r="E440" s="103" t="s">
        <v>18</v>
      </c>
      <c r="F440" s="469">
        <v>128</v>
      </c>
      <c r="G440" s="40">
        <v>6000200</v>
      </c>
      <c r="H440" s="40"/>
      <c r="I440" s="16" t="s">
        <v>19</v>
      </c>
      <c r="J440" s="176" t="s">
        <v>20</v>
      </c>
      <c r="K440" s="19">
        <v>44553</v>
      </c>
      <c r="L440" s="20"/>
      <c r="M440" s="20">
        <f>MONTH(List3[[#This Row],[Tanggal Pengajuan]])</f>
        <v>1</v>
      </c>
      <c r="N440" s="183"/>
      <c r="O440" s="20"/>
      <c r="P440" s="177"/>
      <c r="Q440" s="230" t="s">
        <v>958</v>
      </c>
      <c r="R440" s="804">
        <f>SUM(G435:G440)</f>
        <v>36974900</v>
      </c>
    </row>
    <row r="441" spans="1:18" s="8" customFormat="1" ht="15.75" x14ac:dyDescent="0.2">
      <c r="A441" s="764"/>
      <c r="B441" s="765"/>
      <c r="C441" s="766"/>
      <c r="D441" s="766"/>
      <c r="E441" s="406"/>
      <c r="F441" s="767"/>
      <c r="G441" s="768"/>
      <c r="H441" s="768"/>
      <c r="I441" s="769"/>
      <c r="J441" s="766"/>
      <c r="K441" s="764"/>
      <c r="L441" s="766"/>
      <c r="M441" s="766"/>
      <c r="N441" s="650"/>
      <c r="O441" s="766"/>
      <c r="P441" s="770"/>
      <c r="Q441" s="652"/>
      <c r="R441" s="771"/>
    </row>
    <row r="442" spans="1:18" s="8" customFormat="1" ht="15.75" x14ac:dyDescent="0.2">
      <c r="A442" s="772"/>
      <c r="B442" s="773"/>
      <c r="C442" s="774"/>
      <c r="D442" s="774"/>
      <c r="E442" s="618"/>
      <c r="F442" s="775"/>
      <c r="G442" s="811">
        <f>SUM(G184:G441)</f>
        <v>1516961375</v>
      </c>
      <c r="H442" s="776"/>
      <c r="I442" s="777"/>
      <c r="J442" s="774"/>
      <c r="K442" s="772"/>
      <c r="L442" s="774"/>
      <c r="M442" s="774"/>
      <c r="N442" s="658"/>
      <c r="O442" s="774"/>
      <c r="P442" s="778"/>
      <c r="Q442" s="660"/>
      <c r="R442" s="811">
        <f>SUM(R184:R441)</f>
        <v>1516961375</v>
      </c>
    </row>
    <row r="443" spans="1:18" s="8" customFormat="1" ht="15.75" x14ac:dyDescent="0.2">
      <c r="A443" s="772"/>
      <c r="B443" s="773"/>
      <c r="C443" s="774"/>
      <c r="D443" s="774"/>
      <c r="E443" s="618"/>
      <c r="F443" s="775"/>
      <c r="G443" s="776"/>
      <c r="H443" s="776"/>
      <c r="I443" s="777"/>
      <c r="J443" s="774"/>
      <c r="K443" s="772"/>
      <c r="L443" s="774"/>
      <c r="M443" s="774"/>
      <c r="N443" s="658"/>
      <c r="O443" s="774"/>
      <c r="P443" s="778"/>
      <c r="Q443" s="660"/>
      <c r="R443" s="811">
        <f>+R442-'S1-S2  2021'!O4</f>
        <v>5498880</v>
      </c>
    </row>
    <row r="444" spans="1:18" s="8" customFormat="1" ht="15.75" x14ac:dyDescent="0.2">
      <c r="A444" s="772"/>
      <c r="B444" s="773"/>
      <c r="C444" s="774"/>
      <c r="D444" s="774"/>
      <c r="E444" s="618"/>
      <c r="F444" s="775"/>
      <c r="G444" s="776"/>
      <c r="H444" s="776"/>
      <c r="I444" s="777"/>
      <c r="J444" s="774"/>
      <c r="K444" s="772"/>
      <c r="L444" s="774"/>
      <c r="M444" s="774"/>
      <c r="N444" s="658"/>
      <c r="O444" s="774"/>
      <c r="P444" s="778"/>
      <c r="Q444" s="660"/>
      <c r="R444" s="771"/>
    </row>
    <row r="445" spans="1:18" s="8" customFormat="1" ht="15.75" x14ac:dyDescent="0.2">
      <c r="A445" s="779"/>
      <c r="B445" s="780"/>
      <c r="C445" s="781"/>
      <c r="D445" s="781"/>
      <c r="E445" s="618"/>
      <c r="F445" s="782"/>
      <c r="G445" s="783"/>
      <c r="H445" s="783"/>
      <c r="I445" s="784"/>
      <c r="J445" s="781"/>
      <c r="K445" s="779"/>
      <c r="L445" s="781"/>
      <c r="M445" s="781"/>
      <c r="N445" s="658"/>
      <c r="O445" s="781"/>
      <c r="P445" s="778"/>
      <c r="Q445" s="670"/>
      <c r="R445" s="771"/>
    </row>
    <row r="446" spans="1:18" s="4" customFormat="1" ht="42" customHeight="1" x14ac:dyDescent="0.2">
      <c r="A446" s="210">
        <v>44207</v>
      </c>
      <c r="B446" s="743" t="s">
        <v>321</v>
      </c>
      <c r="C446" s="164" t="s">
        <v>991</v>
      </c>
      <c r="D446" s="174" t="s">
        <v>1055</v>
      </c>
      <c r="E446" s="168" t="s">
        <v>28</v>
      </c>
      <c r="F446" s="15">
        <v>0</v>
      </c>
      <c r="G446" s="171">
        <v>100000000</v>
      </c>
      <c r="H446" s="171"/>
      <c r="I446" s="255"/>
      <c r="J446" s="754"/>
      <c r="K446" s="759">
        <v>44214</v>
      </c>
      <c r="L446" s="193" t="s">
        <v>146</v>
      </c>
      <c r="M446" s="255">
        <v>1</v>
      </c>
      <c r="N446" s="194"/>
      <c r="O446" s="193" t="s">
        <v>25</v>
      </c>
      <c r="P446" s="252" t="s">
        <v>317</v>
      </c>
      <c r="Q446" s="237"/>
      <c r="R446" s="804">
        <f>+G446</f>
        <v>100000000</v>
      </c>
    </row>
    <row r="447" spans="1:18" s="4" customFormat="1" ht="42" customHeight="1" x14ac:dyDescent="0.2">
      <c r="A447" s="13">
        <v>44600</v>
      </c>
      <c r="B447" s="66" t="s">
        <v>272</v>
      </c>
      <c r="C447" s="14" t="s">
        <v>1059</v>
      </c>
      <c r="D447" s="18" t="s">
        <v>1055</v>
      </c>
      <c r="E447" s="103" t="s">
        <v>18</v>
      </c>
      <c r="F447" s="15">
        <v>0</v>
      </c>
      <c r="G447" s="40">
        <v>25678500</v>
      </c>
      <c r="H447" s="40"/>
      <c r="I447" s="16"/>
      <c r="J447" s="14" t="s">
        <v>984</v>
      </c>
      <c r="K447" s="757"/>
      <c r="L447" s="100" t="s">
        <v>146</v>
      </c>
      <c r="M447" s="100">
        <f>MONTH(List3[[#This Row],[Tanggal Pengajuan]])</f>
        <v>1</v>
      </c>
      <c r="N447" s="183"/>
      <c r="O447" s="100" t="s">
        <v>25</v>
      </c>
      <c r="P447" s="111" t="s">
        <v>317</v>
      </c>
      <c r="Q447" s="237"/>
      <c r="R447" s="577"/>
    </row>
    <row r="448" spans="1:18" s="4" customFormat="1" ht="42" customHeight="1" x14ac:dyDescent="0.2">
      <c r="A448" s="13">
        <v>44615</v>
      </c>
      <c r="B448" s="66" t="s">
        <v>274</v>
      </c>
      <c r="C448" s="14" t="s">
        <v>1059</v>
      </c>
      <c r="D448" s="18" t="s">
        <v>1055</v>
      </c>
      <c r="E448" s="103" t="s">
        <v>18</v>
      </c>
      <c r="F448" s="15">
        <v>0</v>
      </c>
      <c r="G448" s="40">
        <v>2054200</v>
      </c>
      <c r="H448" s="40"/>
      <c r="I448" s="16"/>
      <c r="J448" s="14" t="s">
        <v>985</v>
      </c>
      <c r="K448" s="757"/>
      <c r="L448" s="100"/>
      <c r="M448" s="100">
        <f>MONTH(List3[[#This Row],[Tanggal Pengajuan]])</f>
        <v>1</v>
      </c>
      <c r="N448" s="183"/>
      <c r="O448" s="100" t="s">
        <v>25</v>
      </c>
      <c r="P448" s="111"/>
      <c r="Q448" s="237"/>
      <c r="R448" s="577"/>
    </row>
    <row r="449" spans="1:18" s="4" customFormat="1" ht="42" customHeight="1" x14ac:dyDescent="0.2">
      <c r="A449" s="13">
        <v>44632</v>
      </c>
      <c r="B449" s="66" t="s">
        <v>319</v>
      </c>
      <c r="C449" s="14" t="s">
        <v>1059</v>
      </c>
      <c r="D449" s="367" t="s">
        <v>1055</v>
      </c>
      <c r="E449" s="103" t="s">
        <v>18</v>
      </c>
      <c r="F449" s="15">
        <v>1</v>
      </c>
      <c r="G449" s="40">
        <v>4022400</v>
      </c>
      <c r="H449" s="40"/>
      <c r="I449" s="16"/>
      <c r="J449" s="745" t="s">
        <v>981</v>
      </c>
      <c r="K449" s="757"/>
      <c r="L449" s="100"/>
      <c r="M449" s="100">
        <f>MONTH(List3[[#This Row],[Tanggal Pengajuan]])</f>
        <v>1</v>
      </c>
      <c r="N449" s="183"/>
      <c r="O449" s="100" t="s">
        <v>25</v>
      </c>
      <c r="P449" s="111" t="s">
        <v>317</v>
      </c>
      <c r="Q449" s="230" t="s">
        <v>958</v>
      </c>
      <c r="R449" s="577"/>
    </row>
    <row r="450" spans="1:18" s="4" customFormat="1" ht="42" customHeight="1" x14ac:dyDescent="0.2">
      <c r="A450" s="13">
        <v>44712</v>
      </c>
      <c r="B450" s="66" t="s">
        <v>1009</v>
      </c>
      <c r="C450" s="14" t="s">
        <v>1059</v>
      </c>
      <c r="D450" s="18" t="s">
        <v>1055</v>
      </c>
      <c r="E450" s="103" t="s">
        <v>18</v>
      </c>
      <c r="F450" s="15">
        <v>0</v>
      </c>
      <c r="G450" s="40">
        <v>2013000</v>
      </c>
      <c r="H450" s="40"/>
      <c r="I450" s="100" t="s">
        <v>73</v>
      </c>
      <c r="J450" s="14" t="s">
        <v>1010</v>
      </c>
      <c r="K450" s="757">
        <v>44717</v>
      </c>
      <c r="L450" s="100" t="s">
        <v>146</v>
      </c>
      <c r="M450" s="100">
        <f>MONTH(List3[[#This Row],[Tanggal Pengajuan]])</f>
        <v>1</v>
      </c>
      <c r="N450" s="643"/>
      <c r="O450" s="100" t="s">
        <v>25</v>
      </c>
      <c r="P450" s="111"/>
      <c r="Q450" s="230"/>
      <c r="R450" s="577"/>
    </row>
    <row r="451" spans="1:18" s="4" customFormat="1" ht="42" customHeight="1" x14ac:dyDescent="0.2">
      <c r="A451" s="13">
        <v>44712</v>
      </c>
      <c r="B451" s="66" t="s">
        <v>359</v>
      </c>
      <c r="C451" s="14" t="s">
        <v>1059</v>
      </c>
      <c r="D451" s="18" t="s">
        <v>1055</v>
      </c>
      <c r="E451" s="103" t="s">
        <v>18</v>
      </c>
      <c r="F451" s="15">
        <v>0</v>
      </c>
      <c r="G451" s="40">
        <v>3012300</v>
      </c>
      <c r="H451" s="40"/>
      <c r="I451" s="16" t="s">
        <v>72</v>
      </c>
      <c r="J451" s="14" t="s">
        <v>360</v>
      </c>
      <c r="K451" s="757"/>
      <c r="L451" s="100" t="s">
        <v>146</v>
      </c>
      <c r="M451" s="100">
        <f>MONTH(List3[[#This Row],[Tanggal Pengajuan]])</f>
        <v>1</v>
      </c>
      <c r="N451" s="183"/>
      <c r="O451" s="100" t="s">
        <v>25</v>
      </c>
      <c r="P451" s="111" t="s">
        <v>317</v>
      </c>
      <c r="Q451" s="230" t="s">
        <v>958</v>
      </c>
      <c r="R451" s="577"/>
    </row>
    <row r="452" spans="1:18" s="4" customFormat="1" ht="42" customHeight="1" x14ac:dyDescent="0.2">
      <c r="A452" s="13">
        <v>44742</v>
      </c>
      <c r="B452" s="66" t="s">
        <v>378</v>
      </c>
      <c r="C452" s="14" t="s">
        <v>1059</v>
      </c>
      <c r="D452" s="18" t="s">
        <v>1055</v>
      </c>
      <c r="E452" s="103" t="s">
        <v>18</v>
      </c>
      <c r="F452" s="15">
        <v>0</v>
      </c>
      <c r="G452" s="40">
        <v>4015200</v>
      </c>
      <c r="H452" s="40"/>
      <c r="I452" s="16"/>
      <c r="J452" s="14" t="s">
        <v>968</v>
      </c>
      <c r="K452" s="757"/>
      <c r="L452" s="100" t="s">
        <v>146</v>
      </c>
      <c r="M452" s="100">
        <f>MONTH(List3[[#This Row],[Tanggal Pengajuan]])</f>
        <v>1</v>
      </c>
      <c r="N452" s="183"/>
      <c r="O452" s="100" t="s">
        <v>25</v>
      </c>
      <c r="P452" s="111"/>
      <c r="Q452" s="230" t="s">
        <v>958</v>
      </c>
      <c r="R452" s="577"/>
    </row>
    <row r="453" spans="1:18" s="4" customFormat="1" ht="42" customHeight="1" x14ac:dyDescent="0.2">
      <c r="A453" s="13">
        <v>44742</v>
      </c>
      <c r="B453" s="66" t="s">
        <v>379</v>
      </c>
      <c r="C453" s="14" t="s">
        <v>1059</v>
      </c>
      <c r="D453" s="18" t="s">
        <v>1055</v>
      </c>
      <c r="E453" s="103" t="s">
        <v>18</v>
      </c>
      <c r="F453" s="15">
        <v>0</v>
      </c>
      <c r="G453" s="40">
        <v>2002900</v>
      </c>
      <c r="H453" s="40"/>
      <c r="I453" s="16"/>
      <c r="J453" s="14" t="s">
        <v>969</v>
      </c>
      <c r="K453" s="757"/>
      <c r="L453" s="100"/>
      <c r="M453" s="100">
        <f>MONTH(List3[[#This Row],[Tanggal Pengajuan]])</f>
        <v>1</v>
      </c>
      <c r="N453" s="183"/>
      <c r="O453" s="100" t="s">
        <v>25</v>
      </c>
      <c r="P453" s="111"/>
      <c r="Q453" s="230" t="s">
        <v>958</v>
      </c>
      <c r="R453" s="804">
        <f>SUM(G447:G453)</f>
        <v>42798500</v>
      </c>
    </row>
    <row r="454" spans="1:18" s="8" customFormat="1" ht="15.75" x14ac:dyDescent="0.2">
      <c r="A454" s="644"/>
      <c r="B454" s="645"/>
      <c r="C454" s="406"/>
      <c r="D454" s="786"/>
      <c r="E454" s="406"/>
      <c r="F454" s="787"/>
      <c r="G454" s="768"/>
      <c r="H454" s="768"/>
      <c r="I454" s="769"/>
      <c r="J454" s="406"/>
      <c r="K454" s="650"/>
      <c r="L454" s="406"/>
      <c r="M454" s="406"/>
      <c r="N454" s="650"/>
      <c r="O454" s="406"/>
      <c r="P454" s="651"/>
      <c r="Q454" s="652"/>
      <c r="R454" s="771"/>
    </row>
    <row r="455" spans="1:18" s="8" customFormat="1" ht="15.75" x14ac:dyDescent="0.2">
      <c r="A455" s="653"/>
      <c r="B455" s="654"/>
      <c r="C455" s="618"/>
      <c r="D455" s="788"/>
      <c r="E455" s="618"/>
      <c r="F455" s="789"/>
      <c r="G455" s="805">
        <f>SUM(G446:G454)</f>
        <v>142798500</v>
      </c>
      <c r="H455" s="776"/>
      <c r="I455" s="777"/>
      <c r="J455" s="618"/>
      <c r="K455" s="658"/>
      <c r="L455" s="618"/>
      <c r="M455" s="618"/>
      <c r="N455" s="658"/>
      <c r="O455" s="618"/>
      <c r="P455" s="659"/>
      <c r="Q455" s="660"/>
      <c r="R455" s="805">
        <f>SUM(R446:R454)</f>
        <v>142798500</v>
      </c>
    </row>
    <row r="456" spans="1:18" s="8" customFormat="1" ht="15.75" x14ac:dyDescent="0.2">
      <c r="A456" s="653"/>
      <c r="B456" s="654"/>
      <c r="C456" s="618"/>
      <c r="D456" s="788"/>
      <c r="E456" s="618"/>
      <c r="F456" s="789"/>
      <c r="G456" s="776"/>
      <c r="H456" s="776"/>
      <c r="I456" s="777"/>
      <c r="J456" s="618"/>
      <c r="K456" s="658"/>
      <c r="L456" s="618"/>
      <c r="M456" s="618"/>
      <c r="N456" s="658"/>
      <c r="O456" s="618"/>
      <c r="P456" s="659"/>
      <c r="Q456" s="660"/>
      <c r="R456" s="803">
        <f>+R455-'S1-S2  2021'!O10</f>
        <v>-7034700</v>
      </c>
    </row>
    <row r="457" spans="1:18" s="8" customFormat="1" ht="15.75" x14ac:dyDescent="0.2">
      <c r="A457" s="653"/>
      <c r="B457" s="654"/>
      <c r="C457" s="618"/>
      <c r="D457" s="788"/>
      <c r="E457" s="618"/>
      <c r="F457" s="789"/>
      <c r="G457" s="776"/>
      <c r="H457" s="776"/>
      <c r="I457" s="777"/>
      <c r="J457" s="618"/>
      <c r="K457" s="658"/>
      <c r="L457" s="618"/>
      <c r="M457" s="618"/>
      <c r="N457" s="658"/>
      <c r="O457" s="618"/>
      <c r="P457" s="659"/>
      <c r="Q457" s="660"/>
      <c r="R457" s="771"/>
    </row>
    <row r="458" spans="1:18" s="8" customFormat="1" ht="15.75" x14ac:dyDescent="0.2">
      <c r="A458" s="661"/>
      <c r="B458" s="662"/>
      <c r="C458" s="663"/>
      <c r="D458" s="791"/>
      <c r="E458" s="618"/>
      <c r="F458" s="790"/>
      <c r="G458" s="783"/>
      <c r="H458" s="783"/>
      <c r="I458" s="784"/>
      <c r="J458" s="663"/>
      <c r="K458" s="668"/>
      <c r="L458" s="663"/>
      <c r="M458" s="663"/>
      <c r="N458" s="658"/>
      <c r="O458" s="663"/>
      <c r="P458" s="659"/>
      <c r="Q458" s="670"/>
      <c r="R458" s="771"/>
    </row>
    <row r="459" spans="1:18" s="4" customFormat="1" ht="66" customHeight="1" x14ac:dyDescent="0.2">
      <c r="A459" s="13">
        <v>44334</v>
      </c>
      <c r="B459" s="66" t="s">
        <v>353</v>
      </c>
      <c r="C459" s="14" t="s">
        <v>354</v>
      </c>
      <c r="D459" s="18" t="s">
        <v>71</v>
      </c>
      <c r="E459" s="103" t="s">
        <v>28</v>
      </c>
      <c r="F459" s="15">
        <v>1</v>
      </c>
      <c r="G459" s="40">
        <v>600000</v>
      </c>
      <c r="H459" s="40"/>
      <c r="I459" s="20" t="s">
        <v>19</v>
      </c>
      <c r="J459" s="14" t="str">
        <f>IF(List3[[#This Row],[TRF]]="Done","Sudah Transfer","Proses PP/Pengajuan Approval")</f>
        <v>Proses PP/Pengajuan Approval</v>
      </c>
      <c r="K459" s="757">
        <v>44224</v>
      </c>
      <c r="L459" s="100" t="s">
        <v>227</v>
      </c>
      <c r="M459" s="100">
        <f>MONTH(List3[[#This Row],[Tanggal Pengajuan]])</f>
        <v>1</v>
      </c>
      <c r="N459" s="183"/>
      <c r="O459" s="100" t="s">
        <v>25</v>
      </c>
      <c r="P459" s="111"/>
      <c r="Q459" s="237"/>
      <c r="R459" s="812">
        <f>+G459</f>
        <v>600000</v>
      </c>
    </row>
    <row r="460" spans="1:18" s="4" customFormat="1" ht="66" customHeight="1" x14ac:dyDescent="0.2">
      <c r="A460" s="13">
        <v>44358</v>
      </c>
      <c r="B460" s="66" t="s">
        <v>366</v>
      </c>
      <c r="C460" s="14" t="s">
        <v>1056</v>
      </c>
      <c r="D460" s="18" t="s">
        <v>71</v>
      </c>
      <c r="E460" s="103" t="s">
        <v>28</v>
      </c>
      <c r="F460" s="15">
        <v>1</v>
      </c>
      <c r="G460" s="40">
        <v>60000</v>
      </c>
      <c r="H460" s="40"/>
      <c r="I460" s="16" t="s">
        <v>19</v>
      </c>
      <c r="J460" s="14" t="str">
        <f>IF(List3[[#This Row],[TRF]]="Done","Sudah Transfer","Proses PP/Pengajuan Approval")</f>
        <v>Proses PP/Pengajuan Approval</v>
      </c>
      <c r="K460" s="757">
        <v>44350</v>
      </c>
      <c r="L460" s="100" t="s">
        <v>227</v>
      </c>
      <c r="M460" s="100">
        <f>MONTH(List3[[#This Row],[Tanggal Pengajuan]])</f>
        <v>1</v>
      </c>
      <c r="N460" s="183"/>
      <c r="O460" s="100" t="s">
        <v>25</v>
      </c>
      <c r="P460" s="111"/>
      <c r="Q460" s="230" t="s">
        <v>958</v>
      </c>
      <c r="R460" s="812">
        <f>+G460</f>
        <v>60000</v>
      </c>
    </row>
    <row r="461" spans="1:18" s="4" customFormat="1" ht="66" customHeight="1" x14ac:dyDescent="0.2">
      <c r="A461" s="13">
        <v>44350</v>
      </c>
      <c r="B461" s="66" t="s">
        <v>357</v>
      </c>
      <c r="C461" s="14" t="s">
        <v>358</v>
      </c>
      <c r="D461" s="18" t="s">
        <v>71</v>
      </c>
      <c r="E461" s="103" t="s">
        <v>28</v>
      </c>
      <c r="F461" s="15">
        <v>1</v>
      </c>
      <c r="G461" s="40">
        <v>660000</v>
      </c>
      <c r="H461" s="40"/>
      <c r="I461" s="16" t="s">
        <v>72</v>
      </c>
      <c r="J461" s="14" t="str">
        <f>IF(List3[[#This Row],[TRF]]="Done","Sudah Transfer","Proses PP/Pengajuan Approval")</f>
        <v>Proses PP/Pengajuan Approval</v>
      </c>
      <c r="K461" s="757"/>
      <c r="L461" s="100" t="s">
        <v>227</v>
      </c>
      <c r="M461" s="100">
        <f>MONTH(List3[[#This Row],[Tanggal Pengajuan]])</f>
        <v>1</v>
      </c>
      <c r="N461" s="183"/>
      <c r="O461" s="100" t="s">
        <v>25</v>
      </c>
      <c r="P461" s="111" t="s">
        <v>317</v>
      </c>
      <c r="Q461" s="230" t="s">
        <v>958</v>
      </c>
      <c r="R461" s="812">
        <f>+G461</f>
        <v>660000</v>
      </c>
    </row>
    <row r="462" spans="1:18" s="4" customFormat="1" ht="66" customHeight="1" x14ac:dyDescent="0.2">
      <c r="A462" s="13">
        <v>44424</v>
      </c>
      <c r="B462" s="189" t="s">
        <v>403</v>
      </c>
      <c r="C462" s="164" t="s">
        <v>414</v>
      </c>
      <c r="D462" s="174" t="s">
        <v>71</v>
      </c>
      <c r="E462" s="168" t="s">
        <v>28</v>
      </c>
      <c r="F462" s="178">
        <v>1</v>
      </c>
      <c r="G462" s="171">
        <v>660000</v>
      </c>
      <c r="H462" s="40"/>
      <c r="I462" s="16" t="s">
        <v>19</v>
      </c>
      <c r="J462" s="14" t="str">
        <f>IF(List3[[#This Row],[TRF]]="Done","Sudah Transfer","Proses PP/Pengajuan Approval")</f>
        <v>Proses PP/Pengajuan Approval</v>
      </c>
      <c r="K462" s="757">
        <v>44350</v>
      </c>
      <c r="L462" s="100" t="s">
        <v>227</v>
      </c>
      <c r="M462" s="100">
        <f>MONTH(List3[[#This Row],[Tanggal Pengajuan]])</f>
        <v>1</v>
      </c>
      <c r="N462" s="183"/>
      <c r="O462" s="100" t="s">
        <v>25</v>
      </c>
      <c r="P462" s="111"/>
      <c r="Q462" s="230" t="s">
        <v>958</v>
      </c>
      <c r="R462" s="812">
        <f>+G462</f>
        <v>660000</v>
      </c>
    </row>
    <row r="463" spans="1:18" s="4" customFormat="1" ht="66" customHeight="1" x14ac:dyDescent="0.2">
      <c r="A463" s="13">
        <v>44210</v>
      </c>
      <c r="B463" s="66" t="s">
        <v>225</v>
      </c>
      <c r="C463" s="14" t="s">
        <v>226</v>
      </c>
      <c r="D463" s="18" t="s">
        <v>71</v>
      </c>
      <c r="E463" s="22" t="s">
        <v>28</v>
      </c>
      <c r="F463" s="15">
        <v>1</v>
      </c>
      <c r="G463" s="40">
        <v>770000</v>
      </c>
      <c r="H463" s="171"/>
      <c r="I463" s="16" t="s">
        <v>19</v>
      </c>
      <c r="J463" s="14" t="s">
        <v>209</v>
      </c>
      <c r="K463" s="757"/>
      <c r="L463" s="100" t="s">
        <v>227</v>
      </c>
      <c r="M463" s="100">
        <f>MONTH(List3[[#This Row],[Tanggal Pengajuan]])</f>
        <v>1</v>
      </c>
      <c r="N463" s="183"/>
      <c r="O463" s="100"/>
      <c r="P463" s="111"/>
      <c r="Q463" s="230" t="s">
        <v>958</v>
      </c>
      <c r="R463" s="812">
        <f>+G463</f>
        <v>770000</v>
      </c>
    </row>
    <row r="464" spans="1:18" s="8" customFormat="1" ht="15.75" x14ac:dyDescent="0.2">
      <c r="A464" s="644"/>
      <c r="B464" s="735"/>
      <c r="C464" s="729"/>
      <c r="D464" s="792"/>
      <c r="E464" s="729"/>
      <c r="F464" s="793"/>
      <c r="G464" s="794"/>
      <c r="H464" s="794"/>
      <c r="I464" s="769"/>
      <c r="J464" s="406"/>
      <c r="K464" s="650"/>
      <c r="L464" s="406"/>
      <c r="M464" s="406"/>
      <c r="N464" s="650"/>
      <c r="O464" s="406"/>
      <c r="P464" s="651"/>
      <c r="Q464" s="652"/>
      <c r="R464" s="771"/>
    </row>
    <row r="465" spans="1:18" s="8" customFormat="1" ht="15.75" x14ac:dyDescent="0.2">
      <c r="A465" s="653"/>
      <c r="B465" s="813"/>
      <c r="C465" s="712"/>
      <c r="D465" s="814"/>
      <c r="E465" s="712"/>
      <c r="F465" s="815"/>
      <c r="G465" s="805">
        <f>SUM(G459:G464)</f>
        <v>2750000</v>
      </c>
      <c r="H465" s="816"/>
      <c r="I465" s="777"/>
      <c r="J465" s="618"/>
      <c r="K465" s="658"/>
      <c r="L465" s="618"/>
      <c r="M465" s="618"/>
      <c r="N465" s="658"/>
      <c r="O465" s="618"/>
      <c r="P465" s="659"/>
      <c r="Q465" s="660"/>
      <c r="R465" s="805">
        <f>SUM(R459:R464)</f>
        <v>2750000</v>
      </c>
    </row>
    <row r="466" spans="1:18" s="8" customFormat="1" ht="15.75" x14ac:dyDescent="0.2">
      <c r="A466" s="653"/>
      <c r="B466" s="813"/>
      <c r="C466" s="712"/>
      <c r="D466" s="814"/>
      <c r="E466" s="712"/>
      <c r="F466" s="815"/>
      <c r="G466" s="816"/>
      <c r="H466" s="816"/>
      <c r="I466" s="777"/>
      <c r="J466" s="618"/>
      <c r="K466" s="658"/>
      <c r="L466" s="618"/>
      <c r="M466" s="618"/>
      <c r="N466" s="658"/>
      <c r="O466" s="618"/>
      <c r="P466" s="659"/>
      <c r="Q466" s="660"/>
      <c r="R466" s="803">
        <f>+R465-'S1-S2  2021'!O6</f>
        <v>0</v>
      </c>
    </row>
    <row r="467" spans="1:18" s="8" customFormat="1" ht="15.75" x14ac:dyDescent="0.2">
      <c r="A467" s="653"/>
      <c r="B467" s="813"/>
      <c r="C467" s="712"/>
      <c r="D467" s="814"/>
      <c r="E467" s="712"/>
      <c r="F467" s="815"/>
      <c r="G467" s="803">
        <f>SUM(G466,G455,G442,G179,G126,G47,G34)</f>
        <v>2860757699</v>
      </c>
      <c r="H467" s="816"/>
      <c r="I467" s="777"/>
      <c r="J467" s="618"/>
      <c r="K467" s="658"/>
      <c r="L467" s="618"/>
      <c r="M467" s="618"/>
      <c r="N467" s="658"/>
      <c r="O467" s="618"/>
      <c r="P467" s="659"/>
      <c r="Q467" s="660"/>
      <c r="R467" s="805">
        <f>SUM(R465,R455,R442,R179,R126,R47,R34)+R169</f>
        <v>3406007699</v>
      </c>
    </row>
    <row r="468" spans="1:18" s="8" customFormat="1" ht="15.75" x14ac:dyDescent="0.2">
      <c r="A468" s="653"/>
      <c r="B468" s="813"/>
      <c r="C468" s="712"/>
      <c r="D468" s="814"/>
      <c r="E468" s="712"/>
      <c r="F468" s="815"/>
      <c r="G468" s="816"/>
      <c r="H468" s="816"/>
      <c r="I468" s="777"/>
      <c r="J468" s="618"/>
      <c r="K468" s="658"/>
      <c r="L468" s="618"/>
      <c r="M468" s="618"/>
      <c r="N468" s="658"/>
      <c r="O468" s="618"/>
      <c r="P468" s="659"/>
      <c r="Q468" s="660"/>
      <c r="R468" s="803">
        <f>+R467-'S1-S2  2021'!O11</f>
        <v>31935615</v>
      </c>
    </row>
    <row r="469" spans="1:18" s="8" customFormat="1" ht="15.75" x14ac:dyDescent="0.2">
      <c r="A469" s="653"/>
      <c r="B469" s="813"/>
      <c r="C469" s="712"/>
      <c r="D469" s="814"/>
      <c r="E469" s="712"/>
      <c r="F469" s="815"/>
      <c r="G469" s="816"/>
      <c r="H469" s="816"/>
      <c r="I469" s="777"/>
      <c r="J469" s="618"/>
      <c r="K469" s="658"/>
      <c r="L469" s="618"/>
      <c r="M469" s="618"/>
      <c r="N469" s="658"/>
      <c r="O469" s="618"/>
      <c r="P469" s="659"/>
      <c r="Q469" s="660"/>
      <c r="R469" s="771"/>
    </row>
    <row r="470" spans="1:18" s="8" customFormat="1" ht="15.75" x14ac:dyDescent="0.2">
      <c r="A470" s="661"/>
      <c r="B470" s="795"/>
      <c r="C470" s="796"/>
      <c r="D470" s="797"/>
      <c r="E470" s="712"/>
      <c r="F470" s="798"/>
      <c r="G470" s="799"/>
      <c r="H470" s="799"/>
      <c r="I470" s="784"/>
      <c r="J470" s="663"/>
      <c r="K470" s="668"/>
      <c r="L470" s="663"/>
      <c r="M470" s="663"/>
      <c r="N470" s="658"/>
      <c r="O470" s="663"/>
      <c r="P470" s="659"/>
      <c r="Q470" s="670"/>
      <c r="R470" s="771"/>
    </row>
    <row r="471" spans="1:18" s="4" customFormat="1" ht="15.75" x14ac:dyDescent="0.2">
      <c r="A471" s="13">
        <v>44496</v>
      </c>
      <c r="B471" s="66" t="s">
        <v>561</v>
      </c>
      <c r="C471" s="14"/>
      <c r="D471" s="18"/>
      <c r="E471" s="103"/>
      <c r="F471" s="15">
        <v>0</v>
      </c>
      <c r="G471" s="40"/>
      <c r="H471" s="40"/>
      <c r="I471" s="16"/>
      <c r="J471" s="14"/>
      <c r="K471" s="757"/>
      <c r="L471" s="100"/>
      <c r="M471" s="100">
        <f>MONTH(List3[[#This Row],[Tanggal Pengajuan]])</f>
        <v>1</v>
      </c>
      <c r="N471" s="183"/>
      <c r="O471" s="100"/>
      <c r="P471" s="111"/>
      <c r="Q471" s="237"/>
      <c r="R471" s="577"/>
    </row>
    <row r="472" spans="1:18" s="4" customFormat="1" ht="15.75" x14ac:dyDescent="0.2">
      <c r="A472" s="19"/>
      <c r="B472" s="189" t="s">
        <v>562</v>
      </c>
      <c r="C472" s="176"/>
      <c r="D472" s="176"/>
      <c r="E472" s="103"/>
      <c r="F472" s="469">
        <v>0</v>
      </c>
      <c r="G472" s="40"/>
      <c r="H472" s="40"/>
      <c r="I472" s="16"/>
      <c r="J472" s="176"/>
      <c r="K472" s="758"/>
      <c r="L472" s="20"/>
      <c r="M472" s="20">
        <f>MONTH(List3[[#This Row],[Tanggal Pengajuan]])</f>
        <v>1</v>
      </c>
      <c r="N472" s="183"/>
      <c r="O472" s="20"/>
      <c r="P472" s="177"/>
      <c r="Q472" s="237"/>
      <c r="R472" s="577"/>
    </row>
    <row r="473" spans="1:18" s="4" customFormat="1" ht="15.75" x14ac:dyDescent="0.2">
      <c r="A473" s="19"/>
      <c r="B473" s="189" t="s">
        <v>563</v>
      </c>
      <c r="C473" s="176"/>
      <c r="D473" s="176"/>
      <c r="E473" s="103"/>
      <c r="F473" s="469">
        <v>0</v>
      </c>
      <c r="G473" s="40"/>
      <c r="H473" s="40"/>
      <c r="I473" s="16"/>
      <c r="J473" s="176"/>
      <c r="K473" s="758"/>
      <c r="L473" s="20"/>
      <c r="M473" s="20">
        <f>MONTH(List3[[#This Row],[Tanggal Pengajuan]])</f>
        <v>1</v>
      </c>
      <c r="N473" s="183"/>
      <c r="O473" s="20"/>
      <c r="P473" s="177"/>
      <c r="Q473" s="237"/>
      <c r="R473" s="577"/>
    </row>
    <row r="474" spans="1:18" s="4" customFormat="1" ht="15.75" x14ac:dyDescent="0.2">
      <c r="A474" s="19"/>
      <c r="B474" s="189" t="s">
        <v>574</v>
      </c>
      <c r="C474" s="176"/>
      <c r="D474" s="176"/>
      <c r="E474" s="103"/>
      <c r="F474" s="469">
        <v>0</v>
      </c>
      <c r="G474" s="40"/>
      <c r="H474" s="40"/>
      <c r="I474" s="16"/>
      <c r="J474" s="176"/>
      <c r="K474" s="758"/>
      <c r="L474" s="20"/>
      <c r="M474" s="20">
        <f>MONTH(List3[[#This Row],[Tanggal Pengajuan]])</f>
        <v>1</v>
      </c>
      <c r="N474" s="183"/>
      <c r="O474" s="20"/>
      <c r="P474" s="177"/>
      <c r="Q474" s="237"/>
      <c r="R474" s="577"/>
    </row>
  </sheetData>
  <sortState xmlns:xlrd2="http://schemas.microsoft.com/office/spreadsheetml/2017/richdata2" ref="A840:O901">
    <sortCondition ref="B840"/>
  </sortState>
  <dataValidations count="5">
    <dataValidation errorStyle="warning" allowBlank="1" showInputMessage="1" showErrorMessage="1" error="If the card was received, select Yes from the list. Select CANCEL, press ALT+DOWN ARROW for options, then DOWN ARROW and ENTER to make selection" sqref="M28:O28 M24:O24 L12 M25:N27 C62 L21:L22 L25:L29 L58:L60 L85:L87 K32:K57 K61 N29:N63 K66 N65:N93 N123:N131 L123:L131 O22:O26 O12:O20 L9:L10 C12 C28 J28 C21 M2:O2 M4:O7 M8:N23 L3:N3 M29:M244 N215:N244 M417:N474 N416 M245:N415" xr:uid="{00000000-0002-0000-0600-000000000000}"/>
    <dataValidation allowBlank="1" showInputMessage="1" showErrorMessage="1" prompt="Enter Last Name in this column under this heading. Use heading filters to find specific entries" sqref="A2:A10" xr:uid="{00000000-0002-0000-0600-000001000000}"/>
    <dataValidation allowBlank="1" showInputMessage="1" showErrorMessage="1" prompt="Enter City, State, and Zip Code in this column under this heading" sqref="B2 B4:B8" xr:uid="{00000000-0002-0000-0600-000002000000}"/>
    <dataValidation type="list" allowBlank="1" showInputMessage="1" showErrorMessage="1" sqref="O11 C311:C415 C167:C193 C195:C280 C417:C474 C123:C136 C2:C11 C63:C91 C30:C61 C22:C27 C13:C20 O157 C96:C118 J21 O63 C93:C94 C160:C165 J158:J159 O21 C139:C157 J62" xr:uid="{00000000-0002-0000-0600-000003000000}">
      <formula1>$C$1:$C$134</formula1>
    </dataValidation>
    <dataValidation type="list" allowBlank="1" showInputMessage="1" showErrorMessage="1" sqref="C137:C138 C194 C416" xr:uid="{00000000-0002-0000-0600-000004000000}">
      <formula1>$C$1:$C$116</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5000000}">
          <x14:formula1>
            <xm:f>Sheet1!$D$2:$D$4</xm:f>
          </x14:formula1>
          <xm:sqref>E2:E162 E417:E474 E166:E193 E195:E415</xm:sqref>
        </x14:dataValidation>
        <x14:dataValidation type="list" allowBlank="1" showInputMessage="1" showErrorMessage="1" xr:uid="{00000000-0002-0000-0600-000006000000}">
          <x14:formula1>
            <xm:f>'S2 2020'!$B$3:$B$8</xm:f>
          </x14:formula1>
          <xm:sqref>D132 D161:D162 D247:D272 D158:D159 D417:D474 D167:D193 D195:D244 D276:D415</xm:sqref>
        </x14:dataValidation>
        <x14:dataValidation type="list" allowBlank="1" showInputMessage="1" showErrorMessage="1" xr:uid="{00000000-0002-0000-0600-000007000000}">
          <x14:formula1>
            <xm:f>Sheet1!$B$2:$B$3</xm:f>
          </x14:formula1>
          <xm:sqref>I2:I118 I417:I474 J416 I120:I415</xm:sqref>
        </x14:dataValidation>
        <x14:dataValidation type="list" allowBlank="1" showInputMessage="1" showErrorMessage="1" xr:uid="{00000000-0002-0000-0600-000008000000}">
          <x14:formula1>
            <xm:f>Sheet1!$C$2:$C$5</xm:f>
          </x14:formula1>
          <xm:sqref>I119 J22:J27 J94:J118 J29:J61 J2:J20 J121:J157 J63:J92 J417:J474 K416 J160:J415</xm:sqref>
        </x14:dataValidation>
        <x14:dataValidation type="list" allowBlank="1" showInputMessage="1" showErrorMessage="1" xr:uid="{00000000-0002-0000-0600-000009000000}">
          <x14:formula1>
            <xm:f>'D:\YKP\[Backup - Summary YKP of 9 Mei''22.xlsx]Sheet1'!#REF!</xm:f>
          </x14:formula1>
          <xm:sqref>D157 D166</xm:sqref>
        </x14:dataValidation>
        <x14:dataValidation type="list" allowBlank="1" showInputMessage="1" showErrorMessage="1" xr:uid="{00000000-0002-0000-0600-00000A000000}">
          <x14:formula1>
            <xm:f>Category!$C$5:$C$201</xm:f>
          </x14:formula1>
          <xm:sqref>D163:E165 D194:E194 D416:E416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9999"/>
    <pageSetUpPr fitToPage="1"/>
  </sheetPr>
  <dimension ref="B1:U1113"/>
  <sheetViews>
    <sheetView showGridLines="0" zoomScale="78" zoomScaleNormal="78" workbookViewId="0">
      <pane xSplit="7" ySplit="2" topLeftCell="H1084" activePane="bottomRight" state="frozen"/>
      <selection activeCell="AH40" activeCellId="2" sqref="AH27 AH29 AH40"/>
      <selection pane="bottomLeft" activeCell="AH40" activeCellId="2" sqref="AH27 AH29 AH40"/>
      <selection pane="topRight" activeCell="AH40" activeCellId="2" sqref="AH27 AH29 AH40"/>
      <selection pane="bottomRight" activeCell="B1108" sqref="B1108"/>
    </sheetView>
  </sheetViews>
  <sheetFormatPr defaultColWidth="9.01171875" defaultRowHeight="30" customHeight="1" x14ac:dyDescent="0.2"/>
  <cols>
    <col min="1" max="1" width="2.5546875" style="4" customWidth="1"/>
    <col min="2" max="2" width="21.38671875" style="25" customWidth="1"/>
    <col min="3" max="3" width="23.40625" style="68" customWidth="1"/>
    <col min="4" max="4" width="45.73828125" style="25" customWidth="1"/>
    <col min="5" max="5" width="19.37109375" style="25" customWidth="1"/>
    <col min="6" max="6" width="13.71875" style="25" customWidth="1"/>
    <col min="7" max="7" width="7.26171875" style="25" customWidth="1"/>
    <col min="8" max="8" width="18.83203125" style="268" customWidth="1"/>
    <col min="9" max="9" width="19.50390625" style="268" customWidth="1"/>
    <col min="10" max="10" width="20.984375" style="114" bestFit="1" customWidth="1"/>
    <col min="11" max="11" width="44.390625" style="25" customWidth="1"/>
    <col min="12" max="12" width="23.26953125" style="114" bestFit="1" customWidth="1"/>
    <col min="13" max="13" width="58.515625" style="25" customWidth="1"/>
    <col min="14" max="14" width="12.10546875" style="25" customWidth="1"/>
    <col min="15" max="15" width="14.796875" style="25" bestFit="1" customWidth="1"/>
    <col min="16" max="16" width="44.2578125" style="25" customWidth="1"/>
    <col min="17" max="17" width="30.53515625" style="112" bestFit="1" customWidth="1"/>
    <col min="18" max="18" width="9.01171875" style="4"/>
    <col min="19" max="19" width="6.3203125" style="4" bestFit="1" customWidth="1"/>
    <col min="20" max="20" width="16.6796875" style="275" bestFit="1" customWidth="1"/>
    <col min="21" max="21" width="18.0234375" style="4" bestFit="1" customWidth="1"/>
    <col min="22" max="16384" width="9.01171875" style="4"/>
  </cols>
  <sheetData>
    <row r="1" spans="2:21" customFormat="1" ht="70.5" customHeight="1" x14ac:dyDescent="0.2">
      <c r="B1" s="10"/>
      <c r="C1" s="64"/>
      <c r="D1" s="11"/>
      <c r="E1" s="11"/>
      <c r="F1" s="11"/>
      <c r="G1" s="11"/>
      <c r="H1" s="256"/>
      <c r="I1" s="256"/>
      <c r="J1" s="54"/>
      <c r="K1" s="11"/>
      <c r="L1" s="219"/>
      <c r="M1" s="11"/>
      <c r="N1" s="11"/>
      <c r="O1" s="10"/>
      <c r="P1" s="11"/>
      <c r="Q1" s="113"/>
      <c r="T1" s="187"/>
    </row>
    <row r="2" spans="2:21" s="114" customFormat="1" ht="47.1" customHeight="1" x14ac:dyDescent="0.25">
      <c r="B2" s="162" t="s">
        <v>0</v>
      </c>
      <c r="C2" s="147" t="s">
        <v>327</v>
      </c>
      <c r="D2" s="148" t="s">
        <v>2</v>
      </c>
      <c r="E2" s="147" t="s">
        <v>3</v>
      </c>
      <c r="F2" s="147" t="s">
        <v>4</v>
      </c>
      <c r="G2" s="148" t="s">
        <v>5</v>
      </c>
      <c r="H2" s="257" t="s">
        <v>6</v>
      </c>
      <c r="I2" s="257" t="s">
        <v>7</v>
      </c>
      <c r="J2" s="147" t="s">
        <v>8</v>
      </c>
      <c r="K2" s="149" t="s">
        <v>9</v>
      </c>
      <c r="L2" s="150" t="s">
        <v>1007</v>
      </c>
      <c r="M2" s="149" t="s">
        <v>11</v>
      </c>
      <c r="N2" s="149" t="s">
        <v>12</v>
      </c>
      <c r="O2" s="150" t="s">
        <v>255</v>
      </c>
      <c r="P2" s="149" t="s">
        <v>13</v>
      </c>
      <c r="Q2" s="149" t="s">
        <v>363</v>
      </c>
      <c r="R2" s="228" t="s">
        <v>957</v>
      </c>
      <c r="T2" s="218"/>
    </row>
    <row r="3" spans="2:21" ht="30" customHeight="1" x14ac:dyDescent="0.2">
      <c r="B3" s="13">
        <v>44566</v>
      </c>
      <c r="C3" s="66" t="s">
        <v>645</v>
      </c>
      <c r="D3" s="14" t="s">
        <v>702</v>
      </c>
      <c r="E3" s="14" t="s">
        <v>1055</v>
      </c>
      <c r="F3" s="14" t="s">
        <v>28</v>
      </c>
      <c r="G3" s="15">
        <v>0</v>
      </c>
      <c r="H3" s="258">
        <v>100000000</v>
      </c>
      <c r="I3" s="258">
        <f>List34[[#This Row],[Pengajuan Donasi]]</f>
        <v>100000000</v>
      </c>
      <c r="J3" s="214" t="str">
        <f>IF(List34[[#This Row],[Tanggal Trf]]&gt;0,"Done","-")</f>
        <v>Done</v>
      </c>
      <c r="K3" s="437" t="s">
        <v>25</v>
      </c>
      <c r="L3" s="220">
        <v>44568</v>
      </c>
      <c r="M3" s="100" t="s">
        <v>671</v>
      </c>
      <c r="N3" s="100">
        <f>MONTH(List34[[#This Row],[Tanggal Pengajuan]])</f>
        <v>1</v>
      </c>
      <c r="O3" s="62"/>
      <c r="P3" s="100" t="s">
        <v>670</v>
      </c>
      <c r="Q3" s="110"/>
      <c r="R3" s="230" t="s">
        <v>958</v>
      </c>
      <c r="T3" s="275">
        <f>+List34[[#This Row],[Pengajuan Donasi]]-List34[[#This Row],[Jumlah Transfer]]</f>
        <v>0</v>
      </c>
      <c r="U3" s="275"/>
    </row>
    <row r="4" spans="2:21" ht="36" customHeight="1" x14ac:dyDescent="0.2">
      <c r="B4" s="13">
        <v>44566</v>
      </c>
      <c r="C4" s="66" t="s">
        <v>646</v>
      </c>
      <c r="D4" s="14" t="s">
        <v>704</v>
      </c>
      <c r="E4" s="14" t="s">
        <v>26</v>
      </c>
      <c r="F4" s="14" t="s">
        <v>28</v>
      </c>
      <c r="G4" s="15">
        <v>0</v>
      </c>
      <c r="H4" s="258">
        <v>20000000</v>
      </c>
      <c r="I4" s="258">
        <f>List34[[#This Row],[Pengajuan Donasi]]</f>
        <v>20000000</v>
      </c>
      <c r="J4" s="214" t="str">
        <f>IF(List34[[#This Row],[Tanggal Trf]]&gt;0,"Done","-")</f>
        <v>Done</v>
      </c>
      <c r="K4" s="437" t="s">
        <v>25</v>
      </c>
      <c r="L4" s="220">
        <v>44568</v>
      </c>
      <c r="M4" s="100" t="s">
        <v>647</v>
      </c>
      <c r="N4" s="100">
        <f>MONTH(List34[[#This Row],[Tanggal Pengajuan]])</f>
        <v>1</v>
      </c>
      <c r="O4" s="62"/>
      <c r="P4" s="100" t="s">
        <v>648</v>
      </c>
      <c r="Q4" s="110"/>
      <c r="R4" s="230" t="s">
        <v>958</v>
      </c>
      <c r="T4" s="275">
        <f>+List34[[#This Row],[Pengajuan Donasi]]-List34[[#This Row],[Jumlah Transfer]]</f>
        <v>0</v>
      </c>
      <c r="U4" s="275"/>
    </row>
    <row r="5" spans="2:21" ht="30" customHeight="1" x14ac:dyDescent="0.2">
      <c r="B5" s="13">
        <v>44566</v>
      </c>
      <c r="C5" s="66" t="s">
        <v>649</v>
      </c>
      <c r="D5" s="14" t="s">
        <v>859</v>
      </c>
      <c r="E5" s="14" t="s">
        <v>17</v>
      </c>
      <c r="F5" s="14" t="s">
        <v>18</v>
      </c>
      <c r="G5" s="15">
        <v>23</v>
      </c>
      <c r="H5" s="258">
        <v>6000000</v>
      </c>
      <c r="I5" s="258">
        <f>List34[[#This Row],[Pengajuan Donasi]]</f>
        <v>6000000</v>
      </c>
      <c r="J5" s="214" t="str">
        <f>IF(List34[[#This Row],[Tanggal Trf]]&gt;0,"Done","-")</f>
        <v>Done</v>
      </c>
      <c r="K5" s="437"/>
      <c r="L5" s="220">
        <v>44580</v>
      </c>
      <c r="M5" s="100" t="s">
        <v>650</v>
      </c>
      <c r="N5" s="100">
        <f>MONTH(List34[[#This Row],[Tanggal Pengajuan]])</f>
        <v>1</v>
      </c>
      <c r="O5" s="62"/>
      <c r="P5" s="100" t="s">
        <v>651</v>
      </c>
      <c r="Q5" s="110"/>
      <c r="R5" s="230" t="s">
        <v>958</v>
      </c>
      <c r="T5" s="275">
        <f>+List34[[#This Row],[Pengajuan Donasi]]-List34[[#This Row],[Jumlah Transfer]]</f>
        <v>0</v>
      </c>
      <c r="U5" s="275"/>
    </row>
    <row r="6" spans="2:21" ht="30" customHeight="1" x14ac:dyDescent="0.2">
      <c r="B6" s="13">
        <v>44566</v>
      </c>
      <c r="C6" s="66" t="s">
        <v>652</v>
      </c>
      <c r="D6" s="14" t="s">
        <v>876</v>
      </c>
      <c r="E6" s="14" t="s">
        <v>26</v>
      </c>
      <c r="F6" s="14" t="s">
        <v>18</v>
      </c>
      <c r="G6" s="469">
        <v>1</v>
      </c>
      <c r="H6" s="259">
        <v>5000000</v>
      </c>
      <c r="I6" s="258">
        <f>List34[[#This Row],[Pengajuan Donasi]]</f>
        <v>5000000</v>
      </c>
      <c r="J6" s="215" t="str">
        <f>IF(List34[[#This Row],[Tanggal Trf]]&gt;0,"Done","-")</f>
        <v>Done</v>
      </c>
      <c r="K6" s="438"/>
      <c r="L6" s="220">
        <v>44580</v>
      </c>
      <c r="M6" s="203" t="s">
        <v>448</v>
      </c>
      <c r="N6" s="20">
        <f>MONTH(List34[[#This Row],[Tanggal Pengajuan]])</f>
        <v>1</v>
      </c>
      <c r="O6" s="62"/>
      <c r="P6" s="100" t="s">
        <v>651</v>
      </c>
      <c r="Q6" s="198"/>
      <c r="R6" s="230" t="s">
        <v>958</v>
      </c>
      <c r="T6" s="275">
        <f>+List34[[#This Row],[Pengajuan Donasi]]-List34[[#This Row],[Jumlah Transfer]]</f>
        <v>0</v>
      </c>
      <c r="U6" s="275"/>
    </row>
    <row r="7" spans="2:21" ht="30" customHeight="1" x14ac:dyDescent="0.2">
      <c r="B7" s="13">
        <v>44566</v>
      </c>
      <c r="C7" s="181"/>
      <c r="D7" s="14" t="s">
        <v>875</v>
      </c>
      <c r="E7" s="14" t="s">
        <v>26</v>
      </c>
      <c r="F7" s="14" t="s">
        <v>18</v>
      </c>
      <c r="G7" s="469">
        <v>1</v>
      </c>
      <c r="H7" s="260">
        <v>1000000</v>
      </c>
      <c r="I7" s="258">
        <f>List34[[#This Row],[Pengajuan Donasi]]</f>
        <v>1000000</v>
      </c>
      <c r="J7" s="215" t="str">
        <f>IF(List34[[#This Row],[Tanggal Trf]]&gt;0,"Done","-")</f>
        <v>Done</v>
      </c>
      <c r="K7" s="438"/>
      <c r="L7" s="220">
        <v>44580</v>
      </c>
      <c r="M7" s="208" t="s">
        <v>453</v>
      </c>
      <c r="N7" s="20">
        <f>MONTH(List34[[#This Row],[Tanggal Pengajuan]])</f>
        <v>1</v>
      </c>
      <c r="O7" s="183"/>
      <c r="P7" s="100" t="s">
        <v>651</v>
      </c>
      <c r="Q7" s="198"/>
      <c r="R7" s="230" t="s">
        <v>958</v>
      </c>
      <c r="T7" s="275">
        <f>+List34[[#This Row],[Pengajuan Donasi]]-List34[[#This Row],[Jumlah Transfer]]</f>
        <v>0</v>
      </c>
      <c r="U7" s="275"/>
    </row>
    <row r="8" spans="2:21" ht="30" customHeight="1" x14ac:dyDescent="0.2">
      <c r="B8" s="13">
        <v>44566</v>
      </c>
      <c r="C8" s="66"/>
      <c r="D8" s="14" t="s">
        <v>877</v>
      </c>
      <c r="E8" s="14" t="s">
        <v>26</v>
      </c>
      <c r="F8" s="14" t="s">
        <v>18</v>
      </c>
      <c r="G8" s="469">
        <v>1</v>
      </c>
      <c r="H8" s="259">
        <v>1000000</v>
      </c>
      <c r="I8" s="258">
        <f>List34[[#This Row],[Pengajuan Donasi]]</f>
        <v>1000000</v>
      </c>
      <c r="J8" s="214" t="str">
        <f>IF(List34[[#This Row],[Tanggal Trf]]&gt;0,"Done","-")</f>
        <v>Done</v>
      </c>
      <c r="K8" s="437"/>
      <c r="L8" s="220">
        <v>44580</v>
      </c>
      <c r="M8" s="184" t="s">
        <v>458</v>
      </c>
      <c r="N8" s="100">
        <f>MONTH(List34[[#This Row],[Tanggal Pengajuan]])</f>
        <v>1</v>
      </c>
      <c r="O8" s="62"/>
      <c r="P8" s="100" t="s">
        <v>651</v>
      </c>
      <c r="Q8" s="110"/>
      <c r="R8" s="230" t="s">
        <v>958</v>
      </c>
      <c r="T8" s="275">
        <f>+List34[[#This Row],[Pengajuan Donasi]]-List34[[#This Row],[Jumlah Transfer]]</f>
        <v>0</v>
      </c>
      <c r="U8" s="275"/>
    </row>
    <row r="9" spans="2:21" ht="30" customHeight="1" x14ac:dyDescent="0.2">
      <c r="B9" s="13">
        <v>44566</v>
      </c>
      <c r="C9" s="66"/>
      <c r="D9" s="14" t="s">
        <v>878</v>
      </c>
      <c r="E9" s="14" t="s">
        <v>26</v>
      </c>
      <c r="F9" s="14" t="s">
        <v>18</v>
      </c>
      <c r="G9" s="469">
        <v>1</v>
      </c>
      <c r="H9" s="260">
        <v>1000000</v>
      </c>
      <c r="I9" s="258">
        <f>List34[[#This Row],[Pengajuan Donasi]]</f>
        <v>1000000</v>
      </c>
      <c r="J9" s="214" t="str">
        <f>IF(List34[[#This Row],[Tanggal Trf]]&gt;0,"Done","-")</f>
        <v>Done</v>
      </c>
      <c r="K9" s="437"/>
      <c r="L9" s="220">
        <v>44580</v>
      </c>
      <c r="M9" s="208" t="s">
        <v>460</v>
      </c>
      <c r="N9" s="100">
        <f>MONTH(List34[[#This Row],[Tanggal Pengajuan]])</f>
        <v>1</v>
      </c>
      <c r="O9" s="62"/>
      <c r="P9" s="100" t="s">
        <v>651</v>
      </c>
      <c r="Q9" s="110"/>
      <c r="R9" s="230" t="s">
        <v>958</v>
      </c>
      <c r="T9" s="275">
        <f>+List34[[#This Row],[Pengajuan Donasi]]-List34[[#This Row],[Jumlah Transfer]]</f>
        <v>0</v>
      </c>
      <c r="U9" s="275"/>
    </row>
    <row r="10" spans="2:21" ht="30" customHeight="1" x14ac:dyDescent="0.2">
      <c r="B10" s="13">
        <v>44566</v>
      </c>
      <c r="C10" s="66"/>
      <c r="D10" s="14" t="s">
        <v>879</v>
      </c>
      <c r="E10" s="14" t="s">
        <v>26</v>
      </c>
      <c r="F10" s="14" t="s">
        <v>18</v>
      </c>
      <c r="G10" s="469">
        <v>1</v>
      </c>
      <c r="H10" s="259">
        <v>1000000</v>
      </c>
      <c r="I10" s="258">
        <f>List34[[#This Row],[Pengajuan Donasi]]</f>
        <v>1000000</v>
      </c>
      <c r="J10" s="214" t="str">
        <f>IF(List34[[#This Row],[Tanggal Trf]]&gt;0,"Done","-")</f>
        <v>Done</v>
      </c>
      <c r="K10" s="437"/>
      <c r="L10" s="220">
        <v>44580</v>
      </c>
      <c r="M10" s="184" t="s">
        <v>462</v>
      </c>
      <c r="N10" s="100">
        <f>MONTH(List34[[#This Row],[Tanggal Pengajuan]])</f>
        <v>1</v>
      </c>
      <c r="O10" s="62"/>
      <c r="P10" s="100" t="s">
        <v>651</v>
      </c>
      <c r="Q10" s="110"/>
      <c r="R10" s="230" t="s">
        <v>958</v>
      </c>
      <c r="T10" s="275">
        <f>+List34[[#This Row],[Pengajuan Donasi]]-List34[[#This Row],[Jumlah Transfer]]</f>
        <v>0</v>
      </c>
      <c r="U10" s="275"/>
    </row>
    <row r="11" spans="2:21" ht="30" customHeight="1" x14ac:dyDescent="0.2">
      <c r="B11" s="13">
        <v>44566</v>
      </c>
      <c r="C11" s="66"/>
      <c r="D11" s="14" t="s">
        <v>951</v>
      </c>
      <c r="E11" s="14" t="s">
        <v>26</v>
      </c>
      <c r="F11" s="14" t="s">
        <v>18</v>
      </c>
      <c r="G11" s="469">
        <v>1</v>
      </c>
      <c r="H11" s="260">
        <v>1000000</v>
      </c>
      <c r="I11" s="258">
        <f>List34[[#This Row],[Pengajuan Donasi]]</f>
        <v>1000000</v>
      </c>
      <c r="J11" s="214" t="str">
        <f>IF(List34[[#This Row],[Tanggal Trf]]&gt;0,"Done","-")</f>
        <v>Done</v>
      </c>
      <c r="K11" s="437"/>
      <c r="L11" s="220">
        <v>44580</v>
      </c>
      <c r="M11" s="208" t="s">
        <v>466</v>
      </c>
      <c r="N11" s="100">
        <f>MONTH(List34[[#This Row],[Tanggal Pengajuan]])</f>
        <v>1</v>
      </c>
      <c r="O11" s="62"/>
      <c r="P11" s="100" t="s">
        <v>651</v>
      </c>
      <c r="Q11" s="110"/>
      <c r="R11" s="230" t="s">
        <v>958</v>
      </c>
      <c r="T11" s="275">
        <f>+List34[[#This Row],[Pengajuan Donasi]]-List34[[#This Row],[Jumlah Transfer]]</f>
        <v>0</v>
      </c>
      <c r="U11" s="275"/>
    </row>
    <row r="12" spans="2:21" ht="30" customHeight="1" x14ac:dyDescent="0.2">
      <c r="B12" s="13">
        <v>44566</v>
      </c>
      <c r="C12" s="66"/>
      <c r="D12" s="14" t="s">
        <v>880</v>
      </c>
      <c r="E12" s="14" t="s">
        <v>26</v>
      </c>
      <c r="F12" s="14" t="s">
        <v>18</v>
      </c>
      <c r="G12" s="469">
        <v>1</v>
      </c>
      <c r="H12" s="259">
        <v>1000000</v>
      </c>
      <c r="I12" s="258">
        <f>List34[[#This Row],[Pengajuan Donasi]]</f>
        <v>1000000</v>
      </c>
      <c r="J12" s="214" t="str">
        <f>IF(List34[[#This Row],[Tanggal Trf]]&gt;0,"Done","-")</f>
        <v>Done</v>
      </c>
      <c r="K12" s="437"/>
      <c r="L12" s="220">
        <v>44580</v>
      </c>
      <c r="M12" s="184" t="s">
        <v>470</v>
      </c>
      <c r="N12" s="100">
        <f>MONTH(List34[[#This Row],[Tanggal Pengajuan]])</f>
        <v>1</v>
      </c>
      <c r="O12" s="62"/>
      <c r="P12" s="100" t="s">
        <v>651</v>
      </c>
      <c r="Q12" s="110"/>
      <c r="R12" s="230" t="s">
        <v>958</v>
      </c>
      <c r="T12" s="275">
        <f>+List34[[#This Row],[Pengajuan Donasi]]-List34[[#This Row],[Jumlah Transfer]]</f>
        <v>0</v>
      </c>
      <c r="U12" s="275"/>
    </row>
    <row r="13" spans="2:21" ht="30" customHeight="1" x14ac:dyDescent="0.2">
      <c r="B13" s="13">
        <v>44566</v>
      </c>
      <c r="C13" s="66"/>
      <c r="D13" s="14" t="s">
        <v>952</v>
      </c>
      <c r="E13" s="14" t="s">
        <v>26</v>
      </c>
      <c r="F13" s="14" t="s">
        <v>18</v>
      </c>
      <c r="G13" s="469">
        <v>1</v>
      </c>
      <c r="H13" s="260">
        <v>1000000</v>
      </c>
      <c r="I13" s="258">
        <f>List34[[#This Row],[Pengajuan Donasi]]</f>
        <v>1000000</v>
      </c>
      <c r="J13" s="214" t="str">
        <f>IF(List34[[#This Row],[Tanggal Trf]]&gt;0,"Done","-")</f>
        <v>Done</v>
      </c>
      <c r="K13" s="437"/>
      <c r="L13" s="220">
        <v>44580</v>
      </c>
      <c r="M13" s="208" t="s">
        <v>519</v>
      </c>
      <c r="N13" s="100">
        <f>MONTH(List34[[#This Row],[Tanggal Pengajuan]])</f>
        <v>1</v>
      </c>
      <c r="O13" s="62"/>
      <c r="P13" s="100" t="s">
        <v>651</v>
      </c>
      <c r="Q13" s="110"/>
      <c r="R13" s="230" t="s">
        <v>958</v>
      </c>
      <c r="T13" s="275">
        <f>+List34[[#This Row],[Pengajuan Donasi]]-List34[[#This Row],[Jumlah Transfer]]</f>
        <v>0</v>
      </c>
      <c r="U13" s="275"/>
    </row>
    <row r="14" spans="2:21" ht="30" customHeight="1" x14ac:dyDescent="0.2">
      <c r="B14" s="13">
        <v>44566</v>
      </c>
      <c r="C14" s="66"/>
      <c r="D14" s="14" t="s">
        <v>881</v>
      </c>
      <c r="E14" s="14" t="s">
        <v>26</v>
      </c>
      <c r="F14" s="14" t="s">
        <v>18</v>
      </c>
      <c r="G14" s="469">
        <v>1</v>
      </c>
      <c r="H14" s="259">
        <v>1000000</v>
      </c>
      <c r="I14" s="258">
        <f>List34[[#This Row],[Pengajuan Donasi]]</f>
        <v>1000000</v>
      </c>
      <c r="J14" s="214" t="str">
        <f>IF(List34[[#This Row],[Tanggal Trf]]&gt;0,"Done","-")</f>
        <v>Done</v>
      </c>
      <c r="K14" s="437"/>
      <c r="L14" s="220">
        <v>44580</v>
      </c>
      <c r="M14" s="184" t="s">
        <v>476</v>
      </c>
      <c r="N14" s="100">
        <f>MONTH(List34[[#This Row],[Tanggal Pengajuan]])</f>
        <v>1</v>
      </c>
      <c r="O14" s="62"/>
      <c r="P14" s="100" t="s">
        <v>651</v>
      </c>
      <c r="Q14" s="110"/>
      <c r="R14" s="230" t="s">
        <v>958</v>
      </c>
      <c r="T14" s="275">
        <f>+List34[[#This Row],[Pengajuan Donasi]]-List34[[#This Row],[Jumlah Transfer]]</f>
        <v>0</v>
      </c>
      <c r="U14" s="275"/>
    </row>
    <row r="15" spans="2:21" ht="30" customHeight="1" x14ac:dyDescent="0.2">
      <c r="B15" s="13">
        <v>44566</v>
      </c>
      <c r="C15" s="66"/>
      <c r="D15" s="14" t="s">
        <v>882</v>
      </c>
      <c r="E15" s="14" t="s">
        <v>26</v>
      </c>
      <c r="F15" s="14" t="s">
        <v>18</v>
      </c>
      <c r="G15" s="469">
        <v>1</v>
      </c>
      <c r="H15" s="260">
        <v>750000</v>
      </c>
      <c r="I15" s="258">
        <f>List34[[#This Row],[Pengajuan Donasi]]</f>
        <v>750000</v>
      </c>
      <c r="J15" s="214" t="str">
        <f>IF(List34[[#This Row],[Tanggal Trf]]&gt;0,"Done","-")</f>
        <v>Done</v>
      </c>
      <c r="K15" s="437"/>
      <c r="L15" s="220">
        <v>44580</v>
      </c>
      <c r="M15" s="208" t="s">
        <v>479</v>
      </c>
      <c r="N15" s="100">
        <f>MONTH(List34[[#This Row],[Tanggal Pengajuan]])</f>
        <v>1</v>
      </c>
      <c r="O15" s="62"/>
      <c r="P15" s="100" t="s">
        <v>651</v>
      </c>
      <c r="Q15" s="110"/>
      <c r="R15" s="230" t="s">
        <v>958</v>
      </c>
      <c r="T15" s="275">
        <f>+List34[[#This Row],[Pengajuan Donasi]]-List34[[#This Row],[Jumlah Transfer]]</f>
        <v>0</v>
      </c>
      <c r="U15" s="275"/>
    </row>
    <row r="16" spans="2:21" ht="30" customHeight="1" x14ac:dyDescent="0.2">
      <c r="B16" s="13">
        <v>44566</v>
      </c>
      <c r="C16" s="66"/>
      <c r="D16" s="14" t="s">
        <v>883</v>
      </c>
      <c r="E16" s="14" t="s">
        <v>26</v>
      </c>
      <c r="F16" s="14" t="s">
        <v>18</v>
      </c>
      <c r="G16" s="469">
        <v>1</v>
      </c>
      <c r="H16" s="259">
        <v>750000</v>
      </c>
      <c r="I16" s="258">
        <f>List34[[#This Row],[Pengajuan Donasi]]</f>
        <v>750000</v>
      </c>
      <c r="J16" s="214" t="str">
        <f>IF(List34[[#This Row],[Tanggal Trf]]&gt;0,"Done","-")</f>
        <v>Done</v>
      </c>
      <c r="K16" s="437"/>
      <c r="L16" s="220">
        <v>44580</v>
      </c>
      <c r="M16" s="184" t="s">
        <v>481</v>
      </c>
      <c r="N16" s="100">
        <f>MONTH(List34[[#This Row],[Tanggal Pengajuan]])</f>
        <v>1</v>
      </c>
      <c r="O16" s="62"/>
      <c r="P16" s="100" t="s">
        <v>651</v>
      </c>
      <c r="Q16" s="110"/>
      <c r="R16" s="230" t="s">
        <v>958</v>
      </c>
      <c r="T16" s="275">
        <f>+List34[[#This Row],[Pengajuan Donasi]]-List34[[#This Row],[Jumlah Transfer]]</f>
        <v>0</v>
      </c>
      <c r="U16" s="275"/>
    </row>
    <row r="17" spans="2:21" ht="30" customHeight="1" x14ac:dyDescent="0.2">
      <c r="B17" s="13">
        <v>44566</v>
      </c>
      <c r="C17" s="66"/>
      <c r="D17" s="14" t="s">
        <v>956</v>
      </c>
      <c r="E17" s="14" t="s">
        <v>26</v>
      </c>
      <c r="F17" s="14" t="s">
        <v>18</v>
      </c>
      <c r="G17" s="469">
        <v>1</v>
      </c>
      <c r="H17" s="260">
        <v>1000000</v>
      </c>
      <c r="I17" s="258">
        <f>List34[[#This Row],[Pengajuan Donasi]]</f>
        <v>1000000</v>
      </c>
      <c r="J17" s="214" t="str">
        <f>IF(List34[[#This Row],[Tanggal Trf]]&gt;0,"Done","-")</f>
        <v>Done</v>
      </c>
      <c r="K17" s="437"/>
      <c r="L17" s="220">
        <v>44580</v>
      </c>
      <c r="M17" s="208" t="s">
        <v>873</v>
      </c>
      <c r="N17" s="100">
        <f>MONTH(List34[[#This Row],[Tanggal Pengajuan]])</f>
        <v>1</v>
      </c>
      <c r="O17" s="62"/>
      <c r="P17" s="100" t="s">
        <v>651</v>
      </c>
      <c r="Q17" s="110"/>
      <c r="R17" s="230" t="s">
        <v>958</v>
      </c>
      <c r="T17" s="275">
        <f>+List34[[#This Row],[Pengajuan Donasi]]-List34[[#This Row],[Jumlah Transfer]]</f>
        <v>0</v>
      </c>
      <c r="U17" s="275"/>
    </row>
    <row r="18" spans="2:21" ht="30" customHeight="1" x14ac:dyDescent="0.2">
      <c r="B18" s="13">
        <v>44566</v>
      </c>
      <c r="C18" s="66"/>
      <c r="D18" s="14" t="s">
        <v>884</v>
      </c>
      <c r="E18" s="14" t="s">
        <v>26</v>
      </c>
      <c r="F18" s="14" t="s">
        <v>18</v>
      </c>
      <c r="G18" s="469">
        <v>1</v>
      </c>
      <c r="H18" s="259">
        <v>1000000</v>
      </c>
      <c r="I18" s="258">
        <f>List34[[#This Row],[Pengajuan Donasi]]</f>
        <v>1000000</v>
      </c>
      <c r="J18" s="214" t="str">
        <f>IF(List34[[#This Row],[Tanggal Trf]]&gt;0,"Done","-")</f>
        <v>Done</v>
      </c>
      <c r="K18" s="437"/>
      <c r="L18" s="220">
        <v>44580</v>
      </c>
      <c r="M18" s="204" t="s">
        <v>874</v>
      </c>
      <c r="N18" s="100">
        <f>MONTH(List34[[#This Row],[Tanggal Pengajuan]])</f>
        <v>1</v>
      </c>
      <c r="O18" s="62"/>
      <c r="P18" s="100" t="s">
        <v>651</v>
      </c>
      <c r="Q18" s="110"/>
      <c r="R18" s="230" t="s">
        <v>958</v>
      </c>
      <c r="T18" s="275">
        <f>+List34[[#This Row],[Pengajuan Donasi]]-List34[[#This Row],[Jumlah Transfer]]</f>
        <v>0</v>
      </c>
      <c r="U18" s="275"/>
    </row>
    <row r="19" spans="2:21" ht="30" customHeight="1" x14ac:dyDescent="0.2">
      <c r="B19" s="13">
        <v>44566</v>
      </c>
      <c r="C19" s="66" t="s">
        <v>653</v>
      </c>
      <c r="D19" s="14" t="s">
        <v>392</v>
      </c>
      <c r="E19" s="14" t="s">
        <v>57</v>
      </c>
      <c r="F19" s="14" t="s">
        <v>18</v>
      </c>
      <c r="G19" s="15">
        <v>75</v>
      </c>
      <c r="H19" s="258">
        <v>10000000</v>
      </c>
      <c r="I19" s="258">
        <f>List34[[#This Row],[Pengajuan Donasi]]</f>
        <v>10000000</v>
      </c>
      <c r="J19" s="214" t="str">
        <f>IF(List34[[#This Row],[Tanggal Trf]]&gt;0,"Done","-")</f>
        <v>Done</v>
      </c>
      <c r="K19" s="437"/>
      <c r="L19" s="220">
        <v>44580</v>
      </c>
      <c r="M19" s="100" t="s">
        <v>540</v>
      </c>
      <c r="N19" s="100">
        <f>MONTH(List34[[#This Row],[Tanggal Pengajuan]])</f>
        <v>1</v>
      </c>
      <c r="O19" s="62"/>
      <c r="P19" s="100" t="s">
        <v>651</v>
      </c>
      <c r="Q19" s="110"/>
      <c r="R19" s="230" t="s">
        <v>958</v>
      </c>
      <c r="T19" s="275">
        <f>+List34[[#This Row],[Pengajuan Donasi]]-List34[[#This Row],[Jumlah Transfer]]</f>
        <v>0</v>
      </c>
      <c r="U19" s="275"/>
    </row>
    <row r="20" spans="2:21" ht="30" customHeight="1" x14ac:dyDescent="0.2">
      <c r="B20" s="13">
        <v>44567</v>
      </c>
      <c r="C20" s="189" t="s">
        <v>654</v>
      </c>
      <c r="D20" s="164" t="s">
        <v>426</v>
      </c>
      <c r="E20" s="168" t="s">
        <v>57</v>
      </c>
      <c r="F20" s="168" t="s">
        <v>18</v>
      </c>
      <c r="G20" s="178">
        <v>31</v>
      </c>
      <c r="H20" s="261">
        <v>0</v>
      </c>
      <c r="I20" s="261">
        <v>0</v>
      </c>
      <c r="J20" s="216" t="str">
        <f>IF(List34[[#This Row],[Tanggal Trf]]&gt;0,"Done","-")</f>
        <v>Done</v>
      </c>
      <c r="K20" s="439" t="s">
        <v>672</v>
      </c>
      <c r="L20" s="273" t="s">
        <v>960</v>
      </c>
      <c r="M20" s="193" t="s">
        <v>655</v>
      </c>
      <c r="N20" s="193">
        <f>MONTH(List34[[#This Row],[Tanggal Pengajuan]])</f>
        <v>1</v>
      </c>
      <c r="O20" s="274"/>
      <c r="P20" s="193" t="s">
        <v>651</v>
      </c>
      <c r="Q20" s="110"/>
      <c r="R20" s="230" t="s">
        <v>958</v>
      </c>
      <c r="T20" s="275">
        <f>+List34[[#This Row],[Pengajuan Donasi]]-List34[[#This Row],[Jumlah Transfer]]</f>
        <v>0</v>
      </c>
      <c r="U20" s="275"/>
    </row>
    <row r="21" spans="2:21" ht="30" customHeight="1" x14ac:dyDescent="0.2">
      <c r="B21" s="13">
        <v>44567</v>
      </c>
      <c r="C21" s="13" t="s">
        <v>220</v>
      </c>
      <c r="D21" s="14" t="s">
        <v>420</v>
      </c>
      <c r="E21" s="14" t="s">
        <v>57</v>
      </c>
      <c r="F21" s="14" t="s">
        <v>18</v>
      </c>
      <c r="G21" s="15">
        <v>29</v>
      </c>
      <c r="H21" s="258">
        <v>10000000</v>
      </c>
      <c r="I21" s="258">
        <f>List34[[#This Row],[Pengajuan Donasi]]</f>
        <v>10000000</v>
      </c>
      <c r="J21" s="214" t="str">
        <f>IF(List34[[#This Row],[Tanggal Trf]]&gt;0,"Done","-")</f>
        <v>Done</v>
      </c>
      <c r="K21" s="437"/>
      <c r="L21" s="220">
        <v>44580</v>
      </c>
      <c r="M21" s="100" t="s">
        <v>534</v>
      </c>
      <c r="N21" s="100">
        <f>MONTH(List34[[#This Row],[Tanggal Pengajuan]])</f>
        <v>1</v>
      </c>
      <c r="O21" s="62"/>
      <c r="P21" s="100" t="s">
        <v>651</v>
      </c>
      <c r="Q21" s="110"/>
      <c r="R21" s="230" t="s">
        <v>958</v>
      </c>
      <c r="T21" s="275">
        <f>+List34[[#This Row],[Pengajuan Donasi]]-List34[[#This Row],[Jumlah Transfer]]</f>
        <v>0</v>
      </c>
      <c r="U21" s="275"/>
    </row>
    <row r="22" spans="2:21" ht="30" customHeight="1" x14ac:dyDescent="0.2">
      <c r="B22" s="13">
        <v>44567</v>
      </c>
      <c r="C22" s="13" t="s">
        <v>321</v>
      </c>
      <c r="D22" s="14" t="s">
        <v>429</v>
      </c>
      <c r="E22" s="14" t="s">
        <v>57</v>
      </c>
      <c r="F22" s="103" t="s">
        <v>18</v>
      </c>
      <c r="G22" s="87">
        <v>38</v>
      </c>
      <c r="H22" s="258">
        <v>5000000</v>
      </c>
      <c r="I22" s="258">
        <f>List34[[#This Row],[Pengajuan Donasi]]</f>
        <v>5000000</v>
      </c>
      <c r="J22" s="214" t="str">
        <f>IF(List34[[#This Row],[Tanggal Trf]]&gt;0,"Done","-")</f>
        <v>Done</v>
      </c>
      <c r="K22" s="440"/>
      <c r="L22" s="221">
        <v>44580</v>
      </c>
      <c r="M22" s="100" t="s">
        <v>537</v>
      </c>
      <c r="N22" s="100">
        <f>MONTH(List34[[#This Row],[Tanggal Pengajuan]])</f>
        <v>1</v>
      </c>
      <c r="O22" s="101"/>
      <c r="P22" s="100" t="s">
        <v>651</v>
      </c>
      <c r="Q22" s="110"/>
      <c r="R22" s="230" t="s">
        <v>958</v>
      </c>
      <c r="T22" s="275">
        <f>+List34[[#This Row],[Pengajuan Donasi]]-List34[[#This Row],[Jumlah Transfer]]</f>
        <v>0</v>
      </c>
      <c r="U22" s="275"/>
    </row>
    <row r="23" spans="2:21" ht="30" customHeight="1" x14ac:dyDescent="0.2">
      <c r="B23" s="13">
        <v>44567</v>
      </c>
      <c r="C23" s="189" t="s">
        <v>656</v>
      </c>
      <c r="D23" s="164" t="s">
        <v>423</v>
      </c>
      <c r="E23" s="164" t="s">
        <v>57</v>
      </c>
      <c r="F23" s="168" t="s">
        <v>18</v>
      </c>
      <c r="G23" s="178">
        <v>35</v>
      </c>
      <c r="H23" s="261">
        <v>0</v>
      </c>
      <c r="I23" s="261">
        <v>0</v>
      </c>
      <c r="J23" s="216" t="str">
        <f>IF(List34[[#This Row],[Tanggal Trf]]&gt;0,"Done","-")</f>
        <v>-</v>
      </c>
      <c r="K23" s="439" t="s">
        <v>1021</v>
      </c>
      <c r="L23" s="222">
        <v>0</v>
      </c>
      <c r="M23" s="193" t="s">
        <v>657</v>
      </c>
      <c r="N23" s="193">
        <f>MONTH(List34[[#This Row],[Tanggal Pengajuan]])</f>
        <v>1</v>
      </c>
      <c r="O23" s="194"/>
      <c r="P23" s="193" t="s">
        <v>651</v>
      </c>
      <c r="Q23" s="110"/>
      <c r="R23" s="230" t="s">
        <v>958</v>
      </c>
      <c r="T23" s="275">
        <f>+List34[[#This Row],[Pengajuan Donasi]]-List34[[#This Row],[Jumlah Transfer]]</f>
        <v>0</v>
      </c>
      <c r="U23" s="275"/>
    </row>
    <row r="24" spans="2:21" ht="30" customHeight="1" x14ac:dyDescent="0.2">
      <c r="B24" s="13">
        <v>44567</v>
      </c>
      <c r="C24" s="66" t="s">
        <v>658</v>
      </c>
      <c r="D24" s="14" t="s">
        <v>410</v>
      </c>
      <c r="E24" s="14" t="s">
        <v>57</v>
      </c>
      <c r="F24" s="103" t="s">
        <v>18</v>
      </c>
      <c r="G24" s="87">
        <v>78</v>
      </c>
      <c r="H24" s="258">
        <v>5000000</v>
      </c>
      <c r="I24" s="258">
        <f>List34[[#This Row],[Pengajuan Donasi]]</f>
        <v>5000000</v>
      </c>
      <c r="J24" s="214" t="str">
        <f>IF(List34[[#This Row],[Tanggal Trf]]&gt;0,"Done","-")</f>
        <v>Done</v>
      </c>
      <c r="K24" s="437"/>
      <c r="L24" s="221">
        <v>44580</v>
      </c>
      <c r="M24" s="100" t="s">
        <v>659</v>
      </c>
      <c r="N24" s="100">
        <f>MONTH(List34[[#This Row],[Tanggal Pengajuan]])</f>
        <v>1</v>
      </c>
      <c r="O24" s="101"/>
      <c r="P24" s="100" t="s">
        <v>651</v>
      </c>
      <c r="Q24" s="110"/>
      <c r="R24" s="230" t="s">
        <v>958</v>
      </c>
      <c r="T24" s="275">
        <f>+List34[[#This Row],[Pengajuan Donasi]]-List34[[#This Row],[Jumlah Transfer]]</f>
        <v>0</v>
      </c>
      <c r="U24" s="275"/>
    </row>
    <row r="25" spans="2:21" ht="30" customHeight="1" x14ac:dyDescent="0.2">
      <c r="B25" s="13">
        <v>44567</v>
      </c>
      <c r="C25" s="66" t="s">
        <v>660</v>
      </c>
      <c r="D25" s="14" t="s">
        <v>407</v>
      </c>
      <c r="E25" s="14" t="s">
        <v>57</v>
      </c>
      <c r="F25" s="103" t="s">
        <v>18</v>
      </c>
      <c r="G25" s="87">
        <v>64</v>
      </c>
      <c r="H25" s="258">
        <v>10000000</v>
      </c>
      <c r="I25" s="258">
        <f>List34[[#This Row],[Pengajuan Donasi]]</f>
        <v>10000000</v>
      </c>
      <c r="J25" s="214" t="str">
        <f>IF(List34[[#This Row],[Tanggal Trf]]&gt;0,"Done","-")</f>
        <v>Done</v>
      </c>
      <c r="K25" s="437"/>
      <c r="L25" s="221">
        <v>44580</v>
      </c>
      <c r="M25" s="100" t="s">
        <v>661</v>
      </c>
      <c r="N25" s="100">
        <f>MONTH(List34[[#This Row],[Tanggal Pengajuan]])</f>
        <v>1</v>
      </c>
      <c r="O25" s="101"/>
      <c r="P25" s="100" t="s">
        <v>651</v>
      </c>
      <c r="Q25" s="110"/>
      <c r="R25" s="230" t="s">
        <v>958</v>
      </c>
      <c r="T25" s="275">
        <f>+List34[[#This Row],[Pengajuan Donasi]]-List34[[#This Row],[Jumlah Transfer]]</f>
        <v>0</v>
      </c>
      <c r="U25" s="275"/>
    </row>
    <row r="26" spans="2:21" ht="30" customHeight="1" x14ac:dyDescent="0.2">
      <c r="B26" s="13">
        <v>44567</v>
      </c>
      <c r="C26" s="66" t="s">
        <v>662</v>
      </c>
      <c r="D26" s="14" t="s">
        <v>413</v>
      </c>
      <c r="E26" s="14" t="s">
        <v>57</v>
      </c>
      <c r="F26" s="103" t="s">
        <v>18</v>
      </c>
      <c r="G26" s="15">
        <v>16</v>
      </c>
      <c r="H26" s="258">
        <v>10000000</v>
      </c>
      <c r="I26" s="258">
        <f>List34[[#This Row],[Pengajuan Donasi]]</f>
        <v>10000000</v>
      </c>
      <c r="J26" s="214" t="str">
        <f>IF(List34[[#This Row],[Tanggal Trf]]&gt;0,"Done","-")</f>
        <v>Done</v>
      </c>
      <c r="K26" s="437"/>
      <c r="L26" s="221">
        <v>44580</v>
      </c>
      <c r="M26" s="100" t="s">
        <v>544</v>
      </c>
      <c r="N26" s="100">
        <f>MONTH(List34[[#This Row],[Tanggal Pengajuan]])</f>
        <v>1</v>
      </c>
      <c r="O26" s="101"/>
      <c r="P26" s="100" t="s">
        <v>651</v>
      </c>
      <c r="Q26" s="110"/>
      <c r="R26" s="230" t="s">
        <v>958</v>
      </c>
      <c r="T26" s="275">
        <f>+List34[[#This Row],[Pengajuan Donasi]]-List34[[#This Row],[Jumlah Transfer]]</f>
        <v>0</v>
      </c>
      <c r="U26" s="275"/>
    </row>
    <row r="27" spans="2:21" ht="30" customHeight="1" x14ac:dyDescent="0.2">
      <c r="B27" s="13">
        <v>44567</v>
      </c>
      <c r="C27" s="189" t="s">
        <v>663</v>
      </c>
      <c r="D27" s="164" t="s">
        <v>35</v>
      </c>
      <c r="E27" s="164" t="s">
        <v>179</v>
      </c>
      <c r="F27" s="164" t="s">
        <v>18</v>
      </c>
      <c r="G27" s="178"/>
      <c r="H27" s="261"/>
      <c r="I27" s="261">
        <f>List34[[#This Row],[Pengajuan Donasi]]</f>
        <v>0</v>
      </c>
      <c r="J27" s="216" t="str">
        <f>IF(List34[[#This Row],[Tanggal Trf]]&gt;0,"Done","-")</f>
        <v>Done</v>
      </c>
      <c r="K27" s="439" t="s">
        <v>673</v>
      </c>
      <c r="L27" s="222" t="s">
        <v>960</v>
      </c>
      <c r="M27" s="193" t="s">
        <v>136</v>
      </c>
      <c r="N27" s="193">
        <f>MONTH(List34[[#This Row],[Tanggal Pengajuan]])</f>
        <v>1</v>
      </c>
      <c r="O27" s="194"/>
      <c r="P27" s="193" t="s">
        <v>651</v>
      </c>
      <c r="Q27" s="110"/>
      <c r="R27" s="231" t="s">
        <v>966</v>
      </c>
      <c r="T27" s="275">
        <f>+List34[[#This Row],[Pengajuan Donasi]]-List34[[#This Row],[Jumlah Transfer]]</f>
        <v>0</v>
      </c>
      <c r="U27" s="275"/>
    </row>
    <row r="28" spans="2:21" ht="30" customHeight="1" x14ac:dyDescent="0.2">
      <c r="B28" s="13">
        <v>44567</v>
      </c>
      <c r="C28" s="66" t="s">
        <v>664</v>
      </c>
      <c r="D28" s="14" t="s">
        <v>256</v>
      </c>
      <c r="E28" s="14" t="s">
        <v>17</v>
      </c>
      <c r="F28" s="14" t="s">
        <v>18</v>
      </c>
      <c r="G28" s="15">
        <v>86</v>
      </c>
      <c r="H28" s="258">
        <v>8500000</v>
      </c>
      <c r="I28" s="258">
        <f>List34[[#This Row],[Pengajuan Donasi]]</f>
        <v>8500000</v>
      </c>
      <c r="J28" s="214" t="str">
        <f>IF(List34[[#This Row],[Tanggal Trf]]&gt;0,"Done","-")</f>
        <v>Done</v>
      </c>
      <c r="K28" s="437"/>
      <c r="L28" s="221">
        <v>44580</v>
      </c>
      <c r="M28" s="100" t="s">
        <v>136</v>
      </c>
      <c r="N28" s="100">
        <f>MONTH(List34[[#This Row],[Tanggal Pengajuan]])</f>
        <v>1</v>
      </c>
      <c r="O28" s="101">
        <v>44690</v>
      </c>
      <c r="P28" s="100" t="s">
        <v>665</v>
      </c>
      <c r="Q28" s="110"/>
      <c r="R28" s="230" t="s">
        <v>958</v>
      </c>
      <c r="T28" s="275">
        <f>+List34[[#This Row],[Pengajuan Donasi]]-List34[[#This Row],[Jumlah Transfer]]</f>
        <v>0</v>
      </c>
      <c r="U28" s="275"/>
    </row>
    <row r="29" spans="2:21" ht="30" customHeight="1" x14ac:dyDescent="0.2">
      <c r="B29" s="13">
        <v>44567</v>
      </c>
      <c r="C29" s="66"/>
      <c r="D29" s="14" t="s">
        <v>257</v>
      </c>
      <c r="E29" s="14" t="s">
        <v>17</v>
      </c>
      <c r="F29" s="14" t="s">
        <v>18</v>
      </c>
      <c r="G29" s="15">
        <v>134</v>
      </c>
      <c r="H29" s="258">
        <v>5500000</v>
      </c>
      <c r="I29" s="258">
        <f>List34[[#This Row],[Pengajuan Donasi]]</f>
        <v>5500000</v>
      </c>
      <c r="J29" s="214" t="str">
        <f>IF(List34[[#This Row],[Tanggal Trf]]&gt;0,"Done","-")</f>
        <v>Done</v>
      </c>
      <c r="K29" s="437"/>
      <c r="L29" s="221">
        <v>44580</v>
      </c>
      <c r="M29" s="100" t="s">
        <v>136</v>
      </c>
      <c r="N29" s="100">
        <f>MONTH(List34[[#This Row],[Tanggal Pengajuan]])</f>
        <v>1</v>
      </c>
      <c r="O29" s="183">
        <v>44690</v>
      </c>
      <c r="P29" s="100" t="s">
        <v>665</v>
      </c>
      <c r="Q29" s="110"/>
      <c r="R29" s="230" t="s">
        <v>958</v>
      </c>
      <c r="T29" s="275">
        <f>+List34[[#This Row],[Pengajuan Donasi]]-List34[[#This Row],[Jumlah Transfer]]</f>
        <v>0</v>
      </c>
      <c r="U29" s="275"/>
    </row>
    <row r="30" spans="2:21" ht="30" customHeight="1" x14ac:dyDescent="0.2">
      <c r="B30" s="13">
        <v>44567</v>
      </c>
      <c r="C30" s="66"/>
      <c r="D30" s="14" t="s">
        <v>222</v>
      </c>
      <c r="E30" s="14" t="s">
        <v>17</v>
      </c>
      <c r="F30" s="14" t="s">
        <v>18</v>
      </c>
      <c r="G30" s="15">
        <v>34</v>
      </c>
      <c r="H30" s="258">
        <v>5500000</v>
      </c>
      <c r="I30" s="258">
        <f>List34[[#This Row],[Pengajuan Donasi]]</f>
        <v>5500000</v>
      </c>
      <c r="J30" s="214" t="str">
        <f>IF(List34[[#This Row],[Tanggal Trf]]&gt;0,"Done","-")</f>
        <v>Done</v>
      </c>
      <c r="K30" s="437"/>
      <c r="L30" s="221">
        <v>44580</v>
      </c>
      <c r="M30" s="100" t="s">
        <v>136</v>
      </c>
      <c r="N30" s="100">
        <f>MONTH(List34[[#This Row],[Tanggal Pengajuan]])</f>
        <v>1</v>
      </c>
      <c r="O30" s="183">
        <v>44690</v>
      </c>
      <c r="P30" s="100" t="s">
        <v>665</v>
      </c>
      <c r="Q30" s="110"/>
      <c r="R30" s="230" t="s">
        <v>958</v>
      </c>
      <c r="T30" s="275">
        <f>+List34[[#This Row],[Pengajuan Donasi]]-List34[[#This Row],[Jumlah Transfer]]</f>
        <v>0</v>
      </c>
      <c r="U30" s="275"/>
    </row>
    <row r="31" spans="2:21" ht="30" customHeight="1" x14ac:dyDescent="0.2">
      <c r="B31" s="13">
        <v>44567</v>
      </c>
      <c r="C31" s="66" t="s">
        <v>666</v>
      </c>
      <c r="D31" s="14" t="s">
        <v>25</v>
      </c>
      <c r="E31" s="103" t="s">
        <v>179</v>
      </c>
      <c r="F31" s="14" t="s">
        <v>18</v>
      </c>
      <c r="G31" s="15">
        <v>12</v>
      </c>
      <c r="H31" s="258">
        <v>2520000</v>
      </c>
      <c r="I31" s="258">
        <f>List34[[#This Row],[Pengajuan Donasi]]</f>
        <v>2520000</v>
      </c>
      <c r="J31" s="214" t="str">
        <f>IF(List34[[#This Row],[Tanggal Trf]]&gt;0,"Done","-")</f>
        <v>Done</v>
      </c>
      <c r="K31" s="437" t="s">
        <v>686</v>
      </c>
      <c r="L31" s="221">
        <v>44580</v>
      </c>
      <c r="M31" s="100" t="s">
        <v>667</v>
      </c>
      <c r="N31" s="100">
        <f>MONTH(List34[[#This Row],[Tanggal Pengajuan]])</f>
        <v>1</v>
      </c>
      <c r="O31" s="101">
        <v>44704</v>
      </c>
      <c r="P31" s="100" t="s">
        <v>651</v>
      </c>
      <c r="Q31" s="110"/>
      <c r="R31" s="230" t="s">
        <v>958</v>
      </c>
      <c r="T31" s="275">
        <f>+List34[[#This Row],[Pengajuan Donasi]]-List34[[#This Row],[Jumlah Transfer]]</f>
        <v>0</v>
      </c>
      <c r="U31" s="275"/>
    </row>
    <row r="32" spans="2:21" ht="30" customHeight="1" x14ac:dyDescent="0.2">
      <c r="B32" s="13">
        <v>44575</v>
      </c>
      <c r="C32" s="66" t="s">
        <v>669</v>
      </c>
      <c r="D32" s="14" t="s">
        <v>60</v>
      </c>
      <c r="E32" s="14" t="s">
        <v>179</v>
      </c>
      <c r="F32" s="14" t="s">
        <v>18</v>
      </c>
      <c r="G32" s="15">
        <v>37</v>
      </c>
      <c r="H32" s="258">
        <v>16029000</v>
      </c>
      <c r="I32" s="258">
        <f>List34[[#This Row],[Pengajuan Donasi]]</f>
        <v>16029000</v>
      </c>
      <c r="J32" s="213" t="str">
        <f>IF(List34[[#This Row],[Tanggal Trf]]&gt;0,"Done","-")</f>
        <v>Done</v>
      </c>
      <c r="K32" s="437" t="s">
        <v>688</v>
      </c>
      <c r="L32" s="221">
        <v>44588</v>
      </c>
      <c r="M32" s="100" t="s">
        <v>674</v>
      </c>
      <c r="N32" s="100">
        <f>MONTH(List34[[#This Row],[Tanggal Pengajuan]])</f>
        <v>1</v>
      </c>
      <c r="O32" s="101"/>
      <c r="P32" s="100" t="s">
        <v>687</v>
      </c>
      <c r="Q32" s="110"/>
      <c r="R32" s="230" t="s">
        <v>958</v>
      </c>
      <c r="T32" s="275">
        <f>+List34[[#This Row],[Pengajuan Donasi]]-List34[[#This Row],[Jumlah Transfer]]</f>
        <v>0</v>
      </c>
      <c r="U32" s="275"/>
    </row>
    <row r="33" spans="2:21" ht="30" customHeight="1" x14ac:dyDescent="0.2">
      <c r="B33" s="13">
        <v>44579</v>
      </c>
      <c r="C33" s="66" t="s">
        <v>668</v>
      </c>
      <c r="D33" s="14" t="s">
        <v>129</v>
      </c>
      <c r="E33" s="14" t="s">
        <v>179</v>
      </c>
      <c r="F33" s="14" t="s">
        <v>18</v>
      </c>
      <c r="G33" s="15">
        <v>32</v>
      </c>
      <c r="H33" s="258">
        <v>7950000</v>
      </c>
      <c r="I33" s="258">
        <f>List34[[#This Row],[Pengajuan Donasi]]</f>
        <v>7950000</v>
      </c>
      <c r="J33" s="214" t="str">
        <f>IF(List34[[#This Row],[Tanggal Trf]]&gt;0,"Done","-")</f>
        <v>Done</v>
      </c>
      <c r="K33" s="437" t="s">
        <v>689</v>
      </c>
      <c r="L33" s="221">
        <v>44588</v>
      </c>
      <c r="M33" s="32" t="s">
        <v>675</v>
      </c>
      <c r="N33" s="100">
        <f>MONTH(List34[[#This Row],[Tanggal Pengajuan]])</f>
        <v>1</v>
      </c>
      <c r="O33" s="101"/>
      <c r="P33" s="100" t="s">
        <v>651</v>
      </c>
      <c r="Q33" s="110"/>
      <c r="R33" s="230" t="s">
        <v>958</v>
      </c>
      <c r="T33" s="275">
        <f>+List34[[#This Row],[Pengajuan Donasi]]-List34[[#This Row],[Jumlah Transfer]]</f>
        <v>0</v>
      </c>
      <c r="U33" s="275"/>
    </row>
    <row r="34" spans="2:21" ht="30" customHeight="1" x14ac:dyDescent="0.2">
      <c r="B34" s="13"/>
      <c r="C34" s="189" t="s">
        <v>676</v>
      </c>
      <c r="D34" s="164" t="s">
        <v>960</v>
      </c>
      <c r="E34" s="164" t="s">
        <v>960</v>
      </c>
      <c r="F34" s="164" t="s">
        <v>960</v>
      </c>
      <c r="G34" s="178"/>
      <c r="H34" s="261" t="s">
        <v>960</v>
      </c>
      <c r="I34" s="258" t="str">
        <f>List34[[#This Row],[Pengajuan Donasi]]</f>
        <v>-</v>
      </c>
      <c r="J34" s="216" t="str">
        <f>IF(List34[[#This Row],[Tanggal Trf]]&gt;0,"Done","-")</f>
        <v>Done</v>
      </c>
      <c r="K34" s="439" t="s">
        <v>677</v>
      </c>
      <c r="L34" s="222" t="s">
        <v>960</v>
      </c>
      <c r="M34" s="193" t="s">
        <v>960</v>
      </c>
      <c r="N34" s="193">
        <f>MONTH(List34[[#This Row],[Tanggal Pengajuan]])</f>
        <v>1</v>
      </c>
      <c r="O34" s="194"/>
      <c r="P34" s="193"/>
      <c r="Q34" s="110"/>
      <c r="R34" s="231" t="s">
        <v>966</v>
      </c>
      <c r="T34" s="275" t="e">
        <f>+List34[[#This Row],[Pengajuan Donasi]]-List34[[#This Row],[Jumlah Transfer]]</f>
        <v>#VALUE!</v>
      </c>
      <c r="U34" s="275"/>
    </row>
    <row r="35" spans="2:21" ht="30" customHeight="1" x14ac:dyDescent="0.2">
      <c r="B35" s="13">
        <v>44582</v>
      </c>
      <c r="C35" s="66" t="s">
        <v>678</v>
      </c>
      <c r="D35" s="14" t="s">
        <v>48</v>
      </c>
      <c r="E35" s="14" t="s">
        <v>179</v>
      </c>
      <c r="F35" s="14" t="s">
        <v>18</v>
      </c>
      <c r="G35" s="15">
        <v>39</v>
      </c>
      <c r="H35" s="258">
        <v>3325000</v>
      </c>
      <c r="I35" s="258">
        <f>List34[[#This Row],[Pengajuan Donasi]]</f>
        <v>3325000</v>
      </c>
      <c r="J35" s="214" t="str">
        <f>IF(List34[[#This Row],[Tanggal Trf]]&gt;0,"Done","-")</f>
        <v>Done</v>
      </c>
      <c r="K35" s="437" t="s">
        <v>690</v>
      </c>
      <c r="L35" s="221">
        <v>44589</v>
      </c>
      <c r="M35" s="100" t="s">
        <v>445</v>
      </c>
      <c r="N35" s="100">
        <f>MONTH(List34[[#This Row],[Tanggal Pengajuan]])</f>
        <v>1</v>
      </c>
      <c r="O35" s="101"/>
      <c r="P35" s="100" t="s">
        <v>687</v>
      </c>
      <c r="Q35" s="110"/>
      <c r="R35" s="230" t="s">
        <v>958</v>
      </c>
      <c r="T35" s="275">
        <f>+List34[[#This Row],[Pengajuan Donasi]]-List34[[#This Row],[Jumlah Transfer]]</f>
        <v>0</v>
      </c>
      <c r="U35" s="275"/>
    </row>
    <row r="36" spans="2:21" ht="30" customHeight="1" x14ac:dyDescent="0.2">
      <c r="B36" s="13">
        <v>44582</v>
      </c>
      <c r="C36" s="66" t="s">
        <v>679</v>
      </c>
      <c r="D36" s="14" t="s">
        <v>87</v>
      </c>
      <c r="E36" s="14" t="s">
        <v>179</v>
      </c>
      <c r="F36" s="14" t="s">
        <v>18</v>
      </c>
      <c r="G36" s="15">
        <v>24</v>
      </c>
      <c r="H36" s="258">
        <v>2400000</v>
      </c>
      <c r="I36" s="258">
        <f>List34[[#This Row],[Pengajuan Donasi]]</f>
        <v>2400000</v>
      </c>
      <c r="J36" s="214" t="str">
        <f>IF(List34[[#This Row],[Tanggal Trf]]&gt;0,"Done","-")</f>
        <v>Done</v>
      </c>
      <c r="K36" s="437" t="s">
        <v>691</v>
      </c>
      <c r="L36" s="221">
        <v>44588</v>
      </c>
      <c r="M36" s="100" t="s">
        <v>493</v>
      </c>
      <c r="N36" s="100">
        <f>MONTH(List34[[#This Row],[Tanggal Pengajuan]])</f>
        <v>1</v>
      </c>
      <c r="O36" s="101">
        <v>44691</v>
      </c>
      <c r="P36" s="100" t="s">
        <v>687</v>
      </c>
      <c r="Q36" s="110"/>
      <c r="R36" s="230" t="s">
        <v>958</v>
      </c>
      <c r="T36" s="275">
        <f>+List34[[#This Row],[Pengajuan Donasi]]-List34[[#This Row],[Jumlah Transfer]]</f>
        <v>0</v>
      </c>
      <c r="U36" s="275"/>
    </row>
    <row r="37" spans="2:21" ht="30" customHeight="1" x14ac:dyDescent="0.2">
      <c r="B37" s="13">
        <v>44587</v>
      </c>
      <c r="C37" s="66" t="s">
        <v>680</v>
      </c>
      <c r="D37" s="103" t="s">
        <v>916</v>
      </c>
      <c r="E37" s="14" t="s">
        <v>26</v>
      </c>
      <c r="F37" s="14" t="s">
        <v>18</v>
      </c>
      <c r="G37" s="15">
        <v>1</v>
      </c>
      <c r="H37" s="258">
        <v>500000</v>
      </c>
      <c r="I37" s="258">
        <f>List34[[#This Row],[Pengajuan Donasi]]</f>
        <v>500000</v>
      </c>
      <c r="J37" s="213" t="str">
        <f>IF(List34[[#This Row],[Tanggal Trf]]&gt;0,"Done","-")</f>
        <v>Done</v>
      </c>
      <c r="K37" s="437" t="s">
        <v>692</v>
      </c>
      <c r="L37" s="221">
        <v>44588</v>
      </c>
      <c r="M37" s="100" t="s">
        <v>895</v>
      </c>
      <c r="N37" s="100">
        <f>MONTH(List34[[#This Row],[Tanggal Pengajuan]])</f>
        <v>1</v>
      </c>
      <c r="O37" s="101"/>
      <c r="P37" s="100" t="s">
        <v>651</v>
      </c>
      <c r="Q37" s="110"/>
      <c r="R37" s="230" t="s">
        <v>958</v>
      </c>
      <c r="T37" s="275">
        <f>+List34[[#This Row],[Pengajuan Donasi]]-List34[[#This Row],[Jumlah Transfer]]</f>
        <v>0</v>
      </c>
      <c r="U37" s="275"/>
    </row>
    <row r="38" spans="2:21" ht="30" customHeight="1" x14ac:dyDescent="0.2">
      <c r="B38" s="13">
        <v>44587</v>
      </c>
      <c r="C38" s="66"/>
      <c r="D38" s="103" t="s">
        <v>917</v>
      </c>
      <c r="E38" s="14" t="s">
        <v>26</v>
      </c>
      <c r="F38" s="14" t="s">
        <v>18</v>
      </c>
      <c r="G38" s="15">
        <v>1</v>
      </c>
      <c r="H38" s="258">
        <v>500000</v>
      </c>
      <c r="I38" s="258">
        <f>List34[[#This Row],[Pengajuan Donasi]]</f>
        <v>500000</v>
      </c>
      <c r="J38" s="213" t="str">
        <f>IF(List34[[#This Row],[Tanggal Trf]]&gt;0,"Done","-")</f>
        <v>Done</v>
      </c>
      <c r="K38" s="437"/>
      <c r="L38" s="221">
        <v>44588</v>
      </c>
      <c r="M38" s="100" t="s">
        <v>894</v>
      </c>
      <c r="N38" s="100">
        <f>MONTH(List34[[#This Row],[Tanggal Pengajuan]])</f>
        <v>1</v>
      </c>
      <c r="O38" s="183"/>
      <c r="P38" s="100" t="s">
        <v>651</v>
      </c>
      <c r="Q38" s="111"/>
      <c r="R38" s="230" t="s">
        <v>958</v>
      </c>
      <c r="T38" s="275">
        <f>+List34[[#This Row],[Pengajuan Donasi]]-List34[[#This Row],[Jumlah Transfer]]</f>
        <v>0</v>
      </c>
      <c r="U38" s="275"/>
    </row>
    <row r="39" spans="2:21" ht="30" customHeight="1" x14ac:dyDescent="0.2">
      <c r="B39" s="13">
        <v>44587</v>
      </c>
      <c r="C39" s="66"/>
      <c r="D39" s="103" t="s">
        <v>918</v>
      </c>
      <c r="E39" s="14" t="s">
        <v>26</v>
      </c>
      <c r="F39" s="14" t="s">
        <v>18</v>
      </c>
      <c r="G39" s="15">
        <v>1</v>
      </c>
      <c r="H39" s="258">
        <v>500000</v>
      </c>
      <c r="I39" s="258">
        <f>List34[[#This Row],[Pengajuan Donasi]]</f>
        <v>500000</v>
      </c>
      <c r="J39" s="213" t="str">
        <f>IF(List34[[#This Row],[Tanggal Trf]]&gt;0,"Done","-")</f>
        <v>Done</v>
      </c>
      <c r="K39" s="437"/>
      <c r="L39" s="221">
        <v>44588</v>
      </c>
      <c r="M39" s="100" t="s">
        <v>896</v>
      </c>
      <c r="N39" s="100">
        <f>MONTH(List34[[#This Row],[Tanggal Pengajuan]])</f>
        <v>1</v>
      </c>
      <c r="O39" s="183"/>
      <c r="P39" s="100" t="s">
        <v>651</v>
      </c>
      <c r="Q39" s="111"/>
      <c r="R39" s="230" t="s">
        <v>958</v>
      </c>
      <c r="T39" s="275">
        <f>+List34[[#This Row],[Pengajuan Donasi]]-List34[[#This Row],[Jumlah Transfer]]</f>
        <v>0</v>
      </c>
      <c r="U39" s="275"/>
    </row>
    <row r="40" spans="2:21" ht="30" customHeight="1" x14ac:dyDescent="0.2">
      <c r="B40" s="13">
        <v>44587</v>
      </c>
      <c r="C40" s="66"/>
      <c r="D40" s="103" t="s">
        <v>919</v>
      </c>
      <c r="E40" s="14" t="s">
        <v>26</v>
      </c>
      <c r="F40" s="14" t="s">
        <v>18</v>
      </c>
      <c r="G40" s="15">
        <v>1</v>
      </c>
      <c r="H40" s="258">
        <v>500000</v>
      </c>
      <c r="I40" s="258">
        <f>List34[[#This Row],[Pengajuan Donasi]]</f>
        <v>500000</v>
      </c>
      <c r="J40" s="213" t="str">
        <f>IF(List34[[#This Row],[Tanggal Trf]]&gt;0,"Done","-")</f>
        <v>Done</v>
      </c>
      <c r="K40" s="437"/>
      <c r="L40" s="221">
        <v>44588</v>
      </c>
      <c r="M40" s="100" t="s">
        <v>897</v>
      </c>
      <c r="N40" s="100">
        <f>MONTH(List34[[#This Row],[Tanggal Pengajuan]])</f>
        <v>1</v>
      </c>
      <c r="O40" s="183"/>
      <c r="P40" s="100" t="s">
        <v>651</v>
      </c>
      <c r="Q40" s="111"/>
      <c r="R40" s="230" t="s">
        <v>958</v>
      </c>
      <c r="T40" s="275">
        <f>+List34[[#This Row],[Pengajuan Donasi]]-List34[[#This Row],[Jumlah Transfer]]</f>
        <v>0</v>
      </c>
      <c r="U40" s="275"/>
    </row>
    <row r="41" spans="2:21" ht="30" customHeight="1" x14ac:dyDescent="0.2">
      <c r="B41" s="13">
        <v>44587</v>
      </c>
      <c r="C41" s="66"/>
      <c r="D41" s="103" t="s">
        <v>920</v>
      </c>
      <c r="E41" s="14" t="s">
        <v>26</v>
      </c>
      <c r="F41" s="14" t="s">
        <v>18</v>
      </c>
      <c r="G41" s="15">
        <v>1</v>
      </c>
      <c r="H41" s="258">
        <v>500000</v>
      </c>
      <c r="I41" s="258">
        <f>List34[[#This Row],[Pengajuan Donasi]]</f>
        <v>500000</v>
      </c>
      <c r="J41" s="213" t="str">
        <f>IF(List34[[#This Row],[Tanggal Trf]]&gt;0,"Done","-")</f>
        <v>Done</v>
      </c>
      <c r="K41" s="437"/>
      <c r="L41" s="221">
        <v>44588</v>
      </c>
      <c r="M41" s="100" t="s">
        <v>915</v>
      </c>
      <c r="N41" s="100">
        <f>MONTH(List34[[#This Row],[Tanggal Pengajuan]])</f>
        <v>1</v>
      </c>
      <c r="O41" s="183"/>
      <c r="P41" s="100" t="s">
        <v>651</v>
      </c>
      <c r="Q41" s="111"/>
      <c r="R41" s="230" t="s">
        <v>958</v>
      </c>
      <c r="T41" s="275">
        <f>+List34[[#This Row],[Pengajuan Donasi]]-List34[[#This Row],[Jumlah Transfer]]</f>
        <v>0</v>
      </c>
      <c r="U41" s="275"/>
    </row>
    <row r="42" spans="2:21" ht="30" customHeight="1" x14ac:dyDescent="0.2">
      <c r="B42" s="13">
        <v>44587</v>
      </c>
      <c r="C42" s="66"/>
      <c r="D42" s="103" t="s">
        <v>921</v>
      </c>
      <c r="E42" s="14" t="s">
        <v>26</v>
      </c>
      <c r="F42" s="14" t="s">
        <v>18</v>
      </c>
      <c r="G42" s="15">
        <v>1</v>
      </c>
      <c r="H42" s="258">
        <v>500000</v>
      </c>
      <c r="I42" s="258">
        <f>List34[[#This Row],[Pengajuan Donasi]]</f>
        <v>500000</v>
      </c>
      <c r="J42" s="213" t="str">
        <f>IF(List34[[#This Row],[Tanggal Trf]]&gt;0,"Done","-")</f>
        <v>Done</v>
      </c>
      <c r="K42" s="437"/>
      <c r="L42" s="221">
        <v>44588</v>
      </c>
      <c r="M42" s="100" t="s">
        <v>898</v>
      </c>
      <c r="N42" s="100">
        <f>MONTH(List34[[#This Row],[Tanggal Pengajuan]])</f>
        <v>1</v>
      </c>
      <c r="O42" s="183"/>
      <c r="P42" s="100" t="s">
        <v>651</v>
      </c>
      <c r="Q42" s="111"/>
      <c r="R42" s="230" t="s">
        <v>958</v>
      </c>
      <c r="T42" s="275">
        <f>+List34[[#This Row],[Pengajuan Donasi]]-List34[[#This Row],[Jumlah Transfer]]</f>
        <v>0</v>
      </c>
      <c r="U42" s="275"/>
    </row>
    <row r="43" spans="2:21" ht="30" customHeight="1" x14ac:dyDescent="0.2">
      <c r="B43" s="13">
        <v>44587</v>
      </c>
      <c r="C43" s="66"/>
      <c r="D43" s="103" t="s">
        <v>922</v>
      </c>
      <c r="E43" s="14" t="s">
        <v>26</v>
      </c>
      <c r="F43" s="14" t="s">
        <v>18</v>
      </c>
      <c r="G43" s="15">
        <v>1</v>
      </c>
      <c r="H43" s="258">
        <v>500000</v>
      </c>
      <c r="I43" s="258">
        <f>List34[[#This Row],[Pengajuan Donasi]]</f>
        <v>500000</v>
      </c>
      <c r="J43" s="213" t="str">
        <f>IF(List34[[#This Row],[Tanggal Trf]]&gt;0,"Done","-")</f>
        <v>Done</v>
      </c>
      <c r="K43" s="437"/>
      <c r="L43" s="221">
        <v>44588</v>
      </c>
      <c r="M43" s="100" t="s">
        <v>899</v>
      </c>
      <c r="N43" s="100">
        <f>MONTH(List34[[#This Row],[Tanggal Pengajuan]])</f>
        <v>1</v>
      </c>
      <c r="O43" s="183"/>
      <c r="P43" s="100" t="s">
        <v>651</v>
      </c>
      <c r="Q43" s="111"/>
      <c r="R43" s="230" t="s">
        <v>958</v>
      </c>
      <c r="T43" s="275">
        <f>+List34[[#This Row],[Pengajuan Donasi]]-List34[[#This Row],[Jumlah Transfer]]</f>
        <v>0</v>
      </c>
      <c r="U43" s="275"/>
    </row>
    <row r="44" spans="2:21" ht="30" customHeight="1" x14ac:dyDescent="0.2">
      <c r="B44" s="13">
        <v>44587</v>
      </c>
      <c r="C44" s="66"/>
      <c r="D44" s="103" t="s">
        <v>923</v>
      </c>
      <c r="E44" s="14" t="s">
        <v>26</v>
      </c>
      <c r="F44" s="14" t="s">
        <v>18</v>
      </c>
      <c r="G44" s="15">
        <v>1</v>
      </c>
      <c r="H44" s="258">
        <v>500000</v>
      </c>
      <c r="I44" s="258">
        <f>List34[[#This Row],[Pengajuan Donasi]]</f>
        <v>500000</v>
      </c>
      <c r="J44" s="213" t="str">
        <f>IF(List34[[#This Row],[Tanggal Trf]]&gt;0,"Done","-")</f>
        <v>Done</v>
      </c>
      <c r="K44" s="437"/>
      <c r="L44" s="221">
        <v>44588</v>
      </c>
      <c r="M44" s="100" t="s">
        <v>900</v>
      </c>
      <c r="N44" s="100">
        <f>MONTH(List34[[#This Row],[Tanggal Pengajuan]])</f>
        <v>1</v>
      </c>
      <c r="O44" s="183"/>
      <c r="P44" s="100" t="s">
        <v>651</v>
      </c>
      <c r="Q44" s="111"/>
      <c r="R44" s="230" t="s">
        <v>958</v>
      </c>
      <c r="T44" s="275">
        <f>+List34[[#This Row],[Pengajuan Donasi]]-List34[[#This Row],[Jumlah Transfer]]</f>
        <v>0</v>
      </c>
      <c r="U44" s="275"/>
    </row>
    <row r="45" spans="2:21" ht="30" customHeight="1" x14ac:dyDescent="0.2">
      <c r="B45" s="13">
        <v>44587</v>
      </c>
      <c r="C45" s="66"/>
      <c r="D45" s="103" t="s">
        <v>924</v>
      </c>
      <c r="E45" s="14" t="s">
        <v>26</v>
      </c>
      <c r="F45" s="14" t="s">
        <v>18</v>
      </c>
      <c r="G45" s="15">
        <v>1</v>
      </c>
      <c r="H45" s="258">
        <v>500000</v>
      </c>
      <c r="I45" s="258">
        <f>List34[[#This Row],[Pengajuan Donasi]]</f>
        <v>500000</v>
      </c>
      <c r="J45" s="213" t="str">
        <f>IF(List34[[#This Row],[Tanggal Trf]]&gt;0,"Done","-")</f>
        <v>Done</v>
      </c>
      <c r="K45" s="437"/>
      <c r="L45" s="221">
        <v>44588</v>
      </c>
      <c r="M45" s="100" t="s">
        <v>901</v>
      </c>
      <c r="N45" s="100">
        <f>MONTH(List34[[#This Row],[Tanggal Pengajuan]])</f>
        <v>1</v>
      </c>
      <c r="O45" s="183"/>
      <c r="P45" s="100" t="s">
        <v>651</v>
      </c>
      <c r="Q45" s="111"/>
      <c r="R45" s="230" t="s">
        <v>958</v>
      </c>
      <c r="T45" s="275">
        <f>+List34[[#This Row],[Pengajuan Donasi]]-List34[[#This Row],[Jumlah Transfer]]</f>
        <v>0</v>
      </c>
      <c r="U45" s="275"/>
    </row>
    <row r="46" spans="2:21" ht="30" customHeight="1" x14ac:dyDescent="0.2">
      <c r="B46" s="13">
        <v>44587</v>
      </c>
      <c r="C46" s="66"/>
      <c r="D46" s="103" t="s">
        <v>925</v>
      </c>
      <c r="E46" s="14" t="s">
        <v>26</v>
      </c>
      <c r="F46" s="14" t="s">
        <v>18</v>
      </c>
      <c r="G46" s="15">
        <v>1</v>
      </c>
      <c r="H46" s="258">
        <v>500000</v>
      </c>
      <c r="I46" s="258">
        <f>List34[[#This Row],[Pengajuan Donasi]]</f>
        <v>500000</v>
      </c>
      <c r="J46" s="213" t="str">
        <f>IF(List34[[#This Row],[Tanggal Trf]]&gt;0,"Done","-")</f>
        <v>Done</v>
      </c>
      <c r="K46" s="437"/>
      <c r="L46" s="221">
        <v>44588</v>
      </c>
      <c r="M46" s="100" t="s">
        <v>1014</v>
      </c>
      <c r="N46" s="100">
        <f>MONTH(List34[[#This Row],[Tanggal Pengajuan]])</f>
        <v>1</v>
      </c>
      <c r="O46" s="183"/>
      <c r="P46" s="100" t="s">
        <v>651</v>
      </c>
      <c r="Q46" s="111"/>
      <c r="R46" s="230" t="s">
        <v>958</v>
      </c>
      <c r="T46" s="275">
        <f>+List34[[#This Row],[Pengajuan Donasi]]-List34[[#This Row],[Jumlah Transfer]]</f>
        <v>0</v>
      </c>
      <c r="U46" s="275"/>
    </row>
    <row r="47" spans="2:21" ht="30" customHeight="1" x14ac:dyDescent="0.2">
      <c r="B47" s="13">
        <v>44587</v>
      </c>
      <c r="C47" s="66"/>
      <c r="D47" s="103" t="s">
        <v>926</v>
      </c>
      <c r="E47" s="14" t="s">
        <v>26</v>
      </c>
      <c r="F47" s="14" t="s">
        <v>18</v>
      </c>
      <c r="G47" s="15">
        <v>1</v>
      </c>
      <c r="H47" s="258">
        <v>500000</v>
      </c>
      <c r="I47" s="258">
        <f>List34[[#This Row],[Pengajuan Donasi]]</f>
        <v>500000</v>
      </c>
      <c r="J47" s="213" t="str">
        <f>IF(List34[[#This Row],[Tanggal Trf]]&gt;0,"Done","-")</f>
        <v>Done</v>
      </c>
      <c r="K47" s="437"/>
      <c r="L47" s="221">
        <v>44588</v>
      </c>
      <c r="M47" s="100" t="s">
        <v>1014</v>
      </c>
      <c r="N47" s="100">
        <f>MONTH(List34[[#This Row],[Tanggal Pengajuan]])</f>
        <v>1</v>
      </c>
      <c r="O47" s="183"/>
      <c r="P47" s="100" t="s">
        <v>651</v>
      </c>
      <c r="Q47" s="111"/>
      <c r="R47" s="230" t="s">
        <v>958</v>
      </c>
      <c r="T47" s="275">
        <f>+List34[[#This Row],[Pengajuan Donasi]]-List34[[#This Row],[Jumlah Transfer]]</f>
        <v>0</v>
      </c>
      <c r="U47" s="275"/>
    </row>
    <row r="48" spans="2:21" ht="30" customHeight="1" x14ac:dyDescent="0.2">
      <c r="B48" s="13">
        <v>44587</v>
      </c>
      <c r="C48" s="199"/>
      <c r="D48" s="103" t="s">
        <v>927</v>
      </c>
      <c r="E48" s="14" t="s">
        <v>26</v>
      </c>
      <c r="F48" s="14" t="s">
        <v>18</v>
      </c>
      <c r="G48" s="15">
        <v>1</v>
      </c>
      <c r="H48" s="258">
        <v>500000</v>
      </c>
      <c r="I48" s="258">
        <f>List34[[#This Row],[Pengajuan Donasi]]</f>
        <v>500000</v>
      </c>
      <c r="J48" s="213" t="str">
        <f>IF(List34[[#This Row],[Tanggal Trf]]&gt;0,"Done","-")</f>
        <v>Done</v>
      </c>
      <c r="K48" s="438"/>
      <c r="L48" s="221">
        <v>44588</v>
      </c>
      <c r="M48" s="100" t="s">
        <v>1014</v>
      </c>
      <c r="N48" s="200">
        <f>MONTH(List34[[#This Row],[Tanggal Pengajuan]])</f>
        <v>1</v>
      </c>
      <c r="O48" s="201"/>
      <c r="P48" s="100" t="s">
        <v>651</v>
      </c>
      <c r="Q48" s="202"/>
      <c r="R48" s="230" t="s">
        <v>958</v>
      </c>
      <c r="T48" s="275">
        <f>+List34[[#This Row],[Pengajuan Donasi]]-List34[[#This Row],[Jumlah Transfer]]</f>
        <v>0</v>
      </c>
      <c r="U48" s="275"/>
    </row>
    <row r="49" spans="2:21" ht="30" customHeight="1" x14ac:dyDescent="0.2">
      <c r="B49" s="13">
        <v>44587</v>
      </c>
      <c r="C49" s="199"/>
      <c r="D49" s="103" t="s">
        <v>928</v>
      </c>
      <c r="E49" s="14" t="s">
        <v>26</v>
      </c>
      <c r="F49" s="14" t="s">
        <v>18</v>
      </c>
      <c r="G49" s="15">
        <v>1</v>
      </c>
      <c r="H49" s="258">
        <v>500000</v>
      </c>
      <c r="I49" s="258">
        <f>List34[[#This Row],[Pengajuan Donasi]]</f>
        <v>500000</v>
      </c>
      <c r="J49" s="213" t="str">
        <f>IF(List34[[#This Row],[Tanggal Trf]]&gt;0,"Done","-")</f>
        <v>Done</v>
      </c>
      <c r="K49" s="438"/>
      <c r="L49" s="221">
        <v>44588</v>
      </c>
      <c r="M49" s="100" t="s">
        <v>1014</v>
      </c>
      <c r="N49" s="200">
        <f>MONTH(List34[[#This Row],[Tanggal Pengajuan]])</f>
        <v>1</v>
      </c>
      <c r="O49" s="201"/>
      <c r="P49" s="100" t="s">
        <v>651</v>
      </c>
      <c r="Q49" s="202"/>
      <c r="R49" s="230" t="s">
        <v>958</v>
      </c>
      <c r="T49" s="275">
        <f>+List34[[#This Row],[Pengajuan Donasi]]-List34[[#This Row],[Jumlah Transfer]]</f>
        <v>0</v>
      </c>
      <c r="U49" s="275"/>
    </row>
    <row r="50" spans="2:21" ht="30" customHeight="1" x14ac:dyDescent="0.2">
      <c r="B50" s="13">
        <v>44587</v>
      </c>
      <c r="C50" s="66"/>
      <c r="D50" s="103" t="s">
        <v>929</v>
      </c>
      <c r="E50" s="14" t="s">
        <v>26</v>
      </c>
      <c r="F50" s="14" t="s">
        <v>18</v>
      </c>
      <c r="G50" s="15">
        <v>1</v>
      </c>
      <c r="H50" s="258">
        <v>500000</v>
      </c>
      <c r="I50" s="258">
        <f>List34[[#This Row],[Pengajuan Donasi]]</f>
        <v>500000</v>
      </c>
      <c r="J50" s="213" t="str">
        <f>IF(List34[[#This Row],[Tanggal Trf]]&gt;0,"Done","-")</f>
        <v>Done</v>
      </c>
      <c r="K50" s="437"/>
      <c r="L50" s="221">
        <v>44588</v>
      </c>
      <c r="M50" s="100" t="s">
        <v>902</v>
      </c>
      <c r="N50" s="100">
        <f>MONTH(List34[[#This Row],[Tanggal Pengajuan]])</f>
        <v>1</v>
      </c>
      <c r="O50" s="183"/>
      <c r="P50" s="100" t="s">
        <v>651</v>
      </c>
      <c r="Q50" s="111"/>
      <c r="R50" s="230" t="s">
        <v>958</v>
      </c>
      <c r="T50" s="275">
        <f>+List34[[#This Row],[Pengajuan Donasi]]-List34[[#This Row],[Jumlah Transfer]]</f>
        <v>0</v>
      </c>
      <c r="U50" s="275"/>
    </row>
    <row r="51" spans="2:21" ht="30" customHeight="1" x14ac:dyDescent="0.2">
      <c r="B51" s="13">
        <v>44587</v>
      </c>
      <c r="C51" s="199"/>
      <c r="D51" s="103" t="s">
        <v>930</v>
      </c>
      <c r="E51" s="14" t="s">
        <v>26</v>
      </c>
      <c r="F51" s="14" t="s">
        <v>18</v>
      </c>
      <c r="G51" s="15">
        <v>1</v>
      </c>
      <c r="H51" s="258">
        <v>500000</v>
      </c>
      <c r="I51" s="258">
        <f>List34[[#This Row],[Pengajuan Donasi]]</f>
        <v>500000</v>
      </c>
      <c r="J51" s="213" t="str">
        <f>IF(List34[[#This Row],[Tanggal Trf]]&gt;0,"Done","-")</f>
        <v>Done</v>
      </c>
      <c r="K51" s="438"/>
      <c r="L51" s="221">
        <v>44588</v>
      </c>
      <c r="M51" s="100" t="s">
        <v>903</v>
      </c>
      <c r="N51" s="200">
        <f>MONTH(List34[[#This Row],[Tanggal Pengajuan]])</f>
        <v>1</v>
      </c>
      <c r="O51" s="201"/>
      <c r="P51" s="100" t="s">
        <v>651</v>
      </c>
      <c r="Q51" s="202"/>
      <c r="R51" s="230" t="s">
        <v>958</v>
      </c>
      <c r="T51" s="275">
        <f>+List34[[#This Row],[Pengajuan Donasi]]-List34[[#This Row],[Jumlah Transfer]]</f>
        <v>0</v>
      </c>
      <c r="U51" s="275"/>
    </row>
    <row r="52" spans="2:21" ht="30" customHeight="1" x14ac:dyDescent="0.2">
      <c r="B52" s="13">
        <v>44587</v>
      </c>
      <c r="C52" s="66" t="s">
        <v>682</v>
      </c>
      <c r="D52" s="103" t="s">
        <v>872</v>
      </c>
      <c r="E52" s="103" t="s">
        <v>17</v>
      </c>
      <c r="F52" s="14" t="s">
        <v>18</v>
      </c>
      <c r="G52" s="15">
        <v>59</v>
      </c>
      <c r="H52" s="262">
        <f>'[5]REV-PENAWARAN PER JAN''22'!$E$44</f>
        <v>6000600</v>
      </c>
      <c r="I52" s="258">
        <f>List34[[#This Row],[Pengajuan Donasi]]</f>
        <v>6000600</v>
      </c>
      <c r="J52" s="213" t="str">
        <f>IF(List34[[#This Row],[Tanggal Trf]]&gt;0,"Done","-")</f>
        <v>Done</v>
      </c>
      <c r="K52" s="441" t="s">
        <v>817</v>
      </c>
      <c r="L52" s="221">
        <v>44589</v>
      </c>
      <c r="M52" s="100" t="s">
        <v>1015</v>
      </c>
      <c r="N52" s="100">
        <f>MONTH(List34[[#This Row],[Tanggal Pengajuan]])</f>
        <v>1</v>
      </c>
      <c r="O52" s="101"/>
      <c r="P52" s="100" t="s">
        <v>651</v>
      </c>
      <c r="Q52" s="110"/>
      <c r="R52" s="230" t="s">
        <v>958</v>
      </c>
      <c r="T52" s="275">
        <f>+List34[[#This Row],[Pengajuan Donasi]]-List34[[#This Row],[Jumlah Transfer]]</f>
        <v>0</v>
      </c>
      <c r="U52" s="275"/>
    </row>
    <row r="53" spans="2:21" ht="30" customHeight="1" x14ac:dyDescent="0.2">
      <c r="B53" s="13">
        <v>44587</v>
      </c>
      <c r="C53" s="66"/>
      <c r="D53" s="103" t="s">
        <v>870</v>
      </c>
      <c r="E53" s="103" t="s">
        <v>17</v>
      </c>
      <c r="F53" s="14" t="s">
        <v>18</v>
      </c>
      <c r="G53" s="15">
        <v>19</v>
      </c>
      <c r="H53" s="262">
        <f>'[5]REV-PENAWARAN PER JAN''22'!$E$90</f>
        <v>6000400</v>
      </c>
      <c r="I53" s="258">
        <f>List34[[#This Row],[Pengajuan Donasi]]</f>
        <v>6000400</v>
      </c>
      <c r="J53" s="213" t="str">
        <f>IF(List34[[#This Row],[Tanggal Trf]]&gt;0,"Done","-")</f>
        <v>Done</v>
      </c>
      <c r="K53" s="442" t="s">
        <v>818</v>
      </c>
      <c r="L53" s="221">
        <v>44589</v>
      </c>
      <c r="M53" s="100" t="s">
        <v>1015</v>
      </c>
      <c r="N53" s="100">
        <f>MONTH(List34[[#This Row],[Tanggal Pengajuan]])</f>
        <v>1</v>
      </c>
      <c r="O53" s="183"/>
      <c r="P53" s="100" t="s">
        <v>687</v>
      </c>
      <c r="Q53" s="111"/>
      <c r="R53" s="230" t="s">
        <v>958</v>
      </c>
      <c r="T53" s="275">
        <f>+List34[[#This Row],[Pengajuan Donasi]]-List34[[#This Row],[Jumlah Transfer]]</f>
        <v>0</v>
      </c>
      <c r="U53" s="275"/>
    </row>
    <row r="54" spans="2:21" ht="30" customHeight="1" x14ac:dyDescent="0.2">
      <c r="B54" s="13">
        <v>44587</v>
      </c>
      <c r="C54" s="66"/>
      <c r="D54" s="103" t="s">
        <v>849</v>
      </c>
      <c r="E54" s="103" t="s">
        <v>17</v>
      </c>
      <c r="F54" s="14" t="s">
        <v>18</v>
      </c>
      <c r="G54" s="15">
        <v>63</v>
      </c>
      <c r="H54" s="262">
        <f>'[5]REV-PENAWARAN PER JAN''22'!$E$139</f>
        <v>5999200</v>
      </c>
      <c r="I54" s="258">
        <f>List34[[#This Row],[Pengajuan Donasi]]</f>
        <v>5999200</v>
      </c>
      <c r="J54" s="213" t="str">
        <f>IF(List34[[#This Row],[Tanggal Trf]]&gt;0,"Done","-")</f>
        <v>Done</v>
      </c>
      <c r="K54" s="442" t="s">
        <v>819</v>
      </c>
      <c r="L54" s="221">
        <v>44589</v>
      </c>
      <c r="M54" s="100" t="s">
        <v>1015</v>
      </c>
      <c r="N54" s="100">
        <f>MONTH(List34[[#This Row],[Tanggal Pengajuan]])</f>
        <v>1</v>
      </c>
      <c r="O54" s="183"/>
      <c r="P54" s="100" t="s">
        <v>687</v>
      </c>
      <c r="Q54" s="111"/>
      <c r="R54" s="230" t="s">
        <v>958</v>
      </c>
      <c r="T54" s="275">
        <f>+List34[[#This Row],[Pengajuan Donasi]]-List34[[#This Row],[Jumlah Transfer]]</f>
        <v>0</v>
      </c>
      <c r="U54" s="275"/>
    </row>
    <row r="55" spans="2:21" ht="30" customHeight="1" x14ac:dyDescent="0.2">
      <c r="B55" s="13">
        <v>44587</v>
      </c>
      <c r="C55" s="66"/>
      <c r="D55" s="103" t="s">
        <v>850</v>
      </c>
      <c r="E55" s="103" t="s">
        <v>17</v>
      </c>
      <c r="F55" s="14" t="s">
        <v>18</v>
      </c>
      <c r="G55" s="15">
        <v>61</v>
      </c>
      <c r="H55" s="262">
        <f>'[5]REV-PENAWARAN PER JAN''22'!$E$185</f>
        <v>6000600</v>
      </c>
      <c r="I55" s="258">
        <f>List34[[#This Row],[Pengajuan Donasi]]</f>
        <v>6000600</v>
      </c>
      <c r="J55" s="213" t="str">
        <f>IF(List34[[#This Row],[Tanggal Trf]]&gt;0,"Done","-")</f>
        <v>Done</v>
      </c>
      <c r="K55" s="442" t="s">
        <v>820</v>
      </c>
      <c r="L55" s="221">
        <v>44589</v>
      </c>
      <c r="M55" s="100" t="s">
        <v>1015</v>
      </c>
      <c r="N55" s="100">
        <f>MONTH(List34[[#This Row],[Tanggal Pengajuan]])</f>
        <v>1</v>
      </c>
      <c r="O55" s="183"/>
      <c r="P55" s="100" t="s">
        <v>651</v>
      </c>
      <c r="Q55" s="111"/>
      <c r="R55" s="230" t="s">
        <v>958</v>
      </c>
      <c r="T55" s="275">
        <f>+List34[[#This Row],[Pengajuan Donasi]]-List34[[#This Row],[Jumlah Transfer]]</f>
        <v>0</v>
      </c>
      <c r="U55" s="275"/>
    </row>
    <row r="56" spans="2:21" ht="30" customHeight="1" x14ac:dyDescent="0.2">
      <c r="B56" s="13">
        <v>44587</v>
      </c>
      <c r="C56" s="66"/>
      <c r="D56" s="103" t="s">
        <v>852</v>
      </c>
      <c r="E56" s="103" t="s">
        <v>17</v>
      </c>
      <c r="F56" s="14" t="s">
        <v>18</v>
      </c>
      <c r="G56" s="15">
        <v>42</v>
      </c>
      <c r="H56" s="262">
        <f>'[5]REV-PENAWARAN PER JAN''22'!$E$233</f>
        <v>5999300</v>
      </c>
      <c r="I56" s="258">
        <f>List34[[#This Row],[Pengajuan Donasi]]</f>
        <v>5999300</v>
      </c>
      <c r="J56" s="213" t="str">
        <f>IF(List34[[#This Row],[Tanggal Trf]]&gt;0,"Done","-")</f>
        <v>Done</v>
      </c>
      <c r="K56" s="442" t="s">
        <v>821</v>
      </c>
      <c r="L56" s="221">
        <v>44589</v>
      </c>
      <c r="M56" s="100" t="s">
        <v>1015</v>
      </c>
      <c r="N56" s="100">
        <f>MONTH(List34[[#This Row],[Tanggal Pengajuan]])</f>
        <v>1</v>
      </c>
      <c r="O56" s="183"/>
      <c r="P56" s="100" t="s">
        <v>651</v>
      </c>
      <c r="Q56" s="111"/>
      <c r="R56" s="230" t="s">
        <v>958</v>
      </c>
      <c r="T56" s="275">
        <f>+List34[[#This Row],[Pengajuan Donasi]]-List34[[#This Row],[Jumlah Transfer]]</f>
        <v>0</v>
      </c>
      <c r="U56" s="275"/>
    </row>
    <row r="57" spans="2:21" ht="30" customHeight="1" x14ac:dyDescent="0.2">
      <c r="B57" s="13">
        <v>44587</v>
      </c>
      <c r="C57" s="66"/>
      <c r="D57" s="103" t="s">
        <v>238</v>
      </c>
      <c r="E57" s="103" t="s">
        <v>17</v>
      </c>
      <c r="F57" s="14" t="s">
        <v>18</v>
      </c>
      <c r="G57" s="15">
        <v>42</v>
      </c>
      <c r="H57" s="262">
        <f>'[5]REV-PENAWARAN PER JAN''22'!$E$274</f>
        <v>6000300</v>
      </c>
      <c r="I57" s="258">
        <f>List34[[#This Row],[Pengajuan Donasi]]</f>
        <v>6000300</v>
      </c>
      <c r="J57" s="213" t="str">
        <f>IF(List34[[#This Row],[Tanggal Trf]]&gt;0,"Done","-")</f>
        <v>Done</v>
      </c>
      <c r="K57" s="442" t="s">
        <v>822</v>
      </c>
      <c r="L57" s="221">
        <v>44589</v>
      </c>
      <c r="M57" s="100" t="s">
        <v>1015</v>
      </c>
      <c r="N57" s="100">
        <f>MONTH(List34[[#This Row],[Tanggal Pengajuan]])</f>
        <v>1</v>
      </c>
      <c r="O57" s="183"/>
      <c r="P57" s="100" t="s">
        <v>687</v>
      </c>
      <c r="Q57" s="111"/>
      <c r="R57" s="230" t="s">
        <v>958</v>
      </c>
      <c r="T57" s="275">
        <f>+List34[[#This Row],[Pengajuan Donasi]]-List34[[#This Row],[Jumlah Transfer]]</f>
        <v>0</v>
      </c>
      <c r="U57" s="275"/>
    </row>
    <row r="58" spans="2:21" ht="30" customHeight="1" x14ac:dyDescent="0.2">
      <c r="B58" s="13">
        <v>44587</v>
      </c>
      <c r="C58" s="66"/>
      <c r="D58" s="103" t="s">
        <v>867</v>
      </c>
      <c r="E58" s="103" t="s">
        <v>17</v>
      </c>
      <c r="F58" s="14" t="s">
        <v>18</v>
      </c>
      <c r="G58" s="15">
        <v>129</v>
      </c>
      <c r="H58" s="262">
        <f>'[5]REV-PENAWARAN PER JAN''22'!$E$320</f>
        <v>6000700</v>
      </c>
      <c r="I58" s="258">
        <f>List34[[#This Row],[Pengajuan Donasi]]</f>
        <v>6000700</v>
      </c>
      <c r="J58" s="213" t="str">
        <f>IF(List34[[#This Row],[Tanggal Trf]]&gt;0,"Done","-")</f>
        <v>Done</v>
      </c>
      <c r="K58" s="442" t="s">
        <v>823</v>
      </c>
      <c r="L58" s="221">
        <v>44589</v>
      </c>
      <c r="M58" s="100" t="s">
        <v>1015</v>
      </c>
      <c r="N58" s="100">
        <f>MONTH(List34[[#This Row],[Tanggal Pengajuan]])</f>
        <v>1</v>
      </c>
      <c r="O58" s="183"/>
      <c r="P58" s="100" t="s">
        <v>687</v>
      </c>
      <c r="Q58" s="111"/>
      <c r="R58" s="230" t="s">
        <v>958</v>
      </c>
      <c r="T58" s="275">
        <f>+List34[[#This Row],[Pengajuan Donasi]]-List34[[#This Row],[Jumlah Transfer]]</f>
        <v>0</v>
      </c>
      <c r="U58" s="275"/>
    </row>
    <row r="59" spans="2:21" ht="30" customHeight="1" x14ac:dyDescent="0.2">
      <c r="B59" s="13">
        <v>44587</v>
      </c>
      <c r="C59" s="66"/>
      <c r="D59" s="103" t="s">
        <v>868</v>
      </c>
      <c r="E59" s="103" t="s">
        <v>17</v>
      </c>
      <c r="F59" s="14" t="s">
        <v>18</v>
      </c>
      <c r="G59" s="15">
        <v>27</v>
      </c>
      <c r="H59" s="262">
        <f>'[5]REV-PENAWARAN PER JAN''22'!$E$369</f>
        <v>6000500</v>
      </c>
      <c r="I59" s="258">
        <f>List34[[#This Row],[Pengajuan Donasi]]</f>
        <v>6000500</v>
      </c>
      <c r="J59" s="213" t="str">
        <f>IF(List34[[#This Row],[Tanggal Trf]]&gt;0,"Done","-")</f>
        <v>Done</v>
      </c>
      <c r="K59" s="442" t="s">
        <v>824</v>
      </c>
      <c r="L59" s="221">
        <v>44589</v>
      </c>
      <c r="M59" s="100" t="s">
        <v>1015</v>
      </c>
      <c r="N59" s="100">
        <f>MONTH(List34[[#This Row],[Tanggal Pengajuan]])</f>
        <v>1</v>
      </c>
      <c r="O59" s="183"/>
      <c r="P59" s="100" t="s">
        <v>651</v>
      </c>
      <c r="Q59" s="111"/>
      <c r="R59" s="230" t="s">
        <v>958</v>
      </c>
      <c r="T59" s="275">
        <f>+List34[[#This Row],[Pengajuan Donasi]]-List34[[#This Row],[Jumlah Transfer]]</f>
        <v>0</v>
      </c>
      <c r="U59" s="275"/>
    </row>
    <row r="60" spans="2:21" ht="30" customHeight="1" x14ac:dyDescent="0.2">
      <c r="B60" s="13">
        <v>44587</v>
      </c>
      <c r="C60" s="66"/>
      <c r="D60" s="103" t="s">
        <v>124</v>
      </c>
      <c r="E60" s="103" t="s">
        <v>17</v>
      </c>
      <c r="F60" s="14" t="s">
        <v>18</v>
      </c>
      <c r="G60" s="15">
        <v>119</v>
      </c>
      <c r="H60" s="262">
        <f>'[5]REV-PENAWARAN PER JAN''22'!$E$415</f>
        <v>5999600</v>
      </c>
      <c r="I60" s="258">
        <f>List34[[#This Row],[Pengajuan Donasi]]</f>
        <v>5999600</v>
      </c>
      <c r="J60" s="213" t="str">
        <f>IF(List34[[#This Row],[Tanggal Trf]]&gt;0,"Done","-")</f>
        <v>Done</v>
      </c>
      <c r="K60" s="442" t="s">
        <v>825</v>
      </c>
      <c r="L60" s="221">
        <v>44589</v>
      </c>
      <c r="M60" s="100" t="s">
        <v>1015</v>
      </c>
      <c r="N60" s="100">
        <f>MONTH(List34[[#This Row],[Tanggal Pengajuan]])</f>
        <v>1</v>
      </c>
      <c r="O60" s="183"/>
      <c r="P60" s="100" t="s">
        <v>651</v>
      </c>
      <c r="Q60" s="111"/>
      <c r="R60" s="230" t="s">
        <v>958</v>
      </c>
      <c r="T60" s="275">
        <f>+List34[[#This Row],[Pengajuan Donasi]]-List34[[#This Row],[Jumlah Transfer]]</f>
        <v>0</v>
      </c>
      <c r="U60" s="275"/>
    </row>
    <row r="61" spans="2:21" ht="30" customHeight="1" x14ac:dyDescent="0.2">
      <c r="B61" s="13">
        <v>44587</v>
      </c>
      <c r="C61" s="66"/>
      <c r="D61" s="103" t="s">
        <v>855</v>
      </c>
      <c r="E61" s="103" t="s">
        <v>17</v>
      </c>
      <c r="F61" s="14" t="s">
        <v>18</v>
      </c>
      <c r="G61" s="15">
        <v>91</v>
      </c>
      <c r="H61" s="262">
        <f>'[5]REV-PENAWARAN PER JAN''22'!$E$461</f>
        <v>6000500</v>
      </c>
      <c r="I61" s="258">
        <f>List34[[#This Row],[Pengajuan Donasi]]</f>
        <v>6000500</v>
      </c>
      <c r="J61" s="213" t="str">
        <f>IF(List34[[#This Row],[Tanggal Trf]]&gt;0,"Done","-")</f>
        <v>Done</v>
      </c>
      <c r="K61" s="442" t="s">
        <v>826</v>
      </c>
      <c r="L61" s="221">
        <v>44589</v>
      </c>
      <c r="M61" s="100" t="s">
        <v>1015</v>
      </c>
      <c r="N61" s="100">
        <f>MONTH(List34[[#This Row],[Tanggal Pengajuan]])</f>
        <v>1</v>
      </c>
      <c r="O61" s="183"/>
      <c r="P61" s="100" t="s">
        <v>687</v>
      </c>
      <c r="Q61" s="111"/>
      <c r="R61" s="230" t="s">
        <v>958</v>
      </c>
      <c r="T61" s="275">
        <f>+List34[[#This Row],[Pengajuan Donasi]]-List34[[#This Row],[Jumlah Transfer]]</f>
        <v>0</v>
      </c>
      <c r="U61" s="275"/>
    </row>
    <row r="62" spans="2:21" ht="30" customHeight="1" x14ac:dyDescent="0.2">
      <c r="B62" s="13">
        <v>44587</v>
      </c>
      <c r="C62" s="66"/>
      <c r="D62" s="103" t="s">
        <v>871</v>
      </c>
      <c r="E62" s="103" t="s">
        <v>17</v>
      </c>
      <c r="F62" s="14" t="s">
        <v>18</v>
      </c>
      <c r="G62" s="15">
        <v>68</v>
      </c>
      <c r="H62" s="262">
        <f>'[5]REV-PENAWARAN PER JAN''22'!$E$503</f>
        <v>5999100</v>
      </c>
      <c r="I62" s="258">
        <f>List34[[#This Row],[Pengajuan Donasi]]</f>
        <v>5999100</v>
      </c>
      <c r="J62" s="213" t="str">
        <f>IF(List34[[#This Row],[Tanggal Trf]]&gt;0,"Done","-")</f>
        <v>Done</v>
      </c>
      <c r="K62" s="442" t="s">
        <v>827</v>
      </c>
      <c r="L62" s="221">
        <v>44589</v>
      </c>
      <c r="M62" s="100" t="s">
        <v>1015</v>
      </c>
      <c r="N62" s="100">
        <f>MONTH(List34[[#This Row],[Tanggal Pengajuan]])</f>
        <v>1</v>
      </c>
      <c r="O62" s="183"/>
      <c r="P62" s="100" t="s">
        <v>687</v>
      </c>
      <c r="Q62" s="111"/>
      <c r="R62" s="230" t="s">
        <v>958</v>
      </c>
      <c r="T62" s="275">
        <f>+List34[[#This Row],[Pengajuan Donasi]]-List34[[#This Row],[Jumlah Transfer]]</f>
        <v>0</v>
      </c>
      <c r="U62" s="275"/>
    </row>
    <row r="63" spans="2:21" ht="30" customHeight="1" x14ac:dyDescent="0.2">
      <c r="B63" s="13">
        <v>44587</v>
      </c>
      <c r="C63" s="66"/>
      <c r="D63" s="103" t="s">
        <v>851</v>
      </c>
      <c r="E63" s="103" t="s">
        <v>17</v>
      </c>
      <c r="F63" s="14" t="s">
        <v>18</v>
      </c>
      <c r="G63" s="15">
        <v>22</v>
      </c>
      <c r="H63" s="262">
        <f>'[5]REV-PENAWARAN PER JAN''22'!$E$551</f>
        <v>6000400</v>
      </c>
      <c r="I63" s="258">
        <f>List34[[#This Row],[Pengajuan Donasi]]</f>
        <v>6000400</v>
      </c>
      <c r="J63" s="213" t="str">
        <f>IF(List34[[#This Row],[Tanggal Trf]]&gt;0,"Done","-")</f>
        <v>Done</v>
      </c>
      <c r="K63" s="442" t="s">
        <v>828</v>
      </c>
      <c r="L63" s="221">
        <v>44589</v>
      </c>
      <c r="M63" s="100" t="s">
        <v>1015</v>
      </c>
      <c r="N63" s="100">
        <f>MONTH(List34[[#This Row],[Tanggal Pengajuan]])</f>
        <v>1</v>
      </c>
      <c r="O63" s="183"/>
      <c r="P63" s="100" t="s">
        <v>651</v>
      </c>
      <c r="Q63" s="111"/>
      <c r="R63" s="230" t="s">
        <v>958</v>
      </c>
      <c r="T63" s="275">
        <f>+List34[[#This Row],[Pengajuan Donasi]]-List34[[#This Row],[Jumlah Transfer]]</f>
        <v>0</v>
      </c>
      <c r="U63" s="275"/>
    </row>
    <row r="64" spans="2:21" ht="30" customHeight="1" x14ac:dyDescent="0.2">
      <c r="B64" s="13">
        <v>44587</v>
      </c>
      <c r="C64" s="66"/>
      <c r="D64" s="103" t="s">
        <v>869</v>
      </c>
      <c r="E64" s="103" t="s">
        <v>17</v>
      </c>
      <c r="F64" s="14" t="s">
        <v>18</v>
      </c>
      <c r="G64" s="15">
        <v>93</v>
      </c>
      <c r="H64" s="262">
        <f>'[5]REV-PENAWARAN PER JAN''22'!$E$599</f>
        <v>6000800</v>
      </c>
      <c r="I64" s="258">
        <f>List34[[#This Row],[Pengajuan Donasi]]</f>
        <v>6000800</v>
      </c>
      <c r="J64" s="213" t="str">
        <f>IF(List34[[#This Row],[Tanggal Trf]]&gt;0,"Done","-")</f>
        <v>Done</v>
      </c>
      <c r="K64" s="442" t="s">
        <v>829</v>
      </c>
      <c r="L64" s="221">
        <v>44589</v>
      </c>
      <c r="M64" s="100" t="s">
        <v>1015</v>
      </c>
      <c r="N64" s="100">
        <f>MONTH(List34[[#This Row],[Tanggal Pengajuan]])</f>
        <v>1</v>
      </c>
      <c r="O64" s="183"/>
      <c r="P64" s="100" t="s">
        <v>651</v>
      </c>
      <c r="Q64" s="111"/>
      <c r="R64" s="230" t="s">
        <v>958</v>
      </c>
      <c r="T64" s="275">
        <f>+List34[[#This Row],[Pengajuan Donasi]]-List34[[#This Row],[Jumlah Transfer]]</f>
        <v>0</v>
      </c>
      <c r="U64" s="275"/>
    </row>
    <row r="65" spans="2:21" ht="30" customHeight="1" x14ac:dyDescent="0.2">
      <c r="B65" s="13">
        <v>44587</v>
      </c>
      <c r="C65" s="66"/>
      <c r="D65" s="103" t="s">
        <v>848</v>
      </c>
      <c r="E65" s="103" t="s">
        <v>17</v>
      </c>
      <c r="F65" s="14" t="s">
        <v>18</v>
      </c>
      <c r="G65" s="15">
        <v>36</v>
      </c>
      <c r="H65" s="262">
        <f>'[5]REV-PENAWARAN PER JAN''22'!$E$646</f>
        <v>5999000</v>
      </c>
      <c r="I65" s="258">
        <f>List34[[#This Row],[Pengajuan Donasi]]</f>
        <v>5999000</v>
      </c>
      <c r="J65" s="213" t="str">
        <f>IF(List34[[#This Row],[Tanggal Trf]]&gt;0,"Done","-")</f>
        <v>Done</v>
      </c>
      <c r="K65" s="442" t="s">
        <v>830</v>
      </c>
      <c r="L65" s="221">
        <v>44589</v>
      </c>
      <c r="M65" s="100" t="s">
        <v>1015</v>
      </c>
      <c r="N65" s="100">
        <f>MONTH(List34[[#This Row],[Tanggal Pengajuan]])</f>
        <v>1</v>
      </c>
      <c r="O65" s="183"/>
      <c r="P65" s="100" t="s">
        <v>687</v>
      </c>
      <c r="Q65" s="111"/>
      <c r="R65" s="230" t="s">
        <v>958</v>
      </c>
      <c r="T65" s="275">
        <f>+List34[[#This Row],[Pengajuan Donasi]]-List34[[#This Row],[Jumlah Transfer]]</f>
        <v>0</v>
      </c>
      <c r="U65" s="275"/>
    </row>
    <row r="66" spans="2:21" ht="30" customHeight="1" x14ac:dyDescent="0.2">
      <c r="B66" s="13">
        <v>44587</v>
      </c>
      <c r="C66" s="66"/>
      <c r="D66" s="103" t="s">
        <v>229</v>
      </c>
      <c r="E66" s="103" t="s">
        <v>17</v>
      </c>
      <c r="F66" s="14" t="s">
        <v>18</v>
      </c>
      <c r="G66" s="15">
        <v>40</v>
      </c>
      <c r="H66" s="262">
        <f>'[5]REV-PENAWARAN PER JAN''22'!$E$695</f>
        <v>5998900</v>
      </c>
      <c r="I66" s="258">
        <f>List34[[#This Row],[Pengajuan Donasi]]</f>
        <v>5998900</v>
      </c>
      <c r="J66" s="213" t="str">
        <f>IF(List34[[#This Row],[Tanggal Trf]]&gt;0,"Done","-")</f>
        <v>Done</v>
      </c>
      <c r="K66" s="442" t="s">
        <v>831</v>
      </c>
      <c r="L66" s="221">
        <v>44589</v>
      </c>
      <c r="M66" s="100" t="s">
        <v>1015</v>
      </c>
      <c r="N66" s="100">
        <f>MONTH(List34[[#This Row],[Tanggal Pengajuan]])</f>
        <v>1</v>
      </c>
      <c r="O66" s="183"/>
      <c r="P66" s="100" t="s">
        <v>687</v>
      </c>
      <c r="Q66" s="111"/>
      <c r="R66" s="230" t="s">
        <v>958</v>
      </c>
      <c r="T66" s="275">
        <f>+List34[[#This Row],[Pengajuan Donasi]]-List34[[#This Row],[Jumlah Transfer]]</f>
        <v>0</v>
      </c>
      <c r="U66" s="275"/>
    </row>
    <row r="67" spans="2:21" ht="30" customHeight="1" x14ac:dyDescent="0.2">
      <c r="B67" s="13">
        <v>44587</v>
      </c>
      <c r="C67" s="66"/>
      <c r="D67" s="103" t="s">
        <v>228</v>
      </c>
      <c r="E67" s="103" t="s">
        <v>17</v>
      </c>
      <c r="F67" s="14" t="s">
        <v>18</v>
      </c>
      <c r="G67" s="15">
        <v>66</v>
      </c>
      <c r="H67" s="262">
        <f>'[5]REV-PENAWARAN PER JAN''22'!$E$747</f>
        <v>5999100</v>
      </c>
      <c r="I67" s="258">
        <f>List34[[#This Row],[Pengajuan Donasi]]</f>
        <v>5999100</v>
      </c>
      <c r="J67" s="213" t="str">
        <f>IF(List34[[#This Row],[Tanggal Trf]]&gt;0,"Done","-")</f>
        <v>Done</v>
      </c>
      <c r="K67" s="442" t="s">
        <v>832</v>
      </c>
      <c r="L67" s="221">
        <v>44589</v>
      </c>
      <c r="M67" s="100" t="s">
        <v>1015</v>
      </c>
      <c r="N67" s="100">
        <f>MONTH(List34[[#This Row],[Tanggal Pengajuan]])</f>
        <v>1</v>
      </c>
      <c r="O67" s="183"/>
      <c r="P67" s="100" t="s">
        <v>651</v>
      </c>
      <c r="Q67" s="111"/>
      <c r="R67" s="230" t="s">
        <v>958</v>
      </c>
      <c r="T67" s="275">
        <f>+List34[[#This Row],[Pengajuan Donasi]]-List34[[#This Row],[Jumlah Transfer]]</f>
        <v>0</v>
      </c>
      <c r="U67" s="275"/>
    </row>
    <row r="68" spans="2:21" ht="30" customHeight="1" x14ac:dyDescent="0.2">
      <c r="B68" s="13">
        <v>44587</v>
      </c>
      <c r="C68" s="66"/>
      <c r="D68" s="103" t="s">
        <v>858</v>
      </c>
      <c r="E68" s="103" t="s">
        <v>17</v>
      </c>
      <c r="F68" s="14" t="s">
        <v>18</v>
      </c>
      <c r="G68" s="15">
        <v>12</v>
      </c>
      <c r="H68" s="262">
        <f>'[5]REV-PENAWARAN PER JAN''22'!$E$792</f>
        <v>6000700</v>
      </c>
      <c r="I68" s="258">
        <f>List34[[#This Row],[Pengajuan Donasi]]</f>
        <v>6000700</v>
      </c>
      <c r="J68" s="213" t="str">
        <f>IF(List34[[#This Row],[Tanggal Trf]]&gt;0,"Done","-")</f>
        <v>Done</v>
      </c>
      <c r="K68" s="442" t="s">
        <v>833</v>
      </c>
      <c r="L68" s="221">
        <v>44589</v>
      </c>
      <c r="M68" s="100" t="s">
        <v>1015</v>
      </c>
      <c r="N68" s="100">
        <f>MONTH(List34[[#This Row],[Tanggal Pengajuan]])</f>
        <v>1</v>
      </c>
      <c r="O68" s="183"/>
      <c r="P68" s="100" t="s">
        <v>651</v>
      </c>
      <c r="Q68" s="111"/>
      <c r="R68" s="230" t="s">
        <v>958</v>
      </c>
      <c r="T68" s="275">
        <f>+List34[[#This Row],[Pengajuan Donasi]]-List34[[#This Row],[Jumlah Transfer]]</f>
        <v>0</v>
      </c>
      <c r="U68" s="275"/>
    </row>
    <row r="69" spans="2:21" ht="30" customHeight="1" x14ac:dyDescent="0.2">
      <c r="B69" s="13">
        <v>44587</v>
      </c>
      <c r="C69" s="66"/>
      <c r="D69" s="103" t="s">
        <v>856</v>
      </c>
      <c r="E69" s="103" t="s">
        <v>17</v>
      </c>
      <c r="F69" s="14" t="s">
        <v>18</v>
      </c>
      <c r="G69" s="15">
        <v>32</v>
      </c>
      <c r="H69" s="262">
        <f>'[5]REV-PENAWARAN PER JAN''22'!$E$848</f>
        <v>5999000</v>
      </c>
      <c r="I69" s="258">
        <f>List34[[#This Row],[Pengajuan Donasi]]</f>
        <v>5999000</v>
      </c>
      <c r="J69" s="213" t="str">
        <f>IF(List34[[#This Row],[Tanggal Trf]]&gt;0,"Done","-")</f>
        <v>Done</v>
      </c>
      <c r="K69" s="442" t="s">
        <v>834</v>
      </c>
      <c r="L69" s="221">
        <v>44589</v>
      </c>
      <c r="M69" s="100" t="s">
        <v>1015</v>
      </c>
      <c r="N69" s="100">
        <f>MONTH(List34[[#This Row],[Tanggal Pengajuan]])</f>
        <v>1</v>
      </c>
      <c r="O69" s="183"/>
      <c r="P69" s="100" t="s">
        <v>687</v>
      </c>
      <c r="Q69" s="111"/>
      <c r="R69" s="230" t="s">
        <v>958</v>
      </c>
      <c r="T69" s="275">
        <f>+List34[[#This Row],[Pengajuan Donasi]]-List34[[#This Row],[Jumlah Transfer]]</f>
        <v>0</v>
      </c>
      <c r="U69" s="275"/>
    </row>
    <row r="70" spans="2:21" ht="30" customHeight="1" x14ac:dyDescent="0.2">
      <c r="B70" s="13">
        <v>44587</v>
      </c>
      <c r="C70" s="66"/>
      <c r="D70" s="103" t="s">
        <v>854</v>
      </c>
      <c r="E70" s="103" t="s">
        <v>17</v>
      </c>
      <c r="F70" s="14" t="s">
        <v>18</v>
      </c>
      <c r="G70" s="15">
        <v>118</v>
      </c>
      <c r="H70" s="262">
        <f>'[5]REV-PENAWARAN PER JAN''22'!$E$897</f>
        <v>6000200</v>
      </c>
      <c r="I70" s="258">
        <f>List34[[#This Row],[Pengajuan Donasi]]</f>
        <v>6000200</v>
      </c>
      <c r="J70" s="213" t="str">
        <f>IF(List34[[#This Row],[Tanggal Trf]]&gt;0,"Done","-")</f>
        <v>Done</v>
      </c>
      <c r="K70" s="442" t="s">
        <v>835</v>
      </c>
      <c r="L70" s="221">
        <v>44589</v>
      </c>
      <c r="M70" s="100" t="s">
        <v>1015</v>
      </c>
      <c r="N70" s="100">
        <f>MONTH(List34[[#This Row],[Tanggal Pengajuan]])</f>
        <v>1</v>
      </c>
      <c r="O70" s="183"/>
      <c r="P70" s="100" t="s">
        <v>687</v>
      </c>
      <c r="Q70" s="111"/>
      <c r="R70" s="230" t="s">
        <v>958</v>
      </c>
      <c r="T70" s="275">
        <f>+List34[[#This Row],[Pengajuan Donasi]]-List34[[#This Row],[Jumlah Transfer]]</f>
        <v>0</v>
      </c>
      <c r="U70" s="275"/>
    </row>
    <row r="71" spans="2:21" ht="30" customHeight="1" x14ac:dyDescent="0.2">
      <c r="B71" s="13">
        <v>44587</v>
      </c>
      <c r="C71" s="66"/>
      <c r="D71" s="103" t="s">
        <v>328</v>
      </c>
      <c r="E71" s="103" t="s">
        <v>17</v>
      </c>
      <c r="F71" s="14" t="s">
        <v>18</v>
      </c>
      <c r="G71" s="15">
        <v>14</v>
      </c>
      <c r="H71" s="262">
        <f>'[5]REV-PENAWARAN PER JAN''22'!$E$948</f>
        <v>5999000</v>
      </c>
      <c r="I71" s="258">
        <f>List34[[#This Row],[Pengajuan Donasi]]</f>
        <v>5999000</v>
      </c>
      <c r="J71" s="213" t="str">
        <f>IF(List34[[#This Row],[Tanggal Trf]]&gt;0,"Done","-")</f>
        <v>Done</v>
      </c>
      <c r="K71" s="442" t="s">
        <v>836</v>
      </c>
      <c r="L71" s="221">
        <v>44589</v>
      </c>
      <c r="M71" s="100" t="s">
        <v>1015</v>
      </c>
      <c r="N71" s="100">
        <f>MONTH(List34[[#This Row],[Tanggal Pengajuan]])</f>
        <v>1</v>
      </c>
      <c r="O71" s="183"/>
      <c r="P71" s="100" t="s">
        <v>651</v>
      </c>
      <c r="Q71" s="111"/>
      <c r="R71" s="230" t="s">
        <v>958</v>
      </c>
      <c r="T71" s="275">
        <f>+List34[[#This Row],[Pengajuan Donasi]]-List34[[#This Row],[Jumlah Transfer]]</f>
        <v>0</v>
      </c>
      <c r="U71" s="275"/>
    </row>
    <row r="72" spans="2:21" ht="30" customHeight="1" x14ac:dyDescent="0.2">
      <c r="B72" s="13">
        <v>44587</v>
      </c>
      <c r="C72" s="66"/>
      <c r="D72" s="103" t="s">
        <v>857</v>
      </c>
      <c r="E72" s="103" t="s">
        <v>17</v>
      </c>
      <c r="F72" s="14" t="s">
        <v>18</v>
      </c>
      <c r="G72" s="15">
        <v>78</v>
      </c>
      <c r="H72" s="262">
        <f>'[5]REV-PENAWARAN PER JAN''22'!$E$998</f>
        <v>6000800</v>
      </c>
      <c r="I72" s="258">
        <f>List34[[#This Row],[Pengajuan Donasi]]</f>
        <v>6000800</v>
      </c>
      <c r="J72" s="213" t="str">
        <f>IF(List34[[#This Row],[Tanggal Trf]]&gt;0,"Done","-")</f>
        <v>Done</v>
      </c>
      <c r="K72" s="442" t="s">
        <v>837</v>
      </c>
      <c r="L72" s="221">
        <v>44589</v>
      </c>
      <c r="M72" s="100" t="s">
        <v>1015</v>
      </c>
      <c r="N72" s="100">
        <f>MONTH(List34[[#This Row],[Tanggal Pengajuan]])</f>
        <v>1</v>
      </c>
      <c r="O72" s="183"/>
      <c r="P72" s="100" t="s">
        <v>651</v>
      </c>
      <c r="Q72" s="111"/>
      <c r="R72" s="230" t="s">
        <v>958</v>
      </c>
      <c r="T72" s="275">
        <f>+List34[[#This Row],[Pengajuan Donasi]]-List34[[#This Row],[Jumlah Transfer]]</f>
        <v>0</v>
      </c>
      <c r="U72" s="275"/>
    </row>
    <row r="73" spans="2:21" ht="30" customHeight="1" x14ac:dyDescent="0.2">
      <c r="B73" s="13">
        <v>44587</v>
      </c>
      <c r="C73" s="66"/>
      <c r="D73" s="103" t="s">
        <v>853</v>
      </c>
      <c r="E73" s="103" t="s">
        <v>17</v>
      </c>
      <c r="F73" s="14" t="s">
        <v>18</v>
      </c>
      <c r="G73" s="15">
        <v>25</v>
      </c>
      <c r="H73" s="262">
        <f>'[5]REV-PENAWARAN PER JAN''22'!$E$1049</f>
        <v>5999100</v>
      </c>
      <c r="I73" s="258">
        <f>List34[[#This Row],[Pengajuan Donasi]]</f>
        <v>5999100</v>
      </c>
      <c r="J73" s="213" t="str">
        <f>IF(List34[[#This Row],[Tanggal Trf]]&gt;0,"Done","-")</f>
        <v>Done</v>
      </c>
      <c r="K73" s="442" t="s">
        <v>838</v>
      </c>
      <c r="L73" s="221">
        <v>44589</v>
      </c>
      <c r="M73" s="100" t="s">
        <v>1015</v>
      </c>
      <c r="N73" s="100">
        <f>MONTH(List34[[#This Row],[Tanggal Pengajuan]])</f>
        <v>1</v>
      </c>
      <c r="O73" s="183"/>
      <c r="P73" s="100" t="s">
        <v>687</v>
      </c>
      <c r="Q73" s="111"/>
      <c r="R73" s="230" t="s">
        <v>958</v>
      </c>
      <c r="T73" s="275">
        <f>+List34[[#This Row],[Pengajuan Donasi]]-List34[[#This Row],[Jumlah Transfer]]</f>
        <v>0</v>
      </c>
      <c r="U73" s="275"/>
    </row>
    <row r="74" spans="2:21" ht="30" customHeight="1" x14ac:dyDescent="0.2">
      <c r="B74" s="13">
        <v>44587</v>
      </c>
      <c r="C74" s="66"/>
      <c r="D74" s="103" t="s">
        <v>362</v>
      </c>
      <c r="E74" s="103" t="s">
        <v>17</v>
      </c>
      <c r="F74" s="14" t="s">
        <v>18</v>
      </c>
      <c r="G74" s="15">
        <v>137</v>
      </c>
      <c r="H74" s="262">
        <f>'[5]REV-PENAWARAN PER JAN''22'!$E$1085</f>
        <v>6000200</v>
      </c>
      <c r="I74" s="258">
        <f>List34[[#This Row],[Pengajuan Donasi]]</f>
        <v>6000200</v>
      </c>
      <c r="J74" s="213" t="str">
        <f>IF(List34[[#This Row],[Tanggal Trf]]&gt;0,"Done","-")</f>
        <v>Done</v>
      </c>
      <c r="K74" s="442" t="s">
        <v>839</v>
      </c>
      <c r="L74" s="221">
        <v>44589</v>
      </c>
      <c r="M74" s="100" t="s">
        <v>1015</v>
      </c>
      <c r="N74" s="100">
        <f>MONTH(List34[[#This Row],[Tanggal Pengajuan]])</f>
        <v>1</v>
      </c>
      <c r="O74" s="183"/>
      <c r="P74" s="100" t="s">
        <v>687</v>
      </c>
      <c r="Q74" s="111"/>
      <c r="R74" s="230" t="s">
        <v>958</v>
      </c>
      <c r="T74" s="275">
        <f>+List34[[#This Row],[Pengajuan Donasi]]-List34[[#This Row],[Jumlah Transfer]]</f>
        <v>0</v>
      </c>
      <c r="U74" s="275"/>
    </row>
    <row r="75" spans="2:21" ht="30" customHeight="1" x14ac:dyDescent="0.2">
      <c r="B75" s="13">
        <v>44587</v>
      </c>
      <c r="C75" s="66"/>
      <c r="D75" s="103" t="s">
        <v>391</v>
      </c>
      <c r="E75" s="103" t="s">
        <v>17</v>
      </c>
      <c r="F75" s="14" t="s">
        <v>18</v>
      </c>
      <c r="G75" s="15">
        <v>40</v>
      </c>
      <c r="H75" s="262">
        <f>'[5]REV-PENAWARAN PER JAN''22'!$E$1122</f>
        <v>5998600</v>
      </c>
      <c r="I75" s="258">
        <f>List34[[#This Row],[Pengajuan Donasi]]</f>
        <v>5998600</v>
      </c>
      <c r="J75" s="213" t="str">
        <f>IF(List34[[#This Row],[Tanggal Trf]]&gt;0,"Done","-")</f>
        <v>Done</v>
      </c>
      <c r="K75" s="442" t="s">
        <v>840</v>
      </c>
      <c r="L75" s="221">
        <v>44589</v>
      </c>
      <c r="M75" s="100" t="s">
        <v>1015</v>
      </c>
      <c r="N75" s="100">
        <f>MONTH(List34[[#This Row],[Tanggal Pengajuan]])</f>
        <v>1</v>
      </c>
      <c r="O75" s="183"/>
      <c r="P75" s="100" t="s">
        <v>651</v>
      </c>
      <c r="Q75" s="111"/>
      <c r="R75" s="230" t="s">
        <v>958</v>
      </c>
      <c r="T75" s="275">
        <f>+List34[[#This Row],[Pengajuan Donasi]]-List34[[#This Row],[Jumlah Transfer]]</f>
        <v>0</v>
      </c>
      <c r="U75" s="275"/>
    </row>
    <row r="76" spans="2:21" ht="30" customHeight="1" x14ac:dyDescent="0.2">
      <c r="B76" s="13">
        <v>44587</v>
      </c>
      <c r="C76" s="66"/>
      <c r="D76" s="103" t="s">
        <v>860</v>
      </c>
      <c r="E76" s="103" t="s">
        <v>17</v>
      </c>
      <c r="F76" s="14" t="s">
        <v>18</v>
      </c>
      <c r="G76" s="15">
        <v>45</v>
      </c>
      <c r="H76" s="262">
        <f>'[5]REV-PENAWARAN PER JAN''22'!$E$1172</f>
        <v>5999900</v>
      </c>
      <c r="I76" s="258">
        <f>List34[[#This Row],[Pengajuan Donasi]]</f>
        <v>5999900</v>
      </c>
      <c r="J76" s="213" t="str">
        <f>IF(List34[[#This Row],[Tanggal Trf]]&gt;0,"Done","-")</f>
        <v>Done</v>
      </c>
      <c r="K76" s="442" t="s">
        <v>841</v>
      </c>
      <c r="L76" s="221">
        <v>44589</v>
      </c>
      <c r="M76" s="100" t="s">
        <v>1015</v>
      </c>
      <c r="N76" s="100">
        <f>MONTH(List34[[#This Row],[Tanggal Pengajuan]])</f>
        <v>1</v>
      </c>
      <c r="O76" s="183"/>
      <c r="P76" s="100" t="s">
        <v>651</v>
      </c>
      <c r="Q76" s="111"/>
      <c r="R76" s="230" t="s">
        <v>958</v>
      </c>
      <c r="T76" s="275">
        <f>+List34[[#This Row],[Pengajuan Donasi]]-List34[[#This Row],[Jumlah Transfer]]</f>
        <v>0</v>
      </c>
      <c r="U76" s="275"/>
    </row>
    <row r="77" spans="2:21" ht="30" customHeight="1" x14ac:dyDescent="0.2">
      <c r="B77" s="13">
        <v>44587</v>
      </c>
      <c r="C77" s="66"/>
      <c r="D77" s="103" t="s">
        <v>861</v>
      </c>
      <c r="E77" s="103" t="s">
        <v>17</v>
      </c>
      <c r="F77" s="14" t="s">
        <v>18</v>
      </c>
      <c r="G77" s="15">
        <v>65</v>
      </c>
      <c r="H77" s="262">
        <f>'[5]REV-PENAWARAN PER JAN''22'!$E$1217</f>
        <v>5999000</v>
      </c>
      <c r="I77" s="258">
        <f>List34[[#This Row],[Pengajuan Donasi]]</f>
        <v>5999000</v>
      </c>
      <c r="J77" s="213" t="str">
        <f>IF(List34[[#This Row],[Tanggal Trf]]&gt;0,"Done","-")</f>
        <v>Done</v>
      </c>
      <c r="K77" s="442" t="s">
        <v>842</v>
      </c>
      <c r="L77" s="221">
        <v>44589</v>
      </c>
      <c r="M77" s="100" t="s">
        <v>1015</v>
      </c>
      <c r="N77" s="100">
        <f>MONTH(List34[[#This Row],[Tanggal Pengajuan]])</f>
        <v>1</v>
      </c>
      <c r="O77" s="183"/>
      <c r="P77" s="100" t="s">
        <v>687</v>
      </c>
      <c r="Q77" s="111"/>
      <c r="R77" s="230" t="s">
        <v>958</v>
      </c>
      <c r="T77" s="275">
        <f>+List34[[#This Row],[Pengajuan Donasi]]-List34[[#This Row],[Jumlah Transfer]]</f>
        <v>0</v>
      </c>
      <c r="U77" s="275"/>
    </row>
    <row r="78" spans="2:21" ht="30" customHeight="1" x14ac:dyDescent="0.2">
      <c r="B78" s="13">
        <v>44587</v>
      </c>
      <c r="C78" s="66"/>
      <c r="D78" s="103" t="s">
        <v>862</v>
      </c>
      <c r="E78" s="103" t="s">
        <v>17</v>
      </c>
      <c r="F78" s="14" t="s">
        <v>18</v>
      </c>
      <c r="G78" s="15">
        <v>40</v>
      </c>
      <c r="H78" s="262">
        <f>'[5]REV-PENAWARAN PER JAN''22'!$E$1269</f>
        <v>6000200</v>
      </c>
      <c r="I78" s="258">
        <f>List34[[#This Row],[Pengajuan Donasi]]</f>
        <v>6000200</v>
      </c>
      <c r="J78" s="213" t="str">
        <f>IF(List34[[#This Row],[Tanggal Trf]]&gt;0,"Done","-")</f>
        <v>Done</v>
      </c>
      <c r="K78" s="442" t="s">
        <v>843</v>
      </c>
      <c r="L78" s="221">
        <v>44589</v>
      </c>
      <c r="M78" s="100" t="s">
        <v>1015</v>
      </c>
      <c r="N78" s="100">
        <f>MONTH(List34[[#This Row],[Tanggal Pengajuan]])</f>
        <v>1</v>
      </c>
      <c r="O78" s="183"/>
      <c r="P78" s="100" t="s">
        <v>687</v>
      </c>
      <c r="Q78" s="111"/>
      <c r="R78" s="230" t="s">
        <v>958</v>
      </c>
      <c r="T78" s="275">
        <f>+List34[[#This Row],[Pengajuan Donasi]]-List34[[#This Row],[Jumlah Transfer]]</f>
        <v>0</v>
      </c>
      <c r="U78" s="275"/>
    </row>
    <row r="79" spans="2:21" ht="30" customHeight="1" x14ac:dyDescent="0.2">
      <c r="B79" s="13">
        <v>44587</v>
      </c>
      <c r="C79" s="66"/>
      <c r="D79" s="103" t="s">
        <v>863</v>
      </c>
      <c r="E79" s="103" t="s">
        <v>17</v>
      </c>
      <c r="F79" s="14" t="s">
        <v>18</v>
      </c>
      <c r="G79" s="15">
        <v>142</v>
      </c>
      <c r="H79" s="262">
        <f>'[5]REV-PENAWARAN PER JAN''22'!$E$1312</f>
        <v>5999800</v>
      </c>
      <c r="I79" s="258">
        <f>List34[[#This Row],[Pengajuan Donasi]]</f>
        <v>5999800</v>
      </c>
      <c r="J79" s="213" t="str">
        <f>IF(List34[[#This Row],[Tanggal Trf]]&gt;0,"Done","-")</f>
        <v>Done</v>
      </c>
      <c r="K79" s="442" t="s">
        <v>844</v>
      </c>
      <c r="L79" s="221">
        <v>44589</v>
      </c>
      <c r="M79" s="100" t="s">
        <v>1015</v>
      </c>
      <c r="N79" s="100">
        <f>MONTH(List34[[#This Row],[Tanggal Pengajuan]])</f>
        <v>1</v>
      </c>
      <c r="O79" s="183"/>
      <c r="P79" s="100" t="s">
        <v>651</v>
      </c>
      <c r="Q79" s="111"/>
      <c r="R79" s="230" t="s">
        <v>958</v>
      </c>
      <c r="T79" s="275">
        <f>+List34[[#This Row],[Pengajuan Donasi]]-List34[[#This Row],[Jumlah Transfer]]</f>
        <v>0</v>
      </c>
      <c r="U79" s="275"/>
    </row>
    <row r="80" spans="2:21" ht="30" customHeight="1" x14ac:dyDescent="0.2">
      <c r="B80" s="13">
        <v>44587</v>
      </c>
      <c r="C80" s="66"/>
      <c r="D80" s="103" t="s">
        <v>864</v>
      </c>
      <c r="E80" s="103" t="s">
        <v>17</v>
      </c>
      <c r="F80" s="14" t="s">
        <v>18</v>
      </c>
      <c r="G80" s="15">
        <v>141</v>
      </c>
      <c r="H80" s="262">
        <f>'[5]REV-PENAWARAN PER JAN''22'!$E$1361</f>
        <v>5999500</v>
      </c>
      <c r="I80" s="258">
        <f>List34[[#This Row],[Pengajuan Donasi]]</f>
        <v>5999500</v>
      </c>
      <c r="J80" s="213" t="str">
        <f>IF(List34[[#This Row],[Tanggal Trf]]&gt;0,"Done","-")</f>
        <v>Done</v>
      </c>
      <c r="K80" s="442" t="s">
        <v>845</v>
      </c>
      <c r="L80" s="221">
        <v>44589</v>
      </c>
      <c r="M80" s="100" t="s">
        <v>1015</v>
      </c>
      <c r="N80" s="100">
        <f>MONTH(List34[[#This Row],[Tanggal Pengajuan]])</f>
        <v>1</v>
      </c>
      <c r="O80" s="183"/>
      <c r="P80" s="100" t="s">
        <v>651</v>
      </c>
      <c r="Q80" s="111"/>
      <c r="R80" s="230" t="s">
        <v>958</v>
      </c>
      <c r="T80" s="275">
        <f>+List34[[#This Row],[Pengajuan Donasi]]-List34[[#This Row],[Jumlah Transfer]]</f>
        <v>0</v>
      </c>
      <c r="U80" s="275"/>
    </row>
    <row r="81" spans="2:21" ht="30" customHeight="1" x14ac:dyDescent="0.2">
      <c r="B81" s="13">
        <v>44587</v>
      </c>
      <c r="C81" s="199"/>
      <c r="D81" s="103" t="s">
        <v>865</v>
      </c>
      <c r="E81" s="103" t="s">
        <v>17</v>
      </c>
      <c r="F81" s="14" t="s">
        <v>18</v>
      </c>
      <c r="G81" s="469">
        <v>96</v>
      </c>
      <c r="H81" s="262">
        <f>'[5]REV-PENAWARAN PER JAN''22'!$E$1408</f>
        <v>6000200</v>
      </c>
      <c r="I81" s="258">
        <f>List34[[#This Row],[Pengajuan Donasi]]</f>
        <v>6000200</v>
      </c>
      <c r="J81" s="217" t="str">
        <f>IF(List34[[#This Row],[Tanggal Trf]]&gt;0,"Done","-")</f>
        <v>Done</v>
      </c>
      <c r="K81" s="442" t="s">
        <v>846</v>
      </c>
      <c r="L81" s="221">
        <v>44589</v>
      </c>
      <c r="M81" s="100" t="s">
        <v>1015</v>
      </c>
      <c r="N81" s="200">
        <f>MONTH(List34[[#This Row],[Tanggal Pengajuan]])</f>
        <v>1</v>
      </c>
      <c r="O81" s="201"/>
      <c r="P81" s="100" t="s">
        <v>687</v>
      </c>
      <c r="Q81" s="202"/>
      <c r="R81" s="230" t="s">
        <v>958</v>
      </c>
      <c r="T81" s="275">
        <f>+List34[[#This Row],[Pengajuan Donasi]]-List34[[#This Row],[Jumlah Transfer]]</f>
        <v>0</v>
      </c>
      <c r="U81" s="275"/>
    </row>
    <row r="82" spans="2:21" ht="30" customHeight="1" x14ac:dyDescent="0.2">
      <c r="B82" s="13">
        <v>44587</v>
      </c>
      <c r="C82" s="181"/>
      <c r="D82" s="103" t="s">
        <v>866</v>
      </c>
      <c r="E82" s="103" t="s">
        <v>17</v>
      </c>
      <c r="F82" s="14" t="s">
        <v>18</v>
      </c>
      <c r="G82" s="469">
        <v>56</v>
      </c>
      <c r="H82" s="262">
        <f>'[5]REV-PENAWARAN PER JAN''22'!$E$1454</f>
        <v>6000400</v>
      </c>
      <c r="I82" s="258">
        <f>List34[[#This Row],[Pengajuan Donasi]]</f>
        <v>6000400</v>
      </c>
      <c r="J82" s="213" t="str">
        <f>IF(List34[[#This Row],[Tanggal Trf]]&gt;0,"Done","-")</f>
        <v>Done</v>
      </c>
      <c r="K82" s="442" t="s">
        <v>847</v>
      </c>
      <c r="L82" s="221">
        <v>44589</v>
      </c>
      <c r="M82" s="100" t="s">
        <v>1015</v>
      </c>
      <c r="N82" s="20">
        <f>MONTH(List34[[#This Row],[Tanggal Pengajuan]])</f>
        <v>1</v>
      </c>
      <c r="O82" s="183"/>
      <c r="P82" s="100" t="s">
        <v>687</v>
      </c>
      <c r="Q82" s="198"/>
      <c r="R82" s="230" t="s">
        <v>958</v>
      </c>
      <c r="T82" s="275">
        <f>+List34[[#This Row],[Pengajuan Donasi]]-List34[[#This Row],[Jumlah Transfer]]</f>
        <v>0</v>
      </c>
      <c r="U82" s="275"/>
    </row>
    <row r="83" spans="2:21" ht="30" customHeight="1" x14ac:dyDescent="0.2">
      <c r="B83" s="13">
        <v>44588</v>
      </c>
      <c r="C83" s="66" t="s">
        <v>684</v>
      </c>
      <c r="D83" s="14" t="s">
        <v>703</v>
      </c>
      <c r="E83" s="14" t="s">
        <v>26</v>
      </c>
      <c r="F83" s="14" t="s">
        <v>28</v>
      </c>
      <c r="G83" s="15"/>
      <c r="H83" s="258">
        <v>33150000</v>
      </c>
      <c r="I83" s="258">
        <f>List34[[#This Row],[Pengajuan Donasi]]</f>
        <v>33150000</v>
      </c>
      <c r="J83" s="213" t="str">
        <f>IF(List34[[#This Row],[Tanggal Trf]]&gt;0,"Done","-")</f>
        <v>Done</v>
      </c>
      <c r="K83" s="437" t="s">
        <v>685</v>
      </c>
      <c r="L83" s="221">
        <v>44590</v>
      </c>
      <c r="M83" s="100" t="s">
        <v>693</v>
      </c>
      <c r="N83" s="100">
        <f>MONTH(List34[[#This Row],[Tanggal Pengajuan]])</f>
        <v>1</v>
      </c>
      <c r="O83" s="101"/>
      <c r="P83" s="100" t="s">
        <v>687</v>
      </c>
      <c r="Q83" s="110"/>
      <c r="R83" s="230" t="s">
        <v>958</v>
      </c>
      <c r="T83" s="275">
        <f>+List34[[#This Row],[Pengajuan Donasi]]-List34[[#This Row],[Jumlah Transfer]]</f>
        <v>0</v>
      </c>
      <c r="U83" s="275"/>
    </row>
    <row r="84" spans="2:21" ht="30" customHeight="1" x14ac:dyDescent="0.2">
      <c r="B84" s="276">
        <v>44588</v>
      </c>
      <c r="C84" s="277" t="s">
        <v>694</v>
      </c>
      <c r="D84" s="278" t="s">
        <v>114</v>
      </c>
      <c r="E84" s="278" t="s">
        <v>179</v>
      </c>
      <c r="F84" s="278" t="s">
        <v>18</v>
      </c>
      <c r="G84" s="279"/>
      <c r="H84" s="280">
        <v>0</v>
      </c>
      <c r="I84" s="280">
        <v>0</v>
      </c>
      <c r="J84" s="281" t="str">
        <f>IF(List34[[#This Row],[Tanggal Trf]]&gt;0,"Done","-")</f>
        <v>Done</v>
      </c>
      <c r="K84" s="443" t="s">
        <v>1020</v>
      </c>
      <c r="L84" s="283" t="s">
        <v>960</v>
      </c>
      <c r="M84" s="282" t="s">
        <v>695</v>
      </c>
      <c r="N84" s="282">
        <f>MONTH(List34[[#This Row],[Tanggal Pengajuan]])</f>
        <v>1</v>
      </c>
      <c r="O84" s="284"/>
      <c r="P84" s="282" t="s">
        <v>687</v>
      </c>
      <c r="Q84" s="285"/>
      <c r="R84" s="230" t="s">
        <v>958</v>
      </c>
      <c r="T84" s="275">
        <f>+List34[[#This Row],[Pengajuan Donasi]]-List34[[#This Row],[Jumlah Transfer]]</f>
        <v>0</v>
      </c>
      <c r="U84" s="275"/>
    </row>
    <row r="85" spans="2:21" ht="30" customHeight="1" x14ac:dyDescent="0.2">
      <c r="B85" s="13">
        <v>44589</v>
      </c>
      <c r="C85" s="66" t="s">
        <v>696</v>
      </c>
      <c r="D85" s="14" t="s">
        <v>697</v>
      </c>
      <c r="E85" s="14" t="s">
        <v>1054</v>
      </c>
      <c r="F85" s="14" t="s">
        <v>18</v>
      </c>
      <c r="G85" s="15"/>
      <c r="H85" s="258"/>
      <c r="I85" s="258">
        <f>List34[[#This Row],[Pengajuan Donasi]]</f>
        <v>0</v>
      </c>
      <c r="J85" s="213" t="str">
        <f>IF(List34[[#This Row],[Tanggal Trf]]&gt;0,"Done","-")</f>
        <v>Done</v>
      </c>
      <c r="K85" s="437"/>
      <c r="L85" s="221">
        <v>44589</v>
      </c>
      <c r="M85" s="100" t="s">
        <v>683</v>
      </c>
      <c r="N85" s="100">
        <f>MONTH(List34[[#This Row],[Tanggal Pengajuan]])</f>
        <v>1</v>
      </c>
      <c r="O85" s="101"/>
      <c r="P85" s="100" t="s">
        <v>651</v>
      </c>
      <c r="Q85" s="110"/>
      <c r="R85" s="230" t="s">
        <v>958</v>
      </c>
      <c r="T85" s="275">
        <f>+List34[[#This Row],[Pengajuan Donasi]]-List34[[#This Row],[Jumlah Transfer]]</f>
        <v>0</v>
      </c>
      <c r="U85" s="275"/>
    </row>
    <row r="86" spans="2:21" ht="30" customHeight="1" x14ac:dyDescent="0.2">
      <c r="B86" s="13">
        <v>44589</v>
      </c>
      <c r="C86" s="66" t="s">
        <v>698</v>
      </c>
      <c r="D86" s="14" t="s">
        <v>963</v>
      </c>
      <c r="E86" s="14" t="s">
        <v>26</v>
      </c>
      <c r="F86" s="14" t="s">
        <v>28</v>
      </c>
      <c r="G86" s="15"/>
      <c r="H86" s="258">
        <v>5000000</v>
      </c>
      <c r="I86" s="258">
        <f>List34[[#This Row],[Pengajuan Donasi]]</f>
        <v>5000000</v>
      </c>
      <c r="J86" s="213" t="str">
        <f>IF(List34[[#This Row],[Tanggal Trf]]&gt;0,"Done","-")</f>
        <v>Done</v>
      </c>
      <c r="K86" s="437" t="s">
        <v>699</v>
      </c>
      <c r="L86" s="221">
        <v>44607</v>
      </c>
      <c r="M86" s="100" t="s">
        <v>693</v>
      </c>
      <c r="N86" s="100">
        <f>MONTH(List34[[#This Row],[Tanggal Pengajuan]])</f>
        <v>1</v>
      </c>
      <c r="O86" s="101"/>
      <c r="P86" s="100" t="s">
        <v>651</v>
      </c>
      <c r="Q86" s="110"/>
      <c r="R86" s="230" t="s">
        <v>958</v>
      </c>
      <c r="T86" s="275">
        <f>+List34[[#This Row],[Pengajuan Donasi]]-List34[[#This Row],[Jumlah Transfer]]</f>
        <v>0</v>
      </c>
      <c r="U86" s="275"/>
    </row>
    <row r="87" spans="2:21" ht="30" customHeight="1" x14ac:dyDescent="0.2">
      <c r="B87" s="13">
        <v>44592</v>
      </c>
      <c r="C87" s="66" t="s">
        <v>700</v>
      </c>
      <c r="D87" s="14" t="s">
        <v>964</v>
      </c>
      <c r="E87" s="14" t="s">
        <v>107</v>
      </c>
      <c r="F87" s="14" t="s">
        <v>28</v>
      </c>
      <c r="G87" s="15"/>
      <c r="H87" s="258">
        <v>35000000</v>
      </c>
      <c r="I87" s="258">
        <f>List34[[#This Row],[Pengajuan Donasi]]</f>
        <v>35000000</v>
      </c>
      <c r="J87" s="213" t="str">
        <f>IF(List34[[#This Row],[Tanggal Trf]]&gt;0,"Done","-")</f>
        <v>Done</v>
      </c>
      <c r="K87" s="437" t="s">
        <v>965</v>
      </c>
      <c r="L87" s="221">
        <v>44599</v>
      </c>
      <c r="M87" s="100" t="s">
        <v>674</v>
      </c>
      <c r="N87" s="100">
        <f>MONTH(List34[[#This Row],[Tanggal Pengajuan]])</f>
        <v>1</v>
      </c>
      <c r="O87" s="101"/>
      <c r="P87" s="100" t="s">
        <v>651</v>
      </c>
      <c r="Q87" s="110"/>
      <c r="R87" s="230" t="s">
        <v>958</v>
      </c>
      <c r="T87" s="275">
        <f>+List34[[#This Row],[Pengajuan Donasi]]-List34[[#This Row],[Jumlah Transfer]]</f>
        <v>0</v>
      </c>
      <c r="U87" s="275"/>
    </row>
    <row r="88" spans="2:21" ht="30" customHeight="1" x14ac:dyDescent="0.2">
      <c r="B88" s="13">
        <v>44595</v>
      </c>
      <c r="C88" s="66" t="s">
        <v>705</v>
      </c>
      <c r="D88" s="14" t="s">
        <v>486</v>
      </c>
      <c r="E88" s="14" t="s">
        <v>179</v>
      </c>
      <c r="F88" s="14" t="s">
        <v>18</v>
      </c>
      <c r="G88" s="15">
        <v>44</v>
      </c>
      <c r="H88" s="258">
        <v>5280000</v>
      </c>
      <c r="I88" s="258">
        <f>List34[[#This Row],[Pengajuan Donasi]]</f>
        <v>5280000</v>
      </c>
      <c r="J88" s="213" t="str">
        <f>IF(List34[[#This Row],[Tanggal Trf]]&gt;0,"Done","-")</f>
        <v>Done</v>
      </c>
      <c r="K88" s="437" t="s">
        <v>706</v>
      </c>
      <c r="L88" s="221">
        <v>44599</v>
      </c>
      <c r="M88" s="100" t="s">
        <v>709</v>
      </c>
      <c r="N88" s="100">
        <f>MONTH(List34[[#This Row],[Tanggal Pengajuan]])</f>
        <v>2</v>
      </c>
      <c r="O88" s="101"/>
      <c r="P88" s="100" t="s">
        <v>708</v>
      </c>
      <c r="Q88" s="110"/>
      <c r="R88" s="230" t="s">
        <v>958</v>
      </c>
      <c r="T88" s="275">
        <f>+List34[[#This Row],[Pengajuan Donasi]]-List34[[#This Row],[Jumlah Transfer]]</f>
        <v>0</v>
      </c>
      <c r="U88" s="275"/>
    </row>
    <row r="89" spans="2:21" ht="30" customHeight="1" x14ac:dyDescent="0.2">
      <c r="B89" s="13">
        <v>44596</v>
      </c>
      <c r="C89" s="66" t="s">
        <v>710</v>
      </c>
      <c r="D89" s="14" t="s">
        <v>25</v>
      </c>
      <c r="E89" s="14" t="s">
        <v>179</v>
      </c>
      <c r="F89" s="14" t="s">
        <v>18</v>
      </c>
      <c r="G89" s="15">
        <v>12</v>
      </c>
      <c r="H89" s="258">
        <v>2520000</v>
      </c>
      <c r="I89" s="258">
        <f>List34[[#This Row],[Pengajuan Donasi]]</f>
        <v>2520000</v>
      </c>
      <c r="J89" s="213" t="str">
        <f>IF(List34[[#This Row],[Tanggal Trf]]&gt;0,"Done","-")</f>
        <v>Done</v>
      </c>
      <c r="K89" s="437" t="s">
        <v>686</v>
      </c>
      <c r="L89" s="221">
        <v>44599</v>
      </c>
      <c r="M89" s="100" t="s">
        <v>667</v>
      </c>
      <c r="N89" s="100">
        <f>MONTH(List34[[#This Row],[Tanggal Pengajuan]])</f>
        <v>2</v>
      </c>
      <c r="O89" s="101">
        <v>44704</v>
      </c>
      <c r="P89" s="100" t="s">
        <v>707</v>
      </c>
      <c r="Q89" s="110"/>
      <c r="R89" s="230" t="s">
        <v>958</v>
      </c>
      <c r="T89" s="275">
        <f>+List34[[#This Row],[Pengajuan Donasi]]-List34[[#This Row],[Jumlah Transfer]]</f>
        <v>0</v>
      </c>
      <c r="U89" s="275"/>
    </row>
    <row r="90" spans="2:21" ht="30" customHeight="1" x14ac:dyDescent="0.2">
      <c r="B90" s="13">
        <v>44596</v>
      </c>
      <c r="C90" s="66" t="s">
        <v>711</v>
      </c>
      <c r="D90" s="14" t="s">
        <v>859</v>
      </c>
      <c r="E90" s="14" t="s">
        <v>17</v>
      </c>
      <c r="F90" s="14" t="s">
        <v>18</v>
      </c>
      <c r="G90" s="15">
        <v>23</v>
      </c>
      <c r="H90" s="258">
        <v>6000000</v>
      </c>
      <c r="I90" s="258">
        <f>List34[[#This Row],[Pengajuan Donasi]]</f>
        <v>6000000</v>
      </c>
      <c r="J90" s="213" t="str">
        <f>IF(List34[[#This Row],[Tanggal Trf]]&gt;0,"Done","-")</f>
        <v>Done</v>
      </c>
      <c r="K90" s="437"/>
      <c r="L90" s="221">
        <v>44599</v>
      </c>
      <c r="M90" s="100" t="s">
        <v>650</v>
      </c>
      <c r="N90" s="100">
        <f>MONTH(List34[[#This Row],[Tanggal Pengajuan]])</f>
        <v>2</v>
      </c>
      <c r="O90" s="101">
        <v>44699</v>
      </c>
      <c r="P90" s="100" t="s">
        <v>707</v>
      </c>
      <c r="Q90" s="110"/>
      <c r="R90" s="230" t="s">
        <v>958</v>
      </c>
      <c r="T90" s="275">
        <f>+List34[[#This Row],[Pengajuan Donasi]]-List34[[#This Row],[Jumlah Transfer]]</f>
        <v>0</v>
      </c>
      <c r="U90" s="275"/>
    </row>
    <row r="91" spans="2:21" ht="30" customHeight="1" x14ac:dyDescent="0.2">
      <c r="B91" s="13">
        <v>44596</v>
      </c>
      <c r="C91" s="66" t="s">
        <v>712</v>
      </c>
      <c r="D91" s="14" t="s">
        <v>876</v>
      </c>
      <c r="E91" s="14" t="s">
        <v>26</v>
      </c>
      <c r="F91" s="14" t="s">
        <v>18</v>
      </c>
      <c r="G91" s="15">
        <v>1</v>
      </c>
      <c r="H91" s="263">
        <v>5000000</v>
      </c>
      <c r="I91" s="258">
        <f>List34[[#This Row],[Pengajuan Donasi]]</f>
        <v>5000000</v>
      </c>
      <c r="J91" s="213" t="str">
        <f>IF(List34[[#This Row],[Tanggal Trf]]&gt;0,"Done","-")</f>
        <v>Done</v>
      </c>
      <c r="K91" s="437" t="s">
        <v>701</v>
      </c>
      <c r="L91" s="221">
        <v>44607</v>
      </c>
      <c r="M91" s="203" t="s">
        <v>448</v>
      </c>
      <c r="N91" s="100">
        <f>MONTH(List34[[#This Row],[Tanggal Pengajuan]])</f>
        <v>2</v>
      </c>
      <c r="O91" s="101"/>
      <c r="P91" s="100" t="s">
        <v>707</v>
      </c>
      <c r="Q91" s="110"/>
      <c r="R91" s="230" t="s">
        <v>958</v>
      </c>
      <c r="T91" s="275">
        <f>+List34[[#This Row],[Pengajuan Donasi]]-List34[[#This Row],[Jumlah Transfer]]</f>
        <v>0</v>
      </c>
      <c r="U91" s="275"/>
    </row>
    <row r="92" spans="2:21" ht="30" customHeight="1" x14ac:dyDescent="0.2">
      <c r="B92" s="13">
        <v>44596</v>
      </c>
      <c r="C92" s="66"/>
      <c r="D92" s="14" t="s">
        <v>875</v>
      </c>
      <c r="E92" s="14" t="s">
        <v>26</v>
      </c>
      <c r="F92" s="14" t="s">
        <v>18</v>
      </c>
      <c r="G92" s="15">
        <v>1</v>
      </c>
      <c r="H92" s="264">
        <v>1000000</v>
      </c>
      <c r="I92" s="258">
        <f>List34[[#This Row],[Pengajuan Donasi]]</f>
        <v>1000000</v>
      </c>
      <c r="J92" s="213" t="str">
        <f>IF(List34[[#This Row],[Tanggal Trf]]&gt;0,"Done","-")</f>
        <v>Done</v>
      </c>
      <c r="K92" s="437" t="s">
        <v>701</v>
      </c>
      <c r="L92" s="221">
        <v>44607</v>
      </c>
      <c r="M92" s="205" t="s">
        <v>453</v>
      </c>
      <c r="N92" s="100">
        <f>MONTH(List34[[#This Row],[Tanggal Pengajuan]])</f>
        <v>2</v>
      </c>
      <c r="O92" s="183"/>
      <c r="P92" s="100" t="s">
        <v>707</v>
      </c>
      <c r="Q92" s="110"/>
      <c r="R92" s="230" t="s">
        <v>958</v>
      </c>
      <c r="T92" s="275">
        <f>+List34[[#This Row],[Pengajuan Donasi]]-List34[[#This Row],[Jumlah Transfer]]</f>
        <v>0</v>
      </c>
      <c r="U92" s="275"/>
    </row>
    <row r="93" spans="2:21" ht="30" customHeight="1" x14ac:dyDescent="0.2">
      <c r="B93" s="13">
        <v>44596</v>
      </c>
      <c r="C93" s="66"/>
      <c r="D93" s="14" t="s">
        <v>877</v>
      </c>
      <c r="E93" s="14" t="s">
        <v>26</v>
      </c>
      <c r="F93" s="14" t="s">
        <v>18</v>
      </c>
      <c r="G93" s="15">
        <v>1</v>
      </c>
      <c r="H93" s="265">
        <v>1000000</v>
      </c>
      <c r="I93" s="258">
        <f>List34[[#This Row],[Pengajuan Donasi]]</f>
        <v>1000000</v>
      </c>
      <c r="J93" s="213" t="str">
        <f>IF(List34[[#This Row],[Tanggal Trf]]&gt;0,"Done","-")</f>
        <v>Done</v>
      </c>
      <c r="K93" s="437" t="s">
        <v>701</v>
      </c>
      <c r="L93" s="221">
        <v>44607</v>
      </c>
      <c r="M93" s="184" t="s">
        <v>458</v>
      </c>
      <c r="N93" s="100">
        <f>MONTH(List34[[#This Row],[Tanggal Pengajuan]])</f>
        <v>2</v>
      </c>
      <c r="O93" s="183"/>
      <c r="P93" s="100" t="s">
        <v>707</v>
      </c>
      <c r="Q93" s="110"/>
      <c r="R93" s="230" t="s">
        <v>958</v>
      </c>
      <c r="T93" s="275">
        <f>+List34[[#This Row],[Pengajuan Donasi]]-List34[[#This Row],[Jumlah Transfer]]</f>
        <v>0</v>
      </c>
      <c r="U93" s="275"/>
    </row>
    <row r="94" spans="2:21" ht="30" customHeight="1" x14ac:dyDescent="0.2">
      <c r="B94" s="13">
        <v>44596</v>
      </c>
      <c r="C94" s="66"/>
      <c r="D94" s="14" t="s">
        <v>878</v>
      </c>
      <c r="E94" s="14" t="s">
        <v>26</v>
      </c>
      <c r="F94" s="14" t="s">
        <v>18</v>
      </c>
      <c r="G94" s="15">
        <v>1</v>
      </c>
      <c r="H94" s="264">
        <v>1000000</v>
      </c>
      <c r="I94" s="258">
        <f>List34[[#This Row],[Pengajuan Donasi]]</f>
        <v>1000000</v>
      </c>
      <c r="J94" s="213" t="str">
        <f>IF(List34[[#This Row],[Tanggal Trf]]&gt;0,"Done","-")</f>
        <v>Done</v>
      </c>
      <c r="K94" s="437" t="s">
        <v>701</v>
      </c>
      <c r="L94" s="221">
        <v>44607</v>
      </c>
      <c r="M94" s="205" t="s">
        <v>460</v>
      </c>
      <c r="N94" s="100">
        <f>MONTH(List34[[#This Row],[Tanggal Pengajuan]])</f>
        <v>2</v>
      </c>
      <c r="O94" s="183"/>
      <c r="P94" s="100" t="s">
        <v>707</v>
      </c>
      <c r="Q94" s="110"/>
      <c r="R94" s="230" t="s">
        <v>958</v>
      </c>
      <c r="T94" s="275">
        <f>+List34[[#This Row],[Pengajuan Donasi]]-List34[[#This Row],[Jumlah Transfer]]</f>
        <v>0</v>
      </c>
      <c r="U94" s="275"/>
    </row>
    <row r="95" spans="2:21" ht="30" customHeight="1" x14ac:dyDescent="0.2">
      <c r="B95" s="13">
        <v>44596</v>
      </c>
      <c r="C95" s="66"/>
      <c r="D95" s="14" t="s">
        <v>879</v>
      </c>
      <c r="E95" s="14" t="s">
        <v>26</v>
      </c>
      <c r="F95" s="14" t="s">
        <v>18</v>
      </c>
      <c r="G95" s="15">
        <v>1</v>
      </c>
      <c r="H95" s="265">
        <v>1000000</v>
      </c>
      <c r="I95" s="258">
        <f>List34[[#This Row],[Pengajuan Donasi]]</f>
        <v>1000000</v>
      </c>
      <c r="J95" s="213" t="str">
        <f>IF(List34[[#This Row],[Tanggal Trf]]&gt;0,"Done","-")</f>
        <v>Done</v>
      </c>
      <c r="K95" s="437" t="s">
        <v>701</v>
      </c>
      <c r="L95" s="221">
        <v>44607</v>
      </c>
      <c r="M95" s="184" t="s">
        <v>462</v>
      </c>
      <c r="N95" s="100">
        <f>MONTH(List34[[#This Row],[Tanggal Pengajuan]])</f>
        <v>2</v>
      </c>
      <c r="O95" s="183"/>
      <c r="P95" s="100" t="s">
        <v>707</v>
      </c>
      <c r="Q95" s="110"/>
      <c r="R95" s="230" t="s">
        <v>958</v>
      </c>
      <c r="T95" s="275">
        <f>+List34[[#This Row],[Pengajuan Donasi]]-List34[[#This Row],[Jumlah Transfer]]</f>
        <v>0</v>
      </c>
      <c r="U95" s="275"/>
    </row>
    <row r="96" spans="2:21" ht="30" customHeight="1" x14ac:dyDescent="0.2">
      <c r="B96" s="13">
        <v>44596</v>
      </c>
      <c r="C96" s="66"/>
      <c r="D96" s="14" t="s">
        <v>951</v>
      </c>
      <c r="E96" s="14" t="s">
        <v>26</v>
      </c>
      <c r="F96" s="14" t="s">
        <v>18</v>
      </c>
      <c r="G96" s="15">
        <v>1</v>
      </c>
      <c r="H96" s="264">
        <v>1000000</v>
      </c>
      <c r="I96" s="258">
        <f>List34[[#This Row],[Pengajuan Donasi]]</f>
        <v>1000000</v>
      </c>
      <c r="J96" s="213" t="str">
        <f>IF(List34[[#This Row],[Tanggal Trf]]&gt;0,"Done","-")</f>
        <v>Done</v>
      </c>
      <c r="K96" s="437" t="s">
        <v>701</v>
      </c>
      <c r="L96" s="221">
        <v>44607</v>
      </c>
      <c r="M96" s="205" t="s">
        <v>466</v>
      </c>
      <c r="N96" s="100">
        <f>MONTH(List34[[#This Row],[Tanggal Pengajuan]])</f>
        <v>2</v>
      </c>
      <c r="O96" s="183"/>
      <c r="P96" s="100" t="s">
        <v>707</v>
      </c>
      <c r="Q96" s="110"/>
      <c r="R96" s="230" t="s">
        <v>958</v>
      </c>
      <c r="T96" s="275">
        <f>+List34[[#This Row],[Pengajuan Donasi]]-List34[[#This Row],[Jumlah Transfer]]</f>
        <v>0</v>
      </c>
      <c r="U96" s="275"/>
    </row>
    <row r="97" spans="2:21" ht="30" customHeight="1" x14ac:dyDescent="0.2">
      <c r="B97" s="13">
        <v>44596</v>
      </c>
      <c r="C97" s="66"/>
      <c r="D97" s="14" t="s">
        <v>880</v>
      </c>
      <c r="E97" s="14" t="s">
        <v>26</v>
      </c>
      <c r="F97" s="14" t="s">
        <v>18</v>
      </c>
      <c r="G97" s="15">
        <v>1</v>
      </c>
      <c r="H97" s="265">
        <v>1000000</v>
      </c>
      <c r="I97" s="258">
        <f>List34[[#This Row],[Pengajuan Donasi]]</f>
        <v>1000000</v>
      </c>
      <c r="J97" s="213" t="str">
        <f>IF(List34[[#This Row],[Tanggal Trf]]&gt;0,"Done","-")</f>
        <v>Done</v>
      </c>
      <c r="K97" s="437" t="s">
        <v>701</v>
      </c>
      <c r="L97" s="221">
        <v>44607</v>
      </c>
      <c r="M97" s="184" t="s">
        <v>470</v>
      </c>
      <c r="N97" s="100">
        <f>MONTH(List34[[#This Row],[Tanggal Pengajuan]])</f>
        <v>2</v>
      </c>
      <c r="O97" s="183"/>
      <c r="P97" s="100" t="s">
        <v>707</v>
      </c>
      <c r="Q97" s="110"/>
      <c r="R97" s="230" t="s">
        <v>958</v>
      </c>
      <c r="T97" s="275">
        <f>+List34[[#This Row],[Pengajuan Donasi]]-List34[[#This Row],[Jumlah Transfer]]</f>
        <v>0</v>
      </c>
      <c r="U97" s="275"/>
    </row>
    <row r="98" spans="2:21" ht="30" customHeight="1" x14ac:dyDescent="0.2">
      <c r="B98" s="13">
        <v>44596</v>
      </c>
      <c r="C98" s="66"/>
      <c r="D98" s="14" t="s">
        <v>952</v>
      </c>
      <c r="E98" s="14" t="s">
        <v>26</v>
      </c>
      <c r="F98" s="14" t="s">
        <v>18</v>
      </c>
      <c r="G98" s="15">
        <v>1</v>
      </c>
      <c r="H98" s="264">
        <v>1000000</v>
      </c>
      <c r="I98" s="258">
        <f>List34[[#This Row],[Pengajuan Donasi]]</f>
        <v>1000000</v>
      </c>
      <c r="J98" s="213" t="str">
        <f>IF(List34[[#This Row],[Tanggal Trf]]&gt;0,"Done","-")</f>
        <v>Done</v>
      </c>
      <c r="K98" s="437" t="s">
        <v>701</v>
      </c>
      <c r="L98" s="221">
        <v>44607</v>
      </c>
      <c r="M98" s="205" t="s">
        <v>519</v>
      </c>
      <c r="N98" s="100">
        <f>MONTH(List34[[#This Row],[Tanggal Pengajuan]])</f>
        <v>2</v>
      </c>
      <c r="O98" s="183"/>
      <c r="P98" s="100" t="s">
        <v>707</v>
      </c>
      <c r="Q98" s="110"/>
      <c r="R98" s="230" t="s">
        <v>958</v>
      </c>
      <c r="T98" s="275">
        <f>+List34[[#This Row],[Pengajuan Donasi]]-List34[[#This Row],[Jumlah Transfer]]</f>
        <v>0</v>
      </c>
      <c r="U98" s="275"/>
    </row>
    <row r="99" spans="2:21" ht="30" customHeight="1" x14ac:dyDescent="0.2">
      <c r="B99" s="13">
        <v>44596</v>
      </c>
      <c r="C99" s="66"/>
      <c r="D99" s="14" t="s">
        <v>881</v>
      </c>
      <c r="E99" s="14" t="s">
        <v>26</v>
      </c>
      <c r="F99" s="14" t="s">
        <v>18</v>
      </c>
      <c r="G99" s="15">
        <v>1</v>
      </c>
      <c r="H99" s="265">
        <v>1000000</v>
      </c>
      <c r="I99" s="258">
        <f>List34[[#This Row],[Pengajuan Donasi]]</f>
        <v>1000000</v>
      </c>
      <c r="J99" s="213" t="str">
        <f>IF(List34[[#This Row],[Tanggal Trf]]&gt;0,"Done","-")</f>
        <v>Done</v>
      </c>
      <c r="K99" s="437" t="s">
        <v>701</v>
      </c>
      <c r="L99" s="221">
        <v>44607</v>
      </c>
      <c r="M99" s="184" t="s">
        <v>476</v>
      </c>
      <c r="N99" s="100">
        <f>MONTH(List34[[#This Row],[Tanggal Pengajuan]])</f>
        <v>2</v>
      </c>
      <c r="O99" s="183"/>
      <c r="P99" s="100" t="s">
        <v>707</v>
      </c>
      <c r="Q99" s="110"/>
      <c r="R99" s="230" t="s">
        <v>958</v>
      </c>
      <c r="T99" s="275">
        <f>+List34[[#This Row],[Pengajuan Donasi]]-List34[[#This Row],[Jumlah Transfer]]</f>
        <v>0</v>
      </c>
      <c r="U99" s="275"/>
    </row>
    <row r="100" spans="2:21" ht="30" customHeight="1" x14ac:dyDescent="0.2">
      <c r="B100" s="13">
        <v>44596</v>
      </c>
      <c r="C100" s="66"/>
      <c r="D100" s="14" t="s">
        <v>882</v>
      </c>
      <c r="E100" s="14" t="s">
        <v>26</v>
      </c>
      <c r="F100" s="14" t="s">
        <v>18</v>
      </c>
      <c r="G100" s="15">
        <v>1</v>
      </c>
      <c r="H100" s="266">
        <v>750000</v>
      </c>
      <c r="I100" s="258">
        <f>List34[[#This Row],[Pengajuan Donasi]]</f>
        <v>750000</v>
      </c>
      <c r="J100" s="213" t="str">
        <f>IF(List34[[#This Row],[Tanggal Trf]]&gt;0,"Done","-")</f>
        <v>Done</v>
      </c>
      <c r="K100" s="437" t="s">
        <v>701</v>
      </c>
      <c r="L100" s="221">
        <v>44607</v>
      </c>
      <c r="M100" s="205" t="s">
        <v>479</v>
      </c>
      <c r="N100" s="100">
        <f>MONTH(List34[[#This Row],[Tanggal Pengajuan]])</f>
        <v>2</v>
      </c>
      <c r="O100" s="183"/>
      <c r="P100" s="100" t="s">
        <v>707</v>
      </c>
      <c r="Q100" s="110"/>
      <c r="R100" s="230" t="s">
        <v>958</v>
      </c>
      <c r="T100" s="275">
        <f>+List34[[#This Row],[Pengajuan Donasi]]-List34[[#This Row],[Jumlah Transfer]]</f>
        <v>0</v>
      </c>
      <c r="U100" s="275"/>
    </row>
    <row r="101" spans="2:21" ht="30" customHeight="1" x14ac:dyDescent="0.2">
      <c r="B101" s="13">
        <v>44596</v>
      </c>
      <c r="C101" s="66"/>
      <c r="D101" s="14" t="s">
        <v>883</v>
      </c>
      <c r="E101" s="14" t="s">
        <v>26</v>
      </c>
      <c r="F101" s="14" t="s">
        <v>18</v>
      </c>
      <c r="G101" s="15">
        <v>1</v>
      </c>
      <c r="H101" s="263">
        <v>750000</v>
      </c>
      <c r="I101" s="258">
        <f>List34[[#This Row],[Pengajuan Donasi]]</f>
        <v>750000</v>
      </c>
      <c r="J101" s="213" t="str">
        <f>IF(List34[[#This Row],[Tanggal Trf]]&gt;0,"Done","-")</f>
        <v>Done</v>
      </c>
      <c r="K101" s="437" t="s">
        <v>701</v>
      </c>
      <c r="L101" s="221">
        <v>44607</v>
      </c>
      <c r="M101" s="184" t="s">
        <v>481</v>
      </c>
      <c r="N101" s="100">
        <f>MONTH(List34[[#This Row],[Tanggal Pengajuan]])</f>
        <v>2</v>
      </c>
      <c r="O101" s="183"/>
      <c r="P101" s="100" t="s">
        <v>707</v>
      </c>
      <c r="Q101" s="110"/>
      <c r="R101" s="230" t="s">
        <v>958</v>
      </c>
      <c r="T101" s="275">
        <f>+List34[[#This Row],[Pengajuan Donasi]]-List34[[#This Row],[Jumlah Transfer]]</f>
        <v>0</v>
      </c>
      <c r="U101" s="275"/>
    </row>
    <row r="102" spans="2:21" ht="30" customHeight="1" x14ac:dyDescent="0.2">
      <c r="B102" s="13">
        <v>44596</v>
      </c>
      <c r="C102" s="66"/>
      <c r="D102" s="14" t="s">
        <v>956</v>
      </c>
      <c r="E102" s="14" t="s">
        <v>26</v>
      </c>
      <c r="F102" s="14" t="s">
        <v>18</v>
      </c>
      <c r="G102" s="15">
        <v>1</v>
      </c>
      <c r="H102" s="264">
        <v>1000000</v>
      </c>
      <c r="I102" s="258">
        <f>List34[[#This Row],[Pengajuan Donasi]]</f>
        <v>1000000</v>
      </c>
      <c r="J102" s="213" t="str">
        <f>IF(List34[[#This Row],[Tanggal Trf]]&gt;0,"Done","-")</f>
        <v>Done</v>
      </c>
      <c r="K102" s="437" t="s">
        <v>701</v>
      </c>
      <c r="L102" s="221">
        <v>44607</v>
      </c>
      <c r="M102" s="205" t="s">
        <v>873</v>
      </c>
      <c r="N102" s="100">
        <f>MONTH(List34[[#This Row],[Tanggal Pengajuan]])</f>
        <v>2</v>
      </c>
      <c r="O102" s="183"/>
      <c r="P102" s="100" t="s">
        <v>707</v>
      </c>
      <c r="Q102" s="110"/>
      <c r="R102" s="230" t="s">
        <v>958</v>
      </c>
      <c r="T102" s="275">
        <f>+List34[[#This Row],[Pengajuan Donasi]]-List34[[#This Row],[Jumlah Transfer]]</f>
        <v>0</v>
      </c>
      <c r="U102" s="275"/>
    </row>
    <row r="103" spans="2:21" ht="30" customHeight="1" x14ac:dyDescent="0.2">
      <c r="B103" s="13">
        <v>44596</v>
      </c>
      <c r="C103" s="66"/>
      <c r="D103" s="14" t="s">
        <v>884</v>
      </c>
      <c r="E103" s="14" t="s">
        <v>26</v>
      </c>
      <c r="F103" s="14" t="s">
        <v>18</v>
      </c>
      <c r="G103" s="15">
        <v>1</v>
      </c>
      <c r="H103" s="265">
        <v>1000000</v>
      </c>
      <c r="I103" s="258">
        <f>List34[[#This Row],[Pengajuan Donasi]]</f>
        <v>1000000</v>
      </c>
      <c r="J103" s="213" t="str">
        <f>IF(List34[[#This Row],[Tanggal Trf]]&gt;0,"Done","-")</f>
        <v>Done</v>
      </c>
      <c r="K103" s="437" t="s">
        <v>701</v>
      </c>
      <c r="L103" s="221">
        <v>44607</v>
      </c>
      <c r="M103" s="204" t="s">
        <v>874</v>
      </c>
      <c r="N103" s="100">
        <f>MONTH(List34[[#This Row],[Tanggal Pengajuan]])</f>
        <v>2</v>
      </c>
      <c r="O103" s="183"/>
      <c r="P103" s="100" t="s">
        <v>707</v>
      </c>
      <c r="Q103" s="110"/>
      <c r="R103" s="230" t="s">
        <v>958</v>
      </c>
      <c r="T103" s="275">
        <f>+List34[[#This Row],[Pengajuan Donasi]]-List34[[#This Row],[Jumlah Transfer]]</f>
        <v>0</v>
      </c>
      <c r="U103" s="275"/>
    </row>
    <row r="104" spans="2:21" ht="30" customHeight="1" x14ac:dyDescent="0.2">
      <c r="B104" s="13">
        <v>44596</v>
      </c>
      <c r="C104" s="66" t="s">
        <v>713</v>
      </c>
      <c r="D104" s="14" t="s">
        <v>392</v>
      </c>
      <c r="E104" s="14" t="s">
        <v>57</v>
      </c>
      <c r="F104" s="14" t="s">
        <v>18</v>
      </c>
      <c r="G104" s="15">
        <v>75</v>
      </c>
      <c r="H104" s="258">
        <v>10000000</v>
      </c>
      <c r="I104" s="258">
        <f>List34[[#This Row],[Pengajuan Donasi]]</f>
        <v>10000000</v>
      </c>
      <c r="J104" s="213" t="str">
        <f>IF(List34[[#This Row],[Tanggal Trf]]&gt;0,"Done","-")</f>
        <v>Done</v>
      </c>
      <c r="K104" s="437" t="s">
        <v>714</v>
      </c>
      <c r="L104" s="221">
        <v>44609</v>
      </c>
      <c r="M104" s="100" t="s">
        <v>540</v>
      </c>
      <c r="N104" s="100">
        <f>MONTH(List34[[#This Row],[Tanggal Pengajuan]])</f>
        <v>2</v>
      </c>
      <c r="O104" s="101"/>
      <c r="P104" s="100" t="s">
        <v>707</v>
      </c>
      <c r="Q104" s="110"/>
      <c r="R104" s="230" t="s">
        <v>958</v>
      </c>
      <c r="T104" s="275">
        <f>+List34[[#This Row],[Pengajuan Donasi]]-List34[[#This Row],[Jumlah Transfer]]</f>
        <v>0</v>
      </c>
      <c r="U104" s="275"/>
    </row>
    <row r="105" spans="2:21" ht="30" customHeight="1" x14ac:dyDescent="0.2">
      <c r="B105" s="13">
        <v>44599</v>
      </c>
      <c r="C105" s="66" t="s">
        <v>715</v>
      </c>
      <c r="D105" s="14" t="s">
        <v>48</v>
      </c>
      <c r="E105" s="14" t="s">
        <v>179</v>
      </c>
      <c r="F105" s="14" t="s">
        <v>18</v>
      </c>
      <c r="G105" s="15">
        <v>39</v>
      </c>
      <c r="H105" s="258">
        <v>3325000</v>
      </c>
      <c r="I105" s="258">
        <f>List34[[#This Row],[Pengajuan Donasi]]</f>
        <v>3325000</v>
      </c>
      <c r="J105" s="213" t="str">
        <f>IF(List34[[#This Row],[Tanggal Trf]]&gt;0,"Done","-")</f>
        <v>Done</v>
      </c>
      <c r="K105" s="437"/>
      <c r="L105" s="221">
        <v>44599</v>
      </c>
      <c r="M105" s="100" t="s">
        <v>445</v>
      </c>
      <c r="N105" s="100">
        <f>MONTH(List34[[#This Row],[Tanggal Pengajuan]])</f>
        <v>2</v>
      </c>
      <c r="O105" s="101"/>
      <c r="P105" s="100" t="s">
        <v>707</v>
      </c>
      <c r="Q105" s="110"/>
      <c r="R105" s="230" t="s">
        <v>958</v>
      </c>
      <c r="T105" s="275">
        <f>+List34[[#This Row],[Pengajuan Donasi]]-List34[[#This Row],[Jumlah Transfer]]</f>
        <v>0</v>
      </c>
      <c r="U105" s="275"/>
    </row>
    <row r="106" spans="2:21" ht="30" customHeight="1" x14ac:dyDescent="0.2">
      <c r="B106" s="13">
        <v>44599</v>
      </c>
      <c r="C106" s="66" t="s">
        <v>716</v>
      </c>
      <c r="D106" s="14" t="s">
        <v>256</v>
      </c>
      <c r="E106" s="14" t="s">
        <v>17</v>
      </c>
      <c r="F106" s="14" t="s">
        <v>18</v>
      </c>
      <c r="G106" s="15">
        <v>86</v>
      </c>
      <c r="H106" s="258">
        <v>8500000</v>
      </c>
      <c r="I106" s="258">
        <f>List34[[#This Row],[Pengajuan Donasi]]</f>
        <v>8500000</v>
      </c>
      <c r="J106" s="213" t="str">
        <f>IF(List34[[#This Row],[Tanggal Trf]]&gt;0,"Done","-")</f>
        <v>Done</v>
      </c>
      <c r="K106" s="437"/>
      <c r="L106" s="221">
        <v>44607</v>
      </c>
      <c r="M106" s="100" t="s">
        <v>136</v>
      </c>
      <c r="N106" s="100">
        <f>MONTH(List34[[#This Row],[Tanggal Pengajuan]])</f>
        <v>2</v>
      </c>
      <c r="O106" s="101">
        <v>44691</v>
      </c>
      <c r="P106" s="100" t="s">
        <v>707</v>
      </c>
      <c r="Q106" s="110"/>
      <c r="R106" s="230" t="s">
        <v>958</v>
      </c>
      <c r="T106" s="275">
        <f>+List34[[#This Row],[Pengajuan Donasi]]-List34[[#This Row],[Jumlah Transfer]]</f>
        <v>0</v>
      </c>
      <c r="U106" s="275"/>
    </row>
    <row r="107" spans="2:21" ht="30" customHeight="1" x14ac:dyDescent="0.2">
      <c r="B107" s="13">
        <v>44599</v>
      </c>
      <c r="C107" s="66"/>
      <c r="D107" s="14" t="s">
        <v>257</v>
      </c>
      <c r="E107" s="14" t="s">
        <v>17</v>
      </c>
      <c r="F107" s="14" t="s">
        <v>18</v>
      </c>
      <c r="G107" s="15">
        <v>134</v>
      </c>
      <c r="H107" s="258">
        <v>5500000</v>
      </c>
      <c r="I107" s="258">
        <f>List34[[#This Row],[Pengajuan Donasi]]</f>
        <v>5500000</v>
      </c>
      <c r="J107" s="213" t="str">
        <f>IF(List34[[#This Row],[Tanggal Trf]]&gt;0,"Done","-")</f>
        <v>Done</v>
      </c>
      <c r="K107" s="437"/>
      <c r="L107" s="221">
        <v>44607</v>
      </c>
      <c r="M107" s="100" t="s">
        <v>136</v>
      </c>
      <c r="N107" s="100">
        <f>MONTH(List34[[#This Row],[Tanggal Pengajuan]])</f>
        <v>2</v>
      </c>
      <c r="O107" s="183">
        <v>44691</v>
      </c>
      <c r="P107" s="100" t="s">
        <v>707</v>
      </c>
      <c r="Q107" s="110"/>
      <c r="R107" s="230" t="s">
        <v>958</v>
      </c>
      <c r="T107" s="275">
        <f>+List34[[#This Row],[Pengajuan Donasi]]-List34[[#This Row],[Jumlah Transfer]]</f>
        <v>0</v>
      </c>
      <c r="U107" s="275"/>
    </row>
    <row r="108" spans="2:21" ht="30" customHeight="1" x14ac:dyDescent="0.2">
      <c r="B108" s="13">
        <v>44599</v>
      </c>
      <c r="C108" s="66"/>
      <c r="D108" s="14" t="s">
        <v>222</v>
      </c>
      <c r="E108" s="14" t="s">
        <v>17</v>
      </c>
      <c r="F108" s="14" t="s">
        <v>18</v>
      </c>
      <c r="G108" s="15">
        <v>34</v>
      </c>
      <c r="H108" s="258">
        <v>5500000</v>
      </c>
      <c r="I108" s="258">
        <f>List34[[#This Row],[Pengajuan Donasi]]</f>
        <v>5500000</v>
      </c>
      <c r="J108" s="213" t="str">
        <f>IF(List34[[#This Row],[Tanggal Trf]]&gt;0,"Done","-")</f>
        <v>Done</v>
      </c>
      <c r="K108" s="437"/>
      <c r="L108" s="221">
        <v>44607</v>
      </c>
      <c r="M108" s="100" t="s">
        <v>136</v>
      </c>
      <c r="N108" s="100">
        <f>MONTH(List34[[#This Row],[Tanggal Pengajuan]])</f>
        <v>2</v>
      </c>
      <c r="O108" s="183">
        <v>44691</v>
      </c>
      <c r="P108" s="100" t="s">
        <v>707</v>
      </c>
      <c r="Q108" s="110"/>
      <c r="R108" s="230" t="s">
        <v>958</v>
      </c>
      <c r="T108" s="275">
        <f>+List34[[#This Row],[Pengajuan Donasi]]-List34[[#This Row],[Jumlah Transfer]]</f>
        <v>0</v>
      </c>
      <c r="U108" s="275"/>
    </row>
    <row r="109" spans="2:21" ht="30" customHeight="1" x14ac:dyDescent="0.2">
      <c r="B109" s="13">
        <v>44599</v>
      </c>
      <c r="C109" s="67" t="s">
        <v>717</v>
      </c>
      <c r="D109" s="14" t="s">
        <v>129</v>
      </c>
      <c r="E109" s="14" t="s">
        <v>179</v>
      </c>
      <c r="F109" s="14" t="s">
        <v>18</v>
      </c>
      <c r="G109" s="469">
        <v>0</v>
      </c>
      <c r="H109" s="258">
        <v>7950000</v>
      </c>
      <c r="I109" s="258">
        <f>List34[[#This Row],[Pengajuan Donasi]]</f>
        <v>7950000</v>
      </c>
      <c r="J109" s="213" t="str">
        <f>IF(List34[[#This Row],[Tanggal Trf]]&gt;0,"Done","-")</f>
        <v>Done</v>
      </c>
      <c r="K109" s="437"/>
      <c r="L109" s="221">
        <v>44607</v>
      </c>
      <c r="M109" s="100" t="s">
        <v>675</v>
      </c>
      <c r="N109" s="100">
        <f>MONTH(List34[[#This Row],[Tanggal Pengajuan]])</f>
        <v>2</v>
      </c>
      <c r="O109" s="101"/>
      <c r="P109" s="100" t="s">
        <v>707</v>
      </c>
      <c r="Q109" s="110"/>
      <c r="R109" s="230" t="s">
        <v>958</v>
      </c>
      <c r="T109" s="275">
        <f>+List34[[#This Row],[Pengajuan Donasi]]-List34[[#This Row],[Jumlah Transfer]]</f>
        <v>0</v>
      </c>
      <c r="U109" s="275"/>
    </row>
    <row r="110" spans="2:21" ht="30" customHeight="1" x14ac:dyDescent="0.2">
      <c r="B110" s="13">
        <v>44599</v>
      </c>
      <c r="C110" s="67" t="s">
        <v>718</v>
      </c>
      <c r="D110" s="14" t="s">
        <v>420</v>
      </c>
      <c r="E110" s="14" t="s">
        <v>57</v>
      </c>
      <c r="F110" s="14" t="s">
        <v>18</v>
      </c>
      <c r="G110" s="15">
        <v>29</v>
      </c>
      <c r="H110" s="258">
        <v>10000000</v>
      </c>
      <c r="I110" s="258">
        <f>List34[[#This Row],[Pengajuan Donasi]]</f>
        <v>10000000</v>
      </c>
      <c r="J110" s="213" t="str">
        <f>IF(List34[[#This Row],[Tanggal Trf]]&gt;0,"Done","-")</f>
        <v>Done</v>
      </c>
      <c r="K110" s="437"/>
      <c r="L110" s="221">
        <v>44607</v>
      </c>
      <c r="M110" s="100" t="s">
        <v>534</v>
      </c>
      <c r="N110" s="100">
        <f>MONTH(List34[[#This Row],[Tanggal Pengajuan]])</f>
        <v>2</v>
      </c>
      <c r="O110" s="101"/>
      <c r="P110" s="100" t="s">
        <v>707</v>
      </c>
      <c r="Q110" s="110"/>
      <c r="R110" s="230" t="s">
        <v>958</v>
      </c>
      <c r="T110" s="275">
        <f>+List34[[#This Row],[Pengajuan Donasi]]-List34[[#This Row],[Jumlah Transfer]]</f>
        <v>0</v>
      </c>
      <c r="U110" s="275"/>
    </row>
    <row r="111" spans="2:21" ht="30" customHeight="1" x14ac:dyDescent="0.2">
      <c r="B111" s="13">
        <v>44599</v>
      </c>
      <c r="C111" s="67" t="s">
        <v>719</v>
      </c>
      <c r="D111" s="14" t="s">
        <v>429</v>
      </c>
      <c r="E111" s="14" t="s">
        <v>57</v>
      </c>
      <c r="F111" s="14" t="s">
        <v>18</v>
      </c>
      <c r="G111" s="15">
        <v>38</v>
      </c>
      <c r="H111" s="258">
        <v>5000000</v>
      </c>
      <c r="I111" s="258">
        <f>List34[[#This Row],[Pengajuan Donasi]]</f>
        <v>5000000</v>
      </c>
      <c r="J111" s="213" t="str">
        <f>IF(List34[[#This Row],[Tanggal Trf]]&gt;0,"Done","-")</f>
        <v>Done</v>
      </c>
      <c r="K111" s="437"/>
      <c r="L111" s="221">
        <v>44607</v>
      </c>
      <c r="M111" s="100" t="s">
        <v>537</v>
      </c>
      <c r="N111" s="100">
        <f>MONTH(List34[[#This Row],[Tanggal Pengajuan]])</f>
        <v>2</v>
      </c>
      <c r="O111" s="101"/>
      <c r="P111" s="100" t="s">
        <v>707</v>
      </c>
      <c r="Q111" s="110"/>
      <c r="R111" s="230" t="s">
        <v>958</v>
      </c>
      <c r="T111" s="275">
        <f>+List34[[#This Row],[Pengajuan Donasi]]-List34[[#This Row],[Jumlah Transfer]]</f>
        <v>0</v>
      </c>
      <c r="U111" s="275"/>
    </row>
    <row r="112" spans="2:21" ht="30" customHeight="1" x14ac:dyDescent="0.2">
      <c r="B112" s="13">
        <v>44599</v>
      </c>
      <c r="C112" s="67" t="s">
        <v>720</v>
      </c>
      <c r="D112" s="103" t="s">
        <v>423</v>
      </c>
      <c r="E112" s="14" t="s">
        <v>57</v>
      </c>
      <c r="F112" s="14" t="s">
        <v>18</v>
      </c>
      <c r="G112" s="15">
        <v>35</v>
      </c>
      <c r="H112" s="258">
        <v>10000000</v>
      </c>
      <c r="I112" s="258">
        <v>10000000</v>
      </c>
      <c r="J112" s="213" t="str">
        <f>IF(List34[[#This Row],[Tanggal Trf]]&gt;0,"Done","-")</f>
        <v>Done</v>
      </c>
      <c r="K112" s="437"/>
      <c r="L112" s="221">
        <v>44607</v>
      </c>
      <c r="M112" s="100" t="s">
        <v>657</v>
      </c>
      <c r="N112" s="100">
        <f>MONTH(List34[[#This Row],[Tanggal Pengajuan]])</f>
        <v>2</v>
      </c>
      <c r="O112" s="101"/>
      <c r="P112" s="105" t="s">
        <v>707</v>
      </c>
      <c r="Q112" s="111"/>
      <c r="R112" s="230" t="s">
        <v>958</v>
      </c>
      <c r="T112" s="275">
        <f>+List34[[#This Row],[Pengajuan Donasi]]-List34[[#This Row],[Jumlah Transfer]]</f>
        <v>0</v>
      </c>
      <c r="U112" s="275"/>
    </row>
    <row r="113" spans="2:21" ht="30" customHeight="1" x14ac:dyDescent="0.2">
      <c r="B113" s="13">
        <v>44599</v>
      </c>
      <c r="C113" s="67" t="s">
        <v>721</v>
      </c>
      <c r="D113" s="14" t="s">
        <v>410</v>
      </c>
      <c r="E113" s="14" t="s">
        <v>57</v>
      </c>
      <c r="F113" s="14" t="s">
        <v>18</v>
      </c>
      <c r="G113" s="15">
        <v>78</v>
      </c>
      <c r="H113" s="258">
        <v>5000000</v>
      </c>
      <c r="I113" s="258">
        <f>List34[[#This Row],[Pengajuan Donasi]]</f>
        <v>5000000</v>
      </c>
      <c r="J113" s="213" t="str">
        <f>IF(List34[[#This Row],[Tanggal Trf]]&gt;0,"Done","-")</f>
        <v>Done</v>
      </c>
      <c r="K113" s="437"/>
      <c r="L113" s="220">
        <v>44607</v>
      </c>
      <c r="M113" s="100" t="s">
        <v>659</v>
      </c>
      <c r="N113" s="100">
        <f>MONTH(List34[[#This Row],[Tanggal Pengajuan]])</f>
        <v>2</v>
      </c>
      <c r="O113" s="62"/>
      <c r="P113" s="100" t="s">
        <v>707</v>
      </c>
      <c r="Q113" s="111"/>
      <c r="R113" s="230" t="s">
        <v>958</v>
      </c>
      <c r="T113" s="275">
        <f>+List34[[#This Row],[Pengajuan Donasi]]-List34[[#This Row],[Jumlah Transfer]]</f>
        <v>0</v>
      </c>
      <c r="U113" s="275"/>
    </row>
    <row r="114" spans="2:21" ht="30" customHeight="1" x14ac:dyDescent="0.2">
      <c r="B114" s="13">
        <v>44599</v>
      </c>
      <c r="C114" s="67" t="s">
        <v>722</v>
      </c>
      <c r="D114" s="14" t="s">
        <v>407</v>
      </c>
      <c r="E114" s="14" t="s">
        <v>57</v>
      </c>
      <c r="F114" s="14" t="s">
        <v>18</v>
      </c>
      <c r="G114" s="15">
        <v>64</v>
      </c>
      <c r="H114" s="258">
        <v>10000000</v>
      </c>
      <c r="I114" s="258">
        <f>List34[[#This Row],[Pengajuan Donasi]]</f>
        <v>10000000</v>
      </c>
      <c r="J114" s="213" t="str">
        <f>IF(List34[[#This Row],[Tanggal Trf]]&gt;0,"Done","-")</f>
        <v>Done</v>
      </c>
      <c r="K114" s="437"/>
      <c r="L114" s="220">
        <v>44607</v>
      </c>
      <c r="M114" s="100" t="s">
        <v>661</v>
      </c>
      <c r="N114" s="100">
        <f>MONTH(List34[[#This Row],[Tanggal Pengajuan]])</f>
        <v>2</v>
      </c>
      <c r="O114" s="62"/>
      <c r="P114" s="100" t="s">
        <v>707</v>
      </c>
      <c r="Q114" s="111"/>
      <c r="R114" s="230" t="s">
        <v>958</v>
      </c>
      <c r="T114" s="275">
        <f>+List34[[#This Row],[Pengajuan Donasi]]-List34[[#This Row],[Jumlah Transfer]]</f>
        <v>0</v>
      </c>
      <c r="U114" s="275"/>
    </row>
    <row r="115" spans="2:21" ht="30" customHeight="1" x14ac:dyDescent="0.2">
      <c r="B115" s="13">
        <v>44599</v>
      </c>
      <c r="C115" s="67" t="s">
        <v>723</v>
      </c>
      <c r="D115" s="14" t="s">
        <v>413</v>
      </c>
      <c r="E115" s="14" t="s">
        <v>57</v>
      </c>
      <c r="F115" s="14" t="s">
        <v>18</v>
      </c>
      <c r="G115" s="15">
        <v>16</v>
      </c>
      <c r="H115" s="258">
        <v>10000000</v>
      </c>
      <c r="I115" s="258">
        <f>List34[[#This Row],[Pengajuan Donasi]]</f>
        <v>10000000</v>
      </c>
      <c r="J115" s="213" t="str">
        <f>IF(List34[[#This Row],[Tanggal Trf]]&gt;0,"Done","-")</f>
        <v>Done</v>
      </c>
      <c r="K115" s="437"/>
      <c r="L115" s="220">
        <v>44607</v>
      </c>
      <c r="M115" s="100" t="s">
        <v>544</v>
      </c>
      <c r="N115" s="100">
        <f>MONTH(List34[[#This Row],[Tanggal Pengajuan]])</f>
        <v>2</v>
      </c>
      <c r="O115" s="62"/>
      <c r="P115" s="100" t="s">
        <v>707</v>
      </c>
      <c r="Q115" s="111"/>
      <c r="R115" s="230" t="s">
        <v>958</v>
      </c>
      <c r="T115" s="275">
        <f>+List34[[#This Row],[Pengajuan Donasi]]-List34[[#This Row],[Jumlah Transfer]]</f>
        <v>0</v>
      </c>
      <c r="U115" s="275"/>
    </row>
    <row r="116" spans="2:21" ht="30" customHeight="1" x14ac:dyDescent="0.2">
      <c r="B116" s="13">
        <v>44600</v>
      </c>
      <c r="C116" s="67" t="s">
        <v>724</v>
      </c>
      <c r="D116" s="103" t="s">
        <v>60</v>
      </c>
      <c r="E116" s="14" t="s">
        <v>179</v>
      </c>
      <c r="F116" s="14" t="s">
        <v>18</v>
      </c>
      <c r="G116" s="15">
        <v>37</v>
      </c>
      <c r="H116" s="258">
        <v>1200000</v>
      </c>
      <c r="I116" s="258">
        <f>List34[[#This Row],[Pengajuan Donasi]]</f>
        <v>1200000</v>
      </c>
      <c r="J116" s="213" t="str">
        <f>IF(List34[[#This Row],[Tanggal Trf]]&gt;0,"Done","-")</f>
        <v>Done</v>
      </c>
      <c r="K116" s="437"/>
      <c r="L116" s="221">
        <v>44612</v>
      </c>
      <c r="M116" s="100" t="s">
        <v>674</v>
      </c>
      <c r="N116" s="100">
        <f>MONTH(List34[[#This Row],[Tanggal Pengajuan]])</f>
        <v>2</v>
      </c>
      <c r="O116" s="101"/>
      <c r="P116" s="100" t="s">
        <v>707</v>
      </c>
      <c r="Q116" s="111"/>
      <c r="R116" s="230" t="s">
        <v>958</v>
      </c>
      <c r="T116" s="275">
        <f>+List34[[#This Row],[Pengajuan Donasi]]-List34[[#This Row],[Jumlah Transfer]]</f>
        <v>0</v>
      </c>
      <c r="U116" s="275"/>
    </row>
    <row r="117" spans="2:21" ht="30" customHeight="1" x14ac:dyDescent="0.2">
      <c r="B117" s="102">
        <v>44601</v>
      </c>
      <c r="C117" s="67" t="s">
        <v>725</v>
      </c>
      <c r="D117" s="103" t="s">
        <v>87</v>
      </c>
      <c r="E117" s="14" t="s">
        <v>179</v>
      </c>
      <c r="F117" s="103" t="s">
        <v>18</v>
      </c>
      <c r="G117" s="15">
        <v>24</v>
      </c>
      <c r="H117" s="267">
        <v>2400000</v>
      </c>
      <c r="I117" s="258">
        <f>List34[[#This Row],[Pengajuan Donasi]]</f>
        <v>2400000</v>
      </c>
      <c r="J117" s="214" t="str">
        <f>IF(List34[[#This Row],[Tanggal Trf]]&gt;0,"Done","-")</f>
        <v>Done</v>
      </c>
      <c r="K117" s="440" t="s">
        <v>731</v>
      </c>
      <c r="L117" s="221">
        <v>44622</v>
      </c>
      <c r="M117" s="105" t="s">
        <v>493</v>
      </c>
      <c r="N117" s="100">
        <f>MONTH(List34[[#This Row],[Tanggal Pengajuan]])</f>
        <v>2</v>
      </c>
      <c r="O117" s="101">
        <v>44691</v>
      </c>
      <c r="P117" s="105" t="s">
        <v>707</v>
      </c>
      <c r="Q117" s="110"/>
      <c r="R117" s="230" t="s">
        <v>958</v>
      </c>
      <c r="T117" s="275">
        <f>+List34[[#This Row],[Pengajuan Donasi]]-List34[[#This Row],[Jumlah Transfer]]</f>
        <v>0</v>
      </c>
      <c r="U117" s="275"/>
    </row>
    <row r="118" spans="2:21" ht="30" customHeight="1" x14ac:dyDescent="0.2">
      <c r="B118" s="102">
        <v>44607</v>
      </c>
      <c r="C118" s="67" t="s">
        <v>726</v>
      </c>
      <c r="D118" s="103" t="s">
        <v>916</v>
      </c>
      <c r="E118" s="14" t="s">
        <v>26</v>
      </c>
      <c r="F118" s="14" t="s">
        <v>18</v>
      </c>
      <c r="G118" s="15">
        <v>1</v>
      </c>
      <c r="H118" s="258">
        <v>500000</v>
      </c>
      <c r="I118" s="258">
        <f>List34[[#This Row],[Pengajuan Donasi]]</f>
        <v>500000</v>
      </c>
      <c r="J118" s="214" t="str">
        <f>IF(List34[[#This Row],[Tanggal Trf]]&gt;0,"Done","-")</f>
        <v>Done</v>
      </c>
      <c r="K118" s="440"/>
      <c r="L118" s="221">
        <v>44612</v>
      </c>
      <c r="M118" s="105" t="s">
        <v>681</v>
      </c>
      <c r="N118" s="100">
        <f>MONTH(List34[[#This Row],[Tanggal Pengajuan]])</f>
        <v>2</v>
      </c>
      <c r="O118" s="101"/>
      <c r="P118" s="100" t="s">
        <v>707</v>
      </c>
      <c r="Q118" s="110"/>
      <c r="R118" s="230" t="s">
        <v>958</v>
      </c>
      <c r="T118" s="275">
        <f>+List34[[#This Row],[Pengajuan Donasi]]-List34[[#This Row],[Jumlah Transfer]]</f>
        <v>0</v>
      </c>
      <c r="U118" s="275"/>
    </row>
    <row r="119" spans="2:21" ht="30" customHeight="1" x14ac:dyDescent="0.2">
      <c r="B119" s="102">
        <v>44607</v>
      </c>
      <c r="C119" s="67"/>
      <c r="D119" s="103" t="s">
        <v>917</v>
      </c>
      <c r="E119" s="14" t="s">
        <v>26</v>
      </c>
      <c r="F119" s="14" t="s">
        <v>18</v>
      </c>
      <c r="G119" s="15">
        <v>1</v>
      </c>
      <c r="H119" s="258">
        <v>500000</v>
      </c>
      <c r="I119" s="258">
        <f>List34[[#This Row],[Pengajuan Donasi]]</f>
        <v>500000</v>
      </c>
      <c r="J119" s="214" t="str">
        <f>IF(List34[[#This Row],[Tanggal Trf]]&gt;0,"Done","-")</f>
        <v>Done</v>
      </c>
      <c r="K119" s="440"/>
      <c r="L119" s="221">
        <v>44612</v>
      </c>
      <c r="M119" s="105" t="s">
        <v>895</v>
      </c>
      <c r="N119" s="100">
        <f>MONTH(List34[[#This Row],[Tanggal Pengajuan]])</f>
        <v>2</v>
      </c>
      <c r="O119" s="183"/>
      <c r="P119" s="105"/>
      <c r="Q119" s="111"/>
      <c r="R119" s="230" t="s">
        <v>958</v>
      </c>
      <c r="T119" s="275">
        <f>+List34[[#This Row],[Pengajuan Donasi]]-List34[[#This Row],[Jumlah Transfer]]</f>
        <v>0</v>
      </c>
      <c r="U119" s="275"/>
    </row>
    <row r="120" spans="2:21" ht="30" customHeight="1" x14ac:dyDescent="0.2">
      <c r="B120" s="102">
        <v>44607</v>
      </c>
      <c r="C120" s="67"/>
      <c r="D120" s="103" t="s">
        <v>918</v>
      </c>
      <c r="E120" s="14" t="s">
        <v>26</v>
      </c>
      <c r="F120" s="14" t="s">
        <v>18</v>
      </c>
      <c r="G120" s="15">
        <v>1</v>
      </c>
      <c r="H120" s="258">
        <v>500000</v>
      </c>
      <c r="I120" s="258">
        <f>List34[[#This Row],[Pengajuan Donasi]]</f>
        <v>500000</v>
      </c>
      <c r="J120" s="214" t="str">
        <f>IF(List34[[#This Row],[Tanggal Trf]]&gt;0,"Done","-")</f>
        <v>Done</v>
      </c>
      <c r="K120" s="440"/>
      <c r="L120" s="221">
        <v>44612</v>
      </c>
      <c r="M120" s="105" t="s">
        <v>894</v>
      </c>
      <c r="N120" s="100">
        <f>MONTH(List34[[#This Row],[Tanggal Pengajuan]])</f>
        <v>2</v>
      </c>
      <c r="O120" s="183"/>
      <c r="P120" s="105"/>
      <c r="Q120" s="111"/>
      <c r="R120" s="230" t="s">
        <v>958</v>
      </c>
      <c r="T120" s="275">
        <f>+List34[[#This Row],[Pengajuan Donasi]]-List34[[#This Row],[Jumlah Transfer]]</f>
        <v>0</v>
      </c>
      <c r="U120" s="275"/>
    </row>
    <row r="121" spans="2:21" ht="30" customHeight="1" x14ac:dyDescent="0.2">
      <c r="B121" s="102">
        <v>44607</v>
      </c>
      <c r="C121" s="67"/>
      <c r="D121" s="103" t="s">
        <v>919</v>
      </c>
      <c r="E121" s="14" t="s">
        <v>26</v>
      </c>
      <c r="F121" s="14" t="s">
        <v>18</v>
      </c>
      <c r="G121" s="15">
        <v>1</v>
      </c>
      <c r="H121" s="258">
        <v>500000</v>
      </c>
      <c r="I121" s="258">
        <f>List34[[#This Row],[Pengajuan Donasi]]</f>
        <v>500000</v>
      </c>
      <c r="J121" s="214" t="str">
        <f>IF(List34[[#This Row],[Tanggal Trf]]&gt;0,"Done","-")</f>
        <v>Done</v>
      </c>
      <c r="K121" s="440"/>
      <c r="L121" s="221">
        <v>44612</v>
      </c>
      <c r="M121" s="105" t="s">
        <v>896</v>
      </c>
      <c r="N121" s="100">
        <f>MONTH(List34[[#This Row],[Tanggal Pengajuan]])</f>
        <v>2</v>
      </c>
      <c r="O121" s="183"/>
      <c r="P121" s="105"/>
      <c r="Q121" s="111"/>
      <c r="R121" s="230" t="s">
        <v>958</v>
      </c>
      <c r="T121" s="275">
        <f>+List34[[#This Row],[Pengajuan Donasi]]-List34[[#This Row],[Jumlah Transfer]]</f>
        <v>0</v>
      </c>
      <c r="U121" s="275"/>
    </row>
    <row r="122" spans="2:21" ht="30" customHeight="1" x14ac:dyDescent="0.2">
      <c r="B122" s="102">
        <v>44607</v>
      </c>
      <c r="C122" s="67"/>
      <c r="D122" s="103" t="s">
        <v>920</v>
      </c>
      <c r="E122" s="14" t="s">
        <v>26</v>
      </c>
      <c r="F122" s="14" t="s">
        <v>18</v>
      </c>
      <c r="G122" s="15">
        <v>1</v>
      </c>
      <c r="H122" s="258">
        <v>500000</v>
      </c>
      <c r="I122" s="258">
        <f>List34[[#This Row],[Pengajuan Donasi]]</f>
        <v>500000</v>
      </c>
      <c r="J122" s="214" t="str">
        <f>IF(List34[[#This Row],[Tanggal Trf]]&gt;0,"Done","-")</f>
        <v>Done</v>
      </c>
      <c r="K122" s="440"/>
      <c r="L122" s="221">
        <v>44612</v>
      </c>
      <c r="M122" s="105" t="s">
        <v>897</v>
      </c>
      <c r="N122" s="100">
        <f>MONTH(List34[[#This Row],[Tanggal Pengajuan]])</f>
        <v>2</v>
      </c>
      <c r="O122" s="183"/>
      <c r="P122" s="105"/>
      <c r="Q122" s="111"/>
      <c r="R122" s="230" t="s">
        <v>958</v>
      </c>
      <c r="T122" s="275">
        <f>+List34[[#This Row],[Pengajuan Donasi]]-List34[[#This Row],[Jumlah Transfer]]</f>
        <v>0</v>
      </c>
      <c r="U122" s="275"/>
    </row>
    <row r="123" spans="2:21" ht="30" customHeight="1" x14ac:dyDescent="0.2">
      <c r="B123" s="102">
        <v>44607</v>
      </c>
      <c r="C123" s="67"/>
      <c r="D123" s="103" t="s">
        <v>921</v>
      </c>
      <c r="E123" s="14" t="s">
        <v>26</v>
      </c>
      <c r="F123" s="14" t="s">
        <v>18</v>
      </c>
      <c r="G123" s="15">
        <v>1</v>
      </c>
      <c r="H123" s="258">
        <v>500000</v>
      </c>
      <c r="I123" s="258">
        <f>List34[[#This Row],[Pengajuan Donasi]]</f>
        <v>500000</v>
      </c>
      <c r="J123" s="214" t="str">
        <f>IF(List34[[#This Row],[Tanggal Trf]]&gt;0,"Done","-")</f>
        <v>Done</v>
      </c>
      <c r="K123" s="440"/>
      <c r="L123" s="221">
        <v>44612</v>
      </c>
      <c r="M123" s="105" t="s">
        <v>915</v>
      </c>
      <c r="N123" s="100">
        <f>MONTH(List34[[#This Row],[Tanggal Pengajuan]])</f>
        <v>2</v>
      </c>
      <c r="O123" s="183"/>
      <c r="P123" s="105"/>
      <c r="Q123" s="111"/>
      <c r="R123" s="230" t="s">
        <v>958</v>
      </c>
      <c r="T123" s="275">
        <f>+List34[[#This Row],[Pengajuan Donasi]]-List34[[#This Row],[Jumlah Transfer]]</f>
        <v>0</v>
      </c>
      <c r="U123" s="275"/>
    </row>
    <row r="124" spans="2:21" ht="30" customHeight="1" x14ac:dyDescent="0.2">
      <c r="B124" s="102">
        <v>44607</v>
      </c>
      <c r="C124" s="67"/>
      <c r="D124" s="103" t="s">
        <v>922</v>
      </c>
      <c r="E124" s="14" t="s">
        <v>26</v>
      </c>
      <c r="F124" s="14" t="s">
        <v>18</v>
      </c>
      <c r="G124" s="15">
        <v>1</v>
      </c>
      <c r="H124" s="258">
        <v>500000</v>
      </c>
      <c r="I124" s="258">
        <f>List34[[#This Row],[Pengajuan Donasi]]</f>
        <v>500000</v>
      </c>
      <c r="J124" s="214" t="str">
        <f>IF(List34[[#This Row],[Tanggal Trf]]&gt;0,"Done","-")</f>
        <v>Done</v>
      </c>
      <c r="K124" s="440"/>
      <c r="L124" s="221">
        <v>44612</v>
      </c>
      <c r="M124" s="105" t="s">
        <v>898</v>
      </c>
      <c r="N124" s="100">
        <f>MONTH(List34[[#This Row],[Tanggal Pengajuan]])</f>
        <v>2</v>
      </c>
      <c r="O124" s="183"/>
      <c r="P124" s="105"/>
      <c r="Q124" s="111"/>
      <c r="R124" s="230" t="s">
        <v>958</v>
      </c>
      <c r="T124" s="275">
        <f>+List34[[#This Row],[Pengajuan Donasi]]-List34[[#This Row],[Jumlah Transfer]]</f>
        <v>0</v>
      </c>
      <c r="U124" s="275"/>
    </row>
    <row r="125" spans="2:21" ht="30" customHeight="1" x14ac:dyDescent="0.2">
      <c r="B125" s="102">
        <v>44607</v>
      </c>
      <c r="C125" s="67"/>
      <c r="D125" s="103" t="s">
        <v>923</v>
      </c>
      <c r="E125" s="14" t="s">
        <v>26</v>
      </c>
      <c r="F125" s="14" t="s">
        <v>18</v>
      </c>
      <c r="G125" s="15">
        <v>1</v>
      </c>
      <c r="H125" s="258">
        <v>500000</v>
      </c>
      <c r="I125" s="258">
        <f>List34[[#This Row],[Pengajuan Donasi]]</f>
        <v>500000</v>
      </c>
      <c r="J125" s="214" t="str">
        <f>IF(List34[[#This Row],[Tanggal Trf]]&gt;0,"Done","-")</f>
        <v>Done</v>
      </c>
      <c r="K125" s="440"/>
      <c r="L125" s="221">
        <v>44612</v>
      </c>
      <c r="M125" s="105" t="s">
        <v>899</v>
      </c>
      <c r="N125" s="100">
        <f>MONTH(List34[[#This Row],[Tanggal Pengajuan]])</f>
        <v>2</v>
      </c>
      <c r="O125" s="183"/>
      <c r="P125" s="105"/>
      <c r="Q125" s="111"/>
      <c r="R125" s="230" t="s">
        <v>958</v>
      </c>
      <c r="T125" s="275">
        <f>+List34[[#This Row],[Pengajuan Donasi]]-List34[[#This Row],[Jumlah Transfer]]</f>
        <v>0</v>
      </c>
      <c r="U125" s="275"/>
    </row>
    <row r="126" spans="2:21" ht="30" customHeight="1" x14ac:dyDescent="0.2">
      <c r="B126" s="102">
        <v>44607</v>
      </c>
      <c r="C126" s="67"/>
      <c r="D126" s="103" t="s">
        <v>924</v>
      </c>
      <c r="E126" s="14" t="s">
        <v>26</v>
      </c>
      <c r="F126" s="14" t="s">
        <v>18</v>
      </c>
      <c r="G126" s="15">
        <v>1</v>
      </c>
      <c r="H126" s="258">
        <v>500000</v>
      </c>
      <c r="I126" s="258">
        <f>List34[[#This Row],[Pengajuan Donasi]]</f>
        <v>500000</v>
      </c>
      <c r="J126" s="214" t="str">
        <f>IF(List34[[#This Row],[Tanggal Trf]]&gt;0,"Done","-")</f>
        <v>Done</v>
      </c>
      <c r="K126" s="440"/>
      <c r="L126" s="221">
        <v>44612</v>
      </c>
      <c r="M126" s="105" t="s">
        <v>900</v>
      </c>
      <c r="N126" s="100">
        <f>MONTH(List34[[#This Row],[Tanggal Pengajuan]])</f>
        <v>2</v>
      </c>
      <c r="O126" s="183"/>
      <c r="P126" s="105"/>
      <c r="Q126" s="111"/>
      <c r="R126" s="230" t="s">
        <v>958</v>
      </c>
      <c r="T126" s="275">
        <f>+List34[[#This Row],[Pengajuan Donasi]]-List34[[#This Row],[Jumlah Transfer]]</f>
        <v>0</v>
      </c>
      <c r="U126" s="275"/>
    </row>
    <row r="127" spans="2:21" ht="30" customHeight="1" x14ac:dyDescent="0.2">
      <c r="B127" s="102">
        <v>44607</v>
      </c>
      <c r="C127" s="67"/>
      <c r="D127" s="103" t="s">
        <v>925</v>
      </c>
      <c r="E127" s="14" t="s">
        <v>26</v>
      </c>
      <c r="F127" s="14" t="s">
        <v>18</v>
      </c>
      <c r="G127" s="15">
        <v>1</v>
      </c>
      <c r="H127" s="258">
        <v>500000</v>
      </c>
      <c r="I127" s="258">
        <f>List34[[#This Row],[Pengajuan Donasi]]</f>
        <v>500000</v>
      </c>
      <c r="J127" s="214" t="str">
        <f>IF(List34[[#This Row],[Tanggal Trf]]&gt;0,"Done","-")</f>
        <v>Done</v>
      </c>
      <c r="K127" s="440"/>
      <c r="L127" s="221">
        <v>44612</v>
      </c>
      <c r="M127" s="105" t="s">
        <v>901</v>
      </c>
      <c r="N127" s="100">
        <f>MONTH(List34[[#This Row],[Tanggal Pengajuan]])</f>
        <v>2</v>
      </c>
      <c r="O127" s="183"/>
      <c r="P127" s="105"/>
      <c r="Q127" s="111"/>
      <c r="R127" s="230" t="s">
        <v>958</v>
      </c>
      <c r="T127" s="275">
        <f>+List34[[#This Row],[Pengajuan Donasi]]-List34[[#This Row],[Jumlah Transfer]]</f>
        <v>0</v>
      </c>
      <c r="U127" s="275"/>
    </row>
    <row r="128" spans="2:21" ht="30" customHeight="1" x14ac:dyDescent="0.2">
      <c r="B128" s="102">
        <v>44607</v>
      </c>
      <c r="C128" s="67"/>
      <c r="D128" s="103" t="s">
        <v>926</v>
      </c>
      <c r="E128" s="14" t="s">
        <v>26</v>
      </c>
      <c r="F128" s="14" t="s">
        <v>18</v>
      </c>
      <c r="G128" s="15">
        <v>1</v>
      </c>
      <c r="H128" s="258">
        <v>500000</v>
      </c>
      <c r="I128" s="258">
        <f>List34[[#This Row],[Pengajuan Donasi]]</f>
        <v>500000</v>
      </c>
      <c r="J128" s="214" t="str">
        <f>IF(List34[[#This Row],[Tanggal Trf]]&gt;0,"Done","-")</f>
        <v>Done</v>
      </c>
      <c r="K128" s="440"/>
      <c r="L128" s="221">
        <v>44612</v>
      </c>
      <c r="M128" s="105" t="s">
        <v>1014</v>
      </c>
      <c r="N128" s="100">
        <f>MONTH(List34[[#This Row],[Tanggal Pengajuan]])</f>
        <v>2</v>
      </c>
      <c r="O128" s="183"/>
      <c r="P128" s="105"/>
      <c r="Q128" s="111"/>
      <c r="R128" s="230" t="s">
        <v>958</v>
      </c>
      <c r="T128" s="275">
        <f>+List34[[#This Row],[Pengajuan Donasi]]-List34[[#This Row],[Jumlah Transfer]]</f>
        <v>0</v>
      </c>
      <c r="U128" s="275"/>
    </row>
    <row r="129" spans="2:21" ht="30" customHeight="1" x14ac:dyDescent="0.2">
      <c r="B129" s="102">
        <v>44607</v>
      </c>
      <c r="C129" s="67"/>
      <c r="D129" s="103" t="s">
        <v>927</v>
      </c>
      <c r="E129" s="14" t="s">
        <v>26</v>
      </c>
      <c r="F129" s="14" t="s">
        <v>18</v>
      </c>
      <c r="G129" s="15">
        <v>1</v>
      </c>
      <c r="H129" s="258">
        <v>500000</v>
      </c>
      <c r="I129" s="258">
        <f>List34[[#This Row],[Pengajuan Donasi]]</f>
        <v>500000</v>
      </c>
      <c r="J129" s="214" t="str">
        <f>IF(List34[[#This Row],[Tanggal Trf]]&gt;0,"Done","-")</f>
        <v>Done</v>
      </c>
      <c r="K129" s="440"/>
      <c r="L129" s="221">
        <v>44612</v>
      </c>
      <c r="M129" s="105" t="s">
        <v>1014</v>
      </c>
      <c r="N129" s="100">
        <f>MONTH(List34[[#This Row],[Tanggal Pengajuan]])</f>
        <v>2</v>
      </c>
      <c r="O129" s="183"/>
      <c r="P129" s="105"/>
      <c r="Q129" s="111"/>
      <c r="R129" s="230" t="s">
        <v>958</v>
      </c>
      <c r="T129" s="275">
        <f>+List34[[#This Row],[Pengajuan Donasi]]-List34[[#This Row],[Jumlah Transfer]]</f>
        <v>0</v>
      </c>
      <c r="U129" s="275"/>
    </row>
    <row r="130" spans="2:21" ht="30" customHeight="1" x14ac:dyDescent="0.2">
      <c r="B130" s="102">
        <v>44607</v>
      </c>
      <c r="C130" s="67"/>
      <c r="D130" s="103" t="s">
        <v>928</v>
      </c>
      <c r="E130" s="14" t="s">
        <v>26</v>
      </c>
      <c r="F130" s="14" t="s">
        <v>18</v>
      </c>
      <c r="G130" s="15">
        <v>1</v>
      </c>
      <c r="H130" s="258">
        <v>500000</v>
      </c>
      <c r="I130" s="258">
        <f>List34[[#This Row],[Pengajuan Donasi]]</f>
        <v>500000</v>
      </c>
      <c r="J130" s="214" t="str">
        <f>IF(List34[[#This Row],[Tanggal Trf]]&gt;0,"Done","-")</f>
        <v>Done</v>
      </c>
      <c r="K130" s="440"/>
      <c r="L130" s="221">
        <v>44612</v>
      </c>
      <c r="M130" s="105" t="s">
        <v>1014</v>
      </c>
      <c r="N130" s="100">
        <f>MONTH(List34[[#This Row],[Tanggal Pengajuan]])</f>
        <v>2</v>
      </c>
      <c r="O130" s="183"/>
      <c r="P130" s="105"/>
      <c r="Q130" s="111"/>
      <c r="R130" s="230" t="s">
        <v>958</v>
      </c>
      <c r="T130" s="275">
        <f>+List34[[#This Row],[Pengajuan Donasi]]-List34[[#This Row],[Jumlah Transfer]]</f>
        <v>0</v>
      </c>
      <c r="U130" s="275"/>
    </row>
    <row r="131" spans="2:21" ht="30" customHeight="1" x14ac:dyDescent="0.2">
      <c r="B131" s="102">
        <v>44607</v>
      </c>
      <c r="C131" s="67"/>
      <c r="D131" s="103" t="s">
        <v>929</v>
      </c>
      <c r="E131" s="14" t="s">
        <v>26</v>
      </c>
      <c r="F131" s="14" t="s">
        <v>18</v>
      </c>
      <c r="G131" s="15">
        <v>1</v>
      </c>
      <c r="H131" s="258">
        <v>500000</v>
      </c>
      <c r="I131" s="258">
        <f>List34[[#This Row],[Pengajuan Donasi]]</f>
        <v>500000</v>
      </c>
      <c r="J131" s="214" t="str">
        <f>IF(List34[[#This Row],[Tanggal Trf]]&gt;0,"Done","-")</f>
        <v>Done</v>
      </c>
      <c r="K131" s="440"/>
      <c r="L131" s="221">
        <v>44612</v>
      </c>
      <c r="M131" s="105" t="s">
        <v>902</v>
      </c>
      <c r="N131" s="100">
        <f>MONTH(List34[[#This Row],[Tanggal Pengajuan]])</f>
        <v>2</v>
      </c>
      <c r="O131" s="183"/>
      <c r="P131" s="105"/>
      <c r="Q131" s="111"/>
      <c r="R131" s="230" t="s">
        <v>958</v>
      </c>
      <c r="T131" s="275">
        <f>+List34[[#This Row],[Pengajuan Donasi]]-List34[[#This Row],[Jumlah Transfer]]</f>
        <v>0</v>
      </c>
      <c r="U131" s="275"/>
    </row>
    <row r="132" spans="2:21" ht="30" customHeight="1" x14ac:dyDescent="0.2">
      <c r="B132" s="102">
        <v>44607</v>
      </c>
      <c r="C132" s="67"/>
      <c r="D132" s="103" t="s">
        <v>930</v>
      </c>
      <c r="E132" s="14" t="s">
        <v>26</v>
      </c>
      <c r="F132" s="14" t="s">
        <v>18</v>
      </c>
      <c r="G132" s="15">
        <v>1</v>
      </c>
      <c r="H132" s="258">
        <v>500000</v>
      </c>
      <c r="I132" s="258">
        <f>List34[[#This Row],[Pengajuan Donasi]]</f>
        <v>500000</v>
      </c>
      <c r="J132" s="214" t="str">
        <f>IF(List34[[#This Row],[Tanggal Trf]]&gt;0,"Done","-")</f>
        <v>Done</v>
      </c>
      <c r="K132" s="440"/>
      <c r="L132" s="221">
        <v>44612</v>
      </c>
      <c r="M132" s="105" t="s">
        <v>903</v>
      </c>
      <c r="N132" s="100">
        <f>MONTH(List34[[#This Row],[Tanggal Pengajuan]])</f>
        <v>2</v>
      </c>
      <c r="O132" s="183"/>
      <c r="P132" s="105"/>
      <c r="Q132" s="111"/>
      <c r="R132" s="230" t="s">
        <v>958</v>
      </c>
      <c r="T132" s="275">
        <f>+List34[[#This Row],[Pengajuan Donasi]]-List34[[#This Row],[Jumlah Transfer]]</f>
        <v>0</v>
      </c>
      <c r="U132" s="275"/>
    </row>
    <row r="133" spans="2:21" ht="30" customHeight="1" x14ac:dyDescent="0.2">
      <c r="B133" s="102">
        <v>44607</v>
      </c>
      <c r="C133" s="67" t="s">
        <v>727</v>
      </c>
      <c r="D133" s="103" t="s">
        <v>735</v>
      </c>
      <c r="E133" s="14" t="s">
        <v>71</v>
      </c>
      <c r="F133" s="14" t="s">
        <v>28</v>
      </c>
      <c r="G133" s="15">
        <v>1</v>
      </c>
      <c r="H133" s="258">
        <v>660000</v>
      </c>
      <c r="I133" s="258">
        <f>List34[[#This Row],[Pengajuan Donasi]]</f>
        <v>660000</v>
      </c>
      <c r="J133" s="213" t="str">
        <f>IF(List34[[#This Row],[Tanggal Trf]]&gt;0,"Done","-")</f>
        <v>Done</v>
      </c>
      <c r="K133" s="437" t="s">
        <v>25</v>
      </c>
      <c r="L133" s="221">
        <v>44612</v>
      </c>
      <c r="M133" s="100" t="s">
        <v>732</v>
      </c>
      <c r="N133" s="100">
        <f>MONTH(List34[[#This Row],[Tanggal Pengajuan]])</f>
        <v>2</v>
      </c>
      <c r="O133" s="101"/>
      <c r="P133" s="105"/>
      <c r="Q133" s="111"/>
      <c r="R133" s="230" t="s">
        <v>958</v>
      </c>
      <c r="T133" s="275">
        <f>+List34[[#This Row],[Pengajuan Donasi]]-List34[[#This Row],[Jumlah Transfer]]</f>
        <v>0</v>
      </c>
      <c r="U133" s="275"/>
    </row>
    <row r="134" spans="2:21" ht="30" customHeight="1" x14ac:dyDescent="0.2">
      <c r="B134" s="102">
        <v>44607</v>
      </c>
      <c r="C134" s="67" t="s">
        <v>728</v>
      </c>
      <c r="D134" s="103" t="s">
        <v>114</v>
      </c>
      <c r="E134" s="103" t="s">
        <v>179</v>
      </c>
      <c r="F134" s="103" t="s">
        <v>18</v>
      </c>
      <c r="G134" s="15">
        <v>115</v>
      </c>
      <c r="H134" s="267">
        <v>11875000</v>
      </c>
      <c r="I134" s="258">
        <f>List34[[#This Row],[Pengajuan Donasi]]</f>
        <v>11875000</v>
      </c>
      <c r="J134" s="214" t="str">
        <f>IF(List34[[#This Row],[Tanggal Trf]]&gt;0,"Done","-")</f>
        <v>Done</v>
      </c>
      <c r="K134" s="440" t="s">
        <v>736</v>
      </c>
      <c r="L134" s="221">
        <v>44630</v>
      </c>
      <c r="M134" s="105" t="s">
        <v>733</v>
      </c>
      <c r="N134" s="100">
        <f>MONTH(List34[[#This Row],[Tanggal Pengajuan]])</f>
        <v>2</v>
      </c>
      <c r="O134" s="101"/>
      <c r="P134" s="105" t="s">
        <v>707</v>
      </c>
      <c r="Q134" s="111"/>
      <c r="R134" s="230" t="s">
        <v>958</v>
      </c>
      <c r="T134" s="275">
        <f>+List34[[#This Row],[Pengajuan Donasi]]-List34[[#This Row],[Jumlah Transfer]]</f>
        <v>0</v>
      </c>
      <c r="U134" s="275"/>
    </row>
    <row r="135" spans="2:21" ht="30" customHeight="1" x14ac:dyDescent="0.2">
      <c r="B135" s="102">
        <v>44614</v>
      </c>
      <c r="C135" s="67" t="s">
        <v>729</v>
      </c>
      <c r="D135" s="103" t="s">
        <v>106</v>
      </c>
      <c r="E135" s="14" t="s">
        <v>179</v>
      </c>
      <c r="F135" s="14" t="s">
        <v>18</v>
      </c>
      <c r="G135" s="15">
        <v>85</v>
      </c>
      <c r="H135" s="258">
        <v>79550000</v>
      </c>
      <c r="I135" s="258">
        <f>List34[[#This Row],[Pengajuan Donasi]]</f>
        <v>79550000</v>
      </c>
      <c r="J135" s="213" t="str">
        <f>IF(List34[[#This Row],[Tanggal Trf]]&gt;0,"Done","-")</f>
        <v>Done</v>
      </c>
      <c r="K135" s="437" t="s">
        <v>731</v>
      </c>
      <c r="L135" s="221">
        <v>44622</v>
      </c>
      <c r="M135" s="100" t="s">
        <v>734</v>
      </c>
      <c r="N135" s="100">
        <f>MONTH(List34[[#This Row],[Tanggal Pengajuan]])</f>
        <v>2</v>
      </c>
      <c r="O135" s="101">
        <v>44691</v>
      </c>
      <c r="P135" s="105" t="s">
        <v>707</v>
      </c>
      <c r="Q135" s="111"/>
      <c r="R135" s="230" t="s">
        <v>958</v>
      </c>
      <c r="T135" s="275">
        <f>+List34[[#This Row],[Pengajuan Donasi]]-List34[[#This Row],[Jumlah Transfer]]</f>
        <v>0</v>
      </c>
      <c r="U135" s="275"/>
    </row>
    <row r="136" spans="2:21" ht="30" customHeight="1" x14ac:dyDescent="0.2">
      <c r="B136" s="102">
        <v>44616</v>
      </c>
      <c r="C136" s="67" t="s">
        <v>730</v>
      </c>
      <c r="D136" s="14" t="s">
        <v>697</v>
      </c>
      <c r="E136" s="14" t="s">
        <v>1054</v>
      </c>
      <c r="F136" s="14" t="s">
        <v>18</v>
      </c>
      <c r="G136" s="15"/>
      <c r="H136" s="267">
        <v>0</v>
      </c>
      <c r="I136" s="258">
        <f>List34[[#This Row],[Pengajuan Donasi]]</f>
        <v>0</v>
      </c>
      <c r="J136" s="213" t="str">
        <f>IF(List34[[#This Row],[Tanggal Trf]]&gt;0,"Done","-")</f>
        <v>Done</v>
      </c>
      <c r="K136" s="437"/>
      <c r="L136" s="221">
        <v>44618</v>
      </c>
      <c r="M136" s="105" t="s">
        <v>683</v>
      </c>
      <c r="N136" s="100">
        <f>MONTH(List34[[#This Row],[Tanggal Pengajuan]])</f>
        <v>2</v>
      </c>
      <c r="O136" s="101" t="s">
        <v>960</v>
      </c>
      <c r="P136" s="105" t="s">
        <v>707</v>
      </c>
      <c r="Q136" s="151"/>
      <c r="R136" s="230" t="s">
        <v>958</v>
      </c>
      <c r="T136" s="275">
        <f>+List34[[#This Row],[Pengajuan Donasi]]-List34[[#This Row],[Jumlah Transfer]]</f>
        <v>0</v>
      </c>
      <c r="U136" s="275"/>
    </row>
    <row r="137" spans="2:21" ht="30" customHeight="1" x14ac:dyDescent="0.2">
      <c r="B137" s="102">
        <v>44624</v>
      </c>
      <c r="C137" s="67" t="s">
        <v>329</v>
      </c>
      <c r="D137" s="103" t="s">
        <v>25</v>
      </c>
      <c r="E137" s="103" t="s">
        <v>179</v>
      </c>
      <c r="F137" s="103" t="s">
        <v>18</v>
      </c>
      <c r="G137" s="15">
        <v>12</v>
      </c>
      <c r="H137" s="267">
        <v>2520000</v>
      </c>
      <c r="I137" s="267">
        <v>2520000</v>
      </c>
      <c r="J137" s="214" t="str">
        <f>IF(List34[[#This Row],[Tanggal Trf]]&gt;0,"Done","-")</f>
        <v>Done</v>
      </c>
      <c r="K137" s="437"/>
      <c r="L137" s="221">
        <v>44631</v>
      </c>
      <c r="M137" s="105" t="s">
        <v>667</v>
      </c>
      <c r="N137" s="100">
        <f>MONTH(List34[[#This Row],[Tanggal Pengajuan]])</f>
        <v>3</v>
      </c>
      <c r="O137" s="183">
        <v>44704</v>
      </c>
      <c r="P137" s="105" t="s">
        <v>746</v>
      </c>
      <c r="Q137" s="111"/>
      <c r="R137" s="230" t="s">
        <v>958</v>
      </c>
      <c r="T137" s="275">
        <f>+List34[[#This Row],[Pengajuan Donasi]]-List34[[#This Row],[Jumlah Transfer]]</f>
        <v>0</v>
      </c>
      <c r="U137" s="275"/>
    </row>
    <row r="138" spans="2:21" ht="30" customHeight="1" x14ac:dyDescent="0.2">
      <c r="B138" s="102">
        <v>44624</v>
      </c>
      <c r="C138" s="67" t="s">
        <v>747</v>
      </c>
      <c r="D138" s="14" t="s">
        <v>859</v>
      </c>
      <c r="E138" s="14" t="s">
        <v>17</v>
      </c>
      <c r="F138" s="14" t="s">
        <v>18</v>
      </c>
      <c r="G138" s="15">
        <v>23</v>
      </c>
      <c r="H138" s="258">
        <v>6000000</v>
      </c>
      <c r="I138" s="258">
        <v>6000000</v>
      </c>
      <c r="J138" s="214" t="str">
        <f>IF(List34[[#This Row],[Tanggal Trf]]&gt;0,"Done","-")</f>
        <v>Done</v>
      </c>
      <c r="K138" s="437"/>
      <c r="L138" s="221">
        <v>44630</v>
      </c>
      <c r="M138" s="105" t="s">
        <v>650</v>
      </c>
      <c r="N138" s="100">
        <f>MONTH(List34[[#This Row],[Tanggal Pengajuan]])</f>
        <v>3</v>
      </c>
      <c r="O138" s="183">
        <v>44699</v>
      </c>
      <c r="P138" s="105" t="s">
        <v>746</v>
      </c>
      <c r="Q138" s="111"/>
      <c r="R138" s="230" t="s">
        <v>958</v>
      </c>
      <c r="T138" s="275">
        <f>+List34[[#This Row],[Pengajuan Donasi]]-List34[[#This Row],[Jumlah Transfer]]</f>
        <v>0</v>
      </c>
      <c r="U138" s="275"/>
    </row>
    <row r="139" spans="2:21" ht="30" customHeight="1" x14ac:dyDescent="0.2">
      <c r="B139" s="102">
        <v>44624</v>
      </c>
      <c r="C139" s="67" t="s">
        <v>748</v>
      </c>
      <c r="D139" s="14" t="s">
        <v>876</v>
      </c>
      <c r="E139" s="14" t="s">
        <v>26</v>
      </c>
      <c r="F139" s="14" t="s">
        <v>18</v>
      </c>
      <c r="G139" s="15">
        <v>1</v>
      </c>
      <c r="H139" s="263">
        <v>5000000</v>
      </c>
      <c r="I139" s="263">
        <v>5000000</v>
      </c>
      <c r="J139" s="213" t="str">
        <f>IF(List34[[#This Row],[Tanggal Trf]]&gt;0,"Done","-")</f>
        <v>Done</v>
      </c>
      <c r="K139" s="437"/>
      <c r="L139" s="221">
        <v>44630</v>
      </c>
      <c r="M139" s="203" t="s">
        <v>448</v>
      </c>
      <c r="N139" s="100">
        <f>MONTH(List34[[#This Row],[Tanggal Pengajuan]])</f>
        <v>3</v>
      </c>
      <c r="O139" s="183"/>
      <c r="P139" s="105" t="s">
        <v>746</v>
      </c>
      <c r="Q139" s="111"/>
      <c r="R139" s="230" t="s">
        <v>958</v>
      </c>
      <c r="T139" s="275">
        <f>+List34[[#This Row],[Pengajuan Donasi]]-List34[[#This Row],[Jumlah Transfer]]</f>
        <v>0</v>
      </c>
      <c r="U139" s="275"/>
    </row>
    <row r="140" spans="2:21" ht="30" customHeight="1" x14ac:dyDescent="0.2">
      <c r="B140" s="102">
        <v>44624</v>
      </c>
      <c r="C140" s="67"/>
      <c r="D140" s="14" t="s">
        <v>875</v>
      </c>
      <c r="E140" s="14" t="s">
        <v>26</v>
      </c>
      <c r="F140" s="14" t="s">
        <v>18</v>
      </c>
      <c r="G140" s="15">
        <v>1</v>
      </c>
      <c r="H140" s="264">
        <v>1000000</v>
      </c>
      <c r="I140" s="267">
        <f>List34[[#This Row],[Pengajuan Donasi]]</f>
        <v>1000000</v>
      </c>
      <c r="J140" s="213" t="str">
        <f>IF(List34[[#This Row],[Tanggal Trf]]&gt;0,"Done","-")</f>
        <v>Done</v>
      </c>
      <c r="K140" s="437"/>
      <c r="L140" s="221">
        <v>44630</v>
      </c>
      <c r="M140" s="205" t="s">
        <v>453</v>
      </c>
      <c r="N140" s="100">
        <f>MONTH(List34[[#This Row],[Tanggal Pengajuan]])</f>
        <v>3</v>
      </c>
      <c r="O140" s="183"/>
      <c r="P140" s="100" t="s">
        <v>746</v>
      </c>
      <c r="Q140" s="111"/>
      <c r="R140" s="230" t="s">
        <v>958</v>
      </c>
      <c r="T140" s="275">
        <f>+List34[[#This Row],[Pengajuan Donasi]]-List34[[#This Row],[Jumlah Transfer]]</f>
        <v>0</v>
      </c>
      <c r="U140" s="275"/>
    </row>
    <row r="141" spans="2:21" ht="30" customHeight="1" x14ac:dyDescent="0.2">
      <c r="B141" s="102">
        <v>44624</v>
      </c>
      <c r="C141" s="67"/>
      <c r="D141" s="14" t="s">
        <v>877</v>
      </c>
      <c r="E141" s="14" t="s">
        <v>26</v>
      </c>
      <c r="F141" s="14" t="s">
        <v>18</v>
      </c>
      <c r="G141" s="15">
        <v>1</v>
      </c>
      <c r="H141" s="265">
        <v>1000000</v>
      </c>
      <c r="I141" s="267">
        <f>List34[[#This Row],[Pengajuan Donasi]]</f>
        <v>1000000</v>
      </c>
      <c r="J141" s="213" t="str">
        <f>IF(List34[[#This Row],[Tanggal Trf]]&gt;0,"Done","-")</f>
        <v>Done</v>
      </c>
      <c r="K141" s="437"/>
      <c r="L141" s="221">
        <v>44630</v>
      </c>
      <c r="M141" s="184" t="s">
        <v>458</v>
      </c>
      <c r="N141" s="100">
        <f>MONTH(List34[[#This Row],[Tanggal Pengajuan]])</f>
        <v>3</v>
      </c>
      <c r="O141" s="183"/>
      <c r="P141" s="100" t="s">
        <v>746</v>
      </c>
      <c r="Q141" s="111"/>
      <c r="R141" s="230" t="s">
        <v>958</v>
      </c>
      <c r="T141" s="275">
        <f>+List34[[#This Row],[Pengajuan Donasi]]-List34[[#This Row],[Jumlah Transfer]]</f>
        <v>0</v>
      </c>
      <c r="U141" s="275"/>
    </row>
    <row r="142" spans="2:21" ht="30" customHeight="1" x14ac:dyDescent="0.2">
      <c r="B142" s="102">
        <v>44624</v>
      </c>
      <c r="C142" s="67"/>
      <c r="D142" s="14" t="s">
        <v>878</v>
      </c>
      <c r="E142" s="14" t="s">
        <v>26</v>
      </c>
      <c r="F142" s="14" t="s">
        <v>18</v>
      </c>
      <c r="G142" s="15">
        <v>1</v>
      </c>
      <c r="H142" s="264">
        <v>1000000</v>
      </c>
      <c r="I142" s="267">
        <f>List34[[#This Row],[Pengajuan Donasi]]</f>
        <v>1000000</v>
      </c>
      <c r="J142" s="213" t="str">
        <f>IF(List34[[#This Row],[Tanggal Trf]]&gt;0,"Done","-")</f>
        <v>Done</v>
      </c>
      <c r="K142" s="437"/>
      <c r="L142" s="221">
        <v>44630</v>
      </c>
      <c r="M142" s="205" t="s">
        <v>460</v>
      </c>
      <c r="N142" s="100">
        <f>MONTH(List34[[#This Row],[Tanggal Pengajuan]])</f>
        <v>3</v>
      </c>
      <c r="O142" s="183"/>
      <c r="P142" s="100" t="s">
        <v>746</v>
      </c>
      <c r="Q142" s="111"/>
      <c r="R142" s="230" t="s">
        <v>958</v>
      </c>
      <c r="T142" s="275">
        <f>+List34[[#This Row],[Pengajuan Donasi]]-List34[[#This Row],[Jumlah Transfer]]</f>
        <v>0</v>
      </c>
      <c r="U142" s="275"/>
    </row>
    <row r="143" spans="2:21" ht="30" customHeight="1" x14ac:dyDescent="0.2">
      <c r="B143" s="102">
        <v>44624</v>
      </c>
      <c r="C143" s="67"/>
      <c r="D143" s="14" t="s">
        <v>879</v>
      </c>
      <c r="E143" s="14" t="s">
        <v>26</v>
      </c>
      <c r="F143" s="14" t="s">
        <v>18</v>
      </c>
      <c r="G143" s="15">
        <v>1</v>
      </c>
      <c r="H143" s="265">
        <v>1000000</v>
      </c>
      <c r="I143" s="267">
        <f>List34[[#This Row],[Pengajuan Donasi]]</f>
        <v>1000000</v>
      </c>
      <c r="J143" s="213" t="str">
        <f>IF(List34[[#This Row],[Tanggal Trf]]&gt;0,"Done","-")</f>
        <v>Done</v>
      </c>
      <c r="K143" s="437"/>
      <c r="L143" s="221">
        <v>44630</v>
      </c>
      <c r="M143" s="184" t="s">
        <v>462</v>
      </c>
      <c r="N143" s="100">
        <f>MONTH(List34[[#This Row],[Tanggal Pengajuan]])</f>
        <v>3</v>
      </c>
      <c r="O143" s="183"/>
      <c r="P143" s="105" t="s">
        <v>746</v>
      </c>
      <c r="Q143" s="111"/>
      <c r="R143" s="230" t="s">
        <v>958</v>
      </c>
      <c r="T143" s="275">
        <f>+List34[[#This Row],[Pengajuan Donasi]]-List34[[#This Row],[Jumlah Transfer]]</f>
        <v>0</v>
      </c>
      <c r="U143" s="275"/>
    </row>
    <row r="144" spans="2:21" ht="30" customHeight="1" x14ac:dyDescent="0.2">
      <c r="B144" s="102">
        <v>44624</v>
      </c>
      <c r="C144" s="67"/>
      <c r="D144" s="14" t="s">
        <v>951</v>
      </c>
      <c r="E144" s="14" t="s">
        <v>26</v>
      </c>
      <c r="F144" s="14" t="s">
        <v>18</v>
      </c>
      <c r="G144" s="15">
        <v>1</v>
      </c>
      <c r="H144" s="264">
        <v>1000000</v>
      </c>
      <c r="I144" s="267">
        <f>List34[[#This Row],[Pengajuan Donasi]]</f>
        <v>1000000</v>
      </c>
      <c r="J144" s="213" t="str">
        <f>IF(List34[[#This Row],[Tanggal Trf]]&gt;0,"Done","-")</f>
        <v>Done</v>
      </c>
      <c r="K144" s="437"/>
      <c r="L144" s="221">
        <v>44630</v>
      </c>
      <c r="M144" s="205" t="s">
        <v>466</v>
      </c>
      <c r="N144" s="100">
        <f>MONTH(List34[[#This Row],[Tanggal Pengajuan]])</f>
        <v>3</v>
      </c>
      <c r="O144" s="183"/>
      <c r="P144" s="100" t="s">
        <v>746</v>
      </c>
      <c r="Q144" s="111"/>
      <c r="R144" s="230" t="s">
        <v>958</v>
      </c>
      <c r="T144" s="275">
        <f>+List34[[#This Row],[Pengajuan Donasi]]-List34[[#This Row],[Jumlah Transfer]]</f>
        <v>0</v>
      </c>
      <c r="U144" s="275"/>
    </row>
    <row r="145" spans="2:21" ht="30" customHeight="1" x14ac:dyDescent="0.2">
      <c r="B145" s="102">
        <v>44624</v>
      </c>
      <c r="C145" s="67"/>
      <c r="D145" s="14" t="s">
        <v>880</v>
      </c>
      <c r="E145" s="14" t="s">
        <v>26</v>
      </c>
      <c r="F145" s="14" t="s">
        <v>18</v>
      </c>
      <c r="G145" s="15">
        <v>1</v>
      </c>
      <c r="H145" s="265">
        <v>1000000</v>
      </c>
      <c r="I145" s="267">
        <f>List34[[#This Row],[Pengajuan Donasi]]</f>
        <v>1000000</v>
      </c>
      <c r="J145" s="213" t="str">
        <f>IF(List34[[#This Row],[Tanggal Trf]]&gt;0,"Done","-")</f>
        <v>Done</v>
      </c>
      <c r="K145" s="437"/>
      <c r="L145" s="221">
        <v>44630</v>
      </c>
      <c r="M145" s="184" t="s">
        <v>470</v>
      </c>
      <c r="N145" s="100">
        <f>MONTH(List34[[#This Row],[Tanggal Pengajuan]])</f>
        <v>3</v>
      </c>
      <c r="O145" s="183"/>
      <c r="P145" s="100" t="s">
        <v>746</v>
      </c>
      <c r="Q145" s="111"/>
      <c r="R145" s="230" t="s">
        <v>958</v>
      </c>
      <c r="T145" s="275">
        <f>+List34[[#This Row],[Pengajuan Donasi]]-List34[[#This Row],[Jumlah Transfer]]</f>
        <v>0</v>
      </c>
      <c r="U145" s="275"/>
    </row>
    <row r="146" spans="2:21" ht="30" customHeight="1" x14ac:dyDescent="0.2">
      <c r="B146" s="102">
        <v>44624</v>
      </c>
      <c r="C146" s="67"/>
      <c r="D146" s="14" t="s">
        <v>952</v>
      </c>
      <c r="E146" s="14" t="s">
        <v>26</v>
      </c>
      <c r="F146" s="14" t="s">
        <v>18</v>
      </c>
      <c r="G146" s="15">
        <v>1</v>
      </c>
      <c r="H146" s="264">
        <v>1000000</v>
      </c>
      <c r="I146" s="267">
        <f>List34[[#This Row],[Pengajuan Donasi]]</f>
        <v>1000000</v>
      </c>
      <c r="J146" s="213" t="str">
        <f>IF(List34[[#This Row],[Tanggal Trf]]&gt;0,"Done","-")</f>
        <v>Done</v>
      </c>
      <c r="K146" s="437"/>
      <c r="L146" s="221">
        <v>44630</v>
      </c>
      <c r="M146" s="205" t="s">
        <v>519</v>
      </c>
      <c r="N146" s="100">
        <f>MONTH(List34[[#This Row],[Tanggal Pengajuan]])</f>
        <v>3</v>
      </c>
      <c r="O146" s="183"/>
      <c r="P146" s="100" t="s">
        <v>746</v>
      </c>
      <c r="Q146" s="111"/>
      <c r="R146" s="230" t="s">
        <v>958</v>
      </c>
      <c r="T146" s="275">
        <f>+List34[[#This Row],[Pengajuan Donasi]]-List34[[#This Row],[Jumlah Transfer]]</f>
        <v>0</v>
      </c>
      <c r="U146" s="275"/>
    </row>
    <row r="147" spans="2:21" ht="30" customHeight="1" x14ac:dyDescent="0.2">
      <c r="B147" s="102">
        <v>44624</v>
      </c>
      <c r="C147" s="67"/>
      <c r="D147" s="14" t="s">
        <v>881</v>
      </c>
      <c r="E147" s="14" t="s">
        <v>26</v>
      </c>
      <c r="F147" s="14" t="s">
        <v>18</v>
      </c>
      <c r="G147" s="15">
        <v>1</v>
      </c>
      <c r="H147" s="265">
        <v>1000000</v>
      </c>
      <c r="I147" s="267">
        <f>List34[[#This Row],[Pengajuan Donasi]]</f>
        <v>1000000</v>
      </c>
      <c r="J147" s="213" t="str">
        <f>IF(List34[[#This Row],[Tanggal Trf]]&gt;0,"Done","-")</f>
        <v>Done</v>
      </c>
      <c r="K147" s="437"/>
      <c r="L147" s="221">
        <v>44630</v>
      </c>
      <c r="M147" s="184" t="s">
        <v>476</v>
      </c>
      <c r="N147" s="100">
        <f>MONTH(List34[[#This Row],[Tanggal Pengajuan]])</f>
        <v>3</v>
      </c>
      <c r="O147" s="183"/>
      <c r="P147" s="100" t="s">
        <v>746</v>
      </c>
      <c r="Q147" s="111"/>
      <c r="R147" s="230" t="s">
        <v>958</v>
      </c>
      <c r="T147" s="275">
        <f>+List34[[#This Row],[Pengajuan Donasi]]-List34[[#This Row],[Jumlah Transfer]]</f>
        <v>0</v>
      </c>
      <c r="U147" s="275"/>
    </row>
    <row r="148" spans="2:21" ht="30" customHeight="1" x14ac:dyDescent="0.2">
      <c r="B148" s="102">
        <v>44624</v>
      </c>
      <c r="C148" s="67"/>
      <c r="D148" s="14" t="s">
        <v>882</v>
      </c>
      <c r="E148" s="14" t="s">
        <v>26</v>
      </c>
      <c r="F148" s="14" t="s">
        <v>18</v>
      </c>
      <c r="G148" s="15">
        <v>1</v>
      </c>
      <c r="H148" s="266">
        <v>750000</v>
      </c>
      <c r="I148" s="267">
        <f>List34[[#This Row],[Pengajuan Donasi]]</f>
        <v>750000</v>
      </c>
      <c r="J148" s="213" t="str">
        <f>IF(List34[[#This Row],[Tanggal Trf]]&gt;0,"Done","-")</f>
        <v>Done</v>
      </c>
      <c r="K148" s="437"/>
      <c r="L148" s="221">
        <v>44630</v>
      </c>
      <c r="M148" s="205" t="s">
        <v>479</v>
      </c>
      <c r="N148" s="100">
        <f>MONTH(List34[[#This Row],[Tanggal Pengajuan]])</f>
        <v>3</v>
      </c>
      <c r="O148" s="183"/>
      <c r="P148" s="105" t="s">
        <v>746</v>
      </c>
      <c r="Q148" s="111"/>
      <c r="R148" s="230" t="s">
        <v>958</v>
      </c>
      <c r="T148" s="275">
        <f>+List34[[#This Row],[Pengajuan Donasi]]-List34[[#This Row],[Jumlah Transfer]]</f>
        <v>0</v>
      </c>
      <c r="U148" s="275"/>
    </row>
    <row r="149" spans="2:21" ht="30" customHeight="1" x14ac:dyDescent="0.2">
      <c r="B149" s="102">
        <v>44624</v>
      </c>
      <c r="C149" s="67"/>
      <c r="D149" s="14" t="s">
        <v>883</v>
      </c>
      <c r="E149" s="14" t="s">
        <v>26</v>
      </c>
      <c r="F149" s="14" t="s">
        <v>18</v>
      </c>
      <c r="G149" s="15">
        <v>1</v>
      </c>
      <c r="H149" s="263">
        <v>750000</v>
      </c>
      <c r="I149" s="267">
        <f>List34[[#This Row],[Pengajuan Donasi]]</f>
        <v>750000</v>
      </c>
      <c r="J149" s="213" t="str">
        <f>IF(List34[[#This Row],[Tanggal Trf]]&gt;0,"Done","-")</f>
        <v>Done</v>
      </c>
      <c r="K149" s="437"/>
      <c r="L149" s="221">
        <v>44630</v>
      </c>
      <c r="M149" s="184" t="s">
        <v>481</v>
      </c>
      <c r="N149" s="100">
        <f>MONTH(List34[[#This Row],[Tanggal Pengajuan]])</f>
        <v>3</v>
      </c>
      <c r="O149" s="183"/>
      <c r="P149" s="105" t="s">
        <v>746</v>
      </c>
      <c r="Q149" s="111"/>
      <c r="R149" s="230" t="s">
        <v>958</v>
      </c>
      <c r="T149" s="275">
        <f>+List34[[#This Row],[Pengajuan Donasi]]-List34[[#This Row],[Jumlah Transfer]]</f>
        <v>0</v>
      </c>
      <c r="U149" s="275"/>
    </row>
    <row r="150" spans="2:21" ht="30" customHeight="1" x14ac:dyDescent="0.2">
      <c r="B150" s="102">
        <v>44624</v>
      </c>
      <c r="C150" s="181"/>
      <c r="D150" s="14" t="s">
        <v>956</v>
      </c>
      <c r="E150" s="14" t="s">
        <v>26</v>
      </c>
      <c r="F150" s="14" t="s">
        <v>18</v>
      </c>
      <c r="G150" s="15">
        <v>1</v>
      </c>
      <c r="H150" s="264">
        <v>1000000</v>
      </c>
      <c r="I150" s="258">
        <f>List34[[#This Row],[Pengajuan Donasi]]</f>
        <v>1000000</v>
      </c>
      <c r="J150" s="215" t="str">
        <f>IF(List34[[#This Row],[Tanggal Trf]]&gt;0,"Done","-")</f>
        <v>Done</v>
      </c>
      <c r="K150" s="438"/>
      <c r="L150" s="221">
        <v>44630</v>
      </c>
      <c r="M150" s="205" t="s">
        <v>873</v>
      </c>
      <c r="N150" s="20">
        <f>MONTH(List34[[#This Row],[Tanggal Pengajuan]])</f>
        <v>3</v>
      </c>
      <c r="O150" s="183"/>
      <c r="P150" s="105" t="s">
        <v>746</v>
      </c>
      <c r="Q150" s="198"/>
      <c r="R150" s="230" t="s">
        <v>958</v>
      </c>
      <c r="T150" s="275">
        <f>+List34[[#This Row],[Pengajuan Donasi]]-List34[[#This Row],[Jumlah Transfer]]</f>
        <v>0</v>
      </c>
      <c r="U150" s="275"/>
    </row>
    <row r="151" spans="2:21" ht="30" customHeight="1" x14ac:dyDescent="0.2">
      <c r="B151" s="102">
        <v>44624</v>
      </c>
      <c r="C151" s="67"/>
      <c r="D151" s="14" t="s">
        <v>884</v>
      </c>
      <c r="E151" s="14" t="s">
        <v>26</v>
      </c>
      <c r="F151" s="14" t="s">
        <v>18</v>
      </c>
      <c r="G151" s="15">
        <v>1</v>
      </c>
      <c r="H151" s="265">
        <v>1000000</v>
      </c>
      <c r="I151" s="267">
        <f>List34[[#This Row],[Pengajuan Donasi]]</f>
        <v>1000000</v>
      </c>
      <c r="J151" s="213" t="str">
        <f>IF(List34[[#This Row],[Tanggal Trf]]&gt;0,"Done","-")</f>
        <v>Done</v>
      </c>
      <c r="K151" s="437"/>
      <c r="L151" s="221">
        <v>44630</v>
      </c>
      <c r="M151" s="204" t="s">
        <v>874</v>
      </c>
      <c r="N151" s="100">
        <f>MONTH(List34[[#This Row],[Tanggal Pengajuan]])</f>
        <v>3</v>
      </c>
      <c r="O151" s="183"/>
      <c r="P151" s="105" t="s">
        <v>746</v>
      </c>
      <c r="Q151" s="111"/>
      <c r="R151" s="230" t="s">
        <v>958</v>
      </c>
      <c r="T151" s="275">
        <f>+List34[[#This Row],[Pengajuan Donasi]]-List34[[#This Row],[Jumlah Transfer]]</f>
        <v>0</v>
      </c>
      <c r="U151" s="275"/>
    </row>
    <row r="152" spans="2:21" ht="30" customHeight="1" x14ac:dyDescent="0.2">
      <c r="B152" s="102">
        <v>44624</v>
      </c>
      <c r="C152" s="67" t="s">
        <v>749</v>
      </c>
      <c r="D152" s="14" t="s">
        <v>392</v>
      </c>
      <c r="E152" s="14" t="s">
        <v>57</v>
      </c>
      <c r="F152" s="14" t="s">
        <v>18</v>
      </c>
      <c r="G152" s="15">
        <v>75</v>
      </c>
      <c r="H152" s="258">
        <v>10000000</v>
      </c>
      <c r="I152" s="267">
        <v>10000000</v>
      </c>
      <c r="J152" s="213" t="str">
        <f>IF(List34[[#This Row],[Tanggal Trf]]&gt;0,"Done","-")</f>
        <v>Done</v>
      </c>
      <c r="K152" s="437"/>
      <c r="L152" s="221">
        <v>44630</v>
      </c>
      <c r="M152" s="100" t="s">
        <v>540</v>
      </c>
      <c r="N152" s="100">
        <f>MONTH(List34[[#This Row],[Tanggal Pengajuan]])</f>
        <v>3</v>
      </c>
      <c r="O152" s="183"/>
      <c r="P152" s="100" t="s">
        <v>746</v>
      </c>
      <c r="Q152" s="111"/>
      <c r="R152" s="230" t="s">
        <v>958</v>
      </c>
      <c r="T152" s="275">
        <f>+List34[[#This Row],[Pengajuan Donasi]]-List34[[#This Row],[Jumlah Transfer]]</f>
        <v>0</v>
      </c>
      <c r="U152" s="275"/>
    </row>
    <row r="153" spans="2:21" ht="30" customHeight="1" x14ac:dyDescent="0.2">
      <c r="B153" s="102">
        <v>44624</v>
      </c>
      <c r="C153" s="67" t="s">
        <v>750</v>
      </c>
      <c r="D153" s="14" t="s">
        <v>486</v>
      </c>
      <c r="E153" s="103" t="s">
        <v>179</v>
      </c>
      <c r="F153" s="14" t="s">
        <v>18</v>
      </c>
      <c r="G153" s="15">
        <v>44</v>
      </c>
      <c r="H153" s="258">
        <v>2640000</v>
      </c>
      <c r="I153" s="258">
        <v>2640000</v>
      </c>
      <c r="J153" s="213" t="str">
        <f>IF(List34[[#This Row],[Tanggal Trf]]&gt;0,"Done","-")</f>
        <v>Done</v>
      </c>
      <c r="K153" s="437"/>
      <c r="L153" s="221">
        <v>44630</v>
      </c>
      <c r="M153" s="100" t="s">
        <v>709</v>
      </c>
      <c r="N153" s="100">
        <f>MONTH(List34[[#This Row],[Tanggal Pengajuan]])</f>
        <v>3</v>
      </c>
      <c r="O153" s="183"/>
      <c r="P153" s="100" t="s">
        <v>746</v>
      </c>
      <c r="Q153" s="111"/>
      <c r="R153" s="230" t="s">
        <v>958</v>
      </c>
      <c r="T153" s="275">
        <f>+List34[[#This Row],[Pengajuan Donasi]]-List34[[#This Row],[Jumlah Transfer]]</f>
        <v>0</v>
      </c>
      <c r="U153" s="275"/>
    </row>
    <row r="154" spans="2:21" ht="30" customHeight="1" x14ac:dyDescent="0.2">
      <c r="B154" s="102">
        <v>44624</v>
      </c>
      <c r="C154" s="67" t="s">
        <v>751</v>
      </c>
      <c r="D154" s="14" t="s">
        <v>420</v>
      </c>
      <c r="E154" s="14" t="s">
        <v>57</v>
      </c>
      <c r="F154" s="14" t="s">
        <v>18</v>
      </c>
      <c r="G154" s="15">
        <v>29</v>
      </c>
      <c r="H154" s="258">
        <v>10000000</v>
      </c>
      <c r="I154" s="258">
        <v>10000000</v>
      </c>
      <c r="J154" s="213" t="str">
        <f>IF(List34[[#This Row],[Tanggal Trf]]&gt;0,"Done","-")</f>
        <v>Done</v>
      </c>
      <c r="K154" s="437"/>
      <c r="L154" s="221">
        <v>44630</v>
      </c>
      <c r="M154" s="100" t="s">
        <v>534</v>
      </c>
      <c r="N154" s="100">
        <f>MONTH(List34[[#This Row],[Tanggal Pengajuan]])</f>
        <v>3</v>
      </c>
      <c r="O154" s="183"/>
      <c r="P154" s="100" t="s">
        <v>746</v>
      </c>
      <c r="Q154" s="111"/>
      <c r="R154" s="230" t="s">
        <v>958</v>
      </c>
      <c r="T154" s="275">
        <f>+List34[[#This Row],[Pengajuan Donasi]]-List34[[#This Row],[Jumlah Transfer]]</f>
        <v>0</v>
      </c>
      <c r="U154" s="275"/>
    </row>
    <row r="155" spans="2:21" ht="30" customHeight="1" x14ac:dyDescent="0.2">
      <c r="B155" s="102">
        <v>44624</v>
      </c>
      <c r="C155" s="67" t="s">
        <v>752</v>
      </c>
      <c r="D155" s="103" t="s">
        <v>429</v>
      </c>
      <c r="E155" s="103" t="s">
        <v>57</v>
      </c>
      <c r="F155" s="103" t="s">
        <v>18</v>
      </c>
      <c r="G155" s="15">
        <v>38</v>
      </c>
      <c r="H155" s="267">
        <v>5000000</v>
      </c>
      <c r="I155" s="267">
        <v>5000000</v>
      </c>
      <c r="J155" s="214" t="str">
        <f>IF(List34[[#This Row],[Tanggal Trf]]&gt;0,"Done","-")</f>
        <v>Done</v>
      </c>
      <c r="K155" s="437"/>
      <c r="L155" s="221">
        <v>44630</v>
      </c>
      <c r="M155" s="105" t="s">
        <v>537</v>
      </c>
      <c r="N155" s="100">
        <f>MONTH(List34[[#This Row],[Tanggal Pengajuan]])</f>
        <v>3</v>
      </c>
      <c r="O155" s="183"/>
      <c r="P155" s="105" t="s">
        <v>746</v>
      </c>
      <c r="Q155" s="111"/>
      <c r="R155" s="230" t="s">
        <v>958</v>
      </c>
      <c r="T155" s="275">
        <f>+List34[[#This Row],[Pengajuan Donasi]]-List34[[#This Row],[Jumlah Transfer]]</f>
        <v>0</v>
      </c>
      <c r="U155" s="275"/>
    </row>
    <row r="156" spans="2:21" ht="30" customHeight="1" x14ac:dyDescent="0.2">
      <c r="B156" s="102">
        <v>44624</v>
      </c>
      <c r="C156" s="67" t="s">
        <v>753</v>
      </c>
      <c r="D156" s="103" t="s">
        <v>410</v>
      </c>
      <c r="E156" s="103" t="s">
        <v>57</v>
      </c>
      <c r="F156" s="103" t="s">
        <v>18</v>
      </c>
      <c r="G156" s="15">
        <v>78</v>
      </c>
      <c r="H156" s="258">
        <v>5000000</v>
      </c>
      <c r="I156" s="258">
        <v>5000000</v>
      </c>
      <c r="J156" s="213" t="str">
        <f>IF(List34[[#This Row],[Tanggal Trf]]&gt;0,"Done","-")</f>
        <v>Done</v>
      </c>
      <c r="K156" s="437"/>
      <c r="L156" s="221">
        <v>44638</v>
      </c>
      <c r="M156" s="100" t="s">
        <v>659</v>
      </c>
      <c r="N156" s="100">
        <f>MONTH(List34[[#This Row],[Tanggal Pengajuan]])</f>
        <v>3</v>
      </c>
      <c r="O156" s="183"/>
      <c r="P156" s="105" t="s">
        <v>746</v>
      </c>
      <c r="Q156" s="111"/>
      <c r="R156" s="230" t="s">
        <v>958</v>
      </c>
      <c r="T156" s="275">
        <f>+List34[[#This Row],[Pengajuan Donasi]]-List34[[#This Row],[Jumlah Transfer]]</f>
        <v>0</v>
      </c>
      <c r="U156" s="275"/>
    </row>
    <row r="157" spans="2:21" ht="30" customHeight="1" x14ac:dyDescent="0.2">
      <c r="B157" s="102">
        <v>44624</v>
      </c>
      <c r="C157" s="67" t="s">
        <v>754</v>
      </c>
      <c r="D157" s="14" t="s">
        <v>407</v>
      </c>
      <c r="E157" s="103" t="s">
        <v>57</v>
      </c>
      <c r="F157" s="103" t="s">
        <v>18</v>
      </c>
      <c r="G157" s="15">
        <v>64</v>
      </c>
      <c r="H157" s="258">
        <v>10000000</v>
      </c>
      <c r="I157" s="258">
        <v>10000000</v>
      </c>
      <c r="J157" s="213" t="str">
        <f>IF(List34[[#This Row],[Tanggal Trf]]&gt;0,"Done","-")</f>
        <v>Done</v>
      </c>
      <c r="K157" s="437"/>
      <c r="L157" s="221">
        <v>44635</v>
      </c>
      <c r="M157" s="105" t="s">
        <v>661</v>
      </c>
      <c r="N157" s="100">
        <f>MONTH(List34[[#This Row],[Tanggal Pengajuan]])</f>
        <v>3</v>
      </c>
      <c r="O157" s="183"/>
      <c r="P157" s="105" t="s">
        <v>746</v>
      </c>
      <c r="Q157" s="111"/>
      <c r="R157" s="230" t="s">
        <v>958</v>
      </c>
      <c r="T157" s="275">
        <f>+List34[[#This Row],[Pengajuan Donasi]]-List34[[#This Row],[Jumlah Transfer]]</f>
        <v>0</v>
      </c>
      <c r="U157" s="275"/>
    </row>
    <row r="158" spans="2:21" ht="30" customHeight="1" x14ac:dyDescent="0.2">
      <c r="B158" s="102">
        <v>44624</v>
      </c>
      <c r="C158" s="67" t="s">
        <v>755</v>
      </c>
      <c r="D158" s="103" t="s">
        <v>413</v>
      </c>
      <c r="E158" s="14" t="s">
        <v>57</v>
      </c>
      <c r="F158" s="14" t="s">
        <v>18</v>
      </c>
      <c r="G158" s="15">
        <v>16</v>
      </c>
      <c r="H158" s="258">
        <v>10000000</v>
      </c>
      <c r="I158" s="267">
        <v>10000000</v>
      </c>
      <c r="J158" s="213" t="str">
        <f>IF(List34[[#This Row],[Tanggal Trf]]&gt;0,"Done","-")</f>
        <v>Done</v>
      </c>
      <c r="K158" s="437"/>
      <c r="L158" s="221">
        <v>44630</v>
      </c>
      <c r="M158" s="105" t="s">
        <v>544</v>
      </c>
      <c r="N158" s="100">
        <f>MONTH(List34[[#This Row],[Tanggal Pengajuan]])</f>
        <v>3</v>
      </c>
      <c r="O158" s="183"/>
      <c r="P158" s="105" t="s">
        <v>746</v>
      </c>
      <c r="Q158" s="111"/>
      <c r="R158" s="230" t="s">
        <v>958</v>
      </c>
      <c r="T158" s="275">
        <f>+List34[[#This Row],[Pengajuan Donasi]]-List34[[#This Row],[Jumlah Transfer]]</f>
        <v>0</v>
      </c>
      <c r="U158" s="275"/>
    </row>
    <row r="159" spans="2:21" ht="30" customHeight="1" x14ac:dyDescent="0.2">
      <c r="B159" s="102">
        <v>44624</v>
      </c>
      <c r="C159" s="67" t="s">
        <v>756</v>
      </c>
      <c r="D159" s="103" t="s">
        <v>426</v>
      </c>
      <c r="E159" s="14" t="s">
        <v>57</v>
      </c>
      <c r="F159" s="14" t="s">
        <v>18</v>
      </c>
      <c r="G159" s="15">
        <v>31</v>
      </c>
      <c r="H159" s="258">
        <v>20000000</v>
      </c>
      <c r="I159" s="258">
        <v>20000000</v>
      </c>
      <c r="J159" s="213" t="str">
        <f>IF(List34[[#This Row],[Tanggal Trf]]&gt;0,"Done","-")</f>
        <v>Done</v>
      </c>
      <c r="K159" s="437"/>
      <c r="L159" s="221">
        <v>44631</v>
      </c>
      <c r="M159" s="100" t="s">
        <v>655</v>
      </c>
      <c r="N159" s="100">
        <f>MONTH(List34[[#This Row],[Tanggal Pengajuan]])</f>
        <v>3</v>
      </c>
      <c r="O159" s="183"/>
      <c r="P159" s="105" t="s">
        <v>757</v>
      </c>
      <c r="Q159" s="111"/>
      <c r="R159" s="230" t="s">
        <v>958</v>
      </c>
      <c r="T159" s="275">
        <f>+List34[[#This Row],[Pengajuan Donasi]]-List34[[#This Row],[Jumlah Transfer]]</f>
        <v>0</v>
      </c>
      <c r="U159" s="275"/>
    </row>
    <row r="160" spans="2:21" ht="30" customHeight="1" x14ac:dyDescent="0.2">
      <c r="B160" s="102">
        <v>44624</v>
      </c>
      <c r="C160" s="67" t="s">
        <v>758</v>
      </c>
      <c r="D160" s="103" t="s">
        <v>916</v>
      </c>
      <c r="E160" s="14" t="s">
        <v>26</v>
      </c>
      <c r="F160" s="14" t="s">
        <v>18</v>
      </c>
      <c r="G160" s="15">
        <v>1</v>
      </c>
      <c r="H160" s="258">
        <v>500000</v>
      </c>
      <c r="I160" s="258">
        <f>List34[[#This Row],[Pengajuan Donasi]]</f>
        <v>500000</v>
      </c>
      <c r="J160" s="213" t="str">
        <f>IF(List34[[#This Row],[Tanggal Trf]]&gt;0,"Done","-")</f>
        <v>Done</v>
      </c>
      <c r="K160" s="437"/>
      <c r="L160" s="221">
        <v>44630</v>
      </c>
      <c r="M160" s="100" t="s">
        <v>895</v>
      </c>
      <c r="N160" s="100">
        <f>MONTH(List34[[#This Row],[Tanggal Pengajuan]])</f>
        <v>3</v>
      </c>
      <c r="O160" s="183"/>
      <c r="P160" s="105" t="s">
        <v>746</v>
      </c>
      <c r="Q160" s="111"/>
      <c r="R160" s="230" t="s">
        <v>958</v>
      </c>
      <c r="T160" s="275">
        <f>+List34[[#This Row],[Pengajuan Donasi]]-List34[[#This Row],[Jumlah Transfer]]</f>
        <v>0</v>
      </c>
      <c r="U160" s="275"/>
    </row>
    <row r="161" spans="2:21" ht="30" customHeight="1" x14ac:dyDescent="0.2">
      <c r="B161" s="102">
        <v>44624</v>
      </c>
      <c r="C161" s="67"/>
      <c r="D161" s="103" t="s">
        <v>917</v>
      </c>
      <c r="E161" s="14" t="s">
        <v>26</v>
      </c>
      <c r="F161" s="14" t="s">
        <v>18</v>
      </c>
      <c r="G161" s="15">
        <v>1</v>
      </c>
      <c r="H161" s="258">
        <v>500000</v>
      </c>
      <c r="I161" s="258">
        <f>List34[[#This Row],[Pengajuan Donasi]]</f>
        <v>500000</v>
      </c>
      <c r="J161" s="213" t="str">
        <f>IF(List34[[#This Row],[Tanggal Trf]]&gt;0,"Done","-")</f>
        <v>Done</v>
      </c>
      <c r="K161" s="437"/>
      <c r="L161" s="221">
        <v>44630</v>
      </c>
      <c r="M161" s="100" t="s">
        <v>894</v>
      </c>
      <c r="N161" s="100">
        <f>MONTH(List34[[#This Row],[Tanggal Pengajuan]])</f>
        <v>3</v>
      </c>
      <c r="O161" s="183"/>
      <c r="P161" s="105" t="s">
        <v>746</v>
      </c>
      <c r="Q161" s="111"/>
      <c r="R161" s="230" t="s">
        <v>958</v>
      </c>
      <c r="T161" s="275">
        <f>+List34[[#This Row],[Pengajuan Donasi]]-List34[[#This Row],[Jumlah Transfer]]</f>
        <v>0</v>
      </c>
      <c r="U161" s="275"/>
    </row>
    <row r="162" spans="2:21" ht="30" customHeight="1" x14ac:dyDescent="0.2">
      <c r="B162" s="102">
        <v>44624</v>
      </c>
      <c r="C162" s="67"/>
      <c r="D162" s="103" t="s">
        <v>918</v>
      </c>
      <c r="E162" s="14" t="s">
        <v>26</v>
      </c>
      <c r="F162" s="14" t="s">
        <v>18</v>
      </c>
      <c r="G162" s="15">
        <v>1</v>
      </c>
      <c r="H162" s="258">
        <v>500000</v>
      </c>
      <c r="I162" s="258">
        <f>List34[[#This Row],[Pengajuan Donasi]]</f>
        <v>500000</v>
      </c>
      <c r="J162" s="213" t="str">
        <f>IF(List34[[#This Row],[Tanggal Trf]]&gt;0,"Done","-")</f>
        <v>Done</v>
      </c>
      <c r="K162" s="437"/>
      <c r="L162" s="221">
        <v>44630</v>
      </c>
      <c r="M162" s="100" t="s">
        <v>896</v>
      </c>
      <c r="N162" s="100">
        <f>MONTH(List34[[#This Row],[Tanggal Pengajuan]])</f>
        <v>3</v>
      </c>
      <c r="O162" s="183"/>
      <c r="P162" s="105" t="s">
        <v>746</v>
      </c>
      <c r="Q162" s="111"/>
      <c r="R162" s="230" t="s">
        <v>958</v>
      </c>
      <c r="T162" s="275">
        <f>+List34[[#This Row],[Pengajuan Donasi]]-List34[[#This Row],[Jumlah Transfer]]</f>
        <v>0</v>
      </c>
      <c r="U162" s="275"/>
    </row>
    <row r="163" spans="2:21" ht="30" customHeight="1" x14ac:dyDescent="0.2">
      <c r="B163" s="102">
        <v>44624</v>
      </c>
      <c r="C163" s="67"/>
      <c r="D163" s="103" t="s">
        <v>919</v>
      </c>
      <c r="E163" s="14" t="s">
        <v>26</v>
      </c>
      <c r="F163" s="14" t="s">
        <v>18</v>
      </c>
      <c r="G163" s="15">
        <v>1</v>
      </c>
      <c r="H163" s="258">
        <v>500000</v>
      </c>
      <c r="I163" s="258">
        <f>List34[[#This Row],[Pengajuan Donasi]]</f>
        <v>500000</v>
      </c>
      <c r="J163" s="213" t="str">
        <f>IF(List34[[#This Row],[Tanggal Trf]]&gt;0,"Done","-")</f>
        <v>Done</v>
      </c>
      <c r="K163" s="437"/>
      <c r="L163" s="221">
        <v>44630</v>
      </c>
      <c r="M163" s="100" t="s">
        <v>897</v>
      </c>
      <c r="N163" s="100">
        <f>MONTH(List34[[#This Row],[Tanggal Pengajuan]])</f>
        <v>3</v>
      </c>
      <c r="O163" s="183"/>
      <c r="P163" s="105" t="s">
        <v>746</v>
      </c>
      <c r="Q163" s="111"/>
      <c r="R163" s="230" t="s">
        <v>958</v>
      </c>
      <c r="T163" s="275">
        <f>+List34[[#This Row],[Pengajuan Donasi]]-List34[[#This Row],[Jumlah Transfer]]</f>
        <v>0</v>
      </c>
      <c r="U163" s="275"/>
    </row>
    <row r="164" spans="2:21" ht="30" customHeight="1" x14ac:dyDescent="0.2">
      <c r="B164" s="102">
        <v>44624</v>
      </c>
      <c r="C164" s="67"/>
      <c r="D164" s="103" t="s">
        <v>920</v>
      </c>
      <c r="E164" s="14" t="s">
        <v>26</v>
      </c>
      <c r="F164" s="14" t="s">
        <v>18</v>
      </c>
      <c r="G164" s="15">
        <v>1</v>
      </c>
      <c r="H164" s="258">
        <v>500000</v>
      </c>
      <c r="I164" s="258">
        <f>List34[[#This Row],[Pengajuan Donasi]]</f>
        <v>500000</v>
      </c>
      <c r="J164" s="213" t="str">
        <f>IF(List34[[#This Row],[Tanggal Trf]]&gt;0,"Done","-")</f>
        <v>Done</v>
      </c>
      <c r="K164" s="437"/>
      <c r="L164" s="221">
        <v>44630</v>
      </c>
      <c r="M164" s="100" t="s">
        <v>915</v>
      </c>
      <c r="N164" s="100">
        <f>MONTH(List34[[#This Row],[Tanggal Pengajuan]])</f>
        <v>3</v>
      </c>
      <c r="O164" s="183"/>
      <c r="P164" s="105" t="s">
        <v>746</v>
      </c>
      <c r="Q164" s="111"/>
      <c r="R164" s="230" t="s">
        <v>958</v>
      </c>
      <c r="T164" s="275">
        <f>+List34[[#This Row],[Pengajuan Donasi]]-List34[[#This Row],[Jumlah Transfer]]</f>
        <v>0</v>
      </c>
      <c r="U164" s="275"/>
    </row>
    <row r="165" spans="2:21" ht="30" customHeight="1" x14ac:dyDescent="0.2">
      <c r="B165" s="102">
        <v>44624</v>
      </c>
      <c r="C165" s="67"/>
      <c r="D165" s="103" t="s">
        <v>921</v>
      </c>
      <c r="E165" s="14" t="s">
        <v>26</v>
      </c>
      <c r="F165" s="14" t="s">
        <v>18</v>
      </c>
      <c r="G165" s="15">
        <v>1</v>
      </c>
      <c r="H165" s="258">
        <v>500000</v>
      </c>
      <c r="I165" s="258">
        <f>List34[[#This Row],[Pengajuan Donasi]]</f>
        <v>500000</v>
      </c>
      <c r="J165" s="213" t="str">
        <f>IF(List34[[#This Row],[Tanggal Trf]]&gt;0,"Done","-")</f>
        <v>Done</v>
      </c>
      <c r="K165" s="437"/>
      <c r="L165" s="221">
        <v>44630</v>
      </c>
      <c r="M165" s="100" t="s">
        <v>898</v>
      </c>
      <c r="N165" s="100">
        <f>MONTH(List34[[#This Row],[Tanggal Pengajuan]])</f>
        <v>3</v>
      </c>
      <c r="O165" s="183"/>
      <c r="P165" s="105" t="s">
        <v>746</v>
      </c>
      <c r="Q165" s="111"/>
      <c r="R165" s="230" t="s">
        <v>958</v>
      </c>
      <c r="T165" s="275">
        <f>+List34[[#This Row],[Pengajuan Donasi]]-List34[[#This Row],[Jumlah Transfer]]</f>
        <v>0</v>
      </c>
      <c r="U165" s="275"/>
    </row>
    <row r="166" spans="2:21" ht="30" customHeight="1" x14ac:dyDescent="0.2">
      <c r="B166" s="102">
        <v>44624</v>
      </c>
      <c r="C166" s="67"/>
      <c r="D166" s="103" t="s">
        <v>922</v>
      </c>
      <c r="E166" s="14" t="s">
        <v>26</v>
      </c>
      <c r="F166" s="14" t="s">
        <v>18</v>
      </c>
      <c r="G166" s="15">
        <v>1</v>
      </c>
      <c r="H166" s="258">
        <v>500000</v>
      </c>
      <c r="I166" s="258">
        <f>List34[[#This Row],[Pengajuan Donasi]]</f>
        <v>500000</v>
      </c>
      <c r="J166" s="213" t="str">
        <f>IF(List34[[#This Row],[Tanggal Trf]]&gt;0,"Done","-")</f>
        <v>Done</v>
      </c>
      <c r="K166" s="437"/>
      <c r="L166" s="221">
        <v>44630</v>
      </c>
      <c r="M166" s="100" t="s">
        <v>899</v>
      </c>
      <c r="N166" s="100">
        <f>MONTH(List34[[#This Row],[Tanggal Pengajuan]])</f>
        <v>3</v>
      </c>
      <c r="O166" s="183"/>
      <c r="P166" s="105" t="s">
        <v>746</v>
      </c>
      <c r="Q166" s="111"/>
      <c r="R166" s="230" t="s">
        <v>958</v>
      </c>
      <c r="T166" s="275">
        <f>+List34[[#This Row],[Pengajuan Donasi]]-List34[[#This Row],[Jumlah Transfer]]</f>
        <v>0</v>
      </c>
      <c r="U166" s="275"/>
    </row>
    <row r="167" spans="2:21" ht="30" customHeight="1" x14ac:dyDescent="0.2">
      <c r="B167" s="102">
        <v>44624</v>
      </c>
      <c r="C167" s="67"/>
      <c r="D167" s="103" t="s">
        <v>923</v>
      </c>
      <c r="E167" s="14" t="s">
        <v>26</v>
      </c>
      <c r="F167" s="14" t="s">
        <v>18</v>
      </c>
      <c r="G167" s="15">
        <v>1</v>
      </c>
      <c r="H167" s="258">
        <v>500000</v>
      </c>
      <c r="I167" s="258">
        <f>List34[[#This Row],[Pengajuan Donasi]]</f>
        <v>500000</v>
      </c>
      <c r="J167" s="213" t="str">
        <f>IF(List34[[#This Row],[Tanggal Trf]]&gt;0,"Done","-")</f>
        <v>Done</v>
      </c>
      <c r="K167" s="437"/>
      <c r="L167" s="221">
        <v>44630</v>
      </c>
      <c r="M167" s="100" t="s">
        <v>900</v>
      </c>
      <c r="N167" s="100">
        <f>MONTH(List34[[#This Row],[Tanggal Pengajuan]])</f>
        <v>3</v>
      </c>
      <c r="O167" s="183"/>
      <c r="P167" s="105" t="s">
        <v>746</v>
      </c>
      <c r="Q167" s="111"/>
      <c r="R167" s="230" t="s">
        <v>958</v>
      </c>
      <c r="T167" s="275">
        <f>+List34[[#This Row],[Pengajuan Donasi]]-List34[[#This Row],[Jumlah Transfer]]</f>
        <v>0</v>
      </c>
      <c r="U167" s="275"/>
    </row>
    <row r="168" spans="2:21" ht="30" customHeight="1" x14ac:dyDescent="0.2">
      <c r="B168" s="102">
        <v>44624</v>
      </c>
      <c r="C168" s="67"/>
      <c r="D168" s="103" t="s">
        <v>924</v>
      </c>
      <c r="E168" s="14" t="s">
        <v>26</v>
      </c>
      <c r="F168" s="14" t="s">
        <v>18</v>
      </c>
      <c r="G168" s="15">
        <v>1</v>
      </c>
      <c r="H168" s="258">
        <v>500000</v>
      </c>
      <c r="I168" s="258">
        <f>List34[[#This Row],[Pengajuan Donasi]]</f>
        <v>500000</v>
      </c>
      <c r="J168" s="213" t="str">
        <f>IF(List34[[#This Row],[Tanggal Trf]]&gt;0,"Done","-")</f>
        <v>Done</v>
      </c>
      <c r="K168" s="437"/>
      <c r="L168" s="221">
        <v>44630</v>
      </c>
      <c r="M168" s="100" t="s">
        <v>901</v>
      </c>
      <c r="N168" s="100">
        <f>MONTH(List34[[#This Row],[Tanggal Pengajuan]])</f>
        <v>3</v>
      </c>
      <c r="O168" s="183"/>
      <c r="P168" s="105" t="s">
        <v>746</v>
      </c>
      <c r="Q168" s="111"/>
      <c r="R168" s="230" t="s">
        <v>958</v>
      </c>
      <c r="T168" s="275">
        <f>+List34[[#This Row],[Pengajuan Donasi]]-List34[[#This Row],[Jumlah Transfer]]</f>
        <v>0</v>
      </c>
      <c r="U168" s="275"/>
    </row>
    <row r="169" spans="2:21" ht="30" customHeight="1" x14ac:dyDescent="0.2">
      <c r="B169" s="102">
        <v>44624</v>
      </c>
      <c r="C169" s="67"/>
      <c r="D169" s="103" t="s">
        <v>925</v>
      </c>
      <c r="E169" s="14" t="s">
        <v>26</v>
      </c>
      <c r="F169" s="14" t="s">
        <v>18</v>
      </c>
      <c r="G169" s="15">
        <v>1</v>
      </c>
      <c r="H169" s="258">
        <v>500000</v>
      </c>
      <c r="I169" s="258">
        <f>List34[[#This Row],[Pengajuan Donasi]]</f>
        <v>500000</v>
      </c>
      <c r="J169" s="213" t="str">
        <f>IF(List34[[#This Row],[Tanggal Trf]]&gt;0,"Done","-")</f>
        <v>Done</v>
      </c>
      <c r="K169" s="437"/>
      <c r="L169" s="221">
        <v>44630</v>
      </c>
      <c r="M169" s="100" t="s">
        <v>1014</v>
      </c>
      <c r="N169" s="100">
        <f>MONTH(List34[[#This Row],[Tanggal Pengajuan]])</f>
        <v>3</v>
      </c>
      <c r="O169" s="183"/>
      <c r="P169" s="105" t="s">
        <v>746</v>
      </c>
      <c r="Q169" s="111"/>
      <c r="R169" s="230" t="s">
        <v>958</v>
      </c>
      <c r="T169" s="275">
        <f>+List34[[#This Row],[Pengajuan Donasi]]-List34[[#This Row],[Jumlah Transfer]]</f>
        <v>0</v>
      </c>
      <c r="U169" s="275"/>
    </row>
    <row r="170" spans="2:21" ht="30" customHeight="1" x14ac:dyDescent="0.2">
      <c r="B170" s="102">
        <v>44624</v>
      </c>
      <c r="C170" s="67"/>
      <c r="D170" s="103" t="s">
        <v>926</v>
      </c>
      <c r="E170" s="14" t="s">
        <v>26</v>
      </c>
      <c r="F170" s="14" t="s">
        <v>18</v>
      </c>
      <c r="G170" s="15">
        <v>1</v>
      </c>
      <c r="H170" s="258">
        <v>500000</v>
      </c>
      <c r="I170" s="258">
        <f>List34[[#This Row],[Pengajuan Donasi]]</f>
        <v>500000</v>
      </c>
      <c r="J170" s="213" t="str">
        <f>IF(List34[[#This Row],[Tanggal Trf]]&gt;0,"Done","-")</f>
        <v>Done</v>
      </c>
      <c r="K170" s="437"/>
      <c r="L170" s="221">
        <v>44630</v>
      </c>
      <c r="M170" s="100" t="s">
        <v>1014</v>
      </c>
      <c r="N170" s="100">
        <f>MONTH(List34[[#This Row],[Tanggal Pengajuan]])</f>
        <v>3</v>
      </c>
      <c r="O170" s="183"/>
      <c r="P170" s="105" t="s">
        <v>746</v>
      </c>
      <c r="Q170" s="111"/>
      <c r="R170" s="230" t="s">
        <v>958</v>
      </c>
      <c r="T170" s="275">
        <f>+List34[[#This Row],[Pengajuan Donasi]]-List34[[#This Row],[Jumlah Transfer]]</f>
        <v>0</v>
      </c>
      <c r="U170" s="275"/>
    </row>
    <row r="171" spans="2:21" ht="30" customHeight="1" x14ac:dyDescent="0.2">
      <c r="B171" s="102">
        <v>44624</v>
      </c>
      <c r="C171" s="67"/>
      <c r="D171" s="103" t="s">
        <v>927</v>
      </c>
      <c r="E171" s="14" t="s">
        <v>26</v>
      </c>
      <c r="F171" s="14" t="s">
        <v>18</v>
      </c>
      <c r="G171" s="15">
        <v>1</v>
      </c>
      <c r="H171" s="258">
        <v>500000</v>
      </c>
      <c r="I171" s="258">
        <f>List34[[#This Row],[Pengajuan Donasi]]</f>
        <v>500000</v>
      </c>
      <c r="J171" s="213" t="str">
        <f>IF(List34[[#This Row],[Tanggal Trf]]&gt;0,"Done","-")</f>
        <v>Done</v>
      </c>
      <c r="K171" s="437"/>
      <c r="L171" s="221">
        <v>44630</v>
      </c>
      <c r="M171" s="100" t="s">
        <v>1014</v>
      </c>
      <c r="N171" s="100">
        <f>MONTH(List34[[#This Row],[Tanggal Pengajuan]])</f>
        <v>3</v>
      </c>
      <c r="O171" s="183"/>
      <c r="P171" s="105" t="s">
        <v>746</v>
      </c>
      <c r="Q171" s="111"/>
      <c r="R171" s="230" t="s">
        <v>958</v>
      </c>
      <c r="T171" s="275">
        <f>+List34[[#This Row],[Pengajuan Donasi]]-List34[[#This Row],[Jumlah Transfer]]</f>
        <v>0</v>
      </c>
      <c r="U171" s="275"/>
    </row>
    <row r="172" spans="2:21" ht="30" customHeight="1" x14ac:dyDescent="0.2">
      <c r="B172" s="102">
        <v>44624</v>
      </c>
      <c r="C172" s="67"/>
      <c r="D172" s="103" t="s">
        <v>928</v>
      </c>
      <c r="E172" s="14" t="s">
        <v>26</v>
      </c>
      <c r="F172" s="14" t="s">
        <v>18</v>
      </c>
      <c r="G172" s="15">
        <v>1</v>
      </c>
      <c r="H172" s="258">
        <v>500000</v>
      </c>
      <c r="I172" s="258">
        <f>List34[[#This Row],[Pengajuan Donasi]]</f>
        <v>500000</v>
      </c>
      <c r="J172" s="213" t="str">
        <f>IF(List34[[#This Row],[Tanggal Trf]]&gt;0,"Done","-")</f>
        <v>Done</v>
      </c>
      <c r="K172" s="437"/>
      <c r="L172" s="221">
        <v>44630</v>
      </c>
      <c r="M172" s="100" t="s">
        <v>1014</v>
      </c>
      <c r="N172" s="100">
        <f>MONTH(List34[[#This Row],[Tanggal Pengajuan]])</f>
        <v>3</v>
      </c>
      <c r="O172" s="183"/>
      <c r="P172" s="105" t="s">
        <v>746</v>
      </c>
      <c r="Q172" s="111"/>
      <c r="R172" s="230" t="s">
        <v>958</v>
      </c>
      <c r="T172" s="275">
        <f>+List34[[#This Row],[Pengajuan Donasi]]-List34[[#This Row],[Jumlah Transfer]]</f>
        <v>0</v>
      </c>
      <c r="U172" s="275"/>
    </row>
    <row r="173" spans="2:21" ht="30" customHeight="1" x14ac:dyDescent="0.2">
      <c r="B173" s="102">
        <v>44624</v>
      </c>
      <c r="C173" s="67"/>
      <c r="D173" s="103" t="s">
        <v>929</v>
      </c>
      <c r="E173" s="14" t="s">
        <v>26</v>
      </c>
      <c r="F173" s="14" t="s">
        <v>18</v>
      </c>
      <c r="G173" s="15">
        <v>1</v>
      </c>
      <c r="H173" s="258">
        <v>500000</v>
      </c>
      <c r="I173" s="258">
        <f>List34[[#This Row],[Pengajuan Donasi]]</f>
        <v>500000</v>
      </c>
      <c r="J173" s="213" t="str">
        <f>IF(List34[[#This Row],[Tanggal Trf]]&gt;0,"Done","-")</f>
        <v>Done</v>
      </c>
      <c r="K173" s="437"/>
      <c r="L173" s="221">
        <v>44630</v>
      </c>
      <c r="M173" s="100" t="s">
        <v>902</v>
      </c>
      <c r="N173" s="100">
        <f>MONTH(List34[[#This Row],[Tanggal Pengajuan]])</f>
        <v>3</v>
      </c>
      <c r="O173" s="183"/>
      <c r="P173" s="105" t="s">
        <v>746</v>
      </c>
      <c r="Q173" s="111"/>
      <c r="R173" s="230" t="s">
        <v>958</v>
      </c>
      <c r="T173" s="275">
        <f>+List34[[#This Row],[Pengajuan Donasi]]-List34[[#This Row],[Jumlah Transfer]]</f>
        <v>0</v>
      </c>
      <c r="U173" s="275"/>
    </row>
    <row r="174" spans="2:21" ht="30" customHeight="1" x14ac:dyDescent="0.2">
      <c r="B174" s="102">
        <v>44624</v>
      </c>
      <c r="C174" s="67"/>
      <c r="D174" s="103" t="s">
        <v>930</v>
      </c>
      <c r="E174" s="14" t="s">
        <v>26</v>
      </c>
      <c r="F174" s="14" t="s">
        <v>18</v>
      </c>
      <c r="G174" s="15">
        <v>1</v>
      </c>
      <c r="H174" s="258">
        <v>500000</v>
      </c>
      <c r="I174" s="258">
        <f>List34[[#This Row],[Pengajuan Donasi]]</f>
        <v>500000</v>
      </c>
      <c r="J174" s="213" t="str">
        <f>IF(List34[[#This Row],[Tanggal Trf]]&gt;0,"Done","-")</f>
        <v>Done</v>
      </c>
      <c r="K174" s="437"/>
      <c r="L174" s="221">
        <v>44630</v>
      </c>
      <c r="M174" s="100" t="s">
        <v>903</v>
      </c>
      <c r="N174" s="100">
        <f>MONTH(List34[[#This Row],[Tanggal Pengajuan]])</f>
        <v>3</v>
      </c>
      <c r="O174" s="183"/>
      <c r="P174" s="105" t="s">
        <v>746</v>
      </c>
      <c r="Q174" s="111"/>
      <c r="R174" s="230" t="s">
        <v>958</v>
      </c>
      <c r="T174" s="275">
        <f>+List34[[#This Row],[Pengajuan Donasi]]-List34[[#This Row],[Jumlah Transfer]]</f>
        <v>0</v>
      </c>
      <c r="U174" s="275"/>
    </row>
    <row r="175" spans="2:21" ht="30" customHeight="1" x14ac:dyDescent="0.2">
      <c r="B175" s="102">
        <v>44624</v>
      </c>
      <c r="C175" s="67" t="s">
        <v>759</v>
      </c>
      <c r="D175" s="103" t="s">
        <v>1076</v>
      </c>
      <c r="E175" s="14" t="s">
        <v>107</v>
      </c>
      <c r="F175" s="103" t="s">
        <v>28</v>
      </c>
      <c r="G175" s="15"/>
      <c r="H175" s="258">
        <v>35000000</v>
      </c>
      <c r="I175" s="258">
        <v>35000000</v>
      </c>
      <c r="J175" s="213" t="str">
        <f>IF(List34[[#This Row],[Tanggal Trf]]&gt;0,"Done","-")</f>
        <v>Done</v>
      </c>
      <c r="K175" s="437"/>
      <c r="L175" s="221">
        <v>44638</v>
      </c>
      <c r="M175" s="100" t="s">
        <v>760</v>
      </c>
      <c r="N175" s="100">
        <f>MONTH(List34[[#This Row],[Tanggal Pengajuan]])</f>
        <v>3</v>
      </c>
      <c r="O175" s="183"/>
      <c r="P175" s="105" t="s">
        <v>746</v>
      </c>
      <c r="Q175" s="111"/>
      <c r="R175" s="230" t="s">
        <v>958</v>
      </c>
      <c r="T175" s="275">
        <f>+List34[[#This Row],[Pengajuan Donasi]]-List34[[#This Row],[Jumlah Transfer]]</f>
        <v>0</v>
      </c>
      <c r="U175" s="275"/>
    </row>
    <row r="176" spans="2:21" ht="30" customHeight="1" x14ac:dyDescent="0.2">
      <c r="B176" s="102">
        <v>44624</v>
      </c>
      <c r="C176" s="67" t="s">
        <v>761</v>
      </c>
      <c r="D176" s="103" t="s">
        <v>908</v>
      </c>
      <c r="E176" s="14" t="s">
        <v>26</v>
      </c>
      <c r="F176" s="103" t="s">
        <v>18</v>
      </c>
      <c r="G176" s="15">
        <v>1</v>
      </c>
      <c r="H176" s="258">
        <v>1000000</v>
      </c>
      <c r="I176" s="258">
        <v>1000000</v>
      </c>
      <c r="J176" s="213" t="str">
        <f>IF(List34[[#This Row],[Tanggal Trf]]&gt;0,"Done","-")</f>
        <v>Done</v>
      </c>
      <c r="K176" s="437"/>
      <c r="L176" s="221">
        <v>44631</v>
      </c>
      <c r="M176" s="100" t="s">
        <v>762</v>
      </c>
      <c r="N176" s="100">
        <f>MONTH(List34[[#This Row],[Tanggal Pengajuan]])</f>
        <v>3</v>
      </c>
      <c r="O176" s="183"/>
      <c r="P176" s="105" t="s">
        <v>746</v>
      </c>
      <c r="Q176" s="111"/>
      <c r="R176" s="230" t="s">
        <v>958</v>
      </c>
      <c r="T176" s="275">
        <f>+List34[[#This Row],[Pengajuan Donasi]]-List34[[#This Row],[Jumlah Transfer]]</f>
        <v>0</v>
      </c>
      <c r="U176" s="275"/>
    </row>
    <row r="177" spans="2:21" ht="30" customHeight="1" x14ac:dyDescent="0.2">
      <c r="B177" s="102">
        <v>44631</v>
      </c>
      <c r="C177" s="67" t="s">
        <v>763</v>
      </c>
      <c r="D177" s="103" t="s">
        <v>114</v>
      </c>
      <c r="E177" s="103" t="s">
        <v>179</v>
      </c>
      <c r="F177" s="103" t="s">
        <v>18</v>
      </c>
      <c r="G177" s="15"/>
      <c r="H177" s="258">
        <v>11875000</v>
      </c>
      <c r="I177" s="258">
        <v>11875000</v>
      </c>
      <c r="J177" s="213" t="str">
        <f>IF(List34[[#This Row],[Tanggal Trf]]&gt;0,"Done","-")</f>
        <v>Done</v>
      </c>
      <c r="K177" s="437"/>
      <c r="L177" s="221">
        <v>44631</v>
      </c>
      <c r="M177" s="100" t="s">
        <v>733</v>
      </c>
      <c r="N177" s="100">
        <f>MONTH(List34[[#This Row],[Tanggal Pengajuan]])</f>
        <v>3</v>
      </c>
      <c r="O177" s="183"/>
      <c r="P177" s="105" t="s">
        <v>746</v>
      </c>
      <c r="Q177" s="111"/>
      <c r="R177" s="230" t="s">
        <v>958</v>
      </c>
      <c r="T177" s="275">
        <f>+List34[[#This Row],[Pengajuan Donasi]]-List34[[#This Row],[Jumlah Transfer]]</f>
        <v>0</v>
      </c>
      <c r="U177" s="275"/>
    </row>
    <row r="178" spans="2:21" ht="30" customHeight="1" x14ac:dyDescent="0.2">
      <c r="B178" s="102">
        <v>44631</v>
      </c>
      <c r="C178" s="67" t="s">
        <v>764</v>
      </c>
      <c r="D178" s="103" t="s">
        <v>60</v>
      </c>
      <c r="E178" s="103" t="s">
        <v>179</v>
      </c>
      <c r="F178" s="103" t="s">
        <v>18</v>
      </c>
      <c r="G178" s="15"/>
      <c r="H178" s="258">
        <v>1200000</v>
      </c>
      <c r="I178" s="258">
        <v>1200000</v>
      </c>
      <c r="J178" s="213" t="str">
        <f>IF(List34[[#This Row],[Tanggal Trf]]&gt;0,"Done","-")</f>
        <v>Done</v>
      </c>
      <c r="K178" s="437"/>
      <c r="L178" s="221">
        <v>44648</v>
      </c>
      <c r="M178" s="100" t="s">
        <v>674</v>
      </c>
      <c r="N178" s="100">
        <f>MONTH(List34[[#This Row],[Tanggal Pengajuan]])</f>
        <v>3</v>
      </c>
      <c r="O178" s="183"/>
      <c r="P178" s="105" t="s">
        <v>746</v>
      </c>
      <c r="Q178" s="111"/>
      <c r="R178" s="230" t="s">
        <v>958</v>
      </c>
      <c r="T178" s="275">
        <f>+List34[[#This Row],[Pengajuan Donasi]]-List34[[#This Row],[Jumlah Transfer]]</f>
        <v>0</v>
      </c>
      <c r="U178" s="275"/>
    </row>
    <row r="179" spans="2:21" ht="30" customHeight="1" x14ac:dyDescent="0.2">
      <c r="B179" s="102">
        <v>44631</v>
      </c>
      <c r="C179" s="67" t="s">
        <v>765</v>
      </c>
      <c r="D179" s="14" t="s">
        <v>256</v>
      </c>
      <c r="E179" s="103" t="s">
        <v>17</v>
      </c>
      <c r="F179" s="103" t="s">
        <v>18</v>
      </c>
      <c r="G179" s="15">
        <v>86</v>
      </c>
      <c r="H179" s="258">
        <v>8500000</v>
      </c>
      <c r="I179" s="258">
        <f>List34[[#This Row],[Pengajuan Donasi]]</f>
        <v>8500000</v>
      </c>
      <c r="J179" s="213" t="str">
        <f>IF(List34[[#This Row],[Tanggal Trf]]&gt;0,"Done","-")</f>
        <v>Done</v>
      </c>
      <c r="K179" s="437" t="s">
        <v>35</v>
      </c>
      <c r="L179" s="221">
        <v>44648</v>
      </c>
      <c r="M179" s="100" t="s">
        <v>136</v>
      </c>
      <c r="N179" s="100">
        <f>MONTH(List34[[#This Row],[Tanggal Pengajuan]])</f>
        <v>3</v>
      </c>
      <c r="O179" s="183">
        <v>44691</v>
      </c>
      <c r="P179" s="105" t="s">
        <v>746</v>
      </c>
      <c r="Q179" s="111"/>
      <c r="R179" s="230" t="s">
        <v>958</v>
      </c>
      <c r="T179" s="275">
        <f>+List34[[#This Row],[Pengajuan Donasi]]-List34[[#This Row],[Jumlah Transfer]]</f>
        <v>0</v>
      </c>
      <c r="U179" s="275"/>
    </row>
    <row r="180" spans="2:21" ht="30" customHeight="1" x14ac:dyDescent="0.2">
      <c r="B180" s="102">
        <v>44631</v>
      </c>
      <c r="C180" s="67"/>
      <c r="D180" s="14" t="s">
        <v>257</v>
      </c>
      <c r="E180" s="103" t="s">
        <v>17</v>
      </c>
      <c r="F180" s="103" t="s">
        <v>18</v>
      </c>
      <c r="G180" s="15">
        <v>134</v>
      </c>
      <c r="H180" s="258">
        <v>5500000</v>
      </c>
      <c r="I180" s="258">
        <f>List34[[#This Row],[Pengajuan Donasi]]</f>
        <v>5500000</v>
      </c>
      <c r="J180" s="213" t="str">
        <f>IF(List34[[#This Row],[Tanggal Trf]]&gt;0,"Done","-")</f>
        <v>Done</v>
      </c>
      <c r="K180" s="437" t="s">
        <v>35</v>
      </c>
      <c r="L180" s="221">
        <v>44648</v>
      </c>
      <c r="M180" s="100" t="s">
        <v>136</v>
      </c>
      <c r="N180" s="100">
        <f>MONTH(List34[[#This Row],[Tanggal Pengajuan]])</f>
        <v>3</v>
      </c>
      <c r="O180" s="183">
        <v>44691</v>
      </c>
      <c r="P180" s="105" t="s">
        <v>746</v>
      </c>
      <c r="Q180" s="111"/>
      <c r="R180" s="230"/>
      <c r="U180" s="275"/>
    </row>
    <row r="181" spans="2:21" ht="30" customHeight="1" x14ac:dyDescent="0.2">
      <c r="B181" s="102">
        <v>44631</v>
      </c>
      <c r="C181" s="67"/>
      <c r="D181" s="14" t="s">
        <v>222</v>
      </c>
      <c r="E181" s="103" t="s">
        <v>17</v>
      </c>
      <c r="F181" s="103" t="s">
        <v>18</v>
      </c>
      <c r="G181" s="15">
        <v>36</v>
      </c>
      <c r="H181" s="258">
        <v>5500000</v>
      </c>
      <c r="I181" s="258">
        <f>List34[[#This Row],[Pengajuan Donasi]]</f>
        <v>5500000</v>
      </c>
      <c r="J181" s="213" t="str">
        <f>IF(List34[[#This Row],[Tanggal Trf]]&gt;0,"Done","-")</f>
        <v>Done</v>
      </c>
      <c r="K181" s="437" t="s">
        <v>35</v>
      </c>
      <c r="L181" s="221">
        <v>44648</v>
      </c>
      <c r="M181" s="100" t="s">
        <v>136</v>
      </c>
      <c r="N181" s="100">
        <f>MONTH(List34[[#This Row],[Tanggal Pengajuan]])</f>
        <v>3</v>
      </c>
      <c r="O181" s="183">
        <v>44691</v>
      </c>
      <c r="P181" s="105" t="s">
        <v>746</v>
      </c>
      <c r="Q181" s="111"/>
      <c r="R181" s="230"/>
      <c r="U181" s="275"/>
    </row>
    <row r="182" spans="2:21" ht="30" customHeight="1" x14ac:dyDescent="0.2">
      <c r="B182" s="102">
        <v>44635</v>
      </c>
      <c r="C182" s="67" t="s">
        <v>766</v>
      </c>
      <c r="D182" s="103" t="s">
        <v>106</v>
      </c>
      <c r="E182" s="103" t="s">
        <v>179</v>
      </c>
      <c r="F182" s="103" t="s">
        <v>18</v>
      </c>
      <c r="G182" s="15">
        <v>85</v>
      </c>
      <c r="H182" s="258">
        <v>7300000</v>
      </c>
      <c r="I182" s="258">
        <v>7300000</v>
      </c>
      <c r="J182" s="213" t="str">
        <f>IF(List34[[#This Row],[Tanggal Trf]]&gt;0,"Done","-")</f>
        <v>Done</v>
      </c>
      <c r="K182" s="437"/>
      <c r="L182" s="221">
        <v>44638</v>
      </c>
      <c r="M182" s="100" t="s">
        <v>767</v>
      </c>
      <c r="N182" s="100">
        <f>MONTH(List34[[#This Row],[Tanggal Pengajuan]])</f>
        <v>3</v>
      </c>
      <c r="O182" s="183">
        <v>44691</v>
      </c>
      <c r="P182" s="105" t="s">
        <v>746</v>
      </c>
      <c r="Q182" s="111"/>
      <c r="R182" s="230" t="s">
        <v>958</v>
      </c>
      <c r="T182" s="275">
        <f>+List34[[#This Row],[Pengajuan Donasi]]-List34[[#This Row],[Jumlah Transfer]]</f>
        <v>0</v>
      </c>
      <c r="U182" s="275"/>
    </row>
    <row r="183" spans="2:21" ht="30" customHeight="1" x14ac:dyDescent="0.2">
      <c r="B183" s="102">
        <v>44635</v>
      </c>
      <c r="C183" s="67" t="s">
        <v>768</v>
      </c>
      <c r="D183" s="103" t="s">
        <v>1068</v>
      </c>
      <c r="E183" s="103" t="s">
        <v>26</v>
      </c>
      <c r="F183" s="103" t="s">
        <v>28</v>
      </c>
      <c r="G183" s="15"/>
      <c r="H183" s="258">
        <v>12210000</v>
      </c>
      <c r="I183" s="258">
        <f>List34[[#This Row],[Pengajuan Donasi]]</f>
        <v>12210000</v>
      </c>
      <c r="J183" s="213" t="str">
        <f>IF(List34[[#This Row],[Tanggal Trf]]&gt;0,"Done","-")</f>
        <v>Done</v>
      </c>
      <c r="K183" s="444"/>
      <c r="L183" s="221">
        <v>44640</v>
      </c>
      <c r="M183" t="s">
        <v>769</v>
      </c>
      <c r="N183" s="100">
        <f>MONTH(List34[[#This Row],[Tanggal Pengajuan]])</f>
        <v>3</v>
      </c>
      <c r="O183" s="183"/>
      <c r="P183" s="105" t="s">
        <v>746</v>
      </c>
      <c r="Q183" s="111"/>
      <c r="R183" s="230" t="s">
        <v>958</v>
      </c>
      <c r="T183" s="275">
        <f>+List34[[#This Row],[Pengajuan Donasi]]-List34[[#This Row],[Jumlah Transfer]]</f>
        <v>0</v>
      </c>
      <c r="U183" s="275"/>
    </row>
    <row r="184" spans="2:21" ht="30" customHeight="1" x14ac:dyDescent="0.2">
      <c r="B184" s="102">
        <v>44635</v>
      </c>
      <c r="C184" s="67"/>
      <c r="D184" s="103" t="s">
        <v>1069</v>
      </c>
      <c r="E184" s="103" t="s">
        <v>26</v>
      </c>
      <c r="F184" s="103" t="s">
        <v>28</v>
      </c>
      <c r="G184" s="15">
        <v>0</v>
      </c>
      <c r="H184" s="258">
        <v>5219000</v>
      </c>
      <c r="I184" s="258">
        <f>List34[[#This Row],[Pengajuan Donasi]]</f>
        <v>5219000</v>
      </c>
      <c r="J184" s="213" t="str">
        <f>IF(List34[[#This Row],[Tanggal Trf]]&gt;0,"Done","-")</f>
        <v>Done</v>
      </c>
      <c r="K184" s="444"/>
      <c r="L184" s="221">
        <v>44640</v>
      </c>
      <c r="M184" t="s">
        <v>769</v>
      </c>
      <c r="N184" s="100">
        <f>MONTH(List34[[#This Row],[Tanggal Pengajuan]])</f>
        <v>3</v>
      </c>
      <c r="O184" s="183"/>
      <c r="P184" s="105" t="s">
        <v>746</v>
      </c>
      <c r="Q184" s="111"/>
      <c r="R184" s="230"/>
      <c r="U184" s="275"/>
    </row>
    <row r="185" spans="2:21" ht="30" customHeight="1" x14ac:dyDescent="0.2">
      <c r="B185" s="102">
        <v>44638</v>
      </c>
      <c r="C185" s="67" t="s">
        <v>770</v>
      </c>
      <c r="D185" s="103" t="s">
        <v>1070</v>
      </c>
      <c r="E185" s="103" t="s">
        <v>26</v>
      </c>
      <c r="F185" s="103" t="s">
        <v>28</v>
      </c>
      <c r="G185" s="15"/>
      <c r="H185" s="258">
        <v>9884882</v>
      </c>
      <c r="I185" s="258">
        <f>List34[[#This Row],[Pengajuan Donasi]]</f>
        <v>9884882</v>
      </c>
      <c r="J185" s="213" t="str">
        <f>IF(List34[[#This Row],[Tanggal Trf]]&gt;0,"Done","-")</f>
        <v>Done</v>
      </c>
      <c r="K185" s="437" t="s">
        <v>1072</v>
      </c>
      <c r="L185" s="221">
        <v>44645</v>
      </c>
      <c r="M185" s="100" t="s">
        <v>771</v>
      </c>
      <c r="N185" s="100">
        <f>MONTH(List34[[#This Row],[Tanggal Pengajuan]])</f>
        <v>3</v>
      </c>
      <c r="O185" s="183"/>
      <c r="P185" s="105" t="s">
        <v>746</v>
      </c>
      <c r="Q185" s="111"/>
      <c r="R185" s="230" t="s">
        <v>958</v>
      </c>
      <c r="T185" s="275">
        <f>+List34[[#This Row],[Pengajuan Donasi]]-List34[[#This Row],[Jumlah Transfer]]</f>
        <v>0</v>
      </c>
      <c r="U185" s="275"/>
    </row>
    <row r="186" spans="2:21" ht="30" customHeight="1" x14ac:dyDescent="0.2">
      <c r="B186" s="102">
        <v>44638</v>
      </c>
      <c r="C186" s="67"/>
      <c r="D186" s="103" t="s">
        <v>1071</v>
      </c>
      <c r="E186" s="103" t="s">
        <v>26</v>
      </c>
      <c r="F186" s="103" t="s">
        <v>28</v>
      </c>
      <c r="G186" s="15">
        <v>0</v>
      </c>
      <c r="H186" s="258">
        <v>5000942</v>
      </c>
      <c r="I186" s="258">
        <f>List34[[#This Row],[Pengajuan Donasi]]</f>
        <v>5000942</v>
      </c>
      <c r="J186" s="213" t="str">
        <f>IF(List34[[#This Row],[Tanggal Trf]]&gt;0,"Done","-")</f>
        <v>Done</v>
      </c>
      <c r="K186" s="437"/>
      <c r="L186" s="221">
        <v>44645</v>
      </c>
      <c r="M186" s="100" t="s">
        <v>771</v>
      </c>
      <c r="N186" s="100">
        <f>MONTH(List34[[#This Row],[Tanggal Pengajuan]])</f>
        <v>3</v>
      </c>
      <c r="O186" s="183"/>
      <c r="P186" s="105" t="s">
        <v>746</v>
      </c>
      <c r="Q186" s="111"/>
      <c r="R186" s="230"/>
      <c r="U186" s="275"/>
    </row>
    <row r="187" spans="2:21" ht="30" customHeight="1" x14ac:dyDescent="0.2">
      <c r="B187" s="102">
        <v>44638</v>
      </c>
      <c r="C187" s="67"/>
      <c r="D187" s="103" t="s">
        <v>1075</v>
      </c>
      <c r="E187" s="103" t="s">
        <v>26</v>
      </c>
      <c r="F187" s="103" t="s">
        <v>28</v>
      </c>
      <c r="G187" s="15">
        <v>0</v>
      </c>
      <c r="H187" s="258">
        <f>312500+6000</f>
        <v>318500</v>
      </c>
      <c r="I187" s="258">
        <f>List34[[#This Row],[Pengajuan Donasi]]</f>
        <v>318500</v>
      </c>
      <c r="J187" s="213" t="str">
        <f>IF(List34[[#This Row],[Tanggal Trf]]&gt;0,"Done","-")</f>
        <v>Done</v>
      </c>
      <c r="K187" s="437"/>
      <c r="L187" s="221">
        <v>44645</v>
      </c>
      <c r="M187" s="100" t="s">
        <v>771</v>
      </c>
      <c r="N187" s="100">
        <f>MONTH(List34[[#This Row],[Tanggal Pengajuan]])</f>
        <v>3</v>
      </c>
      <c r="O187" s="183"/>
      <c r="P187" s="105" t="s">
        <v>746</v>
      </c>
      <c r="Q187" s="111"/>
      <c r="R187" s="230"/>
      <c r="U187" s="275"/>
    </row>
    <row r="188" spans="2:21" ht="30" customHeight="1" x14ac:dyDescent="0.2">
      <c r="B188" s="102">
        <v>44638</v>
      </c>
      <c r="C188" s="67" t="s">
        <v>772</v>
      </c>
      <c r="D188" s="14" t="s">
        <v>48</v>
      </c>
      <c r="E188" s="14" t="s">
        <v>179</v>
      </c>
      <c r="F188" s="14" t="s">
        <v>18</v>
      </c>
      <c r="G188" s="15">
        <v>39</v>
      </c>
      <c r="H188" s="258">
        <v>3325000</v>
      </c>
      <c r="I188" s="258">
        <v>3325000</v>
      </c>
      <c r="J188" s="213" t="str">
        <f>IF(List34[[#This Row],[Tanggal Trf]]&gt;0,"Done","-")</f>
        <v>Done</v>
      </c>
      <c r="K188" s="437"/>
      <c r="L188" s="221">
        <v>44645</v>
      </c>
      <c r="M188" s="100" t="s">
        <v>445</v>
      </c>
      <c r="N188" s="100">
        <f>MONTH(List34[[#This Row],[Tanggal Pengajuan]])</f>
        <v>3</v>
      </c>
      <c r="O188" s="183"/>
      <c r="P188" s="105" t="s">
        <v>746</v>
      </c>
      <c r="Q188" s="111"/>
      <c r="R188" s="230" t="s">
        <v>958</v>
      </c>
      <c r="T188" s="275">
        <f>+List34[[#This Row],[Pengajuan Donasi]]-List34[[#This Row],[Jumlah Transfer]]</f>
        <v>0</v>
      </c>
      <c r="U188" s="275"/>
    </row>
    <row r="189" spans="2:21" ht="30" customHeight="1" x14ac:dyDescent="0.2">
      <c r="B189" s="102">
        <v>44638</v>
      </c>
      <c r="C189" s="67" t="s">
        <v>773</v>
      </c>
      <c r="D189" s="14" t="s">
        <v>129</v>
      </c>
      <c r="E189" s="14" t="s">
        <v>179</v>
      </c>
      <c r="F189" s="14" t="s">
        <v>18</v>
      </c>
      <c r="G189" s="15">
        <v>32</v>
      </c>
      <c r="H189" s="258">
        <v>7950000</v>
      </c>
      <c r="I189" s="258">
        <v>7950000</v>
      </c>
      <c r="J189" s="214" t="str">
        <f>IF(List34[[#This Row],[Tanggal Trf]]&gt;0,"Done","-")</f>
        <v>Done</v>
      </c>
      <c r="K189" s="437" t="s">
        <v>689</v>
      </c>
      <c r="L189" s="221">
        <v>44645</v>
      </c>
      <c r="M189" s="32" t="s">
        <v>675</v>
      </c>
      <c r="N189" s="100">
        <f>MONTH(List34[[#This Row],[Tanggal Pengajuan]])</f>
        <v>3</v>
      </c>
      <c r="O189" s="183"/>
      <c r="P189" s="105" t="s">
        <v>746</v>
      </c>
      <c r="Q189" s="111"/>
      <c r="R189" s="230" t="s">
        <v>958</v>
      </c>
      <c r="T189" s="275">
        <f>+List34[[#This Row],[Pengajuan Donasi]]-List34[[#This Row],[Jumlah Transfer]]</f>
        <v>0</v>
      </c>
      <c r="U189" s="275"/>
    </row>
    <row r="190" spans="2:21" ht="30" customHeight="1" x14ac:dyDescent="0.2">
      <c r="B190" s="102">
        <v>44638</v>
      </c>
      <c r="C190" s="67" t="s">
        <v>774</v>
      </c>
      <c r="D190" s="103" t="s">
        <v>87</v>
      </c>
      <c r="E190" s="103" t="s">
        <v>179</v>
      </c>
      <c r="F190" s="103" t="s">
        <v>18</v>
      </c>
      <c r="G190" s="15">
        <v>24</v>
      </c>
      <c r="H190" s="258">
        <v>2400000</v>
      </c>
      <c r="I190" s="258">
        <v>2400000</v>
      </c>
      <c r="J190" s="213" t="str">
        <f>IF(List34[[#This Row],[Tanggal Trf]]&gt;0,"Done","-")</f>
        <v>Done</v>
      </c>
      <c r="K190" s="437"/>
      <c r="L190" s="221">
        <v>44648</v>
      </c>
      <c r="M190" s="105" t="s">
        <v>493</v>
      </c>
      <c r="N190" s="100">
        <f>MONTH(List34[[#This Row],[Tanggal Pengajuan]])</f>
        <v>3</v>
      </c>
      <c r="O190" s="183">
        <v>44691</v>
      </c>
      <c r="P190" s="105" t="s">
        <v>746</v>
      </c>
      <c r="Q190" s="111"/>
      <c r="R190" s="230" t="s">
        <v>958</v>
      </c>
      <c r="T190" s="275">
        <f>+List34[[#This Row],[Pengajuan Donasi]]-List34[[#This Row],[Jumlah Transfer]]</f>
        <v>0</v>
      </c>
      <c r="U190" s="275"/>
    </row>
    <row r="191" spans="2:21" ht="30" customHeight="1" x14ac:dyDescent="0.2">
      <c r="B191" s="102">
        <v>44644</v>
      </c>
      <c r="C191" s="67" t="s">
        <v>775</v>
      </c>
      <c r="D191" s="103" t="s">
        <v>872</v>
      </c>
      <c r="E191" s="103" t="s">
        <v>17</v>
      </c>
      <c r="F191" s="103" t="s">
        <v>18</v>
      </c>
      <c r="G191" s="15">
        <v>59</v>
      </c>
      <c r="H191" s="268">
        <v>5998800</v>
      </c>
      <c r="I191" s="258">
        <v>5998800</v>
      </c>
      <c r="J191" s="213" t="str">
        <f>IF(List34[[#This Row],[Tanggal Trf]]&gt;0,"Done","-")</f>
        <v>Done</v>
      </c>
      <c r="K191" s="445" t="s">
        <v>25</v>
      </c>
      <c r="L191" s="221">
        <v>44645</v>
      </c>
      <c r="M191" s="100" t="s">
        <v>1015</v>
      </c>
      <c r="N191" s="100">
        <f>MONTH(List34[[#This Row],[Tanggal Pengajuan]])</f>
        <v>3</v>
      </c>
      <c r="O191" s="183"/>
      <c r="P191" s="105" t="s">
        <v>707</v>
      </c>
      <c r="Q191" s="111"/>
      <c r="R191" s="230" t="s">
        <v>958</v>
      </c>
      <c r="S191" s="232">
        <f>+List34[[#This Row],[Pengajuan Donasi]]-[6]Category!$AG$27</f>
        <v>300</v>
      </c>
      <c r="T191" s="275">
        <f>+List34[[#This Row],[Pengajuan Donasi]]-List34[[#This Row],[Jumlah Transfer]]</f>
        <v>0</v>
      </c>
      <c r="U191" s="275"/>
    </row>
    <row r="192" spans="2:21" ht="30" customHeight="1" x14ac:dyDescent="0.2">
      <c r="B192" s="102">
        <v>44644</v>
      </c>
      <c r="C192" s="181"/>
      <c r="D192" s="103" t="s">
        <v>870</v>
      </c>
      <c r="E192" s="103" t="s">
        <v>17</v>
      </c>
      <c r="F192" s="103" t="s">
        <v>18</v>
      </c>
      <c r="G192" s="15">
        <v>19</v>
      </c>
      <c r="H192" s="258">
        <v>5999800</v>
      </c>
      <c r="I192" s="258">
        <v>5999800</v>
      </c>
      <c r="J192" s="213" t="str">
        <f>IF(List34[[#This Row],[Tanggal Trf]]&gt;0,"Done","-")</f>
        <v>Done</v>
      </c>
      <c r="K192" s="445" t="s">
        <v>25</v>
      </c>
      <c r="L192" s="221">
        <v>44645</v>
      </c>
      <c r="M192" s="100" t="s">
        <v>1015</v>
      </c>
      <c r="N192" s="20">
        <f>MONTH(List34[[#This Row],[Tanggal Pengajuan]])</f>
        <v>3</v>
      </c>
      <c r="O192" s="183"/>
      <c r="P192" s="100" t="s">
        <v>707</v>
      </c>
      <c r="Q192" s="198"/>
      <c r="R192" s="230" t="s">
        <v>958</v>
      </c>
      <c r="T192" s="275">
        <f>+List34[[#This Row],[Pengajuan Donasi]]-List34[[#This Row],[Jumlah Transfer]]</f>
        <v>0</v>
      </c>
      <c r="U192" s="275"/>
    </row>
    <row r="193" spans="2:21" ht="30" customHeight="1" x14ac:dyDescent="0.2">
      <c r="B193" s="102">
        <v>44644</v>
      </c>
      <c r="C193" s="181"/>
      <c r="D193" s="103" t="s">
        <v>849</v>
      </c>
      <c r="E193" s="103" t="s">
        <v>17</v>
      </c>
      <c r="F193" s="103" t="s">
        <v>18</v>
      </c>
      <c r="G193" s="15">
        <v>63</v>
      </c>
      <c r="H193" s="258">
        <v>5998600</v>
      </c>
      <c r="I193" s="258">
        <v>5998600</v>
      </c>
      <c r="J193" s="213" t="str">
        <f>IF(List34[[#This Row],[Tanggal Trf]]&gt;0,"Done","-")</f>
        <v>Done</v>
      </c>
      <c r="K193" s="445" t="s">
        <v>25</v>
      </c>
      <c r="L193" s="221">
        <v>44645</v>
      </c>
      <c r="M193" s="100" t="s">
        <v>1015</v>
      </c>
      <c r="N193" s="20">
        <f>MONTH(List34[[#This Row],[Tanggal Pengajuan]])</f>
        <v>3</v>
      </c>
      <c r="O193" s="183"/>
      <c r="P193" s="100" t="s">
        <v>707</v>
      </c>
      <c r="Q193" s="198"/>
      <c r="R193" s="230" t="s">
        <v>958</v>
      </c>
      <c r="T193" s="275">
        <f>+List34[[#This Row],[Pengajuan Donasi]]-List34[[#This Row],[Jumlah Transfer]]</f>
        <v>0</v>
      </c>
      <c r="U193" s="275"/>
    </row>
    <row r="194" spans="2:21" ht="30" customHeight="1" x14ac:dyDescent="0.2">
      <c r="B194" s="102">
        <v>44644</v>
      </c>
      <c r="C194" s="181"/>
      <c r="D194" s="103" t="s">
        <v>850</v>
      </c>
      <c r="E194" s="103" t="s">
        <v>17</v>
      </c>
      <c r="F194" s="103" t="s">
        <v>18</v>
      </c>
      <c r="G194" s="15">
        <v>61</v>
      </c>
      <c r="H194" s="258">
        <v>5999100</v>
      </c>
      <c r="I194" s="258">
        <v>5999100</v>
      </c>
      <c r="J194" s="213" t="str">
        <f>IF(List34[[#This Row],[Tanggal Trf]]&gt;0,"Done","-")</f>
        <v>Done</v>
      </c>
      <c r="K194" s="445" t="s">
        <v>25</v>
      </c>
      <c r="L194" s="221">
        <v>44645</v>
      </c>
      <c r="M194" s="100" t="s">
        <v>1015</v>
      </c>
      <c r="N194" s="20">
        <f>MONTH(List34[[#This Row],[Tanggal Pengajuan]])</f>
        <v>3</v>
      </c>
      <c r="O194" s="183"/>
      <c r="P194" s="100" t="s">
        <v>707</v>
      </c>
      <c r="Q194" s="198"/>
      <c r="R194" s="230" t="s">
        <v>958</v>
      </c>
      <c r="T194" s="275">
        <f>+List34[[#This Row],[Pengajuan Donasi]]-List34[[#This Row],[Jumlah Transfer]]</f>
        <v>0</v>
      </c>
      <c r="U194" s="275"/>
    </row>
    <row r="195" spans="2:21" ht="30" customHeight="1" x14ac:dyDescent="0.2">
      <c r="B195" s="102">
        <v>44644</v>
      </c>
      <c r="C195" s="181"/>
      <c r="D195" s="103" t="s">
        <v>852</v>
      </c>
      <c r="E195" s="103" t="s">
        <v>17</v>
      </c>
      <c r="F195" s="103" t="s">
        <v>18</v>
      </c>
      <c r="G195" s="15">
        <v>42</v>
      </c>
      <c r="H195" s="258">
        <v>5999700</v>
      </c>
      <c r="I195" s="258">
        <v>5999700</v>
      </c>
      <c r="J195" s="213" t="str">
        <f>IF(List34[[#This Row],[Tanggal Trf]]&gt;0,"Done","-")</f>
        <v>Done</v>
      </c>
      <c r="K195" s="445" t="s">
        <v>25</v>
      </c>
      <c r="L195" s="221">
        <v>44645</v>
      </c>
      <c r="M195" s="100" t="s">
        <v>1015</v>
      </c>
      <c r="N195" s="20">
        <f>MONTH(List34[[#This Row],[Tanggal Pengajuan]])</f>
        <v>3</v>
      </c>
      <c r="O195" s="183"/>
      <c r="P195" s="100" t="s">
        <v>707</v>
      </c>
      <c r="Q195" s="198"/>
      <c r="R195" s="230" t="s">
        <v>958</v>
      </c>
      <c r="T195" s="275">
        <f>+List34[[#This Row],[Pengajuan Donasi]]-List34[[#This Row],[Jumlah Transfer]]</f>
        <v>0</v>
      </c>
      <c r="U195" s="275"/>
    </row>
    <row r="196" spans="2:21" ht="30" customHeight="1" x14ac:dyDescent="0.2">
      <c r="B196" s="102">
        <v>44644</v>
      </c>
      <c r="C196" s="181"/>
      <c r="D196" s="103" t="s">
        <v>238</v>
      </c>
      <c r="E196" s="103" t="s">
        <v>17</v>
      </c>
      <c r="F196" s="103" t="s">
        <v>18</v>
      </c>
      <c r="G196" s="15">
        <v>42</v>
      </c>
      <c r="H196" s="258">
        <v>5999700</v>
      </c>
      <c r="I196" s="258">
        <f>List34[[#This Row],[Pengajuan Donasi]]</f>
        <v>5999700</v>
      </c>
      <c r="J196" s="213" t="str">
        <f>IF(List34[[#This Row],[Tanggal Trf]]&gt;0,"Done","-")</f>
        <v>Done</v>
      </c>
      <c r="K196" s="445" t="s">
        <v>25</v>
      </c>
      <c r="L196" s="221">
        <v>44645</v>
      </c>
      <c r="M196" s="100" t="s">
        <v>1015</v>
      </c>
      <c r="N196" s="20">
        <f>MONTH(List34[[#This Row],[Tanggal Pengajuan]])</f>
        <v>3</v>
      </c>
      <c r="O196" s="183"/>
      <c r="P196" s="100" t="s">
        <v>707</v>
      </c>
      <c r="Q196" s="198"/>
      <c r="R196" s="230" t="s">
        <v>958</v>
      </c>
      <c r="T196" s="275">
        <f>+List34[[#This Row],[Pengajuan Donasi]]-List34[[#This Row],[Jumlah Transfer]]</f>
        <v>0</v>
      </c>
      <c r="U196" s="275"/>
    </row>
    <row r="197" spans="2:21" ht="30" customHeight="1" x14ac:dyDescent="0.2">
      <c r="B197" s="102">
        <v>44644</v>
      </c>
      <c r="C197" s="181"/>
      <c r="D197" s="103" t="s">
        <v>867</v>
      </c>
      <c r="E197" s="103" t="s">
        <v>17</v>
      </c>
      <c r="F197" s="103" t="s">
        <v>18</v>
      </c>
      <c r="G197" s="15">
        <v>129</v>
      </c>
      <c r="H197" s="258">
        <v>5999800</v>
      </c>
      <c r="I197" s="258">
        <f>List34[[#This Row],[Pengajuan Donasi]]</f>
        <v>5999800</v>
      </c>
      <c r="J197" s="213" t="str">
        <f>IF(List34[[#This Row],[Tanggal Trf]]&gt;0,"Done","-")</f>
        <v>Done</v>
      </c>
      <c r="K197" s="445" t="s">
        <v>25</v>
      </c>
      <c r="L197" s="221">
        <v>44645</v>
      </c>
      <c r="M197" s="100" t="s">
        <v>1015</v>
      </c>
      <c r="N197" s="20">
        <f>MONTH(List34[[#This Row],[Tanggal Pengajuan]])</f>
        <v>3</v>
      </c>
      <c r="O197" s="183"/>
      <c r="P197" s="100" t="s">
        <v>707</v>
      </c>
      <c r="Q197" s="198"/>
      <c r="R197" s="230" t="s">
        <v>958</v>
      </c>
      <c r="T197" s="275">
        <f>+List34[[#This Row],[Pengajuan Donasi]]-List34[[#This Row],[Jumlah Transfer]]</f>
        <v>0</v>
      </c>
      <c r="U197" s="275"/>
    </row>
    <row r="198" spans="2:21" ht="30" customHeight="1" x14ac:dyDescent="0.2">
      <c r="B198" s="102">
        <v>44644</v>
      </c>
      <c r="C198" s="181"/>
      <c r="D198" s="103" t="s">
        <v>868</v>
      </c>
      <c r="E198" s="103" t="s">
        <v>17</v>
      </c>
      <c r="F198" s="103" t="s">
        <v>18</v>
      </c>
      <c r="G198" s="15">
        <v>27</v>
      </c>
      <c r="H198" s="258">
        <v>5999000</v>
      </c>
      <c r="I198" s="258">
        <f>List34[[#This Row],[Pengajuan Donasi]]</f>
        <v>5999000</v>
      </c>
      <c r="J198" s="213" t="str">
        <f>IF(List34[[#This Row],[Tanggal Trf]]&gt;0,"Done","-")</f>
        <v>Done</v>
      </c>
      <c r="K198" s="445" t="s">
        <v>25</v>
      </c>
      <c r="L198" s="221">
        <v>44645</v>
      </c>
      <c r="M198" s="100" t="s">
        <v>1015</v>
      </c>
      <c r="N198" s="20">
        <f>MONTH(List34[[#This Row],[Tanggal Pengajuan]])</f>
        <v>3</v>
      </c>
      <c r="O198" s="183"/>
      <c r="P198" s="100" t="s">
        <v>707</v>
      </c>
      <c r="Q198" s="198"/>
      <c r="R198" s="230" t="s">
        <v>958</v>
      </c>
      <c r="T198" s="275">
        <f>+List34[[#This Row],[Pengajuan Donasi]]-List34[[#This Row],[Jumlah Transfer]]</f>
        <v>0</v>
      </c>
      <c r="U198" s="275"/>
    </row>
    <row r="199" spans="2:21" ht="30" customHeight="1" x14ac:dyDescent="0.2">
      <c r="B199" s="102">
        <v>44644</v>
      </c>
      <c r="C199" s="181"/>
      <c r="D199" s="103" t="s">
        <v>124</v>
      </c>
      <c r="E199" s="103" t="s">
        <v>17</v>
      </c>
      <c r="F199" s="103" t="s">
        <v>18</v>
      </c>
      <c r="G199" s="15">
        <v>119</v>
      </c>
      <c r="H199" s="258">
        <v>5998400</v>
      </c>
      <c r="I199" s="258">
        <f>List34[[#This Row],[Pengajuan Donasi]]</f>
        <v>5998400</v>
      </c>
      <c r="J199" s="213" t="str">
        <f>IF(List34[[#This Row],[Tanggal Trf]]&gt;0,"Done","-")</f>
        <v>Done</v>
      </c>
      <c r="K199" s="445" t="s">
        <v>25</v>
      </c>
      <c r="L199" s="221">
        <v>44645</v>
      </c>
      <c r="M199" s="100" t="s">
        <v>1015</v>
      </c>
      <c r="N199" s="20">
        <f>MONTH(List34[[#This Row],[Tanggal Pengajuan]])</f>
        <v>3</v>
      </c>
      <c r="O199" s="183"/>
      <c r="P199" s="100" t="s">
        <v>707</v>
      </c>
      <c r="Q199" s="198"/>
      <c r="R199" s="230" t="s">
        <v>958</v>
      </c>
      <c r="T199" s="275">
        <f>+List34[[#This Row],[Pengajuan Donasi]]-List34[[#This Row],[Jumlah Transfer]]</f>
        <v>0</v>
      </c>
      <c r="U199" s="275"/>
    </row>
    <row r="200" spans="2:21" ht="30" customHeight="1" x14ac:dyDescent="0.2">
      <c r="B200" s="102">
        <v>44644</v>
      </c>
      <c r="C200" s="181"/>
      <c r="D200" s="103" t="s">
        <v>855</v>
      </c>
      <c r="E200" s="103" t="s">
        <v>17</v>
      </c>
      <c r="F200" s="103" t="s">
        <v>18</v>
      </c>
      <c r="G200" s="15">
        <v>91</v>
      </c>
      <c r="H200" s="258">
        <v>5999600</v>
      </c>
      <c r="I200" s="258">
        <f>List34[[#This Row],[Pengajuan Donasi]]</f>
        <v>5999600</v>
      </c>
      <c r="J200" s="213" t="str">
        <f>IF(List34[[#This Row],[Tanggal Trf]]&gt;0,"Done","-")</f>
        <v>Done</v>
      </c>
      <c r="K200" s="445" t="s">
        <v>25</v>
      </c>
      <c r="L200" s="221">
        <v>44645</v>
      </c>
      <c r="M200" s="100" t="s">
        <v>1015</v>
      </c>
      <c r="N200" s="20">
        <f>MONTH(List34[[#This Row],[Tanggal Pengajuan]])</f>
        <v>3</v>
      </c>
      <c r="O200" s="183"/>
      <c r="P200" s="100" t="s">
        <v>707</v>
      </c>
      <c r="Q200" s="198"/>
      <c r="R200" s="230" t="s">
        <v>958</v>
      </c>
      <c r="T200" s="275">
        <f>+List34[[#This Row],[Pengajuan Donasi]]-List34[[#This Row],[Jumlah Transfer]]</f>
        <v>0</v>
      </c>
      <c r="U200" s="275"/>
    </row>
    <row r="201" spans="2:21" ht="30" customHeight="1" x14ac:dyDescent="0.2">
      <c r="B201" s="102">
        <v>44644</v>
      </c>
      <c r="C201" s="181"/>
      <c r="D201" s="103" t="s">
        <v>871</v>
      </c>
      <c r="E201" s="103" t="s">
        <v>17</v>
      </c>
      <c r="F201" s="103" t="s">
        <v>18</v>
      </c>
      <c r="G201" s="15">
        <v>68</v>
      </c>
      <c r="H201" s="258">
        <v>5999400</v>
      </c>
      <c r="I201" s="258">
        <f>List34[[#This Row],[Pengajuan Donasi]]</f>
        <v>5999400</v>
      </c>
      <c r="J201" s="213" t="str">
        <f>IF(List34[[#This Row],[Tanggal Trf]]&gt;0,"Done","-")</f>
        <v>Done</v>
      </c>
      <c r="K201" s="445" t="s">
        <v>25</v>
      </c>
      <c r="L201" s="221">
        <v>44645</v>
      </c>
      <c r="M201" s="100" t="s">
        <v>1015</v>
      </c>
      <c r="N201" s="20">
        <f>MONTH(List34[[#This Row],[Tanggal Pengajuan]])</f>
        <v>3</v>
      </c>
      <c r="O201" s="183"/>
      <c r="P201" s="100" t="s">
        <v>707</v>
      </c>
      <c r="Q201" s="198"/>
      <c r="R201" s="230" t="s">
        <v>958</v>
      </c>
      <c r="T201" s="275">
        <f>+List34[[#This Row],[Pengajuan Donasi]]-List34[[#This Row],[Jumlah Transfer]]</f>
        <v>0</v>
      </c>
      <c r="U201" s="275"/>
    </row>
    <row r="202" spans="2:21" ht="30" customHeight="1" x14ac:dyDescent="0.2">
      <c r="B202" s="102">
        <v>44644</v>
      </c>
      <c r="C202" s="181"/>
      <c r="D202" s="103" t="s">
        <v>851</v>
      </c>
      <c r="E202" s="103" t="s">
        <v>17</v>
      </c>
      <c r="F202" s="103" t="s">
        <v>18</v>
      </c>
      <c r="G202" s="15">
        <v>22</v>
      </c>
      <c r="H202" s="258">
        <v>5998400</v>
      </c>
      <c r="I202" s="258">
        <f>List34[[#This Row],[Pengajuan Donasi]]</f>
        <v>5998400</v>
      </c>
      <c r="J202" s="213" t="str">
        <f>IF(List34[[#This Row],[Tanggal Trf]]&gt;0,"Done","-")</f>
        <v>Done</v>
      </c>
      <c r="K202" s="445" t="s">
        <v>25</v>
      </c>
      <c r="L202" s="221">
        <v>44645</v>
      </c>
      <c r="M202" s="100" t="s">
        <v>1015</v>
      </c>
      <c r="N202" s="20">
        <f>MONTH(List34[[#This Row],[Tanggal Pengajuan]])</f>
        <v>3</v>
      </c>
      <c r="O202" s="183"/>
      <c r="P202" s="105" t="s">
        <v>707</v>
      </c>
      <c r="Q202" s="198"/>
      <c r="R202" s="230" t="s">
        <v>958</v>
      </c>
      <c r="T202" s="275">
        <f>+List34[[#This Row],[Pengajuan Donasi]]-List34[[#This Row],[Jumlah Transfer]]</f>
        <v>0</v>
      </c>
      <c r="U202" s="275"/>
    </row>
    <row r="203" spans="2:21" ht="30" customHeight="1" x14ac:dyDescent="0.2">
      <c r="B203" s="102">
        <v>44644</v>
      </c>
      <c r="C203" s="181"/>
      <c r="D203" s="103" t="s">
        <v>869</v>
      </c>
      <c r="E203" s="103" t="s">
        <v>17</v>
      </c>
      <c r="F203" s="103" t="s">
        <v>18</v>
      </c>
      <c r="G203" s="15">
        <v>93</v>
      </c>
      <c r="H203" s="258">
        <v>5998500</v>
      </c>
      <c r="I203" s="258">
        <f>List34[[#This Row],[Pengajuan Donasi]]</f>
        <v>5998500</v>
      </c>
      <c r="J203" s="213" t="str">
        <f>IF(List34[[#This Row],[Tanggal Trf]]&gt;0,"Done","-")</f>
        <v>Done</v>
      </c>
      <c r="K203" s="445" t="s">
        <v>25</v>
      </c>
      <c r="L203" s="221">
        <v>44645</v>
      </c>
      <c r="M203" s="100" t="s">
        <v>1015</v>
      </c>
      <c r="N203" s="20">
        <f>MONTH(List34[[#This Row],[Tanggal Pengajuan]])</f>
        <v>3</v>
      </c>
      <c r="O203" s="183"/>
      <c r="P203" s="100" t="s">
        <v>707</v>
      </c>
      <c r="Q203" s="198"/>
      <c r="R203" s="230" t="s">
        <v>958</v>
      </c>
      <c r="T203" s="275">
        <f>+List34[[#This Row],[Pengajuan Donasi]]-List34[[#This Row],[Jumlah Transfer]]</f>
        <v>0</v>
      </c>
      <c r="U203" s="275"/>
    </row>
    <row r="204" spans="2:21" ht="30" customHeight="1" x14ac:dyDescent="0.2">
      <c r="B204" s="102">
        <v>44644</v>
      </c>
      <c r="C204" s="181"/>
      <c r="D204" s="103" t="s">
        <v>848</v>
      </c>
      <c r="E204" s="103" t="s">
        <v>17</v>
      </c>
      <c r="F204" s="103" t="s">
        <v>18</v>
      </c>
      <c r="G204" s="15">
        <v>36</v>
      </c>
      <c r="H204" s="258">
        <v>5998600</v>
      </c>
      <c r="I204" s="258">
        <f>List34[[#This Row],[Pengajuan Donasi]]</f>
        <v>5998600</v>
      </c>
      <c r="J204" s="213" t="str">
        <f>IF(List34[[#This Row],[Tanggal Trf]]&gt;0,"Done","-")</f>
        <v>Done</v>
      </c>
      <c r="K204" s="445" t="s">
        <v>25</v>
      </c>
      <c r="L204" s="221">
        <v>44645</v>
      </c>
      <c r="M204" s="100" t="s">
        <v>1015</v>
      </c>
      <c r="N204" s="20">
        <f>MONTH(List34[[#This Row],[Tanggal Pengajuan]])</f>
        <v>3</v>
      </c>
      <c r="O204" s="183"/>
      <c r="P204" s="100" t="s">
        <v>707</v>
      </c>
      <c r="Q204" s="198"/>
      <c r="R204" s="230" t="s">
        <v>958</v>
      </c>
      <c r="T204" s="275">
        <f>+List34[[#This Row],[Pengajuan Donasi]]-List34[[#This Row],[Jumlah Transfer]]</f>
        <v>0</v>
      </c>
      <c r="U204" s="275"/>
    </row>
    <row r="205" spans="2:21" ht="30" customHeight="1" x14ac:dyDescent="0.2">
      <c r="B205" s="102">
        <v>44644</v>
      </c>
      <c r="C205" s="181"/>
      <c r="D205" s="103" t="s">
        <v>229</v>
      </c>
      <c r="E205" s="103" t="s">
        <v>17</v>
      </c>
      <c r="F205" s="103" t="s">
        <v>18</v>
      </c>
      <c r="G205" s="15">
        <v>40</v>
      </c>
      <c r="H205" s="258">
        <v>5999100</v>
      </c>
      <c r="I205" s="258">
        <f>List34[[#This Row],[Pengajuan Donasi]]</f>
        <v>5999100</v>
      </c>
      <c r="J205" s="213" t="str">
        <f>IF(List34[[#This Row],[Tanggal Trf]]&gt;0,"Done","-")</f>
        <v>Done</v>
      </c>
      <c r="K205" s="445" t="s">
        <v>25</v>
      </c>
      <c r="L205" s="221">
        <v>44645</v>
      </c>
      <c r="M205" s="100" t="s">
        <v>1015</v>
      </c>
      <c r="N205" s="20">
        <f>MONTH(List34[[#This Row],[Tanggal Pengajuan]])</f>
        <v>3</v>
      </c>
      <c r="O205" s="183"/>
      <c r="P205" s="100" t="s">
        <v>707</v>
      </c>
      <c r="Q205" s="198"/>
      <c r="R205" s="230" t="s">
        <v>958</v>
      </c>
      <c r="T205" s="275">
        <f>+List34[[#This Row],[Pengajuan Donasi]]-List34[[#This Row],[Jumlah Transfer]]</f>
        <v>0</v>
      </c>
      <c r="U205" s="275"/>
    </row>
    <row r="206" spans="2:21" ht="30" customHeight="1" x14ac:dyDescent="0.2">
      <c r="B206" s="102">
        <v>44644</v>
      </c>
      <c r="C206" s="181"/>
      <c r="D206" s="103" t="s">
        <v>228</v>
      </c>
      <c r="E206" s="103" t="s">
        <v>17</v>
      </c>
      <c r="F206" s="103" t="s">
        <v>18</v>
      </c>
      <c r="G206" s="15">
        <v>66</v>
      </c>
      <c r="H206" s="258">
        <v>5999900</v>
      </c>
      <c r="I206" s="258">
        <f>List34[[#This Row],[Pengajuan Donasi]]</f>
        <v>5999900</v>
      </c>
      <c r="J206" s="213" t="str">
        <f>IF(List34[[#This Row],[Tanggal Trf]]&gt;0,"Done","-")</f>
        <v>Done</v>
      </c>
      <c r="K206" s="445" t="s">
        <v>25</v>
      </c>
      <c r="L206" s="221">
        <v>44645</v>
      </c>
      <c r="M206" s="100" t="s">
        <v>1015</v>
      </c>
      <c r="N206" s="20">
        <f>MONTH(List34[[#This Row],[Tanggal Pengajuan]])</f>
        <v>3</v>
      </c>
      <c r="O206" s="183"/>
      <c r="P206" s="100" t="s">
        <v>707</v>
      </c>
      <c r="Q206" s="198"/>
      <c r="R206" s="230" t="s">
        <v>958</v>
      </c>
      <c r="T206" s="275">
        <f>+List34[[#This Row],[Pengajuan Donasi]]-List34[[#This Row],[Jumlah Transfer]]</f>
        <v>0</v>
      </c>
      <c r="U206" s="275"/>
    </row>
    <row r="207" spans="2:21" ht="30" customHeight="1" x14ac:dyDescent="0.2">
      <c r="B207" s="102">
        <v>44644</v>
      </c>
      <c r="C207" s="181"/>
      <c r="D207" s="103" t="s">
        <v>858</v>
      </c>
      <c r="E207" s="103" t="s">
        <v>17</v>
      </c>
      <c r="F207" s="103" t="s">
        <v>18</v>
      </c>
      <c r="G207" s="15">
        <v>12</v>
      </c>
      <c r="H207" s="258">
        <v>5999500</v>
      </c>
      <c r="I207" s="258">
        <f>List34[[#This Row],[Pengajuan Donasi]]</f>
        <v>5999500</v>
      </c>
      <c r="J207" s="213" t="str">
        <f>IF(List34[[#This Row],[Tanggal Trf]]&gt;0,"Done","-")</f>
        <v>Done</v>
      </c>
      <c r="K207" s="445" t="s">
        <v>25</v>
      </c>
      <c r="L207" s="221">
        <v>44645</v>
      </c>
      <c r="M207" s="100" t="s">
        <v>1015</v>
      </c>
      <c r="N207" s="20">
        <f>MONTH(List34[[#This Row],[Tanggal Pengajuan]])</f>
        <v>3</v>
      </c>
      <c r="O207" s="183"/>
      <c r="P207" s="105" t="s">
        <v>707</v>
      </c>
      <c r="Q207" s="198"/>
      <c r="R207" s="230" t="s">
        <v>958</v>
      </c>
      <c r="T207" s="275">
        <f>+List34[[#This Row],[Pengajuan Donasi]]-List34[[#This Row],[Jumlah Transfer]]</f>
        <v>0</v>
      </c>
      <c r="U207" s="275"/>
    </row>
    <row r="208" spans="2:21" ht="30" customHeight="1" x14ac:dyDescent="0.2">
      <c r="B208" s="102">
        <v>44644</v>
      </c>
      <c r="C208" s="181"/>
      <c r="D208" s="103" t="s">
        <v>856</v>
      </c>
      <c r="E208" s="103" t="s">
        <v>17</v>
      </c>
      <c r="F208" s="103" t="s">
        <v>18</v>
      </c>
      <c r="G208" s="15">
        <v>32</v>
      </c>
      <c r="H208" s="258">
        <v>5998100</v>
      </c>
      <c r="I208" s="258">
        <f>List34[[#This Row],[Pengajuan Donasi]]</f>
        <v>5998100</v>
      </c>
      <c r="J208" s="213" t="str">
        <f>IF(List34[[#This Row],[Tanggal Trf]]&gt;0,"Done","-")</f>
        <v>Done</v>
      </c>
      <c r="K208" s="445" t="s">
        <v>25</v>
      </c>
      <c r="L208" s="221">
        <v>44645</v>
      </c>
      <c r="M208" s="100" t="s">
        <v>1015</v>
      </c>
      <c r="N208" s="20">
        <f>MONTH(List34[[#This Row],[Tanggal Pengajuan]])</f>
        <v>3</v>
      </c>
      <c r="O208" s="183"/>
      <c r="P208" s="100" t="s">
        <v>707</v>
      </c>
      <c r="Q208" s="198"/>
      <c r="R208" s="230" t="s">
        <v>958</v>
      </c>
      <c r="T208" s="275">
        <f>+List34[[#This Row],[Pengajuan Donasi]]-List34[[#This Row],[Jumlah Transfer]]</f>
        <v>0</v>
      </c>
      <c r="U208" s="275"/>
    </row>
    <row r="209" spans="2:21" ht="30" customHeight="1" x14ac:dyDescent="0.2">
      <c r="B209" s="102">
        <v>44644</v>
      </c>
      <c r="C209" s="181"/>
      <c r="D209" s="103" t="s">
        <v>854</v>
      </c>
      <c r="E209" s="103" t="s">
        <v>17</v>
      </c>
      <c r="F209" s="103" t="s">
        <v>18</v>
      </c>
      <c r="G209" s="15">
        <v>118</v>
      </c>
      <c r="H209" s="258">
        <v>6000000</v>
      </c>
      <c r="I209" s="258">
        <f>List34[[#This Row],[Pengajuan Donasi]]</f>
        <v>6000000</v>
      </c>
      <c r="J209" s="213" t="str">
        <f>IF(List34[[#This Row],[Tanggal Trf]]&gt;0,"Done","-")</f>
        <v>Done</v>
      </c>
      <c r="K209" s="445" t="s">
        <v>25</v>
      </c>
      <c r="L209" s="221">
        <v>44645</v>
      </c>
      <c r="M209" s="100" t="s">
        <v>1015</v>
      </c>
      <c r="N209" s="20">
        <f>MONTH(List34[[#This Row],[Tanggal Pengajuan]])</f>
        <v>3</v>
      </c>
      <c r="O209" s="183"/>
      <c r="P209" s="100" t="s">
        <v>707</v>
      </c>
      <c r="Q209" s="198"/>
      <c r="R209" s="230" t="s">
        <v>958</v>
      </c>
      <c r="T209" s="275">
        <f>+List34[[#This Row],[Pengajuan Donasi]]-List34[[#This Row],[Jumlah Transfer]]</f>
        <v>0</v>
      </c>
      <c r="U209" s="275"/>
    </row>
    <row r="210" spans="2:21" ht="30" customHeight="1" x14ac:dyDescent="0.2">
      <c r="B210" s="102">
        <v>44644</v>
      </c>
      <c r="C210" s="181"/>
      <c r="D210" s="103" t="s">
        <v>328</v>
      </c>
      <c r="E210" s="103" t="s">
        <v>17</v>
      </c>
      <c r="F210" s="103" t="s">
        <v>18</v>
      </c>
      <c r="G210" s="15">
        <v>14</v>
      </c>
      <c r="H210" s="258">
        <v>5999100</v>
      </c>
      <c r="I210" s="258">
        <f>List34[[#This Row],[Pengajuan Donasi]]</f>
        <v>5999100</v>
      </c>
      <c r="J210" s="213" t="str">
        <f>IF(List34[[#This Row],[Tanggal Trf]]&gt;0,"Done","-")</f>
        <v>Done</v>
      </c>
      <c r="K210" s="445" t="s">
        <v>25</v>
      </c>
      <c r="L210" s="221">
        <v>44645</v>
      </c>
      <c r="M210" s="100" t="s">
        <v>1015</v>
      </c>
      <c r="N210" s="20">
        <f>MONTH(List34[[#This Row],[Tanggal Pengajuan]])</f>
        <v>3</v>
      </c>
      <c r="O210" s="183"/>
      <c r="P210" s="100" t="s">
        <v>707</v>
      </c>
      <c r="Q210" s="198"/>
      <c r="R210" s="230" t="s">
        <v>958</v>
      </c>
      <c r="T210" s="275">
        <f>+List34[[#This Row],[Pengajuan Donasi]]-List34[[#This Row],[Jumlah Transfer]]</f>
        <v>0</v>
      </c>
      <c r="U210" s="275"/>
    </row>
    <row r="211" spans="2:21" ht="30" customHeight="1" x14ac:dyDescent="0.2">
      <c r="B211" s="102">
        <v>44644</v>
      </c>
      <c r="C211" s="181"/>
      <c r="D211" s="103" t="s">
        <v>857</v>
      </c>
      <c r="E211" s="103" t="s">
        <v>17</v>
      </c>
      <c r="F211" s="103" t="s">
        <v>18</v>
      </c>
      <c r="G211" s="15">
        <v>78</v>
      </c>
      <c r="H211" s="258">
        <v>5999600</v>
      </c>
      <c r="I211" s="258">
        <f>List34[[#This Row],[Pengajuan Donasi]]</f>
        <v>5999600</v>
      </c>
      <c r="J211" s="213" t="str">
        <f>IF(List34[[#This Row],[Tanggal Trf]]&gt;0,"Done","-")</f>
        <v>Done</v>
      </c>
      <c r="K211" s="445" t="s">
        <v>25</v>
      </c>
      <c r="L211" s="221">
        <v>44645</v>
      </c>
      <c r="M211" s="100" t="s">
        <v>1015</v>
      </c>
      <c r="N211" s="20">
        <f>MONTH(List34[[#This Row],[Tanggal Pengajuan]])</f>
        <v>3</v>
      </c>
      <c r="O211" s="183"/>
      <c r="P211" s="105" t="s">
        <v>707</v>
      </c>
      <c r="Q211" s="198"/>
      <c r="R211" s="230" t="s">
        <v>958</v>
      </c>
      <c r="T211" s="275">
        <f>+List34[[#This Row],[Pengajuan Donasi]]-List34[[#This Row],[Jumlah Transfer]]</f>
        <v>0</v>
      </c>
      <c r="U211" s="275"/>
    </row>
    <row r="212" spans="2:21" ht="30" customHeight="1" x14ac:dyDescent="0.2">
      <c r="B212" s="102">
        <v>44644</v>
      </c>
      <c r="C212" s="181"/>
      <c r="D212" s="103" t="s">
        <v>853</v>
      </c>
      <c r="E212" s="103" t="s">
        <v>17</v>
      </c>
      <c r="F212" s="103" t="s">
        <v>18</v>
      </c>
      <c r="G212" s="15">
        <v>25</v>
      </c>
      <c r="H212" s="258">
        <v>5998700</v>
      </c>
      <c r="I212" s="258">
        <f>List34[[#This Row],[Pengajuan Donasi]]</f>
        <v>5998700</v>
      </c>
      <c r="J212" s="213" t="str">
        <f>IF(List34[[#This Row],[Tanggal Trf]]&gt;0,"Done","-")</f>
        <v>Done</v>
      </c>
      <c r="K212" s="445" t="s">
        <v>25</v>
      </c>
      <c r="L212" s="221">
        <v>44645</v>
      </c>
      <c r="M212" s="100" t="s">
        <v>1015</v>
      </c>
      <c r="N212" s="20">
        <f>MONTH(List34[[#This Row],[Tanggal Pengajuan]])</f>
        <v>3</v>
      </c>
      <c r="O212" s="183"/>
      <c r="P212" s="100" t="s">
        <v>707</v>
      </c>
      <c r="Q212" s="198"/>
      <c r="R212" s="230" t="s">
        <v>958</v>
      </c>
      <c r="T212" s="275">
        <f>+List34[[#This Row],[Pengajuan Donasi]]-List34[[#This Row],[Jumlah Transfer]]</f>
        <v>0</v>
      </c>
      <c r="U212" s="275"/>
    </row>
    <row r="213" spans="2:21" ht="30" customHeight="1" x14ac:dyDescent="0.2">
      <c r="B213" s="102">
        <v>44644</v>
      </c>
      <c r="C213" s="181"/>
      <c r="D213" s="103" t="s">
        <v>362</v>
      </c>
      <c r="E213" s="103" t="s">
        <v>17</v>
      </c>
      <c r="F213" s="103" t="s">
        <v>18</v>
      </c>
      <c r="G213" s="15">
        <v>137</v>
      </c>
      <c r="H213" s="258">
        <v>5991700</v>
      </c>
      <c r="I213" s="258">
        <f>List34[[#This Row],[Pengajuan Donasi]]</f>
        <v>5991700</v>
      </c>
      <c r="J213" s="213" t="str">
        <f>IF(List34[[#This Row],[Tanggal Trf]]&gt;0,"Done","-")</f>
        <v>Done</v>
      </c>
      <c r="K213" s="445" t="s">
        <v>25</v>
      </c>
      <c r="L213" s="221">
        <v>44645</v>
      </c>
      <c r="M213" s="100" t="s">
        <v>1015</v>
      </c>
      <c r="N213" s="20">
        <f>MONTH(List34[[#This Row],[Tanggal Pengajuan]])</f>
        <v>3</v>
      </c>
      <c r="O213" s="183"/>
      <c r="P213" s="100" t="s">
        <v>707</v>
      </c>
      <c r="Q213" s="198"/>
      <c r="R213" s="230" t="s">
        <v>958</v>
      </c>
      <c r="T213" s="275">
        <f>+List34[[#This Row],[Pengajuan Donasi]]-List34[[#This Row],[Jumlah Transfer]]</f>
        <v>0</v>
      </c>
      <c r="U213" s="275"/>
    </row>
    <row r="214" spans="2:21" ht="30" customHeight="1" x14ac:dyDescent="0.2">
      <c r="B214" s="102">
        <v>44644</v>
      </c>
      <c r="C214" s="181"/>
      <c r="D214" s="103" t="s">
        <v>391</v>
      </c>
      <c r="E214" s="103" t="s">
        <v>17</v>
      </c>
      <c r="F214" s="103" t="s">
        <v>18</v>
      </c>
      <c r="G214" s="15">
        <v>40</v>
      </c>
      <c r="H214" s="258">
        <v>5999400</v>
      </c>
      <c r="I214" s="258">
        <f>List34[[#This Row],[Pengajuan Donasi]]</f>
        <v>5999400</v>
      </c>
      <c r="J214" s="213" t="str">
        <f>IF(List34[[#This Row],[Tanggal Trf]]&gt;0,"Done","-")</f>
        <v>Done</v>
      </c>
      <c r="K214" s="445" t="s">
        <v>25</v>
      </c>
      <c r="L214" s="221">
        <v>44645</v>
      </c>
      <c r="M214" s="100" t="s">
        <v>1015</v>
      </c>
      <c r="N214" s="20">
        <f>MONTH(List34[[#This Row],[Tanggal Pengajuan]])</f>
        <v>3</v>
      </c>
      <c r="O214" s="183"/>
      <c r="P214" s="100" t="s">
        <v>707</v>
      </c>
      <c r="Q214" s="198"/>
      <c r="R214" s="230" t="s">
        <v>958</v>
      </c>
      <c r="T214" s="275">
        <f>+List34[[#This Row],[Pengajuan Donasi]]-List34[[#This Row],[Jumlah Transfer]]</f>
        <v>0</v>
      </c>
      <c r="U214" s="275"/>
    </row>
    <row r="215" spans="2:21" ht="30" customHeight="1" x14ac:dyDescent="0.2">
      <c r="B215" s="102">
        <v>44644</v>
      </c>
      <c r="C215" s="181"/>
      <c r="D215" s="103" t="s">
        <v>860</v>
      </c>
      <c r="E215" s="103" t="s">
        <v>17</v>
      </c>
      <c r="F215" s="103" t="s">
        <v>18</v>
      </c>
      <c r="G215" s="15">
        <v>45</v>
      </c>
      <c r="H215" s="258">
        <v>5999900</v>
      </c>
      <c r="I215" s="258">
        <f>List34[[#This Row],[Pengajuan Donasi]]</f>
        <v>5999900</v>
      </c>
      <c r="J215" s="213" t="str">
        <f>IF(List34[[#This Row],[Tanggal Trf]]&gt;0,"Done","-")</f>
        <v>Done</v>
      </c>
      <c r="K215" s="445" t="s">
        <v>25</v>
      </c>
      <c r="L215" s="221">
        <v>44645</v>
      </c>
      <c r="M215" s="100" t="s">
        <v>1015</v>
      </c>
      <c r="N215" s="20">
        <f>MONTH(List34[[#This Row],[Tanggal Pengajuan]])</f>
        <v>3</v>
      </c>
      <c r="O215" s="183"/>
      <c r="P215" s="100" t="s">
        <v>707</v>
      </c>
      <c r="Q215" s="198"/>
      <c r="R215" s="230" t="s">
        <v>958</v>
      </c>
      <c r="T215" s="275">
        <f>+List34[[#This Row],[Pengajuan Donasi]]-List34[[#This Row],[Jumlah Transfer]]</f>
        <v>0</v>
      </c>
      <c r="U215" s="275"/>
    </row>
    <row r="216" spans="2:21" ht="30" customHeight="1" x14ac:dyDescent="0.2">
      <c r="B216" s="102">
        <v>44644</v>
      </c>
      <c r="C216" s="181"/>
      <c r="D216" s="103" t="s">
        <v>861</v>
      </c>
      <c r="E216" s="103" t="s">
        <v>17</v>
      </c>
      <c r="F216" s="103" t="s">
        <v>18</v>
      </c>
      <c r="G216" s="15">
        <v>65</v>
      </c>
      <c r="H216" s="258">
        <v>5999100</v>
      </c>
      <c r="I216" s="258">
        <f>List34[[#This Row],[Pengajuan Donasi]]</f>
        <v>5999100</v>
      </c>
      <c r="J216" s="213" t="str">
        <f>IF(List34[[#This Row],[Tanggal Trf]]&gt;0,"Done","-")</f>
        <v>Done</v>
      </c>
      <c r="K216" s="445" t="s">
        <v>25</v>
      </c>
      <c r="L216" s="221">
        <v>44645</v>
      </c>
      <c r="M216" s="100" t="s">
        <v>1015</v>
      </c>
      <c r="N216" s="20">
        <f>MONTH(List34[[#This Row],[Tanggal Pengajuan]])</f>
        <v>3</v>
      </c>
      <c r="O216" s="183"/>
      <c r="P216" s="105" t="s">
        <v>707</v>
      </c>
      <c r="Q216" s="198"/>
      <c r="R216" s="230" t="s">
        <v>958</v>
      </c>
      <c r="T216" s="275">
        <f>+List34[[#This Row],[Pengajuan Donasi]]-List34[[#This Row],[Jumlah Transfer]]</f>
        <v>0</v>
      </c>
      <c r="U216" s="275"/>
    </row>
    <row r="217" spans="2:21" ht="30" customHeight="1" x14ac:dyDescent="0.2">
      <c r="B217" s="102">
        <v>44644</v>
      </c>
      <c r="C217" s="181"/>
      <c r="D217" s="103" t="s">
        <v>862</v>
      </c>
      <c r="E217" s="103" t="s">
        <v>17</v>
      </c>
      <c r="F217" s="103" t="s">
        <v>18</v>
      </c>
      <c r="G217" s="15">
        <v>40</v>
      </c>
      <c r="H217" s="258">
        <v>5996200</v>
      </c>
      <c r="I217" s="258">
        <f>List34[[#This Row],[Pengajuan Donasi]]</f>
        <v>5996200</v>
      </c>
      <c r="J217" s="213" t="str">
        <f>IF(List34[[#This Row],[Tanggal Trf]]&gt;0,"Done","-")</f>
        <v>Done</v>
      </c>
      <c r="K217" s="445" t="s">
        <v>25</v>
      </c>
      <c r="L217" s="221">
        <v>44645</v>
      </c>
      <c r="M217" s="100" t="s">
        <v>1015</v>
      </c>
      <c r="N217" s="20">
        <f>MONTH(List34[[#This Row],[Tanggal Pengajuan]])</f>
        <v>3</v>
      </c>
      <c r="O217" s="183"/>
      <c r="P217" s="100" t="s">
        <v>707</v>
      </c>
      <c r="Q217" s="198"/>
      <c r="R217" s="230" t="s">
        <v>958</v>
      </c>
      <c r="T217" s="275">
        <f>+List34[[#This Row],[Pengajuan Donasi]]-List34[[#This Row],[Jumlah Transfer]]</f>
        <v>0</v>
      </c>
      <c r="U217" s="275"/>
    </row>
    <row r="218" spans="2:21" ht="30" customHeight="1" x14ac:dyDescent="0.2">
      <c r="B218" s="102">
        <v>44644</v>
      </c>
      <c r="C218" s="181"/>
      <c r="D218" s="103" t="s">
        <v>863</v>
      </c>
      <c r="E218" s="103" t="s">
        <v>17</v>
      </c>
      <c r="F218" s="103" t="s">
        <v>18</v>
      </c>
      <c r="G218" s="15">
        <v>142</v>
      </c>
      <c r="H218" s="258">
        <v>5998400</v>
      </c>
      <c r="I218" s="258">
        <f>List34[[#This Row],[Pengajuan Donasi]]</f>
        <v>5998400</v>
      </c>
      <c r="J218" s="213" t="str">
        <f>IF(List34[[#This Row],[Tanggal Trf]]&gt;0,"Done","-")</f>
        <v>Done</v>
      </c>
      <c r="K218" s="445" t="s">
        <v>25</v>
      </c>
      <c r="L218" s="221">
        <v>44645</v>
      </c>
      <c r="M218" s="100" t="s">
        <v>1015</v>
      </c>
      <c r="N218" s="20">
        <f>MONTH(List34[[#This Row],[Tanggal Pengajuan]])</f>
        <v>3</v>
      </c>
      <c r="O218" s="183"/>
      <c r="P218" s="100" t="s">
        <v>707</v>
      </c>
      <c r="Q218" s="198"/>
      <c r="R218" s="230" t="s">
        <v>958</v>
      </c>
      <c r="T218" s="275">
        <f>+List34[[#This Row],[Pengajuan Donasi]]-List34[[#This Row],[Jumlah Transfer]]</f>
        <v>0</v>
      </c>
      <c r="U218" s="275"/>
    </row>
    <row r="219" spans="2:21" ht="30" customHeight="1" x14ac:dyDescent="0.2">
      <c r="B219" s="102">
        <v>44644</v>
      </c>
      <c r="C219" s="181"/>
      <c r="D219" s="103" t="s">
        <v>864</v>
      </c>
      <c r="E219" s="103" t="s">
        <v>17</v>
      </c>
      <c r="F219" s="103" t="s">
        <v>18</v>
      </c>
      <c r="G219" s="15">
        <v>141</v>
      </c>
      <c r="H219" s="258">
        <v>5998600</v>
      </c>
      <c r="I219" s="258">
        <f>List34[[#This Row],[Pengajuan Donasi]]</f>
        <v>5998600</v>
      </c>
      <c r="J219" s="213" t="str">
        <f>IF(List34[[#This Row],[Tanggal Trf]]&gt;0,"Done","-")</f>
        <v>Done</v>
      </c>
      <c r="K219" s="445" t="s">
        <v>25</v>
      </c>
      <c r="L219" s="221">
        <v>44645</v>
      </c>
      <c r="M219" s="100" t="s">
        <v>1015</v>
      </c>
      <c r="N219" s="20">
        <f>MONTH(List34[[#This Row],[Tanggal Pengajuan]])</f>
        <v>3</v>
      </c>
      <c r="O219" s="183"/>
      <c r="P219" s="100" t="s">
        <v>707</v>
      </c>
      <c r="Q219" s="198"/>
      <c r="R219" s="230" t="s">
        <v>958</v>
      </c>
      <c r="T219" s="275">
        <f>+List34[[#This Row],[Pengajuan Donasi]]-List34[[#This Row],[Jumlah Transfer]]</f>
        <v>0</v>
      </c>
      <c r="U219" s="275"/>
    </row>
    <row r="220" spans="2:21" ht="30" customHeight="1" x14ac:dyDescent="0.2">
      <c r="B220" s="102">
        <v>44644</v>
      </c>
      <c r="C220" s="181"/>
      <c r="D220" s="103" t="s">
        <v>865</v>
      </c>
      <c r="E220" s="103" t="s">
        <v>17</v>
      </c>
      <c r="F220" s="103" t="s">
        <v>18</v>
      </c>
      <c r="G220" s="469">
        <v>96</v>
      </c>
      <c r="H220" s="258">
        <v>5998400</v>
      </c>
      <c r="I220" s="258">
        <f>List34[[#This Row],[Pengajuan Donasi]]</f>
        <v>5998400</v>
      </c>
      <c r="J220" s="213" t="str">
        <f>IF(List34[[#This Row],[Tanggal Trf]]&gt;0,"Done","-")</f>
        <v>Done</v>
      </c>
      <c r="K220" s="445" t="s">
        <v>25</v>
      </c>
      <c r="L220" s="221">
        <v>44645</v>
      </c>
      <c r="M220" s="100" t="s">
        <v>1015</v>
      </c>
      <c r="N220" s="20">
        <f>MONTH(List34[[#This Row],[Tanggal Pengajuan]])</f>
        <v>3</v>
      </c>
      <c r="O220" s="183"/>
      <c r="P220" s="105" t="s">
        <v>707</v>
      </c>
      <c r="Q220" s="198"/>
      <c r="R220" s="230" t="s">
        <v>958</v>
      </c>
      <c r="T220" s="275">
        <f>+List34[[#This Row],[Pengajuan Donasi]]-List34[[#This Row],[Jumlah Transfer]]</f>
        <v>0</v>
      </c>
      <c r="U220" s="275"/>
    </row>
    <row r="221" spans="2:21" ht="30" customHeight="1" x14ac:dyDescent="0.2">
      <c r="B221" s="102">
        <v>44644</v>
      </c>
      <c r="C221" s="181"/>
      <c r="D221" s="103" t="s">
        <v>866</v>
      </c>
      <c r="E221" s="103" t="s">
        <v>17</v>
      </c>
      <c r="F221" s="103" t="s">
        <v>18</v>
      </c>
      <c r="G221" s="469">
        <v>56</v>
      </c>
      <c r="H221" s="258">
        <v>5999900</v>
      </c>
      <c r="I221" s="258">
        <f>List34[[#This Row],[Pengajuan Donasi]]</f>
        <v>5999900</v>
      </c>
      <c r="J221" s="213" t="str">
        <f>IF(List34[[#This Row],[Tanggal Trf]]&gt;0,"Done","-")</f>
        <v>Done</v>
      </c>
      <c r="K221" s="445" t="s">
        <v>25</v>
      </c>
      <c r="L221" s="221">
        <v>44645</v>
      </c>
      <c r="M221" s="100" t="s">
        <v>1015</v>
      </c>
      <c r="N221" s="20">
        <f>MONTH(List34[[#This Row],[Tanggal Pengajuan]])</f>
        <v>3</v>
      </c>
      <c r="O221" s="183"/>
      <c r="P221" s="100" t="s">
        <v>707</v>
      </c>
      <c r="Q221" s="198"/>
      <c r="R221" s="230" t="s">
        <v>958</v>
      </c>
      <c r="T221" s="275">
        <f>+List34[[#This Row],[Pengajuan Donasi]]-List34[[#This Row],[Jumlah Transfer]]</f>
        <v>0</v>
      </c>
      <c r="U221" s="275"/>
    </row>
    <row r="222" spans="2:21" ht="30" customHeight="1" x14ac:dyDescent="0.2">
      <c r="B222" s="102">
        <v>44644</v>
      </c>
      <c r="C222" s="67" t="s">
        <v>776</v>
      </c>
      <c r="D222" s="103" t="s">
        <v>1057</v>
      </c>
      <c r="E222" s="103" t="s">
        <v>1054</v>
      </c>
      <c r="F222" s="103" t="s">
        <v>18</v>
      </c>
      <c r="G222" s="15"/>
      <c r="H222" s="258">
        <v>0</v>
      </c>
      <c r="I222" s="258">
        <v>0</v>
      </c>
      <c r="J222" s="213" t="str">
        <f>IF(List34[[#This Row],[Tanggal Trf]]&gt;0,"Done","-")</f>
        <v>Done</v>
      </c>
      <c r="K222" s="437"/>
      <c r="L222" s="221">
        <v>44648</v>
      </c>
      <c r="M222" s="100" t="s">
        <v>778</v>
      </c>
      <c r="N222" s="100">
        <f>MONTH(List34[[#This Row],[Tanggal Pengajuan]])</f>
        <v>3</v>
      </c>
      <c r="O222" s="183"/>
      <c r="P222" s="105" t="s">
        <v>746</v>
      </c>
      <c r="Q222" s="111"/>
      <c r="R222" s="233" t="s">
        <v>960</v>
      </c>
      <c r="T222" s="275">
        <f>+List34[[#This Row],[Pengajuan Donasi]]-List34[[#This Row],[Jumlah Transfer]]</f>
        <v>0</v>
      </c>
      <c r="U222" s="275"/>
    </row>
    <row r="223" spans="2:21" ht="30" customHeight="1" x14ac:dyDescent="0.2">
      <c r="B223" s="102">
        <v>44644</v>
      </c>
      <c r="C223" s="197" t="s">
        <v>779</v>
      </c>
      <c r="D223" s="103" t="s">
        <v>780</v>
      </c>
      <c r="E223" s="103" t="s">
        <v>1054</v>
      </c>
      <c r="F223" s="103" t="s">
        <v>28</v>
      </c>
      <c r="G223" s="15"/>
      <c r="H223" s="258">
        <v>2140000</v>
      </c>
      <c r="I223" s="258">
        <v>2140000</v>
      </c>
      <c r="J223" s="213" t="str">
        <f>IF(List34[[#This Row],[Tanggal Trf]]&gt;0,"Done","-")</f>
        <v>Done</v>
      </c>
      <c r="K223" s="437"/>
      <c r="L223" s="221">
        <v>44649</v>
      </c>
      <c r="M223" s="100" t="s">
        <v>683</v>
      </c>
      <c r="N223" s="100">
        <f>MONTH(List34[[#This Row],[Tanggal Pengajuan]])</f>
        <v>3</v>
      </c>
      <c r="O223" s="183"/>
      <c r="P223" s="105" t="s">
        <v>746</v>
      </c>
      <c r="Q223" s="111"/>
      <c r="R223" s="230" t="s">
        <v>958</v>
      </c>
      <c r="T223" s="275">
        <f>+List34[[#This Row],[Pengajuan Donasi]]-List34[[#This Row],[Jumlah Transfer]]</f>
        <v>0</v>
      </c>
      <c r="U223" s="275"/>
    </row>
    <row r="224" spans="2:21" ht="30" customHeight="1" x14ac:dyDescent="0.2">
      <c r="B224" s="102">
        <v>44648</v>
      </c>
      <c r="C224" s="67" t="s">
        <v>781</v>
      </c>
      <c r="D224" s="103" t="s">
        <v>1057</v>
      </c>
      <c r="E224" s="103" t="s">
        <v>782</v>
      </c>
      <c r="F224" s="103" t="s">
        <v>18</v>
      </c>
      <c r="G224" s="15"/>
      <c r="H224" s="258">
        <v>0</v>
      </c>
      <c r="I224" s="258">
        <v>0</v>
      </c>
      <c r="J224" s="213" t="str">
        <f>IF(List34[[#This Row],[Tanggal Trf]]&gt;0,"Done","-")</f>
        <v>Done</v>
      </c>
      <c r="K224" s="437"/>
      <c r="L224" s="221">
        <v>44649</v>
      </c>
      <c r="M224" s="100" t="s">
        <v>683</v>
      </c>
      <c r="N224" s="100">
        <f>MONTH(List34[[#This Row],[Tanggal Pengajuan]])</f>
        <v>3</v>
      </c>
      <c r="O224" s="183"/>
      <c r="P224" s="105" t="s">
        <v>746</v>
      </c>
      <c r="Q224" s="111"/>
      <c r="R224" s="233" t="s">
        <v>960</v>
      </c>
      <c r="T224" s="275">
        <f>+List34[[#This Row],[Pengajuan Donasi]]-List34[[#This Row],[Jumlah Transfer]]</f>
        <v>0</v>
      </c>
      <c r="U224" s="275"/>
    </row>
    <row r="225" spans="2:21" ht="30" customHeight="1" x14ac:dyDescent="0.2">
      <c r="B225" s="102">
        <v>44650</v>
      </c>
      <c r="C225" s="67" t="s">
        <v>783</v>
      </c>
      <c r="D225" s="103" t="s">
        <v>1059</v>
      </c>
      <c r="E225" s="103" t="s">
        <v>1055</v>
      </c>
      <c r="F225" s="103" t="s">
        <v>18</v>
      </c>
      <c r="G225" s="15"/>
      <c r="H225" s="258">
        <v>2009400</v>
      </c>
      <c r="I225" s="258">
        <f>List34[[#This Row],[Pengajuan Donasi]]</f>
        <v>2009400</v>
      </c>
      <c r="J225" s="213" t="str">
        <f>IF(List34[[#This Row],[Tanggal Trf]]&gt;0,"Done","-")</f>
        <v>Done</v>
      </c>
      <c r="K225" s="446" t="s">
        <v>784</v>
      </c>
      <c r="L225" s="221">
        <v>44652</v>
      </c>
      <c r="M225" s="100" t="s">
        <v>786</v>
      </c>
      <c r="N225" s="100">
        <f>MONTH(List34[[#This Row],[Tanggal Pengajuan]])</f>
        <v>3</v>
      </c>
      <c r="O225" s="183"/>
      <c r="P225" s="100" t="s">
        <v>785</v>
      </c>
      <c r="Q225" s="111"/>
      <c r="R225" s="230" t="s">
        <v>958</v>
      </c>
      <c r="T225" s="275">
        <f>+List34[[#This Row],[Pengajuan Donasi]]-List34[[#This Row],[Jumlah Transfer]]</f>
        <v>0</v>
      </c>
      <c r="U225" s="275"/>
    </row>
    <row r="226" spans="2:21" ht="30" customHeight="1" x14ac:dyDescent="0.2">
      <c r="B226" s="102">
        <v>44650</v>
      </c>
      <c r="C226" s="67" t="s">
        <v>787</v>
      </c>
      <c r="D226" s="103" t="s">
        <v>1059</v>
      </c>
      <c r="E226" s="103" t="s">
        <v>1055</v>
      </c>
      <c r="F226" s="103" t="s">
        <v>18</v>
      </c>
      <c r="G226" s="15"/>
      <c r="H226" s="258">
        <v>4059200</v>
      </c>
      <c r="I226" s="258">
        <f>List34[[#This Row],[Pengajuan Donasi]]</f>
        <v>4059200</v>
      </c>
      <c r="J226" s="213" t="str">
        <f>IF(List34[[#This Row],[Tanggal Trf]]&gt;0,"Done","-")</f>
        <v>Done</v>
      </c>
      <c r="K226" s="446" t="s">
        <v>784</v>
      </c>
      <c r="L226" s="221">
        <v>44652</v>
      </c>
      <c r="M226" s="100" t="s">
        <v>786</v>
      </c>
      <c r="N226" s="100">
        <f>MONTH(List34[[#This Row],[Tanggal Pengajuan]])</f>
        <v>3</v>
      </c>
      <c r="O226" s="183"/>
      <c r="P226" s="100" t="s">
        <v>788</v>
      </c>
      <c r="Q226" s="111"/>
      <c r="R226" s="230" t="s">
        <v>958</v>
      </c>
      <c r="T226" s="275">
        <f>+List34[[#This Row],[Pengajuan Donasi]]-List34[[#This Row],[Jumlah Transfer]]</f>
        <v>0</v>
      </c>
      <c r="U226" s="275"/>
    </row>
    <row r="227" spans="2:21" ht="30" customHeight="1" x14ac:dyDescent="0.2">
      <c r="B227" s="102">
        <v>44650</v>
      </c>
      <c r="C227" s="67" t="s">
        <v>789</v>
      </c>
      <c r="D227" s="103" t="s">
        <v>790</v>
      </c>
      <c r="E227" s="103" t="s">
        <v>1055</v>
      </c>
      <c r="F227" s="103" t="s">
        <v>960</v>
      </c>
      <c r="G227" s="15"/>
      <c r="H227" s="261">
        <v>0</v>
      </c>
      <c r="I227" s="261">
        <f>List34[[#This Row],[Pengajuan Donasi]]</f>
        <v>0</v>
      </c>
      <c r="J227" s="213" t="str">
        <f>IF(List34[[#This Row],[Tanggal Trf]]&gt;0,"Done","-")</f>
        <v>Done</v>
      </c>
      <c r="K227" s="446" t="s">
        <v>1058</v>
      </c>
      <c r="L227" s="221" t="s">
        <v>960</v>
      </c>
      <c r="M227" s="100" t="s">
        <v>786</v>
      </c>
      <c r="N227" s="100">
        <f>MONTH(List34[[#This Row],[Tanggal Pengajuan]])</f>
        <v>3</v>
      </c>
      <c r="O227" s="183"/>
      <c r="P227" s="100"/>
      <c r="Q227" s="111"/>
      <c r="R227" s="230" t="s">
        <v>958</v>
      </c>
      <c r="T227" s="275">
        <f>+List34[[#This Row],[Pengajuan Donasi]]-List34[[#This Row],[Jumlah Transfer]]</f>
        <v>0</v>
      </c>
      <c r="U227" s="275"/>
    </row>
    <row r="228" spans="2:21" ht="30" customHeight="1" x14ac:dyDescent="0.2">
      <c r="B228" s="102">
        <v>44650</v>
      </c>
      <c r="C228" s="67" t="s">
        <v>791</v>
      </c>
      <c r="D228" s="103" t="s">
        <v>1059</v>
      </c>
      <c r="E228" s="103" t="s">
        <v>1055</v>
      </c>
      <c r="F228" s="103" t="s">
        <v>18</v>
      </c>
      <c r="G228" s="15"/>
      <c r="H228" s="258">
        <v>3012300</v>
      </c>
      <c r="I228" s="258">
        <f>List34[[#This Row],[Pengajuan Donasi]]</f>
        <v>3012300</v>
      </c>
      <c r="J228" s="213" t="str">
        <f>IF(List34[[#This Row],[Tanggal Trf]]&gt;0,"Done","-")</f>
        <v>Done</v>
      </c>
      <c r="K228" s="446" t="s">
        <v>1017</v>
      </c>
      <c r="L228" s="221">
        <v>44705</v>
      </c>
      <c r="M228" s="100" t="s">
        <v>786</v>
      </c>
      <c r="N228" s="100">
        <f>MONTH(List34[[#This Row],[Tanggal Pengajuan]])</f>
        <v>3</v>
      </c>
      <c r="O228" s="183"/>
      <c r="P228" s="100" t="s">
        <v>792</v>
      </c>
      <c r="Q228" s="111"/>
      <c r="R228" s="230" t="s">
        <v>958</v>
      </c>
      <c r="T228" s="275">
        <f>+List34[[#This Row],[Pengajuan Donasi]]-List34[[#This Row],[Jumlah Transfer]]</f>
        <v>0</v>
      </c>
      <c r="U228" s="275"/>
    </row>
    <row r="229" spans="2:21" ht="30" customHeight="1" x14ac:dyDescent="0.2">
      <c r="B229" s="102">
        <v>44651</v>
      </c>
      <c r="C229" s="67" t="s">
        <v>793</v>
      </c>
      <c r="D229" s="103" t="s">
        <v>872</v>
      </c>
      <c r="E229" s="103" t="s">
        <v>17</v>
      </c>
      <c r="F229" s="103" t="s">
        <v>18</v>
      </c>
      <c r="G229" s="15">
        <v>59</v>
      </c>
      <c r="H229" s="258">
        <v>5998500</v>
      </c>
      <c r="I229" s="258">
        <v>5998500</v>
      </c>
      <c r="J229" s="213" t="str">
        <f>IF(List34[[#This Row],[Tanggal Trf]]&gt;0,"Done","-")</f>
        <v>Done</v>
      </c>
      <c r="K229" s="445" t="s">
        <v>25</v>
      </c>
      <c r="L229" s="221">
        <v>44652</v>
      </c>
      <c r="M229" s="100" t="s">
        <v>1015</v>
      </c>
      <c r="N229" s="100">
        <f>MONTH(List34[[#This Row],[Tanggal Pengajuan]])</f>
        <v>3</v>
      </c>
      <c r="O229" s="183"/>
      <c r="P229" s="105" t="s">
        <v>746</v>
      </c>
      <c r="Q229" s="111"/>
      <c r="R229" s="230" t="s">
        <v>958</v>
      </c>
      <c r="T229" s="275">
        <f>+List34[[#This Row],[Pengajuan Donasi]]-List34[[#This Row],[Jumlah Transfer]]</f>
        <v>0</v>
      </c>
      <c r="U229" s="275"/>
    </row>
    <row r="230" spans="2:21" ht="30" customHeight="1" x14ac:dyDescent="0.2">
      <c r="B230" s="102">
        <v>44651</v>
      </c>
      <c r="C230" s="67"/>
      <c r="D230" s="103" t="s">
        <v>870</v>
      </c>
      <c r="E230" s="103" t="s">
        <v>17</v>
      </c>
      <c r="F230" s="103" t="s">
        <v>18</v>
      </c>
      <c r="G230" s="15">
        <v>19</v>
      </c>
      <c r="H230" s="258">
        <v>5999700</v>
      </c>
      <c r="I230" s="258">
        <f>List34[[#This Row],[Pengajuan Donasi]]</f>
        <v>5999700</v>
      </c>
      <c r="J230" s="214" t="str">
        <f>IF(List34[[#This Row],[Tanggal Trf]]&gt;0,"Done","-")</f>
        <v>Done</v>
      </c>
      <c r="K230" s="445" t="s">
        <v>25</v>
      </c>
      <c r="L230" s="221">
        <v>44652</v>
      </c>
      <c r="M230" s="100" t="s">
        <v>1015</v>
      </c>
      <c r="N230" s="100">
        <f>MONTH(List34[[#This Row],[Tanggal Pengajuan]])</f>
        <v>3</v>
      </c>
      <c r="O230" s="183"/>
      <c r="P230" s="105" t="s">
        <v>746</v>
      </c>
      <c r="Q230" s="111"/>
      <c r="R230" s="230" t="s">
        <v>958</v>
      </c>
      <c r="T230" s="275">
        <f>+List34[[#This Row],[Pengajuan Donasi]]-List34[[#This Row],[Jumlah Transfer]]</f>
        <v>0</v>
      </c>
      <c r="U230" s="275"/>
    </row>
    <row r="231" spans="2:21" ht="30" customHeight="1" x14ac:dyDescent="0.2">
      <c r="B231" s="102">
        <v>44651</v>
      </c>
      <c r="C231" s="67"/>
      <c r="D231" s="103" t="s">
        <v>849</v>
      </c>
      <c r="E231" s="103" t="s">
        <v>17</v>
      </c>
      <c r="F231" s="103" t="s">
        <v>18</v>
      </c>
      <c r="G231" s="15">
        <v>63</v>
      </c>
      <c r="H231" s="258">
        <v>5992300</v>
      </c>
      <c r="I231" s="258">
        <f>List34[[#This Row],[Pengajuan Donasi]]</f>
        <v>5992300</v>
      </c>
      <c r="J231" s="214" t="str">
        <f>IF(List34[[#This Row],[Tanggal Trf]]&gt;0,"Done","-")</f>
        <v>Done</v>
      </c>
      <c r="K231" s="445" t="s">
        <v>25</v>
      </c>
      <c r="L231" s="221">
        <v>44652</v>
      </c>
      <c r="M231" s="100" t="s">
        <v>1015</v>
      </c>
      <c r="N231" s="100">
        <f>MONTH(List34[[#This Row],[Tanggal Pengajuan]])</f>
        <v>3</v>
      </c>
      <c r="O231" s="183"/>
      <c r="P231" s="105" t="s">
        <v>746</v>
      </c>
      <c r="Q231" s="111"/>
      <c r="R231" s="230" t="s">
        <v>958</v>
      </c>
      <c r="T231" s="275">
        <f>+List34[[#This Row],[Pengajuan Donasi]]-List34[[#This Row],[Jumlah Transfer]]</f>
        <v>0</v>
      </c>
      <c r="U231" s="275"/>
    </row>
    <row r="232" spans="2:21" ht="30" customHeight="1" x14ac:dyDescent="0.2">
      <c r="B232" s="102">
        <v>44651</v>
      </c>
      <c r="C232" s="67"/>
      <c r="D232" s="103" t="s">
        <v>850</v>
      </c>
      <c r="E232" s="103" t="s">
        <v>17</v>
      </c>
      <c r="F232" s="103" t="s">
        <v>18</v>
      </c>
      <c r="G232" s="15">
        <v>61</v>
      </c>
      <c r="H232" s="258">
        <v>5999900</v>
      </c>
      <c r="I232" s="258">
        <f>List34[[#This Row],[Pengajuan Donasi]]</f>
        <v>5999900</v>
      </c>
      <c r="J232" s="214" t="str">
        <f>IF(List34[[#This Row],[Tanggal Trf]]&gt;0,"Done","-")</f>
        <v>Done</v>
      </c>
      <c r="K232" s="445" t="s">
        <v>25</v>
      </c>
      <c r="L232" s="221">
        <v>44652</v>
      </c>
      <c r="M232" s="100" t="s">
        <v>1015</v>
      </c>
      <c r="N232" s="100">
        <f>MONTH(List34[[#This Row],[Tanggal Pengajuan]])</f>
        <v>3</v>
      </c>
      <c r="O232" s="183"/>
      <c r="P232" s="105" t="s">
        <v>746</v>
      </c>
      <c r="Q232" s="111"/>
      <c r="R232" s="230" t="s">
        <v>958</v>
      </c>
      <c r="T232" s="275">
        <f>+List34[[#This Row],[Pengajuan Donasi]]-List34[[#This Row],[Jumlah Transfer]]</f>
        <v>0</v>
      </c>
      <c r="U232" s="275"/>
    </row>
    <row r="233" spans="2:21" ht="30" customHeight="1" x14ac:dyDescent="0.2">
      <c r="B233" s="102">
        <v>44651</v>
      </c>
      <c r="C233" s="67"/>
      <c r="D233" s="103" t="s">
        <v>852</v>
      </c>
      <c r="E233" s="103" t="s">
        <v>17</v>
      </c>
      <c r="F233" s="103" t="s">
        <v>18</v>
      </c>
      <c r="G233" s="15">
        <v>42</v>
      </c>
      <c r="H233" s="258">
        <v>5998400</v>
      </c>
      <c r="I233" s="258">
        <f>List34[[#This Row],[Pengajuan Donasi]]</f>
        <v>5998400</v>
      </c>
      <c r="J233" s="214" t="str">
        <f>IF(List34[[#This Row],[Tanggal Trf]]&gt;0,"Done","-")</f>
        <v>Done</v>
      </c>
      <c r="K233" s="445" t="s">
        <v>25</v>
      </c>
      <c r="L233" s="221">
        <v>44652</v>
      </c>
      <c r="M233" s="100" t="s">
        <v>1015</v>
      </c>
      <c r="N233" s="100">
        <f>MONTH(List34[[#This Row],[Tanggal Pengajuan]])</f>
        <v>3</v>
      </c>
      <c r="O233" s="183"/>
      <c r="P233" s="105" t="s">
        <v>746</v>
      </c>
      <c r="Q233" s="111"/>
      <c r="R233" s="230" t="s">
        <v>958</v>
      </c>
      <c r="T233" s="275">
        <f>+List34[[#This Row],[Pengajuan Donasi]]-List34[[#This Row],[Jumlah Transfer]]</f>
        <v>0</v>
      </c>
      <c r="U233" s="275"/>
    </row>
    <row r="234" spans="2:21" ht="30" customHeight="1" x14ac:dyDescent="0.2">
      <c r="B234" s="102">
        <v>44651</v>
      </c>
      <c r="C234" s="67"/>
      <c r="D234" s="103" t="s">
        <v>238</v>
      </c>
      <c r="E234" s="103" t="s">
        <v>17</v>
      </c>
      <c r="F234" s="103" t="s">
        <v>18</v>
      </c>
      <c r="G234" s="15">
        <v>42</v>
      </c>
      <c r="H234" s="258">
        <v>5993100</v>
      </c>
      <c r="I234" s="258">
        <f>List34[[#This Row],[Pengajuan Donasi]]</f>
        <v>5993100</v>
      </c>
      <c r="J234" s="214" t="str">
        <f>IF(List34[[#This Row],[Tanggal Trf]]&gt;0,"Done","-")</f>
        <v>Done</v>
      </c>
      <c r="K234" s="445" t="s">
        <v>25</v>
      </c>
      <c r="L234" s="221">
        <v>44652</v>
      </c>
      <c r="M234" s="100" t="s">
        <v>1015</v>
      </c>
      <c r="N234" s="100">
        <f>MONTH(List34[[#This Row],[Tanggal Pengajuan]])</f>
        <v>3</v>
      </c>
      <c r="O234" s="183"/>
      <c r="P234" s="105" t="s">
        <v>746</v>
      </c>
      <c r="Q234" s="111"/>
      <c r="R234" s="230" t="s">
        <v>958</v>
      </c>
      <c r="T234" s="275">
        <f>+List34[[#This Row],[Pengajuan Donasi]]-List34[[#This Row],[Jumlah Transfer]]</f>
        <v>0</v>
      </c>
      <c r="U234" s="275"/>
    </row>
    <row r="235" spans="2:21" ht="30" customHeight="1" x14ac:dyDescent="0.2">
      <c r="B235" s="102">
        <v>44651</v>
      </c>
      <c r="C235" s="67"/>
      <c r="D235" s="103" t="s">
        <v>867</v>
      </c>
      <c r="E235" s="103" t="s">
        <v>17</v>
      </c>
      <c r="F235" s="103" t="s">
        <v>18</v>
      </c>
      <c r="G235" s="15">
        <v>129</v>
      </c>
      <c r="H235" s="258">
        <v>5999800</v>
      </c>
      <c r="I235" s="258">
        <f>List34[[#This Row],[Pengajuan Donasi]]</f>
        <v>5999800</v>
      </c>
      <c r="J235" s="214" t="str">
        <f>IF(List34[[#This Row],[Tanggal Trf]]&gt;0,"Done","-")</f>
        <v>Done</v>
      </c>
      <c r="K235" s="445" t="s">
        <v>25</v>
      </c>
      <c r="L235" s="221">
        <v>44652</v>
      </c>
      <c r="M235" s="100" t="s">
        <v>1015</v>
      </c>
      <c r="N235" s="100">
        <f>MONTH(List34[[#This Row],[Tanggal Pengajuan]])</f>
        <v>3</v>
      </c>
      <c r="O235" s="183"/>
      <c r="P235" s="105" t="s">
        <v>746</v>
      </c>
      <c r="Q235" s="111"/>
      <c r="R235" s="230" t="s">
        <v>958</v>
      </c>
      <c r="T235" s="275">
        <f>+List34[[#This Row],[Pengajuan Donasi]]-List34[[#This Row],[Jumlah Transfer]]</f>
        <v>0</v>
      </c>
      <c r="U235" s="275"/>
    </row>
    <row r="236" spans="2:21" ht="30" customHeight="1" x14ac:dyDescent="0.2">
      <c r="B236" s="102">
        <v>44651</v>
      </c>
      <c r="C236" s="67"/>
      <c r="D236" s="103" t="s">
        <v>868</v>
      </c>
      <c r="E236" s="103" t="s">
        <v>17</v>
      </c>
      <c r="F236" s="103" t="s">
        <v>18</v>
      </c>
      <c r="G236" s="15">
        <v>27</v>
      </c>
      <c r="H236" s="258">
        <v>5998300</v>
      </c>
      <c r="I236" s="258">
        <f>List34[[#This Row],[Pengajuan Donasi]]</f>
        <v>5998300</v>
      </c>
      <c r="J236" s="214" t="str">
        <f>IF(List34[[#This Row],[Tanggal Trf]]&gt;0,"Done","-")</f>
        <v>Done</v>
      </c>
      <c r="K236" s="445" t="s">
        <v>25</v>
      </c>
      <c r="L236" s="221">
        <v>44652</v>
      </c>
      <c r="M236" s="100" t="s">
        <v>1015</v>
      </c>
      <c r="N236" s="100">
        <f>MONTH(List34[[#This Row],[Tanggal Pengajuan]])</f>
        <v>3</v>
      </c>
      <c r="O236" s="183"/>
      <c r="P236" s="105" t="s">
        <v>746</v>
      </c>
      <c r="Q236" s="111"/>
      <c r="R236" s="230" t="s">
        <v>958</v>
      </c>
      <c r="T236" s="275">
        <f>+List34[[#This Row],[Pengajuan Donasi]]-List34[[#This Row],[Jumlah Transfer]]</f>
        <v>0</v>
      </c>
      <c r="U236" s="275"/>
    </row>
    <row r="237" spans="2:21" ht="30" customHeight="1" x14ac:dyDescent="0.2">
      <c r="B237" s="102">
        <v>44651</v>
      </c>
      <c r="C237" s="67"/>
      <c r="D237" s="103" t="s">
        <v>124</v>
      </c>
      <c r="E237" s="103" t="s">
        <v>17</v>
      </c>
      <c r="F237" s="103" t="s">
        <v>18</v>
      </c>
      <c r="G237" s="15">
        <v>119</v>
      </c>
      <c r="H237" s="258">
        <v>5997200</v>
      </c>
      <c r="I237" s="258">
        <f>List34[[#This Row],[Pengajuan Donasi]]</f>
        <v>5997200</v>
      </c>
      <c r="J237" s="214" t="str">
        <f>IF(List34[[#This Row],[Tanggal Trf]]&gt;0,"Done","-")</f>
        <v>Done</v>
      </c>
      <c r="K237" s="445" t="s">
        <v>25</v>
      </c>
      <c r="L237" s="221">
        <v>44652</v>
      </c>
      <c r="M237" s="100" t="s">
        <v>1015</v>
      </c>
      <c r="N237" s="100">
        <f>MONTH(List34[[#This Row],[Tanggal Pengajuan]])</f>
        <v>3</v>
      </c>
      <c r="O237" s="183"/>
      <c r="P237" s="105" t="s">
        <v>746</v>
      </c>
      <c r="Q237" s="111"/>
      <c r="R237" s="230" t="s">
        <v>958</v>
      </c>
      <c r="T237" s="275">
        <f>+List34[[#This Row],[Pengajuan Donasi]]-List34[[#This Row],[Jumlah Transfer]]</f>
        <v>0</v>
      </c>
      <c r="U237" s="275"/>
    </row>
    <row r="238" spans="2:21" ht="30" customHeight="1" x14ac:dyDescent="0.2">
      <c r="B238" s="102">
        <v>44651</v>
      </c>
      <c r="C238" s="67"/>
      <c r="D238" s="103" t="s">
        <v>855</v>
      </c>
      <c r="E238" s="103" t="s">
        <v>17</v>
      </c>
      <c r="F238" s="103" t="s">
        <v>18</v>
      </c>
      <c r="G238" s="15">
        <v>91</v>
      </c>
      <c r="H238" s="258">
        <v>5998000</v>
      </c>
      <c r="I238" s="258">
        <f>List34[[#This Row],[Pengajuan Donasi]]</f>
        <v>5998000</v>
      </c>
      <c r="J238" s="214" t="str">
        <f>IF(List34[[#This Row],[Tanggal Trf]]&gt;0,"Done","-")</f>
        <v>Done</v>
      </c>
      <c r="K238" s="445" t="s">
        <v>25</v>
      </c>
      <c r="L238" s="221">
        <v>44652</v>
      </c>
      <c r="M238" s="100" t="s">
        <v>1015</v>
      </c>
      <c r="N238" s="100">
        <f>MONTH(List34[[#This Row],[Tanggal Pengajuan]])</f>
        <v>3</v>
      </c>
      <c r="O238" s="183"/>
      <c r="P238" s="105" t="s">
        <v>746</v>
      </c>
      <c r="Q238" s="111"/>
      <c r="R238" s="230" t="s">
        <v>958</v>
      </c>
      <c r="T238" s="275">
        <f>+List34[[#This Row],[Pengajuan Donasi]]-List34[[#This Row],[Jumlah Transfer]]</f>
        <v>0</v>
      </c>
      <c r="U238" s="275"/>
    </row>
    <row r="239" spans="2:21" ht="30" customHeight="1" x14ac:dyDescent="0.2">
      <c r="B239" s="102">
        <v>44651</v>
      </c>
      <c r="C239" s="67"/>
      <c r="D239" s="103" t="s">
        <v>871</v>
      </c>
      <c r="E239" s="103" t="s">
        <v>17</v>
      </c>
      <c r="F239" s="103" t="s">
        <v>18</v>
      </c>
      <c r="G239" s="15">
        <v>68</v>
      </c>
      <c r="H239" s="258">
        <v>5999200</v>
      </c>
      <c r="I239" s="258">
        <f>List34[[#This Row],[Pengajuan Donasi]]</f>
        <v>5999200</v>
      </c>
      <c r="J239" s="214" t="str">
        <f>IF(List34[[#This Row],[Tanggal Trf]]&gt;0,"Done","-")</f>
        <v>Done</v>
      </c>
      <c r="K239" s="445" t="s">
        <v>25</v>
      </c>
      <c r="L239" s="221">
        <v>44652</v>
      </c>
      <c r="M239" s="100" t="s">
        <v>1015</v>
      </c>
      <c r="N239" s="100">
        <f>MONTH(List34[[#This Row],[Tanggal Pengajuan]])</f>
        <v>3</v>
      </c>
      <c r="O239" s="183"/>
      <c r="P239" s="105" t="s">
        <v>746</v>
      </c>
      <c r="Q239" s="111"/>
      <c r="R239" s="230" t="s">
        <v>958</v>
      </c>
      <c r="T239" s="275">
        <f>+List34[[#This Row],[Pengajuan Donasi]]-List34[[#This Row],[Jumlah Transfer]]</f>
        <v>0</v>
      </c>
      <c r="U239" s="275"/>
    </row>
    <row r="240" spans="2:21" ht="30" customHeight="1" x14ac:dyDescent="0.2">
      <c r="B240" s="102">
        <v>44651</v>
      </c>
      <c r="C240" s="67"/>
      <c r="D240" s="103" t="s">
        <v>851</v>
      </c>
      <c r="E240" s="103" t="s">
        <v>17</v>
      </c>
      <c r="F240" s="103" t="s">
        <v>18</v>
      </c>
      <c r="G240" s="15">
        <v>22</v>
      </c>
      <c r="H240" s="258">
        <v>5993700</v>
      </c>
      <c r="I240" s="258">
        <f>List34[[#This Row],[Pengajuan Donasi]]</f>
        <v>5993700</v>
      </c>
      <c r="J240" s="214" t="str">
        <f>IF(List34[[#This Row],[Tanggal Trf]]&gt;0,"Done","-")</f>
        <v>Done</v>
      </c>
      <c r="K240" s="445" t="s">
        <v>25</v>
      </c>
      <c r="L240" s="221">
        <v>44652</v>
      </c>
      <c r="M240" s="100" t="s">
        <v>1015</v>
      </c>
      <c r="N240" s="100">
        <f>MONTH(List34[[#This Row],[Tanggal Pengajuan]])</f>
        <v>3</v>
      </c>
      <c r="O240" s="183"/>
      <c r="P240" s="105" t="s">
        <v>746</v>
      </c>
      <c r="Q240" s="111"/>
      <c r="R240" s="230" t="s">
        <v>958</v>
      </c>
      <c r="T240" s="275">
        <f>+List34[[#This Row],[Pengajuan Donasi]]-List34[[#This Row],[Jumlah Transfer]]</f>
        <v>0</v>
      </c>
      <c r="U240" s="275"/>
    </row>
    <row r="241" spans="2:21" ht="30" customHeight="1" x14ac:dyDescent="0.2">
      <c r="B241" s="102">
        <v>44651</v>
      </c>
      <c r="C241" s="67"/>
      <c r="D241" s="103" t="s">
        <v>869</v>
      </c>
      <c r="E241" s="103" t="s">
        <v>17</v>
      </c>
      <c r="F241" s="103" t="s">
        <v>18</v>
      </c>
      <c r="G241" s="15">
        <v>93</v>
      </c>
      <c r="H241" s="258">
        <v>5999000</v>
      </c>
      <c r="I241" s="258">
        <f>List34[[#This Row],[Pengajuan Donasi]]</f>
        <v>5999000</v>
      </c>
      <c r="J241" s="214" t="str">
        <f>IF(List34[[#This Row],[Tanggal Trf]]&gt;0,"Done","-")</f>
        <v>Done</v>
      </c>
      <c r="K241" s="445" t="s">
        <v>25</v>
      </c>
      <c r="L241" s="221">
        <v>44652</v>
      </c>
      <c r="M241" s="100" t="s">
        <v>1015</v>
      </c>
      <c r="N241" s="100">
        <f>MONTH(List34[[#This Row],[Tanggal Pengajuan]])</f>
        <v>3</v>
      </c>
      <c r="O241" s="183"/>
      <c r="P241" s="105" t="s">
        <v>746</v>
      </c>
      <c r="Q241" s="111"/>
      <c r="R241" s="230" t="s">
        <v>958</v>
      </c>
      <c r="T241" s="275">
        <f>+List34[[#This Row],[Pengajuan Donasi]]-List34[[#This Row],[Jumlah Transfer]]</f>
        <v>0</v>
      </c>
      <c r="U241" s="275"/>
    </row>
    <row r="242" spans="2:21" ht="30" customHeight="1" x14ac:dyDescent="0.2">
      <c r="B242" s="102">
        <v>44651</v>
      </c>
      <c r="C242" s="67"/>
      <c r="D242" s="103" t="s">
        <v>848</v>
      </c>
      <c r="E242" s="103" t="s">
        <v>17</v>
      </c>
      <c r="F242" s="103" t="s">
        <v>18</v>
      </c>
      <c r="G242" s="15">
        <v>36</v>
      </c>
      <c r="H242" s="258">
        <v>5998800</v>
      </c>
      <c r="I242" s="258">
        <f>List34[[#This Row],[Pengajuan Donasi]]</f>
        <v>5998800</v>
      </c>
      <c r="J242" s="214" t="str">
        <f>IF(List34[[#This Row],[Tanggal Trf]]&gt;0,"Done","-")</f>
        <v>Done</v>
      </c>
      <c r="K242" s="445" t="s">
        <v>25</v>
      </c>
      <c r="L242" s="221">
        <v>44652</v>
      </c>
      <c r="M242" s="100" t="s">
        <v>1015</v>
      </c>
      <c r="N242" s="100">
        <f>MONTH(List34[[#This Row],[Tanggal Pengajuan]])</f>
        <v>3</v>
      </c>
      <c r="O242" s="183"/>
      <c r="P242" s="105" t="s">
        <v>746</v>
      </c>
      <c r="Q242" s="111"/>
      <c r="R242" s="230" t="s">
        <v>958</v>
      </c>
      <c r="T242" s="275">
        <f>+List34[[#This Row],[Pengajuan Donasi]]-List34[[#This Row],[Jumlah Transfer]]</f>
        <v>0</v>
      </c>
      <c r="U242" s="275"/>
    </row>
    <row r="243" spans="2:21" ht="30" customHeight="1" x14ac:dyDescent="0.2">
      <c r="B243" s="102">
        <v>44651</v>
      </c>
      <c r="C243" s="67"/>
      <c r="D243" s="103" t="s">
        <v>229</v>
      </c>
      <c r="E243" s="103" t="s">
        <v>17</v>
      </c>
      <c r="F243" s="103" t="s">
        <v>18</v>
      </c>
      <c r="G243" s="15">
        <v>40</v>
      </c>
      <c r="H243" s="258">
        <v>5998900</v>
      </c>
      <c r="I243" s="258">
        <f>List34[[#This Row],[Pengajuan Donasi]]</f>
        <v>5998900</v>
      </c>
      <c r="J243" s="214" t="str">
        <f>IF(List34[[#This Row],[Tanggal Trf]]&gt;0,"Done","-")</f>
        <v>Done</v>
      </c>
      <c r="K243" s="445" t="s">
        <v>25</v>
      </c>
      <c r="L243" s="221">
        <v>44652</v>
      </c>
      <c r="M243" s="100" t="s">
        <v>1015</v>
      </c>
      <c r="N243" s="100">
        <f>MONTH(List34[[#This Row],[Tanggal Pengajuan]])</f>
        <v>3</v>
      </c>
      <c r="O243" s="183"/>
      <c r="P243" s="105" t="s">
        <v>746</v>
      </c>
      <c r="Q243" s="111"/>
      <c r="R243" s="230" t="s">
        <v>958</v>
      </c>
      <c r="T243" s="275">
        <f>+List34[[#This Row],[Pengajuan Donasi]]-List34[[#This Row],[Jumlah Transfer]]</f>
        <v>0</v>
      </c>
      <c r="U243" s="275"/>
    </row>
    <row r="244" spans="2:21" ht="30" customHeight="1" x14ac:dyDescent="0.2">
      <c r="B244" s="102">
        <v>44651</v>
      </c>
      <c r="C244" s="67"/>
      <c r="D244" s="103" t="s">
        <v>228</v>
      </c>
      <c r="E244" s="103" t="s">
        <v>17</v>
      </c>
      <c r="F244" s="103" t="s">
        <v>18</v>
      </c>
      <c r="G244" s="15">
        <v>66</v>
      </c>
      <c r="H244" s="258">
        <v>5996900</v>
      </c>
      <c r="I244" s="258">
        <f>List34[[#This Row],[Pengajuan Donasi]]</f>
        <v>5996900</v>
      </c>
      <c r="J244" s="214" t="str">
        <f>IF(List34[[#This Row],[Tanggal Trf]]&gt;0,"Done","-")</f>
        <v>Done</v>
      </c>
      <c r="K244" s="445" t="s">
        <v>25</v>
      </c>
      <c r="L244" s="221">
        <v>44652</v>
      </c>
      <c r="M244" s="100" t="s">
        <v>1015</v>
      </c>
      <c r="N244" s="100">
        <f>MONTH(List34[[#This Row],[Tanggal Pengajuan]])</f>
        <v>3</v>
      </c>
      <c r="O244" s="183"/>
      <c r="P244" s="105" t="s">
        <v>746</v>
      </c>
      <c r="Q244" s="111"/>
      <c r="R244" s="230" t="s">
        <v>958</v>
      </c>
      <c r="T244" s="275">
        <f>+List34[[#This Row],[Pengajuan Donasi]]-List34[[#This Row],[Jumlah Transfer]]</f>
        <v>0</v>
      </c>
      <c r="U244" s="275"/>
    </row>
    <row r="245" spans="2:21" ht="30" customHeight="1" x14ac:dyDescent="0.2">
      <c r="B245" s="102">
        <v>44651</v>
      </c>
      <c r="C245" s="67"/>
      <c r="D245" s="103" t="s">
        <v>858</v>
      </c>
      <c r="E245" s="103" t="s">
        <v>17</v>
      </c>
      <c r="F245" s="103" t="s">
        <v>18</v>
      </c>
      <c r="G245" s="15">
        <v>12</v>
      </c>
      <c r="H245" s="258">
        <v>5999800</v>
      </c>
      <c r="I245" s="258">
        <f>List34[[#This Row],[Pengajuan Donasi]]</f>
        <v>5999800</v>
      </c>
      <c r="J245" s="214" t="str">
        <f>IF(List34[[#This Row],[Tanggal Trf]]&gt;0,"Done","-")</f>
        <v>Done</v>
      </c>
      <c r="K245" s="445" t="s">
        <v>25</v>
      </c>
      <c r="L245" s="221">
        <v>44652</v>
      </c>
      <c r="M245" s="100" t="s">
        <v>1015</v>
      </c>
      <c r="N245" s="100">
        <f>MONTH(List34[[#This Row],[Tanggal Pengajuan]])</f>
        <v>3</v>
      </c>
      <c r="O245" s="183"/>
      <c r="P245" s="105" t="s">
        <v>746</v>
      </c>
      <c r="Q245" s="111"/>
      <c r="R245" s="230" t="s">
        <v>958</v>
      </c>
      <c r="T245" s="275">
        <f>+List34[[#This Row],[Pengajuan Donasi]]-List34[[#This Row],[Jumlah Transfer]]</f>
        <v>0</v>
      </c>
      <c r="U245" s="275"/>
    </row>
    <row r="246" spans="2:21" ht="30" customHeight="1" x14ac:dyDescent="0.2">
      <c r="B246" s="102">
        <v>44651</v>
      </c>
      <c r="C246" s="67"/>
      <c r="D246" s="103" t="s">
        <v>856</v>
      </c>
      <c r="E246" s="103" t="s">
        <v>17</v>
      </c>
      <c r="F246" s="103" t="s">
        <v>18</v>
      </c>
      <c r="G246" s="15">
        <v>32</v>
      </c>
      <c r="H246" s="258">
        <v>5999000</v>
      </c>
      <c r="I246" s="258">
        <f>List34[[#This Row],[Pengajuan Donasi]]</f>
        <v>5999000</v>
      </c>
      <c r="J246" s="214" t="str">
        <f>IF(List34[[#This Row],[Tanggal Trf]]&gt;0,"Done","-")</f>
        <v>Done</v>
      </c>
      <c r="K246" s="445" t="s">
        <v>25</v>
      </c>
      <c r="L246" s="221">
        <v>44652</v>
      </c>
      <c r="M246" s="100" t="s">
        <v>1015</v>
      </c>
      <c r="N246" s="100">
        <f>MONTH(List34[[#This Row],[Tanggal Pengajuan]])</f>
        <v>3</v>
      </c>
      <c r="O246" s="183"/>
      <c r="P246" s="105" t="s">
        <v>746</v>
      </c>
      <c r="Q246" s="111"/>
      <c r="R246" s="230" t="s">
        <v>958</v>
      </c>
      <c r="T246" s="275">
        <f>+List34[[#This Row],[Pengajuan Donasi]]-List34[[#This Row],[Jumlah Transfer]]</f>
        <v>0</v>
      </c>
      <c r="U246" s="275"/>
    </row>
    <row r="247" spans="2:21" ht="30" customHeight="1" x14ac:dyDescent="0.2">
      <c r="B247" s="102">
        <v>44651</v>
      </c>
      <c r="C247" s="181"/>
      <c r="D247" s="103" t="s">
        <v>854</v>
      </c>
      <c r="E247" s="103" t="s">
        <v>17</v>
      </c>
      <c r="F247" s="103" t="s">
        <v>18</v>
      </c>
      <c r="G247" s="15">
        <v>118</v>
      </c>
      <c r="H247" s="258">
        <v>5998600</v>
      </c>
      <c r="I247" s="258">
        <f>List34[[#This Row],[Pengajuan Donasi]]</f>
        <v>5998600</v>
      </c>
      <c r="J247" s="215" t="str">
        <f>IF(List34[[#This Row],[Tanggal Trf]]&gt;0,"Done","-")</f>
        <v>Done</v>
      </c>
      <c r="K247" s="445" t="s">
        <v>25</v>
      </c>
      <c r="L247" s="221">
        <v>44652</v>
      </c>
      <c r="M247" s="100" t="s">
        <v>1015</v>
      </c>
      <c r="N247" s="20">
        <f>MONTH(List34[[#This Row],[Tanggal Pengajuan]])</f>
        <v>3</v>
      </c>
      <c r="O247" s="183"/>
      <c r="P247" s="105" t="s">
        <v>746</v>
      </c>
      <c r="Q247" s="198"/>
      <c r="R247" s="230" t="s">
        <v>958</v>
      </c>
      <c r="T247" s="275">
        <f>+List34[[#This Row],[Pengajuan Donasi]]-List34[[#This Row],[Jumlah Transfer]]</f>
        <v>0</v>
      </c>
      <c r="U247" s="275"/>
    </row>
    <row r="248" spans="2:21" ht="30" customHeight="1" x14ac:dyDescent="0.2">
      <c r="B248" s="102">
        <v>44651</v>
      </c>
      <c r="C248" s="181"/>
      <c r="D248" s="103" t="s">
        <v>328</v>
      </c>
      <c r="E248" s="103" t="s">
        <v>17</v>
      </c>
      <c r="F248" s="103" t="s">
        <v>18</v>
      </c>
      <c r="G248" s="15">
        <v>14</v>
      </c>
      <c r="H248" s="258">
        <v>5999900</v>
      </c>
      <c r="I248" s="258">
        <f>List34[[#This Row],[Pengajuan Donasi]]</f>
        <v>5999900</v>
      </c>
      <c r="J248" s="215" t="str">
        <f>IF(List34[[#This Row],[Tanggal Trf]]&gt;0,"Done","-")</f>
        <v>Done</v>
      </c>
      <c r="K248" s="445" t="s">
        <v>25</v>
      </c>
      <c r="L248" s="221">
        <v>44652</v>
      </c>
      <c r="M248" s="100" t="s">
        <v>1015</v>
      </c>
      <c r="N248" s="20">
        <f>MONTH(List34[[#This Row],[Tanggal Pengajuan]])</f>
        <v>3</v>
      </c>
      <c r="O248" s="183"/>
      <c r="P248" s="105" t="s">
        <v>746</v>
      </c>
      <c r="Q248" s="198"/>
      <c r="R248" s="230" t="s">
        <v>958</v>
      </c>
      <c r="T248" s="275">
        <f>+List34[[#This Row],[Pengajuan Donasi]]-List34[[#This Row],[Jumlah Transfer]]</f>
        <v>0</v>
      </c>
      <c r="U248" s="275"/>
    </row>
    <row r="249" spans="2:21" ht="30" customHeight="1" x14ac:dyDescent="0.2">
      <c r="B249" s="102">
        <v>44651</v>
      </c>
      <c r="C249" s="181"/>
      <c r="D249" s="103" t="s">
        <v>857</v>
      </c>
      <c r="E249" s="103" t="s">
        <v>17</v>
      </c>
      <c r="F249" s="103" t="s">
        <v>18</v>
      </c>
      <c r="G249" s="15">
        <v>78</v>
      </c>
      <c r="H249" s="258">
        <v>5997300</v>
      </c>
      <c r="I249" s="258">
        <f>List34[[#This Row],[Pengajuan Donasi]]</f>
        <v>5997300</v>
      </c>
      <c r="J249" s="215" t="str">
        <f>IF(List34[[#This Row],[Tanggal Trf]]&gt;0,"Done","-")</f>
        <v>Done</v>
      </c>
      <c r="K249" s="445" t="s">
        <v>25</v>
      </c>
      <c r="L249" s="221">
        <v>44652</v>
      </c>
      <c r="M249" s="100" t="s">
        <v>1015</v>
      </c>
      <c r="N249" s="20">
        <f>MONTH(List34[[#This Row],[Tanggal Pengajuan]])</f>
        <v>3</v>
      </c>
      <c r="O249" s="183"/>
      <c r="P249" s="105" t="s">
        <v>746</v>
      </c>
      <c r="Q249" s="198"/>
      <c r="R249" s="230" t="s">
        <v>958</v>
      </c>
      <c r="T249" s="275">
        <f>+List34[[#This Row],[Pengajuan Donasi]]-List34[[#This Row],[Jumlah Transfer]]</f>
        <v>0</v>
      </c>
      <c r="U249" s="275"/>
    </row>
    <row r="250" spans="2:21" ht="30" customHeight="1" x14ac:dyDescent="0.2">
      <c r="B250" s="102">
        <v>44651</v>
      </c>
      <c r="C250" s="181"/>
      <c r="D250" s="103" t="s">
        <v>853</v>
      </c>
      <c r="E250" s="103" t="s">
        <v>17</v>
      </c>
      <c r="F250" s="103" t="s">
        <v>18</v>
      </c>
      <c r="G250" s="15">
        <v>25</v>
      </c>
      <c r="H250" s="258">
        <v>5999200</v>
      </c>
      <c r="I250" s="258">
        <f>List34[[#This Row],[Pengajuan Donasi]]</f>
        <v>5999200</v>
      </c>
      <c r="J250" s="215" t="str">
        <f>IF(List34[[#This Row],[Tanggal Trf]]&gt;0,"Done","-")</f>
        <v>Done</v>
      </c>
      <c r="K250" s="445" t="s">
        <v>25</v>
      </c>
      <c r="L250" s="221">
        <v>44652</v>
      </c>
      <c r="M250" s="100" t="s">
        <v>1015</v>
      </c>
      <c r="N250" s="20">
        <f>MONTH(List34[[#This Row],[Tanggal Pengajuan]])</f>
        <v>3</v>
      </c>
      <c r="O250" s="183"/>
      <c r="P250" s="105" t="s">
        <v>746</v>
      </c>
      <c r="Q250" s="198"/>
      <c r="R250" s="230" t="s">
        <v>958</v>
      </c>
      <c r="T250" s="275">
        <f>+List34[[#This Row],[Pengajuan Donasi]]-List34[[#This Row],[Jumlah Transfer]]</f>
        <v>0</v>
      </c>
      <c r="U250" s="275"/>
    </row>
    <row r="251" spans="2:21" ht="30" customHeight="1" x14ac:dyDescent="0.2">
      <c r="B251" s="102">
        <v>44651</v>
      </c>
      <c r="C251" s="181"/>
      <c r="D251" s="103" t="s">
        <v>362</v>
      </c>
      <c r="E251" s="103" t="s">
        <v>17</v>
      </c>
      <c r="F251" s="103" t="s">
        <v>18</v>
      </c>
      <c r="G251" s="15">
        <v>137</v>
      </c>
      <c r="H251" s="258">
        <v>5998200</v>
      </c>
      <c r="I251" s="258">
        <f>List34[[#This Row],[Pengajuan Donasi]]</f>
        <v>5998200</v>
      </c>
      <c r="J251" s="215" t="str">
        <f>IF(List34[[#This Row],[Tanggal Trf]]&gt;0,"Done","-")</f>
        <v>Done</v>
      </c>
      <c r="K251" s="445" t="s">
        <v>25</v>
      </c>
      <c r="L251" s="221">
        <v>44652</v>
      </c>
      <c r="M251" s="100" t="s">
        <v>1015</v>
      </c>
      <c r="N251" s="20">
        <f>MONTH(List34[[#This Row],[Tanggal Pengajuan]])</f>
        <v>3</v>
      </c>
      <c r="O251" s="183"/>
      <c r="P251" s="105" t="s">
        <v>746</v>
      </c>
      <c r="Q251" s="198"/>
      <c r="R251" s="230" t="s">
        <v>958</v>
      </c>
      <c r="T251" s="275">
        <f>+List34[[#This Row],[Pengajuan Donasi]]-List34[[#This Row],[Jumlah Transfer]]</f>
        <v>0</v>
      </c>
      <c r="U251" s="275"/>
    </row>
    <row r="252" spans="2:21" ht="30" customHeight="1" x14ac:dyDescent="0.2">
      <c r="B252" s="102">
        <v>44651</v>
      </c>
      <c r="C252" s="181"/>
      <c r="D252" s="103" t="s">
        <v>391</v>
      </c>
      <c r="E252" s="103" t="s">
        <v>17</v>
      </c>
      <c r="F252" s="103" t="s">
        <v>18</v>
      </c>
      <c r="G252" s="15">
        <v>40</v>
      </c>
      <c r="H252" s="258">
        <v>5999400</v>
      </c>
      <c r="I252" s="258">
        <f>List34[[#This Row],[Pengajuan Donasi]]</f>
        <v>5999400</v>
      </c>
      <c r="J252" s="215" t="str">
        <f>IF(List34[[#This Row],[Tanggal Trf]]&gt;0,"Done","-")</f>
        <v>Done</v>
      </c>
      <c r="K252" s="445" t="s">
        <v>25</v>
      </c>
      <c r="L252" s="221">
        <v>44652</v>
      </c>
      <c r="M252" s="100" t="s">
        <v>1015</v>
      </c>
      <c r="N252" s="20">
        <f>MONTH(List34[[#This Row],[Tanggal Pengajuan]])</f>
        <v>3</v>
      </c>
      <c r="O252" s="183"/>
      <c r="P252" s="105" t="s">
        <v>746</v>
      </c>
      <c r="Q252" s="198"/>
      <c r="R252" s="230" t="s">
        <v>958</v>
      </c>
      <c r="T252" s="275">
        <f>+List34[[#This Row],[Pengajuan Donasi]]-List34[[#This Row],[Jumlah Transfer]]</f>
        <v>0</v>
      </c>
      <c r="U252" s="275"/>
    </row>
    <row r="253" spans="2:21" ht="30" customHeight="1" x14ac:dyDescent="0.2">
      <c r="B253" s="102">
        <v>44651</v>
      </c>
      <c r="C253" s="181"/>
      <c r="D253" s="103" t="s">
        <v>860</v>
      </c>
      <c r="E253" s="103" t="s">
        <v>17</v>
      </c>
      <c r="F253" s="103" t="s">
        <v>18</v>
      </c>
      <c r="G253" s="15">
        <v>45</v>
      </c>
      <c r="H253" s="258">
        <v>5992700</v>
      </c>
      <c r="I253" s="258">
        <f>List34[[#This Row],[Pengajuan Donasi]]</f>
        <v>5992700</v>
      </c>
      <c r="J253" s="215" t="str">
        <f>IF(List34[[#This Row],[Tanggal Trf]]&gt;0,"Done","-")</f>
        <v>Done</v>
      </c>
      <c r="K253" s="445" t="s">
        <v>25</v>
      </c>
      <c r="L253" s="221">
        <v>44652</v>
      </c>
      <c r="M253" s="100" t="s">
        <v>1015</v>
      </c>
      <c r="N253" s="20">
        <f>MONTH(List34[[#This Row],[Tanggal Pengajuan]])</f>
        <v>3</v>
      </c>
      <c r="O253" s="183"/>
      <c r="P253" s="105" t="s">
        <v>746</v>
      </c>
      <c r="Q253" s="198"/>
      <c r="R253" s="230" t="s">
        <v>958</v>
      </c>
      <c r="T253" s="275">
        <f>+List34[[#This Row],[Pengajuan Donasi]]-List34[[#This Row],[Jumlah Transfer]]</f>
        <v>0</v>
      </c>
      <c r="U253" s="275"/>
    </row>
    <row r="254" spans="2:21" ht="30" customHeight="1" x14ac:dyDescent="0.2">
      <c r="B254" s="102">
        <v>44651</v>
      </c>
      <c r="C254" s="67"/>
      <c r="D254" s="103" t="s">
        <v>861</v>
      </c>
      <c r="E254" s="103" t="s">
        <v>17</v>
      </c>
      <c r="F254" s="103" t="s">
        <v>18</v>
      </c>
      <c r="G254" s="15">
        <v>65</v>
      </c>
      <c r="H254" s="258">
        <v>5999000</v>
      </c>
      <c r="I254" s="258">
        <f>List34[[#This Row],[Pengajuan Donasi]]</f>
        <v>5999000</v>
      </c>
      <c r="J254" s="214" t="str">
        <f>IF(List34[[#This Row],[Tanggal Trf]]&gt;0,"Done","-")</f>
        <v>Done</v>
      </c>
      <c r="K254" s="445" t="s">
        <v>25</v>
      </c>
      <c r="L254" s="221">
        <v>44652</v>
      </c>
      <c r="M254" s="100" t="s">
        <v>1015</v>
      </c>
      <c r="N254" s="100">
        <f>MONTH(List34[[#This Row],[Tanggal Pengajuan]])</f>
        <v>3</v>
      </c>
      <c r="O254" s="183"/>
      <c r="P254" s="105" t="s">
        <v>746</v>
      </c>
      <c r="Q254" s="111"/>
      <c r="R254" s="230" t="s">
        <v>958</v>
      </c>
      <c r="T254" s="275">
        <f>+List34[[#This Row],[Pengajuan Donasi]]-List34[[#This Row],[Jumlah Transfer]]</f>
        <v>0</v>
      </c>
      <c r="U254" s="275"/>
    </row>
    <row r="255" spans="2:21" ht="30" customHeight="1" x14ac:dyDescent="0.2">
      <c r="B255" s="102">
        <v>44651</v>
      </c>
      <c r="C255" s="67"/>
      <c r="D255" s="103" t="s">
        <v>862</v>
      </c>
      <c r="E255" s="103" t="s">
        <v>17</v>
      </c>
      <c r="F255" s="103" t="s">
        <v>18</v>
      </c>
      <c r="G255" s="15">
        <v>40</v>
      </c>
      <c r="H255" s="258">
        <v>5995000</v>
      </c>
      <c r="I255" s="258">
        <f>List34[[#This Row],[Pengajuan Donasi]]</f>
        <v>5995000</v>
      </c>
      <c r="J255" s="214" t="str">
        <f>IF(List34[[#This Row],[Tanggal Trf]]&gt;0,"Done","-")</f>
        <v>Done</v>
      </c>
      <c r="K255" s="445" t="s">
        <v>25</v>
      </c>
      <c r="L255" s="221">
        <v>44652</v>
      </c>
      <c r="M255" s="100" t="s">
        <v>1015</v>
      </c>
      <c r="N255" s="100">
        <f>MONTH(List34[[#This Row],[Tanggal Pengajuan]])</f>
        <v>3</v>
      </c>
      <c r="O255" s="183"/>
      <c r="P255" s="105" t="s">
        <v>746</v>
      </c>
      <c r="Q255" s="111"/>
      <c r="R255" s="230" t="s">
        <v>958</v>
      </c>
      <c r="T255" s="275">
        <f>+List34[[#This Row],[Pengajuan Donasi]]-List34[[#This Row],[Jumlah Transfer]]</f>
        <v>0</v>
      </c>
      <c r="U255" s="275"/>
    </row>
    <row r="256" spans="2:21" ht="30" customHeight="1" x14ac:dyDescent="0.2">
      <c r="B256" s="102">
        <v>44651</v>
      </c>
      <c r="C256" s="67"/>
      <c r="D256" s="103" t="s">
        <v>863</v>
      </c>
      <c r="E256" s="103" t="s">
        <v>17</v>
      </c>
      <c r="F256" s="103" t="s">
        <v>18</v>
      </c>
      <c r="G256" s="15">
        <v>142</v>
      </c>
      <c r="H256" s="258">
        <v>5999100</v>
      </c>
      <c r="I256" s="258">
        <f>List34[[#This Row],[Pengajuan Donasi]]</f>
        <v>5999100</v>
      </c>
      <c r="J256" s="214" t="str">
        <f>IF(List34[[#This Row],[Tanggal Trf]]&gt;0,"Done","-")</f>
        <v>Done</v>
      </c>
      <c r="K256" s="445" t="s">
        <v>25</v>
      </c>
      <c r="L256" s="221">
        <v>44652</v>
      </c>
      <c r="M256" s="100" t="s">
        <v>1015</v>
      </c>
      <c r="N256" s="100">
        <f>MONTH(List34[[#This Row],[Tanggal Pengajuan]])</f>
        <v>3</v>
      </c>
      <c r="O256" s="183"/>
      <c r="P256" s="105" t="s">
        <v>746</v>
      </c>
      <c r="Q256" s="111"/>
      <c r="R256" s="230" t="s">
        <v>958</v>
      </c>
      <c r="T256" s="275">
        <f>+List34[[#This Row],[Pengajuan Donasi]]-List34[[#This Row],[Jumlah Transfer]]</f>
        <v>0</v>
      </c>
      <c r="U256" s="275"/>
    </row>
    <row r="257" spans="2:21" ht="30" customHeight="1" x14ac:dyDescent="0.2">
      <c r="B257" s="102">
        <v>44651</v>
      </c>
      <c r="C257" s="67"/>
      <c r="D257" s="103" t="s">
        <v>864</v>
      </c>
      <c r="E257" s="103" t="s">
        <v>17</v>
      </c>
      <c r="F257" s="103" t="s">
        <v>18</v>
      </c>
      <c r="G257" s="15">
        <v>141</v>
      </c>
      <c r="H257" s="258">
        <v>5998200</v>
      </c>
      <c r="I257" s="258">
        <f>List34[[#This Row],[Pengajuan Donasi]]</f>
        <v>5998200</v>
      </c>
      <c r="J257" s="214" t="str">
        <f>IF(List34[[#This Row],[Tanggal Trf]]&gt;0,"Done","-")</f>
        <v>Done</v>
      </c>
      <c r="K257" s="445" t="s">
        <v>25</v>
      </c>
      <c r="L257" s="221">
        <v>44652</v>
      </c>
      <c r="M257" s="100" t="s">
        <v>1015</v>
      </c>
      <c r="N257" s="100">
        <f>MONTH(List34[[#This Row],[Tanggal Pengajuan]])</f>
        <v>3</v>
      </c>
      <c r="O257" s="183"/>
      <c r="P257" s="105" t="s">
        <v>746</v>
      </c>
      <c r="Q257" s="111"/>
      <c r="R257" s="230" t="s">
        <v>958</v>
      </c>
      <c r="T257" s="275">
        <f>+List34[[#This Row],[Pengajuan Donasi]]-List34[[#This Row],[Jumlah Transfer]]</f>
        <v>0</v>
      </c>
      <c r="U257" s="275"/>
    </row>
    <row r="258" spans="2:21" ht="30" customHeight="1" x14ac:dyDescent="0.2">
      <c r="B258" s="102">
        <v>44651</v>
      </c>
      <c r="C258" s="67"/>
      <c r="D258" s="103" t="s">
        <v>865</v>
      </c>
      <c r="E258" s="103" t="s">
        <v>17</v>
      </c>
      <c r="F258" s="103" t="s">
        <v>18</v>
      </c>
      <c r="G258" s="469">
        <v>96</v>
      </c>
      <c r="H258" s="258">
        <v>5997800</v>
      </c>
      <c r="I258" s="258">
        <f>List34[[#This Row],[Pengajuan Donasi]]</f>
        <v>5997800</v>
      </c>
      <c r="J258" s="214" t="str">
        <f>IF(List34[[#This Row],[Tanggal Trf]]&gt;0,"Done","-")</f>
        <v>Done</v>
      </c>
      <c r="K258" s="445" t="s">
        <v>25</v>
      </c>
      <c r="L258" s="221">
        <v>44652</v>
      </c>
      <c r="M258" s="100" t="s">
        <v>1015</v>
      </c>
      <c r="N258" s="100">
        <f>MONTH(List34[[#This Row],[Tanggal Pengajuan]])</f>
        <v>3</v>
      </c>
      <c r="O258" s="183"/>
      <c r="P258" s="105" t="s">
        <v>746</v>
      </c>
      <c r="Q258" s="111"/>
      <c r="R258" s="230" t="s">
        <v>958</v>
      </c>
      <c r="T258" s="275">
        <f>+List34[[#This Row],[Pengajuan Donasi]]-List34[[#This Row],[Jumlah Transfer]]</f>
        <v>0</v>
      </c>
      <c r="U258" s="275"/>
    </row>
    <row r="259" spans="2:21" ht="30" customHeight="1" x14ac:dyDescent="0.2">
      <c r="B259" s="102">
        <v>44651</v>
      </c>
      <c r="C259" s="67"/>
      <c r="D259" s="103" t="s">
        <v>866</v>
      </c>
      <c r="E259" s="103" t="s">
        <v>17</v>
      </c>
      <c r="F259" s="103" t="s">
        <v>18</v>
      </c>
      <c r="G259" s="469">
        <v>56</v>
      </c>
      <c r="H259" s="258">
        <v>5784000</v>
      </c>
      <c r="I259" s="258">
        <f>List34[[#This Row],[Pengajuan Donasi]]</f>
        <v>5784000</v>
      </c>
      <c r="J259" s="214" t="str">
        <f>IF(List34[[#This Row],[Tanggal Trf]]&gt;0,"Done","-")</f>
        <v>Done</v>
      </c>
      <c r="K259" s="445" t="s">
        <v>25</v>
      </c>
      <c r="L259" s="221">
        <v>44652</v>
      </c>
      <c r="M259" s="100" t="s">
        <v>1015</v>
      </c>
      <c r="N259" s="100">
        <f>MONTH(List34[[#This Row],[Tanggal Pengajuan]])</f>
        <v>3</v>
      </c>
      <c r="O259" s="183"/>
      <c r="P259" s="105" t="s">
        <v>746</v>
      </c>
      <c r="Q259" s="111"/>
      <c r="R259" s="230" t="s">
        <v>958</v>
      </c>
      <c r="T259" s="275">
        <f>+List34[[#This Row],[Pengajuan Donasi]]-List34[[#This Row],[Jumlah Transfer]]</f>
        <v>0</v>
      </c>
      <c r="U259" s="275"/>
    </row>
    <row r="260" spans="2:21" ht="30" customHeight="1" x14ac:dyDescent="0.2">
      <c r="B260" s="102">
        <v>44652</v>
      </c>
      <c r="C260" s="67" t="s">
        <v>803</v>
      </c>
      <c r="D260" s="14" t="s">
        <v>1099</v>
      </c>
      <c r="E260" s="103" t="s">
        <v>17</v>
      </c>
      <c r="F260" s="103" t="s">
        <v>28</v>
      </c>
      <c r="G260" s="15">
        <v>65</v>
      </c>
      <c r="H260" s="258">
        <v>6000000</v>
      </c>
      <c r="I260" s="258">
        <f>List34[[#This Row],[Pengajuan Donasi]]</f>
        <v>6000000</v>
      </c>
      <c r="J260" s="214" t="str">
        <f>IF(List34[[#This Row],[Tanggal Trf]]&gt;0,"Done","-")</f>
        <v>Done</v>
      </c>
      <c r="K260" s="437"/>
      <c r="L260" s="221">
        <v>44663</v>
      </c>
      <c r="M260" s="105" t="s">
        <v>683</v>
      </c>
      <c r="N260" s="100">
        <f>MONTH(List34[[#This Row],[Tanggal Pengajuan]])</f>
        <v>4</v>
      </c>
      <c r="O260" s="101">
        <v>44670</v>
      </c>
      <c r="P260" s="105" t="s">
        <v>795</v>
      </c>
      <c r="Q260" s="111"/>
      <c r="R260" s="230" t="s">
        <v>958</v>
      </c>
      <c r="T260" s="275">
        <f>+List34[[#This Row],[Pengajuan Donasi]]-List34[[#This Row],[Jumlah Transfer]]</f>
        <v>0</v>
      </c>
      <c r="U260" s="275"/>
    </row>
    <row r="261" spans="2:21" ht="29.25" x14ac:dyDescent="0.2">
      <c r="B261" s="102">
        <v>44658</v>
      </c>
      <c r="C261" s="67" t="s">
        <v>804</v>
      </c>
      <c r="D261" s="14" t="s">
        <v>876</v>
      </c>
      <c r="E261" s="14" t="s">
        <v>26</v>
      </c>
      <c r="F261" s="14" t="s">
        <v>18</v>
      </c>
      <c r="G261" s="15">
        <v>1</v>
      </c>
      <c r="H261" s="259">
        <v>5000000</v>
      </c>
      <c r="I261" s="258">
        <f>List34[[#This Row],[Pengajuan Donasi]]</f>
        <v>5000000</v>
      </c>
      <c r="J261" s="214" t="str">
        <f>IF(List34[[#This Row],[Tanggal Trf]]&gt;0,"Done","-")</f>
        <v>Done</v>
      </c>
      <c r="K261" s="437"/>
      <c r="L261" s="221">
        <v>44666</v>
      </c>
      <c r="M261" s="203" t="s">
        <v>448</v>
      </c>
      <c r="N261" s="100">
        <f>MONTH(List34[[#This Row],[Tanggal Pengajuan]])</f>
        <v>4</v>
      </c>
      <c r="O261" s="183">
        <v>44673</v>
      </c>
      <c r="P261" s="105" t="s">
        <v>795</v>
      </c>
      <c r="Q261" s="111"/>
      <c r="R261" s="230" t="s">
        <v>958</v>
      </c>
      <c r="T261" s="275">
        <f>+List34[[#This Row],[Pengajuan Donasi]]-List34[[#This Row],[Jumlah Transfer]]</f>
        <v>0</v>
      </c>
      <c r="U261" s="275"/>
    </row>
    <row r="262" spans="2:21" ht="30" customHeight="1" x14ac:dyDescent="0.2">
      <c r="B262" s="102">
        <v>44658</v>
      </c>
      <c r="C262" s="67"/>
      <c r="D262" s="14" t="s">
        <v>875</v>
      </c>
      <c r="E262" s="14" t="s">
        <v>26</v>
      </c>
      <c r="F262" s="14" t="s">
        <v>18</v>
      </c>
      <c r="G262" s="15">
        <v>1</v>
      </c>
      <c r="H262" s="297">
        <v>1000000</v>
      </c>
      <c r="I262" s="258">
        <f>List34[[#This Row],[Pengajuan Donasi]]</f>
        <v>1000000</v>
      </c>
      <c r="J262" s="214" t="str">
        <f>IF(List34[[#This Row],[Tanggal Trf]]&gt;0,"Done","-")</f>
        <v>Done</v>
      </c>
      <c r="K262" s="437"/>
      <c r="L262" s="221">
        <v>44666</v>
      </c>
      <c r="M262" s="208" t="s">
        <v>453</v>
      </c>
      <c r="N262" s="100">
        <f>MONTH(List34[[#This Row],[Tanggal Pengajuan]])</f>
        <v>4</v>
      </c>
      <c r="O262" s="183">
        <v>44673</v>
      </c>
      <c r="P262" s="105" t="s">
        <v>795</v>
      </c>
      <c r="Q262" s="111"/>
      <c r="R262" s="230" t="s">
        <v>958</v>
      </c>
      <c r="T262" s="275">
        <f>+List34[[#This Row],[Pengajuan Donasi]]-List34[[#This Row],[Jumlah Transfer]]</f>
        <v>0</v>
      </c>
      <c r="U262" s="275"/>
    </row>
    <row r="263" spans="2:21" ht="30" customHeight="1" x14ac:dyDescent="0.2">
      <c r="B263" s="102">
        <v>44658</v>
      </c>
      <c r="C263" s="67"/>
      <c r="D263" s="14" t="s">
        <v>877</v>
      </c>
      <c r="E263" s="14" t="s">
        <v>26</v>
      </c>
      <c r="F263" s="14" t="s">
        <v>18</v>
      </c>
      <c r="G263" s="15">
        <v>1</v>
      </c>
      <c r="H263" s="298">
        <v>1000000</v>
      </c>
      <c r="I263" s="258">
        <f>List34[[#This Row],[Pengajuan Donasi]]</f>
        <v>1000000</v>
      </c>
      <c r="J263" s="214" t="str">
        <f>IF(List34[[#This Row],[Tanggal Trf]]&gt;0,"Done","-")</f>
        <v>Done</v>
      </c>
      <c r="K263" s="437"/>
      <c r="L263" s="221">
        <v>44666</v>
      </c>
      <c r="M263" s="184" t="s">
        <v>458</v>
      </c>
      <c r="N263" s="100">
        <f>MONTH(List34[[#This Row],[Tanggal Pengajuan]])</f>
        <v>4</v>
      </c>
      <c r="O263" s="183">
        <v>44673</v>
      </c>
      <c r="P263" s="100" t="s">
        <v>795</v>
      </c>
      <c r="Q263" s="111"/>
      <c r="R263" s="230" t="s">
        <v>958</v>
      </c>
      <c r="T263" s="275">
        <f>+List34[[#This Row],[Pengajuan Donasi]]-List34[[#This Row],[Jumlah Transfer]]</f>
        <v>0</v>
      </c>
      <c r="U263" s="275"/>
    </row>
    <row r="264" spans="2:21" ht="30" customHeight="1" x14ac:dyDescent="0.2">
      <c r="B264" s="102">
        <v>44658</v>
      </c>
      <c r="C264" s="67"/>
      <c r="D264" s="14" t="s">
        <v>878</v>
      </c>
      <c r="E264" s="14" t="s">
        <v>26</v>
      </c>
      <c r="F264" s="14" t="s">
        <v>18</v>
      </c>
      <c r="G264" s="15">
        <v>1</v>
      </c>
      <c r="H264" s="297">
        <v>1000000</v>
      </c>
      <c r="I264" s="258">
        <f>List34[[#This Row],[Pengajuan Donasi]]</f>
        <v>1000000</v>
      </c>
      <c r="J264" s="214" t="str">
        <f>IF(List34[[#This Row],[Tanggal Trf]]&gt;0,"Done","-")</f>
        <v>Done</v>
      </c>
      <c r="K264" s="437"/>
      <c r="L264" s="221">
        <v>44666</v>
      </c>
      <c r="M264" s="208" t="s">
        <v>460</v>
      </c>
      <c r="N264" s="100">
        <f>MONTH(List34[[#This Row],[Tanggal Pengajuan]])</f>
        <v>4</v>
      </c>
      <c r="O264" s="183">
        <v>44673</v>
      </c>
      <c r="P264" s="105" t="s">
        <v>795</v>
      </c>
      <c r="Q264" s="111"/>
      <c r="R264" s="230" t="s">
        <v>958</v>
      </c>
      <c r="T264" s="275">
        <f>+List34[[#This Row],[Pengajuan Donasi]]-List34[[#This Row],[Jumlah Transfer]]</f>
        <v>0</v>
      </c>
      <c r="U264" s="275"/>
    </row>
    <row r="265" spans="2:21" ht="30" customHeight="1" x14ac:dyDescent="0.2">
      <c r="B265" s="102">
        <v>44658</v>
      </c>
      <c r="C265" s="67"/>
      <c r="D265" s="14" t="s">
        <v>879</v>
      </c>
      <c r="E265" s="14" t="s">
        <v>26</v>
      </c>
      <c r="F265" s="14" t="s">
        <v>18</v>
      </c>
      <c r="G265" s="15">
        <v>1</v>
      </c>
      <c r="H265" s="298">
        <v>1000000</v>
      </c>
      <c r="I265" s="258">
        <f>List34[[#This Row],[Pengajuan Donasi]]</f>
        <v>1000000</v>
      </c>
      <c r="J265" s="214" t="str">
        <f>IF(List34[[#This Row],[Tanggal Trf]]&gt;0,"Done","-")</f>
        <v>Done</v>
      </c>
      <c r="K265" s="437"/>
      <c r="L265" s="221">
        <v>44666</v>
      </c>
      <c r="M265" s="184" t="s">
        <v>462</v>
      </c>
      <c r="N265" s="100">
        <f>MONTH(List34[[#This Row],[Tanggal Pengajuan]])</f>
        <v>4</v>
      </c>
      <c r="O265" s="183">
        <v>44673</v>
      </c>
      <c r="P265" s="105" t="s">
        <v>795</v>
      </c>
      <c r="Q265" s="111"/>
      <c r="R265" s="230" t="s">
        <v>958</v>
      </c>
      <c r="T265" s="275">
        <f>+List34[[#This Row],[Pengajuan Donasi]]-List34[[#This Row],[Jumlah Transfer]]</f>
        <v>0</v>
      </c>
      <c r="U265" s="275"/>
    </row>
    <row r="266" spans="2:21" ht="30" customHeight="1" x14ac:dyDescent="0.2">
      <c r="B266" s="102">
        <v>44658</v>
      </c>
      <c r="C266" s="67"/>
      <c r="D266" s="14" t="s">
        <v>951</v>
      </c>
      <c r="E266" s="14" t="s">
        <v>26</v>
      </c>
      <c r="F266" s="14" t="s">
        <v>18</v>
      </c>
      <c r="G266" s="15">
        <v>1</v>
      </c>
      <c r="H266" s="297">
        <v>1000000</v>
      </c>
      <c r="I266" s="258">
        <f>List34[[#This Row],[Pengajuan Donasi]]</f>
        <v>1000000</v>
      </c>
      <c r="J266" s="214" t="str">
        <f>IF(List34[[#This Row],[Tanggal Trf]]&gt;0,"Done","-")</f>
        <v>Done</v>
      </c>
      <c r="K266" s="437"/>
      <c r="L266" s="221">
        <v>44666</v>
      </c>
      <c r="M266" s="208" t="s">
        <v>466</v>
      </c>
      <c r="N266" s="100">
        <f>MONTH(List34[[#This Row],[Tanggal Pengajuan]])</f>
        <v>4</v>
      </c>
      <c r="O266" s="183">
        <v>44673</v>
      </c>
      <c r="P266" s="105" t="s">
        <v>795</v>
      </c>
      <c r="Q266" s="111"/>
      <c r="R266" s="230" t="s">
        <v>958</v>
      </c>
      <c r="T266" s="275">
        <f>+List34[[#This Row],[Pengajuan Donasi]]-List34[[#This Row],[Jumlah Transfer]]</f>
        <v>0</v>
      </c>
      <c r="U266" s="275"/>
    </row>
    <row r="267" spans="2:21" ht="30" customHeight="1" x14ac:dyDescent="0.2">
      <c r="B267" s="102">
        <v>44658</v>
      </c>
      <c r="C267" s="67"/>
      <c r="D267" s="14" t="s">
        <v>880</v>
      </c>
      <c r="E267" s="14" t="s">
        <v>26</v>
      </c>
      <c r="F267" s="14" t="s">
        <v>18</v>
      </c>
      <c r="G267" s="15">
        <v>1</v>
      </c>
      <c r="H267" s="298">
        <v>1000000</v>
      </c>
      <c r="I267" s="258">
        <f>List34[[#This Row],[Pengajuan Donasi]]</f>
        <v>1000000</v>
      </c>
      <c r="J267" s="214" t="str">
        <f>IF(List34[[#This Row],[Tanggal Trf]]&gt;0,"Done","-")</f>
        <v>Done</v>
      </c>
      <c r="K267" s="437"/>
      <c r="L267" s="221">
        <v>44666</v>
      </c>
      <c r="M267" s="184" t="s">
        <v>470</v>
      </c>
      <c r="N267" s="100">
        <f>MONTH(List34[[#This Row],[Tanggal Pengajuan]])</f>
        <v>4</v>
      </c>
      <c r="O267" s="183">
        <v>44673</v>
      </c>
      <c r="P267" s="100" t="s">
        <v>795</v>
      </c>
      <c r="Q267" s="111"/>
      <c r="R267" s="230" t="s">
        <v>958</v>
      </c>
      <c r="T267" s="275">
        <f>+List34[[#This Row],[Pengajuan Donasi]]-List34[[#This Row],[Jumlah Transfer]]</f>
        <v>0</v>
      </c>
      <c r="U267" s="275"/>
    </row>
    <row r="268" spans="2:21" ht="30" customHeight="1" x14ac:dyDescent="0.2">
      <c r="B268" s="102">
        <v>44658</v>
      </c>
      <c r="C268" s="67"/>
      <c r="D268" s="14" t="s">
        <v>952</v>
      </c>
      <c r="E268" s="14" t="s">
        <v>26</v>
      </c>
      <c r="F268" s="14" t="s">
        <v>18</v>
      </c>
      <c r="G268" s="15">
        <v>1</v>
      </c>
      <c r="H268" s="297">
        <v>1000000</v>
      </c>
      <c r="I268" s="258">
        <f>List34[[#This Row],[Pengajuan Donasi]]</f>
        <v>1000000</v>
      </c>
      <c r="J268" s="214" t="str">
        <f>IF(List34[[#This Row],[Tanggal Trf]]&gt;0,"Done","-")</f>
        <v>Done</v>
      </c>
      <c r="K268" s="437"/>
      <c r="L268" s="221">
        <v>44666</v>
      </c>
      <c r="M268" s="208" t="s">
        <v>519</v>
      </c>
      <c r="N268" s="100">
        <f>MONTH(List34[[#This Row],[Tanggal Pengajuan]])</f>
        <v>4</v>
      </c>
      <c r="O268" s="183">
        <v>44673</v>
      </c>
      <c r="P268" s="105" t="s">
        <v>795</v>
      </c>
      <c r="Q268" s="111"/>
      <c r="R268" s="230" t="s">
        <v>958</v>
      </c>
      <c r="T268" s="275">
        <f>+List34[[#This Row],[Pengajuan Donasi]]-List34[[#This Row],[Jumlah Transfer]]</f>
        <v>0</v>
      </c>
      <c r="U268" s="275"/>
    </row>
    <row r="269" spans="2:21" ht="30" customHeight="1" x14ac:dyDescent="0.2">
      <c r="B269" s="102">
        <v>44658</v>
      </c>
      <c r="C269" s="67"/>
      <c r="D269" s="14" t="s">
        <v>881</v>
      </c>
      <c r="E269" s="14" t="s">
        <v>26</v>
      </c>
      <c r="F269" s="14" t="s">
        <v>18</v>
      </c>
      <c r="G269" s="15">
        <v>1</v>
      </c>
      <c r="H269" s="298">
        <v>1000000</v>
      </c>
      <c r="I269" s="258">
        <f>List34[[#This Row],[Pengajuan Donasi]]</f>
        <v>1000000</v>
      </c>
      <c r="J269" s="214" t="str">
        <f>IF(List34[[#This Row],[Tanggal Trf]]&gt;0,"Done","-")</f>
        <v>Done</v>
      </c>
      <c r="K269" s="437"/>
      <c r="L269" s="221">
        <v>44666</v>
      </c>
      <c r="M269" s="184" t="s">
        <v>476</v>
      </c>
      <c r="N269" s="100">
        <f>MONTH(List34[[#This Row],[Tanggal Pengajuan]])</f>
        <v>4</v>
      </c>
      <c r="O269" s="183">
        <v>44673</v>
      </c>
      <c r="P269" s="105" t="s">
        <v>795</v>
      </c>
      <c r="Q269" s="111"/>
      <c r="R269" s="230" t="s">
        <v>958</v>
      </c>
      <c r="T269" s="275">
        <f>+List34[[#This Row],[Pengajuan Donasi]]-List34[[#This Row],[Jumlah Transfer]]</f>
        <v>0</v>
      </c>
      <c r="U269" s="275"/>
    </row>
    <row r="270" spans="2:21" ht="30" customHeight="1" x14ac:dyDescent="0.2">
      <c r="B270" s="102">
        <v>44658</v>
      </c>
      <c r="C270" s="67"/>
      <c r="D270" s="14" t="s">
        <v>882</v>
      </c>
      <c r="E270" s="14" t="s">
        <v>26</v>
      </c>
      <c r="F270" s="14" t="s">
        <v>18</v>
      </c>
      <c r="G270" s="15">
        <v>1</v>
      </c>
      <c r="H270" s="260">
        <v>750000</v>
      </c>
      <c r="I270" s="258">
        <f>List34[[#This Row],[Pengajuan Donasi]]</f>
        <v>750000</v>
      </c>
      <c r="J270" s="214" t="str">
        <f>IF(List34[[#This Row],[Tanggal Trf]]&gt;0,"Done","-")</f>
        <v>Done</v>
      </c>
      <c r="K270" s="437"/>
      <c r="L270" s="221">
        <v>44666</v>
      </c>
      <c r="M270" s="208" t="s">
        <v>479</v>
      </c>
      <c r="N270" s="100">
        <f>MONTH(List34[[#This Row],[Tanggal Pengajuan]])</f>
        <v>4</v>
      </c>
      <c r="O270" s="183">
        <v>44673</v>
      </c>
      <c r="P270" s="105" t="s">
        <v>795</v>
      </c>
      <c r="Q270" s="111"/>
      <c r="R270" s="230" t="s">
        <v>958</v>
      </c>
      <c r="T270" s="275">
        <f>+List34[[#This Row],[Pengajuan Donasi]]-List34[[#This Row],[Jumlah Transfer]]</f>
        <v>0</v>
      </c>
      <c r="U270" s="275"/>
    </row>
    <row r="271" spans="2:21" ht="30" customHeight="1" x14ac:dyDescent="0.2">
      <c r="B271" s="102">
        <v>44658</v>
      </c>
      <c r="C271" s="67"/>
      <c r="D271" s="14" t="s">
        <v>883</v>
      </c>
      <c r="E271" s="14" t="s">
        <v>26</v>
      </c>
      <c r="F271" s="14" t="s">
        <v>18</v>
      </c>
      <c r="G271" s="15">
        <v>1</v>
      </c>
      <c r="H271" s="259">
        <v>750000</v>
      </c>
      <c r="I271" s="258">
        <f>List34[[#This Row],[Pengajuan Donasi]]</f>
        <v>750000</v>
      </c>
      <c r="J271" s="214" t="str">
        <f>IF(List34[[#This Row],[Tanggal Trf]]&gt;0,"Done","-")</f>
        <v>Done</v>
      </c>
      <c r="K271" s="437"/>
      <c r="L271" s="221">
        <v>44666</v>
      </c>
      <c r="M271" s="184" t="s">
        <v>481</v>
      </c>
      <c r="N271" s="100">
        <f>MONTH(List34[[#This Row],[Tanggal Pengajuan]])</f>
        <v>4</v>
      </c>
      <c r="O271" s="183">
        <v>44673</v>
      </c>
      <c r="P271" s="100" t="s">
        <v>795</v>
      </c>
      <c r="Q271" s="111"/>
      <c r="R271" s="230" t="s">
        <v>958</v>
      </c>
      <c r="T271" s="275">
        <f>+List34[[#This Row],[Pengajuan Donasi]]-List34[[#This Row],[Jumlah Transfer]]</f>
        <v>0</v>
      </c>
      <c r="U271" s="275"/>
    </row>
    <row r="272" spans="2:21" ht="30" customHeight="1" x14ac:dyDescent="0.2">
      <c r="B272" s="102">
        <v>44658</v>
      </c>
      <c r="C272" s="67"/>
      <c r="D272" s="14" t="s">
        <v>956</v>
      </c>
      <c r="E272" s="14" t="s">
        <v>26</v>
      </c>
      <c r="F272" s="14" t="s">
        <v>18</v>
      </c>
      <c r="G272" s="15">
        <v>1</v>
      </c>
      <c r="H272" s="260">
        <v>1000000</v>
      </c>
      <c r="I272" s="258">
        <f>List34[[#This Row],[Pengajuan Donasi]]</f>
        <v>1000000</v>
      </c>
      <c r="J272" s="214" t="str">
        <f>IF(List34[[#This Row],[Tanggal Trf]]&gt;0,"Done","-")</f>
        <v>Done</v>
      </c>
      <c r="K272" s="437"/>
      <c r="L272" s="221">
        <v>44666</v>
      </c>
      <c r="M272" s="208" t="s">
        <v>873</v>
      </c>
      <c r="N272" s="100">
        <f>MONTH(List34[[#This Row],[Tanggal Pengajuan]])</f>
        <v>4</v>
      </c>
      <c r="O272" s="183">
        <v>44673</v>
      </c>
      <c r="P272" s="105" t="s">
        <v>795</v>
      </c>
      <c r="Q272" s="111"/>
      <c r="R272" s="230" t="s">
        <v>958</v>
      </c>
      <c r="T272" s="275">
        <f>+List34[[#This Row],[Pengajuan Donasi]]-List34[[#This Row],[Jumlah Transfer]]</f>
        <v>0</v>
      </c>
      <c r="U272" s="275"/>
    </row>
    <row r="273" spans="2:21" ht="30" customHeight="1" x14ac:dyDescent="0.2">
      <c r="B273" s="102">
        <v>44658</v>
      </c>
      <c r="C273" s="67"/>
      <c r="D273" s="14" t="s">
        <v>884</v>
      </c>
      <c r="E273" s="14" t="s">
        <v>26</v>
      </c>
      <c r="F273" s="14" t="s">
        <v>18</v>
      </c>
      <c r="G273" s="15">
        <v>1</v>
      </c>
      <c r="H273" s="259">
        <v>1000000</v>
      </c>
      <c r="I273" s="258">
        <f>List34[[#This Row],[Pengajuan Donasi]]</f>
        <v>1000000</v>
      </c>
      <c r="J273" s="214" t="str">
        <f>IF(List34[[#This Row],[Tanggal Trf]]&gt;0,"Done","-")</f>
        <v>Done</v>
      </c>
      <c r="K273" s="437"/>
      <c r="L273" s="221">
        <v>44666</v>
      </c>
      <c r="M273" s="204" t="s">
        <v>874</v>
      </c>
      <c r="N273" s="100">
        <f>MONTH(List34[[#This Row],[Tanggal Pengajuan]])</f>
        <v>4</v>
      </c>
      <c r="O273" s="183">
        <v>44673</v>
      </c>
      <c r="P273" s="105" t="s">
        <v>795</v>
      </c>
      <c r="Q273" s="111"/>
      <c r="R273" s="230" t="s">
        <v>958</v>
      </c>
      <c r="T273" s="275">
        <f>+List34[[#This Row],[Pengajuan Donasi]]-List34[[#This Row],[Jumlah Transfer]]</f>
        <v>0</v>
      </c>
      <c r="U273" s="275"/>
    </row>
    <row r="274" spans="2:21" ht="30" customHeight="1" x14ac:dyDescent="0.2">
      <c r="B274" s="102">
        <v>44658</v>
      </c>
      <c r="C274" s="181"/>
      <c r="D274" s="14" t="s">
        <v>908</v>
      </c>
      <c r="E274" s="14" t="s">
        <v>26</v>
      </c>
      <c r="F274" s="14" t="s">
        <v>18</v>
      </c>
      <c r="G274" s="15">
        <v>1</v>
      </c>
      <c r="H274" s="259">
        <v>1000000</v>
      </c>
      <c r="I274" s="258">
        <f>List34[[#This Row],[Pengajuan Donasi]]</f>
        <v>1000000</v>
      </c>
      <c r="J274" s="215" t="str">
        <f>IF(List34[[#This Row],[Tanggal Trf]]&gt;0,"Done","-")</f>
        <v>Done</v>
      </c>
      <c r="K274" s="438"/>
      <c r="L274" s="221">
        <v>44666</v>
      </c>
      <c r="M274" s="20" t="s">
        <v>762</v>
      </c>
      <c r="N274" s="20">
        <f>MONTH(List34[[#This Row],[Tanggal Pengajuan]])</f>
        <v>4</v>
      </c>
      <c r="O274" s="183">
        <v>44673</v>
      </c>
      <c r="P274" s="105" t="s">
        <v>795</v>
      </c>
      <c r="Q274" s="198"/>
      <c r="R274" s="230" t="s">
        <v>958</v>
      </c>
      <c r="T274" s="275">
        <f>+List34[[#This Row],[Pengajuan Donasi]]-List34[[#This Row],[Jumlah Transfer]]</f>
        <v>0</v>
      </c>
      <c r="U274" s="275"/>
    </row>
    <row r="275" spans="2:21" ht="30" customHeight="1" x14ac:dyDescent="0.2">
      <c r="B275" s="102">
        <v>44658</v>
      </c>
      <c r="C275" s="67" t="s">
        <v>805</v>
      </c>
      <c r="D275" s="14" t="s">
        <v>486</v>
      </c>
      <c r="E275" s="103" t="s">
        <v>179</v>
      </c>
      <c r="F275" s="103" t="s">
        <v>18</v>
      </c>
      <c r="G275" s="15">
        <v>44</v>
      </c>
      <c r="H275" s="258">
        <v>2640000</v>
      </c>
      <c r="I275" s="258">
        <f>List34[[#This Row],[Pengajuan Donasi]]</f>
        <v>2640000</v>
      </c>
      <c r="J275" s="213" t="str">
        <f>IF(List34[[#This Row],[Tanggal Trf]]&gt;0,"Done","-")</f>
        <v>Done</v>
      </c>
      <c r="K275" s="437"/>
      <c r="L275" s="221">
        <v>44663</v>
      </c>
      <c r="M275" s="100" t="s">
        <v>709</v>
      </c>
      <c r="N275" s="100">
        <f>MONTH(List34[[#This Row],[Tanggal Pengajuan]])</f>
        <v>4</v>
      </c>
      <c r="O275" s="101">
        <v>44673</v>
      </c>
      <c r="P275" s="100" t="s">
        <v>795</v>
      </c>
      <c r="Q275" s="111"/>
      <c r="R275" s="230" t="s">
        <v>958</v>
      </c>
      <c r="T275" s="275">
        <f>+List34[[#This Row],[Pengajuan Donasi]]-List34[[#This Row],[Jumlah Transfer]]</f>
        <v>0</v>
      </c>
      <c r="U275" s="275"/>
    </row>
    <row r="276" spans="2:21" ht="30" customHeight="1" x14ac:dyDescent="0.2">
      <c r="B276" s="102">
        <v>44658</v>
      </c>
      <c r="C276" s="67" t="s">
        <v>806</v>
      </c>
      <c r="D276" s="14" t="s">
        <v>392</v>
      </c>
      <c r="E276" s="103" t="s">
        <v>57</v>
      </c>
      <c r="F276" s="103" t="s">
        <v>18</v>
      </c>
      <c r="G276" s="15">
        <v>75</v>
      </c>
      <c r="H276" s="258">
        <v>10000000</v>
      </c>
      <c r="I276" s="258">
        <f>List34[[#This Row],[Pengajuan Donasi]]</f>
        <v>10000000</v>
      </c>
      <c r="J276" s="213" t="s">
        <v>19</v>
      </c>
      <c r="K276" s="437"/>
      <c r="L276" s="221">
        <v>44671</v>
      </c>
      <c r="M276" s="100" t="s">
        <v>540</v>
      </c>
      <c r="N276" s="100">
        <f>MONTH(List34[[#This Row],[Tanggal Pengajuan]])</f>
        <v>4</v>
      </c>
      <c r="O276" s="183">
        <v>44673</v>
      </c>
      <c r="P276" s="105" t="s">
        <v>795</v>
      </c>
      <c r="Q276" s="111"/>
      <c r="R276" s="230" t="s">
        <v>958</v>
      </c>
      <c r="T276" s="275">
        <f>+List34[[#This Row],[Pengajuan Donasi]]-List34[[#This Row],[Jumlah Transfer]]</f>
        <v>0</v>
      </c>
      <c r="U276" s="275"/>
    </row>
    <row r="277" spans="2:21" ht="30" customHeight="1" x14ac:dyDescent="0.2">
      <c r="B277" s="102">
        <v>44658</v>
      </c>
      <c r="C277" s="67" t="s">
        <v>807</v>
      </c>
      <c r="D277" s="103" t="s">
        <v>429</v>
      </c>
      <c r="E277" s="103" t="s">
        <v>57</v>
      </c>
      <c r="F277" s="103" t="s">
        <v>18</v>
      </c>
      <c r="G277" s="15">
        <v>38</v>
      </c>
      <c r="H277" s="258">
        <v>15000000</v>
      </c>
      <c r="I277" s="258">
        <f>List34[[#This Row],[Pengajuan Donasi]]</f>
        <v>15000000</v>
      </c>
      <c r="J277" s="213" t="str">
        <f>IF(List34[[#This Row],[Tanggal Trf]]&gt;0,"Done","-")</f>
        <v>Done</v>
      </c>
      <c r="K277" s="437"/>
      <c r="L277" s="221">
        <v>44663</v>
      </c>
      <c r="M277" s="105" t="s">
        <v>537</v>
      </c>
      <c r="N277" s="100">
        <f>MONTH(List34[[#This Row],[Tanggal Pengajuan]])</f>
        <v>4</v>
      </c>
      <c r="O277" s="101">
        <v>44673</v>
      </c>
      <c r="P277" s="105" t="s">
        <v>795</v>
      </c>
      <c r="Q277" s="111"/>
      <c r="R277" s="230" t="s">
        <v>958</v>
      </c>
      <c r="T277" s="275">
        <f>+List34[[#This Row],[Pengajuan Donasi]]-List34[[#This Row],[Jumlah Transfer]]</f>
        <v>0</v>
      </c>
      <c r="U277" s="275"/>
    </row>
    <row r="278" spans="2:21" ht="30" customHeight="1" x14ac:dyDescent="0.2">
      <c r="B278" s="102">
        <v>44658</v>
      </c>
      <c r="C278" s="67" t="s">
        <v>808</v>
      </c>
      <c r="D278" s="14" t="s">
        <v>420</v>
      </c>
      <c r="E278" s="103" t="s">
        <v>57</v>
      </c>
      <c r="F278" s="103" t="s">
        <v>18</v>
      </c>
      <c r="G278" s="15">
        <v>29</v>
      </c>
      <c r="H278" s="258">
        <v>10000000</v>
      </c>
      <c r="I278" s="258">
        <f>List34[[#This Row],[Pengajuan Donasi]]</f>
        <v>10000000</v>
      </c>
      <c r="J278" s="213" t="str">
        <f>IF(List34[[#This Row],[Tanggal Trf]]&gt;0,"Done","-")</f>
        <v>Done</v>
      </c>
      <c r="K278" s="437"/>
      <c r="L278" s="221">
        <v>44663</v>
      </c>
      <c r="M278" s="100" t="s">
        <v>534</v>
      </c>
      <c r="N278" s="100">
        <f>MONTH(List34[[#This Row],[Tanggal Pengajuan]])</f>
        <v>4</v>
      </c>
      <c r="O278" s="183">
        <v>44673</v>
      </c>
      <c r="P278" s="105" t="s">
        <v>795</v>
      </c>
      <c r="Q278" s="111"/>
      <c r="R278" s="230" t="s">
        <v>958</v>
      </c>
      <c r="T278" s="275">
        <f>+List34[[#This Row],[Pengajuan Donasi]]-List34[[#This Row],[Jumlah Transfer]]</f>
        <v>0</v>
      </c>
      <c r="U278" s="275"/>
    </row>
    <row r="279" spans="2:21" ht="30" customHeight="1" x14ac:dyDescent="0.2">
      <c r="B279" s="102">
        <v>44658</v>
      </c>
      <c r="C279" s="67" t="s">
        <v>809</v>
      </c>
      <c r="D279" s="14" t="s">
        <v>859</v>
      </c>
      <c r="E279" s="14" t="s">
        <v>17</v>
      </c>
      <c r="F279" s="14" t="s">
        <v>18</v>
      </c>
      <c r="G279" s="15">
        <v>23</v>
      </c>
      <c r="H279" s="258">
        <v>6000000</v>
      </c>
      <c r="I279" s="258">
        <f>List34[[#This Row],[Pengajuan Donasi]]</f>
        <v>6000000</v>
      </c>
      <c r="J279" s="214" t="str">
        <f>IF(List34[[#This Row],[Tanggal Trf]]&gt;0,"Done","-")</f>
        <v>Done</v>
      </c>
      <c r="K279" s="437"/>
      <c r="L279" s="221">
        <v>44670</v>
      </c>
      <c r="M279" s="105" t="s">
        <v>650</v>
      </c>
      <c r="N279" s="100">
        <f>MONTH(List34[[#This Row],[Tanggal Pengajuan]])</f>
        <v>4</v>
      </c>
      <c r="O279" s="101">
        <v>44676</v>
      </c>
      <c r="P279" s="105" t="s">
        <v>795</v>
      </c>
      <c r="Q279" s="111"/>
      <c r="R279" s="230" t="s">
        <v>958</v>
      </c>
      <c r="T279" s="275">
        <f>+List34[[#This Row],[Pengajuan Donasi]]-List34[[#This Row],[Jumlah Transfer]]</f>
        <v>0</v>
      </c>
      <c r="U279" s="275"/>
    </row>
    <row r="280" spans="2:21" ht="30" customHeight="1" x14ac:dyDescent="0.2">
      <c r="B280" s="102">
        <v>44658</v>
      </c>
      <c r="C280" s="67" t="s">
        <v>810</v>
      </c>
      <c r="D280" s="14" t="s">
        <v>407</v>
      </c>
      <c r="E280" s="103" t="s">
        <v>57</v>
      </c>
      <c r="F280" s="103" t="s">
        <v>18</v>
      </c>
      <c r="G280" s="15">
        <v>64</v>
      </c>
      <c r="H280" s="258">
        <v>10000000</v>
      </c>
      <c r="I280" s="258">
        <f>List34[[#This Row],[Pengajuan Donasi]]</f>
        <v>10000000</v>
      </c>
      <c r="J280" s="213" t="str">
        <f>IF(List34[[#This Row],[Tanggal Trf]]&gt;0,"Done","-")</f>
        <v>Done</v>
      </c>
      <c r="K280" s="437"/>
      <c r="L280" s="221">
        <v>44663</v>
      </c>
      <c r="M280" s="105" t="s">
        <v>661</v>
      </c>
      <c r="N280" s="100">
        <f>MONTH(List34[[#This Row],[Tanggal Pengajuan]])</f>
        <v>4</v>
      </c>
      <c r="O280" s="183">
        <v>44676</v>
      </c>
      <c r="P280" s="100" t="s">
        <v>795</v>
      </c>
      <c r="Q280" s="111"/>
      <c r="R280" s="230" t="s">
        <v>958</v>
      </c>
      <c r="T280" s="275">
        <f>+List34[[#This Row],[Pengajuan Donasi]]-List34[[#This Row],[Jumlah Transfer]]</f>
        <v>0</v>
      </c>
      <c r="U280" s="275"/>
    </row>
    <row r="281" spans="2:21" ht="30" customHeight="1" x14ac:dyDescent="0.2">
      <c r="B281" s="102">
        <v>44658</v>
      </c>
      <c r="C281" s="67" t="s">
        <v>811</v>
      </c>
      <c r="D281" s="103" t="s">
        <v>916</v>
      </c>
      <c r="E281" s="14" t="s">
        <v>26</v>
      </c>
      <c r="F281" s="14" t="s">
        <v>18</v>
      </c>
      <c r="G281" s="15">
        <v>1</v>
      </c>
      <c r="H281" s="258">
        <v>500000</v>
      </c>
      <c r="I281" s="258">
        <f>List34[[#This Row],[Pengajuan Donasi]]</f>
        <v>500000</v>
      </c>
      <c r="J281" s="213" t="str">
        <f>IF(List34[[#This Row],[Tanggal Trf]]&gt;0,"Done","-")</f>
        <v>Done</v>
      </c>
      <c r="K281" s="437"/>
      <c r="L281" s="221">
        <v>44670</v>
      </c>
      <c r="M281" s="100" t="s">
        <v>895</v>
      </c>
      <c r="N281" s="100">
        <f>MONTH(List34[[#This Row],[Tanggal Pengajuan]])</f>
        <v>4</v>
      </c>
      <c r="O281" s="183">
        <v>44676</v>
      </c>
      <c r="P281" s="105" t="s">
        <v>795</v>
      </c>
      <c r="Q281" s="111"/>
      <c r="R281" s="230" t="s">
        <v>958</v>
      </c>
      <c r="T281" s="275">
        <f>+List34[[#This Row],[Pengajuan Donasi]]-List34[[#This Row],[Jumlah Transfer]]</f>
        <v>0</v>
      </c>
      <c r="U281" s="275"/>
    </row>
    <row r="282" spans="2:21" ht="30" customHeight="1" x14ac:dyDescent="0.2">
      <c r="B282" s="102">
        <v>44658</v>
      </c>
      <c r="C282" s="67"/>
      <c r="D282" s="103" t="s">
        <v>917</v>
      </c>
      <c r="E282" s="14" t="s">
        <v>26</v>
      </c>
      <c r="F282" s="14" t="s">
        <v>18</v>
      </c>
      <c r="G282" s="15">
        <v>1</v>
      </c>
      <c r="H282" s="258">
        <v>500000</v>
      </c>
      <c r="I282" s="258">
        <f>List34[[#This Row],[Pengajuan Donasi]]</f>
        <v>500000</v>
      </c>
      <c r="J282" s="213" t="str">
        <f>IF(List34[[#This Row],[Tanggal Trf]]&gt;0,"Done","-")</f>
        <v>Done</v>
      </c>
      <c r="K282" s="437"/>
      <c r="L282" s="221">
        <v>44670</v>
      </c>
      <c r="M282" s="100" t="s">
        <v>894</v>
      </c>
      <c r="N282" s="100">
        <f>MONTH(List34[[#This Row],[Tanggal Pengajuan]])</f>
        <v>4</v>
      </c>
      <c r="O282" s="183">
        <v>44676</v>
      </c>
      <c r="P282" s="105" t="s">
        <v>795</v>
      </c>
      <c r="Q282" s="111"/>
      <c r="R282" s="230" t="s">
        <v>958</v>
      </c>
      <c r="T282" s="275">
        <f>+List34[[#This Row],[Pengajuan Donasi]]-List34[[#This Row],[Jumlah Transfer]]</f>
        <v>0</v>
      </c>
      <c r="U282" s="275"/>
    </row>
    <row r="283" spans="2:21" ht="30" customHeight="1" x14ac:dyDescent="0.2">
      <c r="B283" s="102">
        <v>44658</v>
      </c>
      <c r="C283" s="67"/>
      <c r="D283" s="103" t="s">
        <v>918</v>
      </c>
      <c r="E283" s="14" t="s">
        <v>26</v>
      </c>
      <c r="F283" s="14" t="s">
        <v>18</v>
      </c>
      <c r="G283" s="15">
        <v>1</v>
      </c>
      <c r="H283" s="258">
        <v>500000</v>
      </c>
      <c r="I283" s="258">
        <f>List34[[#This Row],[Pengajuan Donasi]]</f>
        <v>500000</v>
      </c>
      <c r="J283" s="213" t="str">
        <f>IF(List34[[#This Row],[Tanggal Trf]]&gt;0,"Done","-")</f>
        <v>Done</v>
      </c>
      <c r="K283" s="437"/>
      <c r="L283" s="221">
        <v>44672</v>
      </c>
      <c r="M283" s="100" t="s">
        <v>896</v>
      </c>
      <c r="N283" s="100">
        <f>MONTH(List34[[#This Row],[Tanggal Pengajuan]])</f>
        <v>4</v>
      </c>
      <c r="O283" s="183">
        <v>44676</v>
      </c>
      <c r="P283" s="105" t="s">
        <v>795</v>
      </c>
      <c r="Q283" s="111"/>
      <c r="R283" s="230" t="s">
        <v>958</v>
      </c>
      <c r="T283" s="275">
        <f>+List34[[#This Row],[Pengajuan Donasi]]-List34[[#This Row],[Jumlah Transfer]]</f>
        <v>0</v>
      </c>
      <c r="U283" s="275"/>
    </row>
    <row r="284" spans="2:21" ht="30" customHeight="1" x14ac:dyDescent="0.2">
      <c r="B284" s="102">
        <v>44658</v>
      </c>
      <c r="C284" s="67"/>
      <c r="D284" s="103" t="s">
        <v>919</v>
      </c>
      <c r="E284" s="14" t="s">
        <v>26</v>
      </c>
      <c r="F284" s="14" t="s">
        <v>18</v>
      </c>
      <c r="G284" s="15">
        <v>1</v>
      </c>
      <c r="H284" s="258">
        <v>500000</v>
      </c>
      <c r="I284" s="258">
        <f>List34[[#This Row],[Pengajuan Donasi]]</f>
        <v>500000</v>
      </c>
      <c r="J284" s="213" t="str">
        <f>IF(List34[[#This Row],[Tanggal Trf]]&gt;0,"Done","-")</f>
        <v>Done</v>
      </c>
      <c r="K284" s="437"/>
      <c r="L284" s="221">
        <v>44672</v>
      </c>
      <c r="M284" s="100" t="s">
        <v>897</v>
      </c>
      <c r="N284" s="100">
        <f>MONTH(List34[[#This Row],[Tanggal Pengajuan]])</f>
        <v>4</v>
      </c>
      <c r="O284" s="183">
        <v>44676</v>
      </c>
      <c r="P284" s="105" t="s">
        <v>795</v>
      </c>
      <c r="Q284" s="111"/>
      <c r="R284" s="230" t="s">
        <v>958</v>
      </c>
      <c r="T284" s="275">
        <f>+List34[[#This Row],[Pengajuan Donasi]]-List34[[#This Row],[Jumlah Transfer]]</f>
        <v>0</v>
      </c>
      <c r="U284" s="275"/>
    </row>
    <row r="285" spans="2:21" ht="30" customHeight="1" x14ac:dyDescent="0.2">
      <c r="B285" s="102">
        <v>44658</v>
      </c>
      <c r="C285" s="67"/>
      <c r="D285" s="103" t="s">
        <v>920</v>
      </c>
      <c r="E285" s="14" t="s">
        <v>26</v>
      </c>
      <c r="F285" s="14" t="s">
        <v>18</v>
      </c>
      <c r="G285" s="15">
        <v>1</v>
      </c>
      <c r="H285" s="258">
        <v>500000</v>
      </c>
      <c r="I285" s="258">
        <f>List34[[#This Row],[Pengajuan Donasi]]</f>
        <v>500000</v>
      </c>
      <c r="J285" s="213" t="str">
        <f>IF(List34[[#This Row],[Tanggal Trf]]&gt;0,"Done","-")</f>
        <v>Done</v>
      </c>
      <c r="K285" s="437"/>
      <c r="L285" s="221">
        <v>44672</v>
      </c>
      <c r="M285" s="100" t="s">
        <v>915</v>
      </c>
      <c r="N285" s="100">
        <f>MONTH(List34[[#This Row],[Tanggal Pengajuan]])</f>
        <v>4</v>
      </c>
      <c r="O285" s="183">
        <v>44676</v>
      </c>
      <c r="P285" s="105" t="s">
        <v>795</v>
      </c>
      <c r="Q285" s="111"/>
      <c r="R285" s="230" t="s">
        <v>958</v>
      </c>
      <c r="T285" s="275">
        <f>+List34[[#This Row],[Pengajuan Donasi]]-List34[[#This Row],[Jumlah Transfer]]</f>
        <v>0</v>
      </c>
      <c r="U285" s="275"/>
    </row>
    <row r="286" spans="2:21" ht="30" customHeight="1" x14ac:dyDescent="0.2">
      <c r="B286" s="102">
        <v>44658</v>
      </c>
      <c r="C286" s="67"/>
      <c r="D286" s="103" t="s">
        <v>921</v>
      </c>
      <c r="E286" s="14" t="s">
        <v>26</v>
      </c>
      <c r="F286" s="14" t="s">
        <v>18</v>
      </c>
      <c r="G286" s="15">
        <v>1</v>
      </c>
      <c r="H286" s="258">
        <v>500000</v>
      </c>
      <c r="I286" s="258">
        <f>List34[[#This Row],[Pengajuan Donasi]]</f>
        <v>500000</v>
      </c>
      <c r="J286" s="213" t="str">
        <f>IF(List34[[#This Row],[Tanggal Trf]]&gt;0,"Done","-")</f>
        <v>Done</v>
      </c>
      <c r="K286" s="437"/>
      <c r="L286" s="221">
        <v>44672</v>
      </c>
      <c r="M286" s="100" t="s">
        <v>898</v>
      </c>
      <c r="N286" s="100">
        <f>MONTH(List34[[#This Row],[Tanggal Pengajuan]])</f>
        <v>4</v>
      </c>
      <c r="O286" s="183">
        <v>44676</v>
      </c>
      <c r="P286" s="105" t="s">
        <v>795</v>
      </c>
      <c r="Q286" s="111"/>
      <c r="R286" s="230" t="s">
        <v>958</v>
      </c>
      <c r="T286" s="275">
        <f>+List34[[#This Row],[Pengajuan Donasi]]-List34[[#This Row],[Jumlah Transfer]]</f>
        <v>0</v>
      </c>
      <c r="U286" s="275"/>
    </row>
    <row r="287" spans="2:21" ht="30" customHeight="1" x14ac:dyDescent="0.2">
      <c r="B287" s="102">
        <v>44658</v>
      </c>
      <c r="C287" s="67"/>
      <c r="D287" s="103" t="s">
        <v>922</v>
      </c>
      <c r="E287" s="14" t="s">
        <v>26</v>
      </c>
      <c r="F287" s="14" t="s">
        <v>18</v>
      </c>
      <c r="G287" s="15">
        <v>1</v>
      </c>
      <c r="H287" s="258">
        <v>500000</v>
      </c>
      <c r="I287" s="258">
        <f>List34[[#This Row],[Pengajuan Donasi]]</f>
        <v>500000</v>
      </c>
      <c r="J287" s="213" t="str">
        <f>IF(List34[[#This Row],[Tanggal Trf]]&gt;0,"Done","-")</f>
        <v>Done</v>
      </c>
      <c r="K287" s="437"/>
      <c r="L287" s="221">
        <v>44672</v>
      </c>
      <c r="M287" s="100" t="s">
        <v>899</v>
      </c>
      <c r="N287" s="100">
        <f>MONTH(List34[[#This Row],[Tanggal Pengajuan]])</f>
        <v>4</v>
      </c>
      <c r="O287" s="183">
        <v>44676</v>
      </c>
      <c r="P287" s="105" t="s">
        <v>795</v>
      </c>
      <c r="Q287" s="111"/>
      <c r="R287" s="230" t="s">
        <v>958</v>
      </c>
      <c r="T287" s="275">
        <f>+List34[[#This Row],[Pengajuan Donasi]]-List34[[#This Row],[Jumlah Transfer]]</f>
        <v>0</v>
      </c>
      <c r="U287" s="275"/>
    </row>
    <row r="288" spans="2:21" ht="30" customHeight="1" x14ac:dyDescent="0.2">
      <c r="B288" s="102">
        <v>44658</v>
      </c>
      <c r="C288" s="67"/>
      <c r="D288" s="103" t="s">
        <v>923</v>
      </c>
      <c r="E288" s="14" t="s">
        <v>26</v>
      </c>
      <c r="F288" s="14" t="s">
        <v>18</v>
      </c>
      <c r="G288" s="15">
        <v>1</v>
      </c>
      <c r="H288" s="258">
        <v>500000</v>
      </c>
      <c r="I288" s="258">
        <f>List34[[#This Row],[Pengajuan Donasi]]</f>
        <v>500000</v>
      </c>
      <c r="J288" s="213" t="str">
        <f>IF(List34[[#This Row],[Tanggal Trf]]&gt;0,"Done","-")</f>
        <v>Done</v>
      </c>
      <c r="K288" s="437"/>
      <c r="L288" s="221">
        <v>44672</v>
      </c>
      <c r="M288" s="100" t="s">
        <v>900</v>
      </c>
      <c r="N288" s="100">
        <f>MONTH(List34[[#This Row],[Tanggal Pengajuan]])</f>
        <v>4</v>
      </c>
      <c r="O288" s="183">
        <v>44676</v>
      </c>
      <c r="P288" s="105" t="s">
        <v>795</v>
      </c>
      <c r="Q288" s="111"/>
      <c r="R288" s="230" t="s">
        <v>958</v>
      </c>
      <c r="T288" s="275">
        <f>+List34[[#This Row],[Pengajuan Donasi]]-List34[[#This Row],[Jumlah Transfer]]</f>
        <v>0</v>
      </c>
      <c r="U288" s="275"/>
    </row>
    <row r="289" spans="2:21" ht="30" customHeight="1" x14ac:dyDescent="0.2">
      <c r="B289" s="102">
        <v>44658</v>
      </c>
      <c r="C289" s="67"/>
      <c r="D289" s="103" t="s">
        <v>924</v>
      </c>
      <c r="E289" s="14" t="s">
        <v>26</v>
      </c>
      <c r="F289" s="14" t="s">
        <v>18</v>
      </c>
      <c r="G289" s="15">
        <v>1</v>
      </c>
      <c r="H289" s="258">
        <v>500000</v>
      </c>
      <c r="I289" s="258">
        <f>List34[[#This Row],[Pengajuan Donasi]]</f>
        <v>500000</v>
      </c>
      <c r="J289" s="213" t="str">
        <f>IF(List34[[#This Row],[Tanggal Trf]]&gt;0,"Done","-")</f>
        <v>Done</v>
      </c>
      <c r="K289" s="437"/>
      <c r="L289" s="221">
        <v>44672</v>
      </c>
      <c r="M289" s="100" t="s">
        <v>901</v>
      </c>
      <c r="N289" s="100">
        <f>MONTH(List34[[#This Row],[Tanggal Pengajuan]])</f>
        <v>4</v>
      </c>
      <c r="O289" s="183">
        <v>44676</v>
      </c>
      <c r="P289" s="105" t="s">
        <v>795</v>
      </c>
      <c r="Q289" s="111"/>
      <c r="R289" s="230" t="s">
        <v>958</v>
      </c>
      <c r="T289" s="275">
        <f>+List34[[#This Row],[Pengajuan Donasi]]-List34[[#This Row],[Jumlah Transfer]]</f>
        <v>0</v>
      </c>
      <c r="U289" s="275"/>
    </row>
    <row r="290" spans="2:21" ht="30" customHeight="1" x14ac:dyDescent="0.2">
      <c r="B290" s="102">
        <v>44658</v>
      </c>
      <c r="C290" s="67"/>
      <c r="D290" s="103" t="s">
        <v>925</v>
      </c>
      <c r="E290" s="14" t="s">
        <v>26</v>
      </c>
      <c r="F290" s="14" t="s">
        <v>18</v>
      </c>
      <c r="G290" s="15">
        <v>1</v>
      </c>
      <c r="H290" s="258">
        <v>500000</v>
      </c>
      <c r="I290" s="258">
        <f>List34[[#This Row],[Pengajuan Donasi]]</f>
        <v>500000</v>
      </c>
      <c r="J290" s="213" t="str">
        <f>IF(List34[[#This Row],[Tanggal Trf]]&gt;0,"Done","-")</f>
        <v>Done</v>
      </c>
      <c r="K290" s="437"/>
      <c r="L290" s="221">
        <v>44672</v>
      </c>
      <c r="M290" s="100" t="s">
        <v>1014</v>
      </c>
      <c r="N290" s="100">
        <f>MONTH(List34[[#This Row],[Tanggal Pengajuan]])</f>
        <v>4</v>
      </c>
      <c r="O290" s="183">
        <v>44676</v>
      </c>
      <c r="P290" s="105" t="s">
        <v>795</v>
      </c>
      <c r="Q290" s="111"/>
      <c r="R290" s="230" t="s">
        <v>958</v>
      </c>
      <c r="T290" s="275">
        <f>+List34[[#This Row],[Pengajuan Donasi]]-List34[[#This Row],[Jumlah Transfer]]</f>
        <v>0</v>
      </c>
      <c r="U290" s="275"/>
    </row>
    <row r="291" spans="2:21" ht="30" customHeight="1" x14ac:dyDescent="0.2">
      <c r="B291" s="102">
        <v>44658</v>
      </c>
      <c r="C291" s="67"/>
      <c r="D291" s="103" t="s">
        <v>926</v>
      </c>
      <c r="E291" s="14" t="s">
        <v>26</v>
      </c>
      <c r="F291" s="14" t="s">
        <v>18</v>
      </c>
      <c r="G291" s="15">
        <v>1</v>
      </c>
      <c r="H291" s="258">
        <v>500000</v>
      </c>
      <c r="I291" s="258">
        <f>List34[[#This Row],[Pengajuan Donasi]]</f>
        <v>500000</v>
      </c>
      <c r="J291" s="213" t="str">
        <f>IF(List34[[#This Row],[Tanggal Trf]]&gt;0,"Done","-")</f>
        <v>Done</v>
      </c>
      <c r="K291" s="437"/>
      <c r="L291" s="221">
        <v>44672</v>
      </c>
      <c r="M291" s="100" t="s">
        <v>1014</v>
      </c>
      <c r="N291" s="100">
        <f>MONTH(List34[[#This Row],[Tanggal Pengajuan]])</f>
        <v>4</v>
      </c>
      <c r="O291" s="183">
        <v>44676</v>
      </c>
      <c r="P291" s="105" t="s">
        <v>795</v>
      </c>
      <c r="Q291" s="111"/>
      <c r="R291" s="230" t="s">
        <v>958</v>
      </c>
      <c r="T291" s="275">
        <f>+List34[[#This Row],[Pengajuan Donasi]]-List34[[#This Row],[Jumlah Transfer]]</f>
        <v>0</v>
      </c>
      <c r="U291" s="275"/>
    </row>
    <row r="292" spans="2:21" ht="30" customHeight="1" x14ac:dyDescent="0.2">
      <c r="B292" s="102">
        <v>44658</v>
      </c>
      <c r="C292" s="67"/>
      <c r="D292" s="103" t="s">
        <v>927</v>
      </c>
      <c r="E292" s="14" t="s">
        <v>26</v>
      </c>
      <c r="F292" s="14" t="s">
        <v>18</v>
      </c>
      <c r="G292" s="15">
        <v>1</v>
      </c>
      <c r="H292" s="258">
        <v>500000</v>
      </c>
      <c r="I292" s="258">
        <f>List34[[#This Row],[Pengajuan Donasi]]</f>
        <v>500000</v>
      </c>
      <c r="J292" s="213" t="str">
        <f>IF(List34[[#This Row],[Tanggal Trf]]&gt;0,"Done","-")</f>
        <v>Done</v>
      </c>
      <c r="K292" s="437"/>
      <c r="L292" s="221">
        <v>44672</v>
      </c>
      <c r="M292" s="100" t="s">
        <v>1014</v>
      </c>
      <c r="N292" s="100">
        <f>MONTH(List34[[#This Row],[Tanggal Pengajuan]])</f>
        <v>4</v>
      </c>
      <c r="O292" s="183">
        <v>44676</v>
      </c>
      <c r="P292" s="105" t="s">
        <v>795</v>
      </c>
      <c r="Q292" s="111"/>
      <c r="R292" s="230" t="s">
        <v>958</v>
      </c>
      <c r="T292" s="275">
        <f>+List34[[#This Row],[Pengajuan Donasi]]-List34[[#This Row],[Jumlah Transfer]]</f>
        <v>0</v>
      </c>
      <c r="U292" s="275"/>
    </row>
    <row r="293" spans="2:21" ht="30" customHeight="1" x14ac:dyDescent="0.2">
      <c r="B293" s="102">
        <v>44658</v>
      </c>
      <c r="C293" s="199"/>
      <c r="D293" s="103" t="s">
        <v>928</v>
      </c>
      <c r="E293" s="14" t="s">
        <v>26</v>
      </c>
      <c r="F293" s="14" t="s">
        <v>18</v>
      </c>
      <c r="G293" s="15">
        <v>1</v>
      </c>
      <c r="H293" s="258">
        <v>500000</v>
      </c>
      <c r="I293" s="258">
        <f>List34[[#This Row],[Pengajuan Donasi]]</f>
        <v>500000</v>
      </c>
      <c r="J293" s="213" t="str">
        <f>IF(List34[[#This Row],[Tanggal Trf]]&gt;0,"Done","-")</f>
        <v>Done</v>
      </c>
      <c r="K293" s="437"/>
      <c r="L293" s="221">
        <v>44673</v>
      </c>
      <c r="M293" s="100" t="s">
        <v>1014</v>
      </c>
      <c r="N293" s="200">
        <f>MONTH(List34[[#This Row],[Tanggal Pengajuan]])</f>
        <v>4</v>
      </c>
      <c r="O293" s="183">
        <v>44676</v>
      </c>
      <c r="P293" s="105" t="s">
        <v>795</v>
      </c>
      <c r="Q293" s="202"/>
      <c r="R293" s="230" t="s">
        <v>958</v>
      </c>
      <c r="T293" s="275">
        <f>+List34[[#This Row],[Pengajuan Donasi]]-List34[[#This Row],[Jumlah Transfer]]</f>
        <v>0</v>
      </c>
      <c r="U293" s="275"/>
    </row>
    <row r="294" spans="2:21" ht="30" customHeight="1" x14ac:dyDescent="0.2">
      <c r="B294" s="102">
        <v>44658</v>
      </c>
      <c r="C294" s="199"/>
      <c r="D294" s="103" t="s">
        <v>929</v>
      </c>
      <c r="E294" s="14" t="s">
        <v>26</v>
      </c>
      <c r="F294" s="14" t="s">
        <v>18</v>
      </c>
      <c r="G294" s="15">
        <v>1</v>
      </c>
      <c r="H294" s="258">
        <v>500000</v>
      </c>
      <c r="I294" s="258">
        <f>List34[[#This Row],[Pengajuan Donasi]]</f>
        <v>500000</v>
      </c>
      <c r="J294" s="213" t="str">
        <f>IF(List34[[#This Row],[Tanggal Trf]]&gt;0,"Done","-")</f>
        <v>Done</v>
      </c>
      <c r="K294" s="437"/>
      <c r="L294" s="221">
        <v>44674</v>
      </c>
      <c r="M294" s="100" t="s">
        <v>902</v>
      </c>
      <c r="N294" s="200">
        <f>MONTH(List34[[#This Row],[Tanggal Pengajuan]])</f>
        <v>4</v>
      </c>
      <c r="O294" s="183">
        <v>44676</v>
      </c>
      <c r="P294" s="105" t="s">
        <v>795</v>
      </c>
      <c r="Q294" s="202"/>
      <c r="R294" s="230" t="s">
        <v>958</v>
      </c>
      <c r="T294" s="275">
        <f>+List34[[#This Row],[Pengajuan Donasi]]-List34[[#This Row],[Jumlah Transfer]]</f>
        <v>0</v>
      </c>
      <c r="U294" s="275"/>
    </row>
    <row r="295" spans="2:21" ht="30" customHeight="1" x14ac:dyDescent="0.2">
      <c r="B295" s="102">
        <v>44658</v>
      </c>
      <c r="C295" s="199"/>
      <c r="D295" s="103" t="s">
        <v>930</v>
      </c>
      <c r="E295" s="14" t="s">
        <v>26</v>
      </c>
      <c r="F295" s="14" t="s">
        <v>18</v>
      </c>
      <c r="G295" s="15">
        <v>1</v>
      </c>
      <c r="H295" s="258">
        <v>500000</v>
      </c>
      <c r="I295" s="258">
        <f>List34[[#This Row],[Pengajuan Donasi]]</f>
        <v>500000</v>
      </c>
      <c r="J295" s="213" t="str">
        <f>IF(List34[[#This Row],[Tanggal Trf]]&gt;0,"Done","-")</f>
        <v>Done</v>
      </c>
      <c r="K295" s="437"/>
      <c r="L295" s="221">
        <v>44675</v>
      </c>
      <c r="M295" s="100" t="s">
        <v>903</v>
      </c>
      <c r="N295" s="200">
        <f>MONTH(List34[[#This Row],[Tanggal Pengajuan]])</f>
        <v>4</v>
      </c>
      <c r="O295" s="183">
        <v>44676</v>
      </c>
      <c r="P295" s="105" t="s">
        <v>795</v>
      </c>
      <c r="Q295" s="202"/>
      <c r="R295" s="230" t="s">
        <v>958</v>
      </c>
      <c r="T295" s="275">
        <f>+List34[[#This Row],[Pengajuan Donasi]]-List34[[#This Row],[Jumlah Transfer]]</f>
        <v>0</v>
      </c>
      <c r="U295" s="275"/>
    </row>
    <row r="296" spans="2:21" ht="30" customHeight="1" x14ac:dyDescent="0.2">
      <c r="B296" s="102">
        <v>44658</v>
      </c>
      <c r="C296" s="67" t="s">
        <v>812</v>
      </c>
      <c r="D296" s="14" t="s">
        <v>25</v>
      </c>
      <c r="E296" s="14" t="s">
        <v>179</v>
      </c>
      <c r="F296" s="14" t="s">
        <v>18</v>
      </c>
      <c r="G296" s="15">
        <v>12</v>
      </c>
      <c r="H296" s="258">
        <v>2520000</v>
      </c>
      <c r="I296" s="258">
        <f>List34[[#This Row],[Pengajuan Donasi]]</f>
        <v>2520000</v>
      </c>
      <c r="J296" s="213" t="str">
        <f>IF(List34[[#This Row],[Tanggal Trf]]&gt;0,"Done","-")</f>
        <v>Done</v>
      </c>
      <c r="K296" s="437" t="s">
        <v>686</v>
      </c>
      <c r="L296" s="221">
        <v>44663</v>
      </c>
      <c r="M296" s="14" t="s">
        <v>667</v>
      </c>
      <c r="N296" s="100">
        <f>MONTH(List34[[#This Row],[Tanggal Pengajuan]])</f>
        <v>4</v>
      </c>
      <c r="O296" s="183">
        <v>44676</v>
      </c>
      <c r="P296" s="105" t="s">
        <v>795</v>
      </c>
      <c r="Q296" s="111"/>
      <c r="R296" s="230" t="s">
        <v>958</v>
      </c>
      <c r="T296" s="275">
        <f>+List34[[#This Row],[Pengajuan Donasi]]-List34[[#This Row],[Jumlah Transfer]]</f>
        <v>0</v>
      </c>
      <c r="U296" s="275"/>
    </row>
    <row r="297" spans="2:21" ht="30" customHeight="1" x14ac:dyDescent="0.2">
      <c r="B297" s="102">
        <v>44658</v>
      </c>
      <c r="C297" s="67" t="s">
        <v>813</v>
      </c>
      <c r="D297" s="103" t="s">
        <v>426</v>
      </c>
      <c r="E297" s="14" t="s">
        <v>57</v>
      </c>
      <c r="F297" s="14" t="s">
        <v>18</v>
      </c>
      <c r="G297" s="15">
        <v>31</v>
      </c>
      <c r="H297" s="258">
        <v>20000000</v>
      </c>
      <c r="I297" s="258">
        <f>List34[[#This Row],[Pengajuan Donasi]]</f>
        <v>20000000</v>
      </c>
      <c r="J297" s="213" t="str">
        <f>IF(List34[[#This Row],[Tanggal Trf]]&gt;0,"Done","-")</f>
        <v>Done</v>
      </c>
      <c r="K297" s="437"/>
      <c r="L297" s="221">
        <v>44663</v>
      </c>
      <c r="M297" s="100" t="s">
        <v>655</v>
      </c>
      <c r="N297" s="100">
        <f>MONTH(List34[[#This Row],[Tanggal Pengajuan]])</f>
        <v>4</v>
      </c>
      <c r="O297" s="183">
        <v>44676</v>
      </c>
      <c r="P297" s="105" t="s">
        <v>795</v>
      </c>
      <c r="Q297" s="111"/>
      <c r="R297" s="230" t="s">
        <v>958</v>
      </c>
      <c r="T297" s="275">
        <f>+List34[[#This Row],[Pengajuan Donasi]]-List34[[#This Row],[Jumlah Transfer]]</f>
        <v>0</v>
      </c>
      <c r="U297" s="275"/>
    </row>
    <row r="298" spans="2:21" ht="30" customHeight="1" x14ac:dyDescent="0.2">
      <c r="B298" s="102">
        <v>44658</v>
      </c>
      <c r="C298" s="67" t="s">
        <v>814</v>
      </c>
      <c r="D298" s="103" t="s">
        <v>413</v>
      </c>
      <c r="E298" s="14" t="s">
        <v>57</v>
      </c>
      <c r="F298" s="14" t="s">
        <v>18</v>
      </c>
      <c r="G298" s="15">
        <v>16</v>
      </c>
      <c r="H298" s="258">
        <v>10000000</v>
      </c>
      <c r="I298" s="258">
        <f>List34[[#This Row],[Pengajuan Donasi]]</f>
        <v>10000000</v>
      </c>
      <c r="J298" s="213" t="str">
        <f>IF(List34[[#This Row],[Tanggal Trf]]&gt;0,"Done","-")</f>
        <v>Done</v>
      </c>
      <c r="K298" s="437"/>
      <c r="L298" s="221">
        <v>44663</v>
      </c>
      <c r="M298" s="105" t="s">
        <v>544</v>
      </c>
      <c r="N298" s="100">
        <f>MONTH(List34[[#This Row],[Tanggal Pengajuan]])</f>
        <v>4</v>
      </c>
      <c r="O298" s="183">
        <v>44676</v>
      </c>
      <c r="P298" s="100" t="s">
        <v>795</v>
      </c>
      <c r="Q298" s="111"/>
      <c r="R298" s="230" t="s">
        <v>958</v>
      </c>
      <c r="T298" s="275">
        <f>+List34[[#This Row],[Pengajuan Donasi]]-List34[[#This Row],[Jumlah Transfer]]</f>
        <v>0</v>
      </c>
      <c r="U298" s="275"/>
    </row>
    <row r="299" spans="2:21" ht="30" customHeight="1" x14ac:dyDescent="0.2">
      <c r="B299" s="102">
        <v>44659</v>
      </c>
      <c r="C299" s="67" t="s">
        <v>815</v>
      </c>
      <c r="D299" s="14" t="s">
        <v>959</v>
      </c>
      <c r="E299" s="103" t="s">
        <v>26</v>
      </c>
      <c r="F299" s="103" t="s">
        <v>28</v>
      </c>
      <c r="G299" s="15"/>
      <c r="H299" s="258">
        <v>5036300</v>
      </c>
      <c r="I299" s="258">
        <v>5063300</v>
      </c>
      <c r="J299" s="213" t="str">
        <f>IF(List34[[#This Row],[Tanggal Trf]]&gt;0,"Done","-")</f>
        <v>Done</v>
      </c>
      <c r="K299" s="437" t="s">
        <v>25</v>
      </c>
      <c r="L299" s="221">
        <v>44663</v>
      </c>
      <c r="M299" s="100" t="s">
        <v>683</v>
      </c>
      <c r="N299" s="100">
        <f>MONTH(List34[[#This Row],[Tanggal Pengajuan]])</f>
        <v>4</v>
      </c>
      <c r="O299" s="101">
        <v>44705</v>
      </c>
      <c r="P299" s="105" t="s">
        <v>795</v>
      </c>
      <c r="Q299" s="111"/>
      <c r="R299" s="230" t="s">
        <v>958</v>
      </c>
      <c r="T299" s="275">
        <f>+List34[[#This Row],[Pengajuan Donasi]]-List34[[#This Row],[Jumlah Transfer]]</f>
        <v>-27000</v>
      </c>
      <c r="U299" s="275"/>
    </row>
    <row r="300" spans="2:21" ht="30" customHeight="1" x14ac:dyDescent="0.2">
      <c r="B300" s="102">
        <v>44659</v>
      </c>
      <c r="C300" s="67" t="s">
        <v>801</v>
      </c>
      <c r="D300" s="14" t="s">
        <v>114</v>
      </c>
      <c r="E300" s="103" t="s">
        <v>179</v>
      </c>
      <c r="F300" s="103" t="s">
        <v>18</v>
      </c>
      <c r="G300" s="15">
        <v>115</v>
      </c>
      <c r="H300" s="258">
        <v>11875000</v>
      </c>
      <c r="I300" s="258">
        <f>List34[[#This Row],[Pengajuan Donasi]]</f>
        <v>11875000</v>
      </c>
      <c r="J300" s="213" t="str">
        <f>IF(List34[[#This Row],[Tanggal Trf]]&gt;0,"Done","-")</f>
        <v>Done</v>
      </c>
      <c r="K300" s="437"/>
      <c r="L300" s="221">
        <v>44663</v>
      </c>
      <c r="M300" s="100" t="s">
        <v>733</v>
      </c>
      <c r="N300" s="100">
        <f>MONTH(List34[[#This Row],[Tanggal Pengajuan]])</f>
        <v>4</v>
      </c>
      <c r="O300" s="183">
        <v>44677</v>
      </c>
      <c r="P300" s="105" t="s">
        <v>795</v>
      </c>
      <c r="Q300" s="111"/>
      <c r="R300" s="230" t="s">
        <v>958</v>
      </c>
      <c r="T300" s="275">
        <f>+List34[[#This Row],[Pengajuan Donasi]]-List34[[#This Row],[Jumlah Transfer]]</f>
        <v>0</v>
      </c>
      <c r="U300" s="275"/>
    </row>
    <row r="301" spans="2:21" ht="30" customHeight="1" x14ac:dyDescent="0.2">
      <c r="B301" s="102">
        <v>44659</v>
      </c>
      <c r="C301" s="67" t="s">
        <v>800</v>
      </c>
      <c r="D301" s="14" t="s">
        <v>60</v>
      </c>
      <c r="E301" s="103" t="s">
        <v>179</v>
      </c>
      <c r="F301" s="103" t="s">
        <v>18</v>
      </c>
      <c r="G301" s="15">
        <v>37</v>
      </c>
      <c r="H301" s="258">
        <v>1200000</v>
      </c>
      <c r="I301" s="258">
        <f>List34[[#This Row],[Pengajuan Donasi]]</f>
        <v>1200000</v>
      </c>
      <c r="J301" s="213" t="str">
        <f>IF(List34[[#This Row],[Tanggal Trf]]&gt;0,"Done","-")</f>
        <v>Done</v>
      </c>
      <c r="K301" s="437"/>
      <c r="L301" s="221">
        <v>44670</v>
      </c>
      <c r="M301" s="100" t="s">
        <v>674</v>
      </c>
      <c r="N301" s="100">
        <f>MONTH(List34[[#This Row],[Tanggal Pengajuan]])</f>
        <v>4</v>
      </c>
      <c r="O301" s="183">
        <v>44677</v>
      </c>
      <c r="P301" s="105" t="s">
        <v>795</v>
      </c>
      <c r="Q301" s="111"/>
      <c r="R301" s="230" t="s">
        <v>958</v>
      </c>
      <c r="T301" s="275">
        <f>+List34[[#This Row],[Pengajuan Donasi]]-List34[[#This Row],[Jumlah Transfer]]</f>
        <v>0</v>
      </c>
      <c r="U301" s="275"/>
    </row>
    <row r="302" spans="2:21" ht="30" customHeight="1" x14ac:dyDescent="0.2">
      <c r="B302" s="102">
        <v>44659</v>
      </c>
      <c r="C302" s="67" t="s">
        <v>799</v>
      </c>
      <c r="D302" s="14" t="s">
        <v>129</v>
      </c>
      <c r="E302" s="103" t="s">
        <v>179</v>
      </c>
      <c r="F302" s="103" t="s">
        <v>18</v>
      </c>
      <c r="G302" s="15">
        <v>32</v>
      </c>
      <c r="H302" s="258">
        <v>7950000</v>
      </c>
      <c r="I302" s="258">
        <f>List34[[#This Row],[Pengajuan Donasi]]</f>
        <v>7950000</v>
      </c>
      <c r="J302" s="213" t="str">
        <f>IF(List34[[#This Row],[Tanggal Trf]]&gt;0,"Done","-")</f>
        <v>Done</v>
      </c>
      <c r="K302" s="437"/>
      <c r="L302" s="221">
        <v>44663</v>
      </c>
      <c r="M302" s="100" t="s">
        <v>675</v>
      </c>
      <c r="N302" s="100">
        <f>MONTH(List34[[#This Row],[Tanggal Pengajuan]])</f>
        <v>4</v>
      </c>
      <c r="O302" s="183">
        <v>44677</v>
      </c>
      <c r="P302" s="105" t="s">
        <v>795</v>
      </c>
      <c r="Q302" s="111"/>
      <c r="R302" s="230" t="s">
        <v>958</v>
      </c>
      <c r="T302" s="275">
        <f>+List34[[#This Row],[Pengajuan Donasi]]-List34[[#This Row],[Jumlah Transfer]]</f>
        <v>0</v>
      </c>
      <c r="U302" s="275"/>
    </row>
    <row r="303" spans="2:21" ht="30" customHeight="1" x14ac:dyDescent="0.2">
      <c r="B303" s="102">
        <v>44659</v>
      </c>
      <c r="C303" s="67" t="s">
        <v>802</v>
      </c>
      <c r="D303" s="14" t="s">
        <v>106</v>
      </c>
      <c r="E303" s="103" t="s">
        <v>179</v>
      </c>
      <c r="F303" s="103" t="s">
        <v>18</v>
      </c>
      <c r="G303" s="15">
        <v>85</v>
      </c>
      <c r="H303" s="267">
        <v>18700000</v>
      </c>
      <c r="I303" s="258">
        <f>List34[[#This Row],[Pengajuan Donasi]]</f>
        <v>18700000</v>
      </c>
      <c r="J303" s="213" t="str">
        <f>IF(List34[[#This Row],[Tanggal Trf]]&gt;0,"Done","-")</f>
        <v>Done</v>
      </c>
      <c r="K303" s="437"/>
      <c r="L303" s="221">
        <v>44663</v>
      </c>
      <c r="M303" s="100" t="s">
        <v>893</v>
      </c>
      <c r="N303" s="100">
        <f>MONTH(List34[[#This Row],[Tanggal Pengajuan]])</f>
        <v>4</v>
      </c>
      <c r="O303" s="183">
        <v>44677</v>
      </c>
      <c r="P303" s="105" t="s">
        <v>795</v>
      </c>
      <c r="Q303" s="111"/>
      <c r="R303" s="230" t="s">
        <v>958</v>
      </c>
      <c r="T303" s="275">
        <f>+List34[[#This Row],[Pengajuan Donasi]]-List34[[#This Row],[Jumlah Transfer]]</f>
        <v>0</v>
      </c>
      <c r="U303" s="275"/>
    </row>
    <row r="304" spans="2:21" ht="30" customHeight="1" x14ac:dyDescent="0.2">
      <c r="B304" s="102">
        <v>44659</v>
      </c>
      <c r="C304" s="67" t="s">
        <v>798</v>
      </c>
      <c r="D304" s="14" t="s">
        <v>48</v>
      </c>
      <c r="E304" s="103" t="s">
        <v>179</v>
      </c>
      <c r="F304" s="103" t="s">
        <v>18</v>
      </c>
      <c r="G304" s="15">
        <v>39</v>
      </c>
      <c r="H304" s="258">
        <v>3325000</v>
      </c>
      <c r="I304" s="258">
        <f>List34[[#This Row],[Pengajuan Donasi]]</f>
        <v>3325000</v>
      </c>
      <c r="J304" s="213" t="str">
        <f>IF(List34[[#This Row],[Tanggal Trf]]&gt;0,"Done","-")</f>
        <v>Done</v>
      </c>
      <c r="K304" s="437"/>
      <c r="L304" s="221">
        <v>44663</v>
      </c>
      <c r="M304" s="100" t="s">
        <v>445</v>
      </c>
      <c r="N304" s="100">
        <f>MONTH(List34[[#This Row],[Tanggal Pengajuan]])</f>
        <v>4</v>
      </c>
      <c r="O304" s="183">
        <v>44677</v>
      </c>
      <c r="P304" s="105" t="s">
        <v>795</v>
      </c>
      <c r="Q304" s="111"/>
      <c r="R304" s="230" t="s">
        <v>958</v>
      </c>
      <c r="T304" s="275">
        <f>+List34[[#This Row],[Pengajuan Donasi]]-List34[[#This Row],[Jumlah Transfer]]</f>
        <v>0</v>
      </c>
      <c r="U304" s="275"/>
    </row>
    <row r="305" spans="2:21" ht="30" customHeight="1" x14ac:dyDescent="0.2">
      <c r="B305" s="102">
        <v>44659</v>
      </c>
      <c r="C305" s="67" t="s">
        <v>797</v>
      </c>
      <c r="D305" s="14" t="s">
        <v>87</v>
      </c>
      <c r="E305" s="103" t="s">
        <v>179</v>
      </c>
      <c r="F305" s="103" t="s">
        <v>18</v>
      </c>
      <c r="G305" s="15">
        <v>24</v>
      </c>
      <c r="H305" s="258">
        <v>2400000</v>
      </c>
      <c r="I305" s="258">
        <f>List34[[#This Row],[Pengajuan Donasi]]</f>
        <v>2400000</v>
      </c>
      <c r="J305" s="213" t="str">
        <f>IF(List34[[#This Row],[Tanggal Trf]]&gt;0,"Done","-")</f>
        <v>Done</v>
      </c>
      <c r="K305" s="437"/>
      <c r="L305" s="221">
        <v>44666</v>
      </c>
      <c r="M305" s="100" t="s">
        <v>493</v>
      </c>
      <c r="N305" s="100">
        <f>MONTH(List34[[#This Row],[Tanggal Pengajuan]])</f>
        <v>4</v>
      </c>
      <c r="O305" s="183">
        <v>44677</v>
      </c>
      <c r="P305" s="20" t="s">
        <v>795</v>
      </c>
      <c r="Q305" s="111"/>
      <c r="R305" s="230" t="s">
        <v>958</v>
      </c>
      <c r="T305" s="275">
        <f>+List34[[#This Row],[Pengajuan Donasi]]-List34[[#This Row],[Jumlah Transfer]]</f>
        <v>0</v>
      </c>
      <c r="U305" s="275"/>
    </row>
    <row r="306" spans="2:21" ht="30" customHeight="1" x14ac:dyDescent="0.2">
      <c r="B306" s="102">
        <v>44659</v>
      </c>
      <c r="C306" s="67" t="s">
        <v>796</v>
      </c>
      <c r="D306" s="14" t="s">
        <v>256</v>
      </c>
      <c r="E306" s="103" t="s">
        <v>17</v>
      </c>
      <c r="F306" s="103" t="s">
        <v>18</v>
      </c>
      <c r="G306" s="15">
        <v>86</v>
      </c>
      <c r="H306" s="258">
        <v>8500000</v>
      </c>
      <c r="I306" s="258">
        <f>List34[[#This Row],[Pengajuan Donasi]]</f>
        <v>8500000</v>
      </c>
      <c r="J306" s="213" t="str">
        <f>IF(List34[[#This Row],[Tanggal Trf]]&gt;0,"Done","-")</f>
        <v>Done</v>
      </c>
      <c r="K306" s="437"/>
      <c r="L306" s="221">
        <v>44663</v>
      </c>
      <c r="M306" s="100" t="s">
        <v>136</v>
      </c>
      <c r="N306" s="100">
        <f>MONTH(List34[[#This Row],[Tanggal Pengajuan]])</f>
        <v>4</v>
      </c>
      <c r="O306" s="183">
        <v>44677</v>
      </c>
      <c r="P306" s="105" t="s">
        <v>795</v>
      </c>
      <c r="Q306" s="111"/>
      <c r="R306" s="230" t="s">
        <v>958</v>
      </c>
      <c r="T306" s="275">
        <f>+List34[[#This Row],[Pengajuan Donasi]]-List34[[#This Row],[Jumlah Transfer]]</f>
        <v>0</v>
      </c>
      <c r="U306" s="275"/>
    </row>
    <row r="307" spans="2:21" ht="30" customHeight="1" x14ac:dyDescent="0.2">
      <c r="B307" s="102">
        <v>44659</v>
      </c>
      <c r="C307" s="181"/>
      <c r="D307" s="14" t="s">
        <v>257</v>
      </c>
      <c r="E307" s="176" t="s">
        <v>17</v>
      </c>
      <c r="F307" s="103" t="s">
        <v>18</v>
      </c>
      <c r="G307" s="469">
        <v>134</v>
      </c>
      <c r="H307" s="258">
        <v>5500000</v>
      </c>
      <c r="I307" s="258">
        <f>List34[[#This Row],[Pengajuan Donasi]]</f>
        <v>5500000</v>
      </c>
      <c r="J307" s="213" t="str">
        <f>IF(List34[[#This Row],[Tanggal Trf]]&gt;0,"Done","-")</f>
        <v>Done</v>
      </c>
      <c r="K307" s="438"/>
      <c r="L307" s="221">
        <v>44663</v>
      </c>
      <c r="M307" s="20" t="s">
        <v>136</v>
      </c>
      <c r="N307" s="20">
        <f>MONTH(List34[[#This Row],[Tanggal Pengajuan]])</f>
        <v>4</v>
      </c>
      <c r="O307" s="183">
        <v>44677</v>
      </c>
      <c r="P307" s="20" t="s">
        <v>795</v>
      </c>
      <c r="Q307" s="198"/>
      <c r="R307" s="230" t="s">
        <v>958</v>
      </c>
      <c r="T307" s="275">
        <f>+List34[[#This Row],[Pengajuan Donasi]]-List34[[#This Row],[Jumlah Transfer]]</f>
        <v>0</v>
      </c>
      <c r="U307" s="275"/>
    </row>
    <row r="308" spans="2:21" ht="30" customHeight="1" x14ac:dyDescent="0.2">
      <c r="B308" s="102">
        <v>44659</v>
      </c>
      <c r="C308" s="181"/>
      <c r="D308" s="14" t="s">
        <v>222</v>
      </c>
      <c r="E308" s="176" t="s">
        <v>17</v>
      </c>
      <c r="F308" s="103" t="s">
        <v>18</v>
      </c>
      <c r="G308" s="469">
        <v>36</v>
      </c>
      <c r="H308" s="258">
        <v>5500000</v>
      </c>
      <c r="I308" s="258">
        <f>List34[[#This Row],[Pengajuan Donasi]]</f>
        <v>5500000</v>
      </c>
      <c r="J308" s="213" t="str">
        <f>IF(List34[[#This Row],[Tanggal Trf]]&gt;0,"Done","-")</f>
        <v>Done</v>
      </c>
      <c r="K308" s="438"/>
      <c r="L308" s="221">
        <v>44663</v>
      </c>
      <c r="M308" s="20" t="s">
        <v>136</v>
      </c>
      <c r="N308" s="20">
        <f>MONTH(List34[[#This Row],[Tanggal Pengajuan]])</f>
        <v>4</v>
      </c>
      <c r="O308" s="183">
        <v>44677</v>
      </c>
      <c r="P308" s="20" t="s">
        <v>795</v>
      </c>
      <c r="Q308" s="198"/>
      <c r="R308" s="230" t="s">
        <v>958</v>
      </c>
      <c r="T308" s="275">
        <f>+List34[[#This Row],[Pengajuan Donasi]]-List34[[#This Row],[Jumlah Transfer]]</f>
        <v>0</v>
      </c>
      <c r="U308" s="275"/>
    </row>
    <row r="309" spans="2:21" ht="30" customHeight="1" x14ac:dyDescent="0.2">
      <c r="B309" s="102">
        <v>44659</v>
      </c>
      <c r="C309" s="67" t="s">
        <v>794</v>
      </c>
      <c r="D309" s="103" t="s">
        <v>1073</v>
      </c>
      <c r="E309" s="103" t="s">
        <v>26</v>
      </c>
      <c r="F309" s="103" t="s">
        <v>28</v>
      </c>
      <c r="G309" s="15"/>
      <c r="H309" s="258">
        <v>3540000</v>
      </c>
      <c r="I309" s="258">
        <f>List34[[#This Row],[Pengajuan Donasi]]</f>
        <v>3540000</v>
      </c>
      <c r="J309" s="213" t="str">
        <f>IF(List34[[#This Row],[Tanggal Trf]]&gt;0,"Done","-")</f>
        <v>Done</v>
      </c>
      <c r="K309" s="437" t="s">
        <v>25</v>
      </c>
      <c r="L309" s="221">
        <v>44663</v>
      </c>
      <c r="M309" s="100" t="s">
        <v>683</v>
      </c>
      <c r="N309" s="100">
        <f>MONTH(List34[[#This Row],[Tanggal Pengajuan]])</f>
        <v>4</v>
      </c>
      <c r="O309" s="101">
        <v>44678</v>
      </c>
      <c r="P309" s="105" t="s">
        <v>795</v>
      </c>
      <c r="Q309" s="111"/>
      <c r="R309" s="230" t="s">
        <v>958</v>
      </c>
      <c r="T309" s="275">
        <f>+List34[[#This Row],[Pengajuan Donasi]]-List34[[#This Row],[Jumlah Transfer]]</f>
        <v>0</v>
      </c>
      <c r="U309" s="275"/>
    </row>
    <row r="310" spans="2:21" ht="30" customHeight="1" x14ac:dyDescent="0.2">
      <c r="B310" s="102">
        <v>44659</v>
      </c>
      <c r="C310" s="67"/>
      <c r="D310" s="103" t="s">
        <v>1074</v>
      </c>
      <c r="E310" s="103" t="s">
        <v>26</v>
      </c>
      <c r="F310" s="103" t="s">
        <v>28</v>
      </c>
      <c r="G310" s="15">
        <v>0</v>
      </c>
      <c r="H310" s="258">
        <v>3280000</v>
      </c>
      <c r="I310" s="258">
        <f>List34[[#This Row],[Pengajuan Donasi]]</f>
        <v>3280000</v>
      </c>
      <c r="J310" s="213" t="str">
        <f>IF(List34[[#This Row],[Tanggal Trf]]&gt;0,"Done","-")</f>
        <v>Done</v>
      </c>
      <c r="K310" s="437"/>
      <c r="L310" s="221">
        <v>44663</v>
      </c>
      <c r="M310" s="100" t="s">
        <v>683</v>
      </c>
      <c r="N310" s="100">
        <f>MONTH(List34[[#This Row],[Tanggal Pengajuan]])</f>
        <v>4</v>
      </c>
      <c r="O310" s="183">
        <v>44678</v>
      </c>
      <c r="P310" s="105" t="s">
        <v>795</v>
      </c>
      <c r="Q310" s="111"/>
      <c r="R310" s="230"/>
      <c r="U310" s="275"/>
    </row>
    <row r="311" spans="2:21" ht="30" customHeight="1" x14ac:dyDescent="0.2">
      <c r="B311" s="102">
        <v>44669</v>
      </c>
      <c r="C311" s="67" t="s">
        <v>885</v>
      </c>
      <c r="D311" s="103" t="s">
        <v>782</v>
      </c>
      <c r="E311" s="103" t="s">
        <v>1054</v>
      </c>
      <c r="F311" s="103" t="s">
        <v>18</v>
      </c>
      <c r="G311" s="15"/>
      <c r="H311" s="258">
        <v>0</v>
      </c>
      <c r="I311" s="258">
        <f>List34[[#This Row],[Pengajuan Donasi]]</f>
        <v>0</v>
      </c>
      <c r="J311" s="213" t="str">
        <f>IF(List34[[#This Row],[Tanggal Trf]]&gt;0,"Done","-")</f>
        <v>Done</v>
      </c>
      <c r="K311" s="437"/>
      <c r="L311" s="221">
        <v>44671</v>
      </c>
      <c r="M311" s="100" t="s">
        <v>683</v>
      </c>
      <c r="N311" s="100">
        <f>MONTH(List34[[#This Row],[Tanggal Pengajuan]])</f>
        <v>4</v>
      </c>
      <c r="O311" s="101" t="s">
        <v>960</v>
      </c>
      <c r="P311" s="105" t="s">
        <v>795</v>
      </c>
      <c r="Q311" s="111"/>
      <c r="R311" s="230" t="s">
        <v>960</v>
      </c>
      <c r="T311" s="275">
        <f>+List34[[#This Row],[Pengajuan Donasi]]-List34[[#This Row],[Jumlah Transfer]]</f>
        <v>0</v>
      </c>
      <c r="U311" s="275"/>
    </row>
    <row r="312" spans="2:21" ht="30" customHeight="1" x14ac:dyDescent="0.2">
      <c r="B312" s="102">
        <v>44669</v>
      </c>
      <c r="C312" s="67" t="s">
        <v>886</v>
      </c>
      <c r="D312" s="103" t="s">
        <v>777</v>
      </c>
      <c r="E312" s="103" t="s">
        <v>1054</v>
      </c>
      <c r="F312" s="103" t="s">
        <v>18</v>
      </c>
      <c r="G312" s="15"/>
      <c r="H312" s="258">
        <v>0</v>
      </c>
      <c r="I312" s="258">
        <f>List34[[#This Row],[Pengajuan Donasi]]</f>
        <v>0</v>
      </c>
      <c r="J312" s="213" t="str">
        <f>IF(List34[[#This Row],[Tanggal Trf]]&gt;0,"Done","-")</f>
        <v>Done</v>
      </c>
      <c r="K312" s="437"/>
      <c r="L312" s="221">
        <v>44671</v>
      </c>
      <c r="M312" s="100" t="s">
        <v>778</v>
      </c>
      <c r="N312" s="100">
        <f>MONTH(List34[[#This Row],[Tanggal Pengajuan]])</f>
        <v>4</v>
      </c>
      <c r="O312" s="101" t="s">
        <v>960</v>
      </c>
      <c r="P312" s="105" t="s">
        <v>795</v>
      </c>
      <c r="Q312" s="111"/>
      <c r="R312" s="230" t="s">
        <v>960</v>
      </c>
      <c r="T312" s="275">
        <f>+List34[[#This Row],[Pengajuan Donasi]]-List34[[#This Row],[Jumlah Transfer]]</f>
        <v>0</v>
      </c>
      <c r="U312" s="275"/>
    </row>
    <row r="313" spans="2:21" ht="30" customHeight="1" x14ac:dyDescent="0.2">
      <c r="B313" s="102">
        <v>44670</v>
      </c>
      <c r="C313" s="67" t="s">
        <v>904</v>
      </c>
      <c r="D313" s="103" t="s">
        <v>907</v>
      </c>
      <c r="E313" s="103" t="s">
        <v>1054</v>
      </c>
      <c r="F313" s="103" t="s">
        <v>28</v>
      </c>
      <c r="G313" s="15"/>
      <c r="H313" s="258">
        <v>450000</v>
      </c>
      <c r="I313" s="258">
        <f>List34[[#This Row],[Pengajuan Donasi]]</f>
        <v>450000</v>
      </c>
      <c r="J313" s="213" t="str">
        <f>IF(List34[[#This Row],[Tanggal Trf]]&gt;0,"Done","-")</f>
        <v>Done</v>
      </c>
      <c r="K313" s="437" t="s">
        <v>961</v>
      </c>
      <c r="L313" s="221">
        <v>44666</v>
      </c>
      <c r="M313" s="100" t="s">
        <v>683</v>
      </c>
      <c r="N313" s="100">
        <f>MONTH(List34[[#This Row],[Tanggal Pengajuan]])</f>
        <v>4</v>
      </c>
      <c r="O313" s="101">
        <v>44686</v>
      </c>
      <c r="P313" s="105" t="s">
        <v>795</v>
      </c>
      <c r="Q313" s="111"/>
      <c r="R313" s="230" t="s">
        <v>958</v>
      </c>
      <c r="T313" s="275">
        <f>+List34[[#This Row],[Pengajuan Donasi]]-List34[[#This Row],[Jumlah Transfer]]</f>
        <v>0</v>
      </c>
      <c r="U313" s="275"/>
    </row>
    <row r="314" spans="2:21" ht="30" customHeight="1" x14ac:dyDescent="0.2">
      <c r="B314" s="102">
        <v>44671</v>
      </c>
      <c r="C314" s="67" t="s">
        <v>905</v>
      </c>
      <c r="D314" s="14" t="s">
        <v>906</v>
      </c>
      <c r="E314" s="103" t="s">
        <v>1054</v>
      </c>
      <c r="F314" s="103" t="s">
        <v>28</v>
      </c>
      <c r="G314" s="15"/>
      <c r="H314" s="258">
        <v>1550000</v>
      </c>
      <c r="I314" s="258">
        <f>List34[[#This Row],[Pengajuan Donasi]]</f>
        <v>1550000</v>
      </c>
      <c r="J314" s="213" t="str">
        <f>IF(List34[[#This Row],[Tanggal Trf]]&gt;0,"Done","-")</f>
        <v>Done</v>
      </c>
      <c r="K314" s="437" t="s">
        <v>962</v>
      </c>
      <c r="L314" s="221">
        <v>44679</v>
      </c>
      <c r="M314" s="100" t="s">
        <v>683</v>
      </c>
      <c r="N314" s="100">
        <f>MONTH(List34[[#This Row],[Tanggal Pengajuan]])</f>
        <v>4</v>
      </c>
      <c r="O314" s="101">
        <v>44686</v>
      </c>
      <c r="P314" s="105" t="s">
        <v>795</v>
      </c>
      <c r="Q314" s="111"/>
      <c r="R314" s="230" t="s">
        <v>958</v>
      </c>
      <c r="T314" s="275">
        <f>+List34[[#This Row],[Pengajuan Donasi]]-List34[[#This Row],[Jumlah Transfer]]</f>
        <v>0</v>
      </c>
      <c r="U314" s="275"/>
    </row>
    <row r="315" spans="2:21" ht="30" customHeight="1" x14ac:dyDescent="0.2">
      <c r="B315" s="102">
        <v>44672</v>
      </c>
      <c r="C315" s="67" t="s">
        <v>913</v>
      </c>
      <c r="D315" s="100" t="s">
        <v>1019</v>
      </c>
      <c r="E315" s="103" t="s">
        <v>1054</v>
      </c>
      <c r="F315" s="103" t="s">
        <v>28</v>
      </c>
      <c r="G315" s="15"/>
      <c r="H315" s="258">
        <v>60939000</v>
      </c>
      <c r="I315" s="258">
        <f>List34[[#This Row],[Pengajuan Donasi]]</f>
        <v>60939000</v>
      </c>
      <c r="J315" s="213" t="str">
        <f>IF(List34[[#This Row],[Tanggal Trf]]&gt;0,"Done","-")</f>
        <v>Done</v>
      </c>
      <c r="K315" s="445" t="s">
        <v>25</v>
      </c>
      <c r="L315" s="221">
        <v>44705</v>
      </c>
      <c r="M315" s="100" t="s">
        <v>1018</v>
      </c>
      <c r="N315" s="100">
        <f>MONTH(List34[[#This Row],[Tanggal Pengajuan]])</f>
        <v>4</v>
      </c>
      <c r="O315" s="101">
        <v>44763</v>
      </c>
      <c r="P315" s="105"/>
      <c r="Q315" s="111"/>
      <c r="R315" s="236" t="s">
        <v>966</v>
      </c>
      <c r="T315" s="275">
        <f>+List34[[#This Row],[Pengajuan Donasi]]-List34[[#This Row],[Jumlah Transfer]]</f>
        <v>0</v>
      </c>
      <c r="U315" s="275"/>
    </row>
    <row r="316" spans="2:21" ht="30" customHeight="1" x14ac:dyDescent="0.2">
      <c r="B316" s="102">
        <v>44678</v>
      </c>
      <c r="C316" s="67" t="s">
        <v>914</v>
      </c>
      <c r="D316" s="14" t="s">
        <v>872</v>
      </c>
      <c r="E316" s="103" t="s">
        <v>17</v>
      </c>
      <c r="F316" s="103" t="s">
        <v>18</v>
      </c>
      <c r="G316" s="15">
        <v>59</v>
      </c>
      <c r="H316" s="258">
        <v>6214000</v>
      </c>
      <c r="I316" s="258">
        <f>List34[[#This Row],[Pengajuan Donasi]]</f>
        <v>6214000</v>
      </c>
      <c r="J316" s="213" t="str">
        <f>IF(List34[[#This Row],[Tanggal Trf]]&gt;0,"Done","-")</f>
        <v>Done</v>
      </c>
      <c r="K316" s="445" t="s">
        <v>25</v>
      </c>
      <c r="L316" s="221">
        <v>44679</v>
      </c>
      <c r="M316" s="100" t="s">
        <v>1015</v>
      </c>
      <c r="N316" s="100">
        <f>MONTH(List34[[#This Row],[Tanggal Pengajuan]])</f>
        <v>4</v>
      </c>
      <c r="O316" s="101">
        <v>44686</v>
      </c>
      <c r="P316" s="105" t="s">
        <v>795</v>
      </c>
      <c r="Q316" s="111"/>
      <c r="R316" s="230" t="s">
        <v>958</v>
      </c>
      <c r="T316" s="275">
        <f>+List34[[#This Row],[Pengajuan Donasi]]-List34[[#This Row],[Jumlah Transfer]]</f>
        <v>0</v>
      </c>
      <c r="U316" s="275"/>
    </row>
    <row r="317" spans="2:21" ht="30" customHeight="1" x14ac:dyDescent="0.2">
      <c r="B317" s="102">
        <v>44678</v>
      </c>
      <c r="C317" s="67"/>
      <c r="D317" s="14" t="s">
        <v>870</v>
      </c>
      <c r="E317" s="103" t="s">
        <v>17</v>
      </c>
      <c r="F317" s="103" t="s">
        <v>18</v>
      </c>
      <c r="G317" s="15">
        <v>19</v>
      </c>
      <c r="H317" s="258">
        <v>5595800</v>
      </c>
      <c r="I317" s="258">
        <f>List34[[#This Row],[Pengajuan Donasi]]</f>
        <v>5595800</v>
      </c>
      <c r="J317" s="213" t="str">
        <f>IF(List34[[#This Row],[Tanggal Trf]]&gt;0,"Done","-")</f>
        <v>Done</v>
      </c>
      <c r="K317" s="445" t="s">
        <v>25</v>
      </c>
      <c r="L317" s="221">
        <v>44679</v>
      </c>
      <c r="M317" s="100" t="s">
        <v>1015</v>
      </c>
      <c r="N317" s="100">
        <f>MONTH(List34[[#This Row],[Tanggal Pengajuan]])</f>
        <v>4</v>
      </c>
      <c r="O317" s="183">
        <v>44686</v>
      </c>
      <c r="P317" s="105" t="s">
        <v>795</v>
      </c>
      <c r="Q317" s="111"/>
      <c r="R317" s="230" t="s">
        <v>958</v>
      </c>
      <c r="T317" s="275">
        <f>+List34[[#This Row],[Pengajuan Donasi]]-List34[[#This Row],[Jumlah Transfer]]</f>
        <v>0</v>
      </c>
      <c r="U317" s="275"/>
    </row>
    <row r="318" spans="2:21" ht="30" customHeight="1" x14ac:dyDescent="0.2">
      <c r="B318" s="102">
        <v>44678</v>
      </c>
      <c r="C318" s="67"/>
      <c r="D318" s="14" t="s">
        <v>849</v>
      </c>
      <c r="E318" s="103" t="s">
        <v>17</v>
      </c>
      <c r="F318" s="103" t="s">
        <v>18</v>
      </c>
      <c r="G318" s="15">
        <v>63</v>
      </c>
      <c r="H318" s="258">
        <v>6146800</v>
      </c>
      <c r="I318" s="258">
        <f>List34[[#This Row],[Pengajuan Donasi]]</f>
        <v>6146800</v>
      </c>
      <c r="J318" s="213" t="str">
        <f>IF(List34[[#This Row],[Tanggal Trf]]&gt;0,"Done","-")</f>
        <v>Done</v>
      </c>
      <c r="K318" s="445" t="s">
        <v>25</v>
      </c>
      <c r="L318" s="221">
        <v>44679</v>
      </c>
      <c r="M318" s="100" t="s">
        <v>1015</v>
      </c>
      <c r="N318" s="100">
        <f>MONTH(List34[[#This Row],[Tanggal Pengajuan]])</f>
        <v>4</v>
      </c>
      <c r="O318" s="183">
        <v>44686</v>
      </c>
      <c r="P318" s="105" t="s">
        <v>795</v>
      </c>
      <c r="Q318" s="111"/>
      <c r="R318" s="230" t="s">
        <v>958</v>
      </c>
      <c r="T318" s="275">
        <f>+List34[[#This Row],[Pengajuan Donasi]]-List34[[#This Row],[Jumlah Transfer]]</f>
        <v>0</v>
      </c>
      <c r="U318" s="275"/>
    </row>
    <row r="319" spans="2:21" ht="30" customHeight="1" x14ac:dyDescent="0.2">
      <c r="B319" s="102">
        <v>44678</v>
      </c>
      <c r="C319" s="67"/>
      <c r="D319" s="14" t="s">
        <v>850</v>
      </c>
      <c r="E319" s="103" t="s">
        <v>17</v>
      </c>
      <c r="F319" s="103" t="s">
        <v>18</v>
      </c>
      <c r="G319" s="15">
        <v>61</v>
      </c>
      <c r="H319" s="258">
        <v>6285100</v>
      </c>
      <c r="I319" s="258">
        <f>List34[[#This Row],[Pengajuan Donasi]]</f>
        <v>6285100</v>
      </c>
      <c r="J319" s="213" t="str">
        <f>IF(List34[[#This Row],[Tanggal Trf]]&gt;0,"Done","-")</f>
        <v>Done</v>
      </c>
      <c r="K319" s="445" t="s">
        <v>25</v>
      </c>
      <c r="L319" s="221">
        <v>44679</v>
      </c>
      <c r="M319" s="100" t="s">
        <v>1015</v>
      </c>
      <c r="N319" s="100">
        <f>MONTH(List34[[#This Row],[Tanggal Pengajuan]])</f>
        <v>4</v>
      </c>
      <c r="O319" s="183">
        <v>44686</v>
      </c>
      <c r="P319" s="105" t="s">
        <v>795</v>
      </c>
      <c r="Q319" s="111"/>
      <c r="R319" s="230" t="s">
        <v>958</v>
      </c>
      <c r="T319" s="275">
        <f>+List34[[#This Row],[Pengajuan Donasi]]-List34[[#This Row],[Jumlah Transfer]]</f>
        <v>0</v>
      </c>
      <c r="U319" s="275"/>
    </row>
    <row r="320" spans="2:21" ht="30" customHeight="1" x14ac:dyDescent="0.2">
      <c r="B320" s="102">
        <v>44678</v>
      </c>
      <c r="C320" s="67"/>
      <c r="D320" s="14" t="s">
        <v>852</v>
      </c>
      <c r="E320" s="103" t="s">
        <v>17</v>
      </c>
      <c r="F320" s="103" t="s">
        <v>18</v>
      </c>
      <c r="G320" s="15">
        <v>42</v>
      </c>
      <c r="H320" s="258">
        <v>6165300</v>
      </c>
      <c r="I320" s="258">
        <f>List34[[#This Row],[Pengajuan Donasi]]</f>
        <v>6165300</v>
      </c>
      <c r="J320" s="213" t="str">
        <f>IF(List34[[#This Row],[Tanggal Trf]]&gt;0,"Done","-")</f>
        <v>Done</v>
      </c>
      <c r="K320" s="445" t="s">
        <v>25</v>
      </c>
      <c r="L320" s="221">
        <v>44679</v>
      </c>
      <c r="M320" s="100" t="s">
        <v>1015</v>
      </c>
      <c r="N320" s="100">
        <f>MONTH(List34[[#This Row],[Tanggal Pengajuan]])</f>
        <v>4</v>
      </c>
      <c r="O320" s="183">
        <v>44686</v>
      </c>
      <c r="P320" s="105" t="s">
        <v>795</v>
      </c>
      <c r="Q320" s="111"/>
      <c r="R320" s="230" t="s">
        <v>958</v>
      </c>
      <c r="T320" s="275">
        <f>+List34[[#This Row],[Pengajuan Donasi]]-List34[[#This Row],[Jumlah Transfer]]</f>
        <v>0</v>
      </c>
      <c r="U320" s="275"/>
    </row>
    <row r="321" spans="2:21" ht="30" customHeight="1" x14ac:dyDescent="0.2">
      <c r="B321" s="102">
        <v>44678</v>
      </c>
      <c r="C321" s="67"/>
      <c r="D321" s="14" t="s">
        <v>238</v>
      </c>
      <c r="E321" s="103" t="s">
        <v>17</v>
      </c>
      <c r="F321" s="103" t="s">
        <v>18</v>
      </c>
      <c r="G321" s="15">
        <v>42</v>
      </c>
      <c r="H321" s="258">
        <v>6256900</v>
      </c>
      <c r="I321" s="258">
        <f>List34[[#This Row],[Pengajuan Donasi]]</f>
        <v>6256900</v>
      </c>
      <c r="J321" s="214" t="str">
        <f>IF(List34[[#This Row],[Tanggal Trf]]&gt;0,"Done","-")</f>
        <v>Done</v>
      </c>
      <c r="K321" s="445" t="s">
        <v>25</v>
      </c>
      <c r="L321" s="221">
        <v>44679</v>
      </c>
      <c r="M321" s="100" t="s">
        <v>1015</v>
      </c>
      <c r="N321" s="100">
        <f>MONTH(List34[[#This Row],[Tanggal Pengajuan]])</f>
        <v>4</v>
      </c>
      <c r="O321" s="183">
        <v>44686</v>
      </c>
      <c r="P321" s="105" t="s">
        <v>795</v>
      </c>
      <c r="Q321" s="111"/>
      <c r="R321" s="230" t="s">
        <v>958</v>
      </c>
      <c r="T321" s="275">
        <f>+List34[[#This Row],[Pengajuan Donasi]]-List34[[#This Row],[Jumlah Transfer]]</f>
        <v>0</v>
      </c>
      <c r="U321" s="275"/>
    </row>
    <row r="322" spans="2:21" ht="30" customHeight="1" x14ac:dyDescent="0.2">
      <c r="B322" s="102">
        <v>44678</v>
      </c>
      <c r="C322" s="67"/>
      <c r="D322" s="14" t="s">
        <v>867</v>
      </c>
      <c r="E322" s="103" t="s">
        <v>17</v>
      </c>
      <c r="F322" s="103" t="s">
        <v>18</v>
      </c>
      <c r="G322" s="15">
        <v>129</v>
      </c>
      <c r="H322" s="258">
        <v>6224600</v>
      </c>
      <c r="I322" s="258">
        <f>List34[[#This Row],[Pengajuan Donasi]]</f>
        <v>6224600</v>
      </c>
      <c r="J322" s="214" t="str">
        <f>IF(List34[[#This Row],[Tanggal Trf]]&gt;0,"Done","-")</f>
        <v>Done</v>
      </c>
      <c r="K322" s="445" t="s">
        <v>25</v>
      </c>
      <c r="L322" s="221">
        <v>44679</v>
      </c>
      <c r="M322" s="100" t="s">
        <v>1015</v>
      </c>
      <c r="N322" s="100">
        <f>MONTH(List34[[#This Row],[Tanggal Pengajuan]])</f>
        <v>4</v>
      </c>
      <c r="O322" s="183">
        <v>44686</v>
      </c>
      <c r="P322" s="105" t="s">
        <v>795</v>
      </c>
      <c r="Q322" s="111"/>
      <c r="R322" s="230" t="s">
        <v>958</v>
      </c>
      <c r="T322" s="275">
        <f>+List34[[#This Row],[Pengajuan Donasi]]-List34[[#This Row],[Jumlah Transfer]]</f>
        <v>0</v>
      </c>
      <c r="U322" s="275"/>
    </row>
    <row r="323" spans="2:21" ht="30" customHeight="1" x14ac:dyDescent="0.2">
      <c r="B323" s="102">
        <v>44678</v>
      </c>
      <c r="C323" s="67"/>
      <c r="D323" s="14" t="s">
        <v>868</v>
      </c>
      <c r="E323" s="103" t="s">
        <v>17</v>
      </c>
      <c r="F323" s="103" t="s">
        <v>18</v>
      </c>
      <c r="G323" s="15">
        <v>27</v>
      </c>
      <c r="H323" s="258">
        <v>5752755</v>
      </c>
      <c r="I323" s="258">
        <f>List34[[#This Row],[Pengajuan Donasi]]</f>
        <v>5752755</v>
      </c>
      <c r="J323" s="214" t="str">
        <f>IF(List34[[#This Row],[Tanggal Trf]]&gt;0,"Done","-")</f>
        <v>Done</v>
      </c>
      <c r="K323" s="445" t="s">
        <v>25</v>
      </c>
      <c r="L323" s="221">
        <v>44679</v>
      </c>
      <c r="M323" s="100" t="s">
        <v>1015</v>
      </c>
      <c r="N323" s="100">
        <f>MONTH(List34[[#This Row],[Tanggal Pengajuan]])</f>
        <v>4</v>
      </c>
      <c r="O323" s="183">
        <v>44686</v>
      </c>
      <c r="P323" s="105" t="s">
        <v>795</v>
      </c>
      <c r="Q323" s="111"/>
      <c r="R323" s="230" t="s">
        <v>958</v>
      </c>
      <c r="T323" s="275">
        <f>+List34[[#This Row],[Pengajuan Donasi]]-List34[[#This Row],[Jumlah Transfer]]</f>
        <v>0</v>
      </c>
      <c r="U323" s="275"/>
    </row>
    <row r="324" spans="2:21" ht="30" customHeight="1" x14ac:dyDescent="0.2">
      <c r="B324" s="102">
        <v>44678</v>
      </c>
      <c r="C324" s="67"/>
      <c r="D324" s="14" t="s">
        <v>124</v>
      </c>
      <c r="E324" s="103" t="s">
        <v>17</v>
      </c>
      <c r="F324" s="103" t="s">
        <v>18</v>
      </c>
      <c r="G324" s="15">
        <v>119</v>
      </c>
      <c r="H324" s="258">
        <v>5756648</v>
      </c>
      <c r="I324" s="258">
        <f>List34[[#This Row],[Pengajuan Donasi]]</f>
        <v>5756648</v>
      </c>
      <c r="J324" s="214" t="str">
        <f>IF(List34[[#This Row],[Tanggal Trf]]&gt;0,"Done","-")</f>
        <v>Done</v>
      </c>
      <c r="K324" s="445" t="s">
        <v>25</v>
      </c>
      <c r="L324" s="221">
        <v>44679</v>
      </c>
      <c r="M324" s="100" t="s">
        <v>1015</v>
      </c>
      <c r="N324" s="100">
        <f>MONTH(List34[[#This Row],[Tanggal Pengajuan]])</f>
        <v>4</v>
      </c>
      <c r="O324" s="183">
        <v>44686</v>
      </c>
      <c r="P324" s="105" t="s">
        <v>795</v>
      </c>
      <c r="Q324" s="111"/>
      <c r="R324" s="230" t="s">
        <v>958</v>
      </c>
      <c r="T324" s="275">
        <f>+List34[[#This Row],[Pengajuan Donasi]]-List34[[#This Row],[Jumlah Transfer]]</f>
        <v>0</v>
      </c>
      <c r="U324" s="275"/>
    </row>
    <row r="325" spans="2:21" ht="30" customHeight="1" x14ac:dyDescent="0.2">
      <c r="B325" s="102">
        <v>44678</v>
      </c>
      <c r="C325" s="67"/>
      <c r="D325" s="14" t="s">
        <v>855</v>
      </c>
      <c r="E325" s="103" t="s">
        <v>17</v>
      </c>
      <c r="F325" s="103" t="s">
        <v>18</v>
      </c>
      <c r="G325" s="15">
        <v>91</v>
      </c>
      <c r="H325" s="258">
        <v>6235000</v>
      </c>
      <c r="I325" s="258">
        <f>List34[[#This Row],[Pengajuan Donasi]]</f>
        <v>6235000</v>
      </c>
      <c r="J325" s="214" t="str">
        <f>IF(List34[[#This Row],[Tanggal Trf]]&gt;0,"Done","-")</f>
        <v>Done</v>
      </c>
      <c r="K325" s="445" t="s">
        <v>25</v>
      </c>
      <c r="L325" s="221">
        <v>44679</v>
      </c>
      <c r="M325" s="100" t="s">
        <v>1015</v>
      </c>
      <c r="N325" s="100">
        <f>MONTH(List34[[#This Row],[Tanggal Pengajuan]])</f>
        <v>4</v>
      </c>
      <c r="O325" s="183">
        <v>44686</v>
      </c>
      <c r="P325" s="105" t="s">
        <v>795</v>
      </c>
      <c r="Q325" s="111"/>
      <c r="R325" s="230" t="s">
        <v>958</v>
      </c>
      <c r="T325" s="275">
        <f>+List34[[#This Row],[Pengajuan Donasi]]-List34[[#This Row],[Jumlah Transfer]]</f>
        <v>0</v>
      </c>
      <c r="U325" s="275"/>
    </row>
    <row r="326" spans="2:21" ht="30" customHeight="1" x14ac:dyDescent="0.2">
      <c r="B326" s="102">
        <v>44678</v>
      </c>
      <c r="C326" s="67"/>
      <c r="D326" s="14" t="s">
        <v>871</v>
      </c>
      <c r="E326" s="103" t="s">
        <v>17</v>
      </c>
      <c r="F326" s="103" t="s">
        <v>18</v>
      </c>
      <c r="G326" s="15">
        <v>68</v>
      </c>
      <c r="H326" s="258">
        <v>6294600</v>
      </c>
      <c r="I326" s="258">
        <f>List34[[#This Row],[Pengajuan Donasi]]</f>
        <v>6294600</v>
      </c>
      <c r="J326" s="214" t="str">
        <f>IF(List34[[#This Row],[Tanggal Trf]]&gt;0,"Done","-")</f>
        <v>Done</v>
      </c>
      <c r="K326" s="445" t="s">
        <v>25</v>
      </c>
      <c r="L326" s="221">
        <v>44679</v>
      </c>
      <c r="M326" s="100" t="s">
        <v>1015</v>
      </c>
      <c r="N326" s="100">
        <f>MONTH(List34[[#This Row],[Tanggal Pengajuan]])</f>
        <v>4</v>
      </c>
      <c r="O326" s="183">
        <v>44686</v>
      </c>
      <c r="P326" s="105" t="s">
        <v>795</v>
      </c>
      <c r="Q326" s="111"/>
      <c r="R326" s="230" t="s">
        <v>958</v>
      </c>
      <c r="T326" s="275">
        <f>+List34[[#This Row],[Pengajuan Donasi]]-List34[[#This Row],[Jumlah Transfer]]</f>
        <v>0</v>
      </c>
      <c r="U326" s="275"/>
    </row>
    <row r="327" spans="2:21" ht="30" customHeight="1" x14ac:dyDescent="0.2">
      <c r="B327" s="102">
        <v>44678</v>
      </c>
      <c r="C327" s="67"/>
      <c r="D327" s="14" t="s">
        <v>851</v>
      </c>
      <c r="E327" s="103" t="s">
        <v>17</v>
      </c>
      <c r="F327" s="103" t="s">
        <v>18</v>
      </c>
      <c r="G327" s="15">
        <v>22</v>
      </c>
      <c r="H327" s="258">
        <v>6190200</v>
      </c>
      <c r="I327" s="258">
        <f>List34[[#This Row],[Pengajuan Donasi]]</f>
        <v>6190200</v>
      </c>
      <c r="J327" s="214" t="str">
        <f>IF(List34[[#This Row],[Tanggal Trf]]&gt;0,"Done","-")</f>
        <v>Done</v>
      </c>
      <c r="K327" s="445" t="s">
        <v>25</v>
      </c>
      <c r="L327" s="221">
        <v>44679</v>
      </c>
      <c r="M327" s="100" t="s">
        <v>1015</v>
      </c>
      <c r="N327" s="100">
        <f>MONTH(List34[[#This Row],[Tanggal Pengajuan]])</f>
        <v>4</v>
      </c>
      <c r="O327" s="183">
        <v>44686</v>
      </c>
      <c r="P327" s="105" t="s">
        <v>795</v>
      </c>
      <c r="Q327" s="111"/>
      <c r="R327" s="230" t="s">
        <v>958</v>
      </c>
      <c r="T327" s="275">
        <f>+List34[[#This Row],[Pengajuan Donasi]]-List34[[#This Row],[Jumlah Transfer]]</f>
        <v>0</v>
      </c>
      <c r="U327" s="275"/>
    </row>
    <row r="328" spans="2:21" ht="30" customHeight="1" x14ac:dyDescent="0.2">
      <c r="B328" s="102">
        <v>44678</v>
      </c>
      <c r="C328" s="67"/>
      <c r="D328" s="14" t="s">
        <v>869</v>
      </c>
      <c r="E328" s="103" t="s">
        <v>17</v>
      </c>
      <c r="F328" s="103" t="s">
        <v>18</v>
      </c>
      <c r="G328" s="15">
        <v>93</v>
      </c>
      <c r="H328" s="258">
        <v>6320800</v>
      </c>
      <c r="I328" s="258">
        <f>List34[[#This Row],[Pengajuan Donasi]]</f>
        <v>6320800</v>
      </c>
      <c r="J328" s="214" t="str">
        <f>IF(List34[[#This Row],[Tanggal Trf]]&gt;0,"Done","-")</f>
        <v>Done</v>
      </c>
      <c r="K328" s="445" t="s">
        <v>25</v>
      </c>
      <c r="L328" s="221">
        <v>44679</v>
      </c>
      <c r="M328" s="100" t="s">
        <v>1015</v>
      </c>
      <c r="N328" s="100">
        <f>MONTH(List34[[#This Row],[Tanggal Pengajuan]])</f>
        <v>4</v>
      </c>
      <c r="O328" s="183">
        <v>44686</v>
      </c>
      <c r="P328" s="105" t="s">
        <v>795</v>
      </c>
      <c r="Q328" s="111"/>
      <c r="R328" s="230" t="s">
        <v>958</v>
      </c>
      <c r="T328" s="275">
        <f>+List34[[#This Row],[Pengajuan Donasi]]-List34[[#This Row],[Jumlah Transfer]]</f>
        <v>0</v>
      </c>
      <c r="U328" s="275"/>
    </row>
    <row r="329" spans="2:21" ht="30" customHeight="1" x14ac:dyDescent="0.2">
      <c r="B329" s="102">
        <v>44678</v>
      </c>
      <c r="C329" s="67"/>
      <c r="D329" s="14" t="s">
        <v>848</v>
      </c>
      <c r="E329" s="103" t="s">
        <v>17</v>
      </c>
      <c r="F329" s="103" t="s">
        <v>18</v>
      </c>
      <c r="G329" s="15">
        <v>36</v>
      </c>
      <c r="H329" s="258">
        <v>6226400</v>
      </c>
      <c r="I329" s="258">
        <f>List34[[#This Row],[Pengajuan Donasi]]</f>
        <v>6226400</v>
      </c>
      <c r="J329" s="214" t="str">
        <f>IF(List34[[#This Row],[Tanggal Trf]]&gt;0,"Done","-")</f>
        <v>Done</v>
      </c>
      <c r="K329" s="445" t="s">
        <v>25</v>
      </c>
      <c r="L329" s="221">
        <v>44679</v>
      </c>
      <c r="M329" s="100" t="s">
        <v>1015</v>
      </c>
      <c r="N329" s="100">
        <f>MONTH(List34[[#This Row],[Tanggal Pengajuan]])</f>
        <v>4</v>
      </c>
      <c r="O329" s="183">
        <v>44686</v>
      </c>
      <c r="P329" s="105" t="s">
        <v>795</v>
      </c>
      <c r="Q329" s="111"/>
      <c r="R329" s="230" t="s">
        <v>958</v>
      </c>
      <c r="T329" s="275">
        <f>+List34[[#This Row],[Pengajuan Donasi]]-List34[[#This Row],[Jumlah Transfer]]</f>
        <v>0</v>
      </c>
      <c r="U329" s="275"/>
    </row>
    <row r="330" spans="2:21" ht="30" customHeight="1" x14ac:dyDescent="0.2">
      <c r="B330" s="102">
        <v>44678</v>
      </c>
      <c r="C330" s="67"/>
      <c r="D330" s="14" t="s">
        <v>229</v>
      </c>
      <c r="E330" s="103" t="s">
        <v>17</v>
      </c>
      <c r="F330" s="103" t="s">
        <v>18</v>
      </c>
      <c r="G330" s="15">
        <v>40</v>
      </c>
      <c r="H330" s="258">
        <v>6281100</v>
      </c>
      <c r="I330" s="258">
        <f>List34[[#This Row],[Pengajuan Donasi]]</f>
        <v>6281100</v>
      </c>
      <c r="J330" s="214" t="str">
        <f>IF(List34[[#This Row],[Tanggal Trf]]&gt;0,"Done","-")</f>
        <v>Done</v>
      </c>
      <c r="K330" s="445" t="s">
        <v>25</v>
      </c>
      <c r="L330" s="221">
        <v>44679</v>
      </c>
      <c r="M330" s="100" t="s">
        <v>1015</v>
      </c>
      <c r="N330" s="100">
        <f>MONTH(List34[[#This Row],[Tanggal Pengajuan]])</f>
        <v>4</v>
      </c>
      <c r="O330" s="183">
        <v>44686</v>
      </c>
      <c r="P330" s="105" t="s">
        <v>795</v>
      </c>
      <c r="Q330" s="111"/>
      <c r="R330" s="230" t="s">
        <v>958</v>
      </c>
      <c r="T330" s="275">
        <f>+List34[[#This Row],[Pengajuan Donasi]]-List34[[#This Row],[Jumlah Transfer]]</f>
        <v>0</v>
      </c>
      <c r="U330" s="275"/>
    </row>
    <row r="331" spans="2:21" ht="30" customHeight="1" x14ac:dyDescent="0.2">
      <c r="B331" s="102">
        <v>44678</v>
      </c>
      <c r="C331" s="67"/>
      <c r="D331" s="14" t="s">
        <v>228</v>
      </c>
      <c r="E331" s="103" t="s">
        <v>17</v>
      </c>
      <c r="F331" s="103" t="s">
        <v>18</v>
      </c>
      <c r="G331" s="15">
        <v>66</v>
      </c>
      <c r="H331" s="258">
        <v>6159100</v>
      </c>
      <c r="I331" s="258">
        <f>List34[[#This Row],[Pengajuan Donasi]]</f>
        <v>6159100</v>
      </c>
      <c r="J331" s="214" t="str">
        <f>IF(List34[[#This Row],[Tanggal Trf]]&gt;0,"Done","-")</f>
        <v>Done</v>
      </c>
      <c r="K331" s="445" t="s">
        <v>25</v>
      </c>
      <c r="L331" s="221">
        <v>44679</v>
      </c>
      <c r="M331" s="100" t="s">
        <v>1015</v>
      </c>
      <c r="N331" s="100">
        <f>MONTH(List34[[#This Row],[Tanggal Pengajuan]])</f>
        <v>4</v>
      </c>
      <c r="O331" s="183">
        <v>44686</v>
      </c>
      <c r="P331" s="105" t="s">
        <v>795</v>
      </c>
      <c r="Q331" s="111"/>
      <c r="R331" s="230" t="s">
        <v>958</v>
      </c>
      <c r="T331" s="275">
        <f>+List34[[#This Row],[Pengajuan Donasi]]-List34[[#This Row],[Jumlah Transfer]]</f>
        <v>0</v>
      </c>
      <c r="U331" s="275"/>
    </row>
    <row r="332" spans="2:21" ht="30" customHeight="1" x14ac:dyDescent="0.2">
      <c r="B332" s="102">
        <v>44678</v>
      </c>
      <c r="C332" s="67"/>
      <c r="D332" s="14" t="s">
        <v>858</v>
      </c>
      <c r="E332" s="103" t="s">
        <v>17</v>
      </c>
      <c r="F332" s="103" t="s">
        <v>18</v>
      </c>
      <c r="G332" s="15">
        <v>12</v>
      </c>
      <c r="H332" s="258">
        <v>6166300</v>
      </c>
      <c r="I332" s="258">
        <f>List34[[#This Row],[Pengajuan Donasi]]</f>
        <v>6166300</v>
      </c>
      <c r="J332" s="214" t="str">
        <f>IF(List34[[#This Row],[Tanggal Trf]]&gt;0,"Done","-")</f>
        <v>Done</v>
      </c>
      <c r="K332" s="445" t="s">
        <v>25</v>
      </c>
      <c r="L332" s="221">
        <v>44679</v>
      </c>
      <c r="M332" s="100" t="s">
        <v>1015</v>
      </c>
      <c r="N332" s="100">
        <f>MONTH(List34[[#This Row],[Tanggal Pengajuan]])</f>
        <v>4</v>
      </c>
      <c r="O332" s="183">
        <v>44686</v>
      </c>
      <c r="P332" s="105" t="s">
        <v>795</v>
      </c>
      <c r="Q332" s="111"/>
      <c r="R332" s="230" t="s">
        <v>958</v>
      </c>
      <c r="T332" s="275">
        <f>+List34[[#This Row],[Pengajuan Donasi]]-List34[[#This Row],[Jumlah Transfer]]</f>
        <v>0</v>
      </c>
      <c r="U332" s="275"/>
    </row>
    <row r="333" spans="2:21" ht="30" customHeight="1" x14ac:dyDescent="0.2">
      <c r="B333" s="102">
        <v>44678</v>
      </c>
      <c r="C333" s="67"/>
      <c r="D333" s="14" t="s">
        <v>856</v>
      </c>
      <c r="E333" s="103" t="s">
        <v>17</v>
      </c>
      <c r="F333" s="103" t="s">
        <v>18</v>
      </c>
      <c r="G333" s="15">
        <v>32</v>
      </c>
      <c r="H333" s="258">
        <v>6235900</v>
      </c>
      <c r="I333" s="258">
        <f>List34[[#This Row],[Pengajuan Donasi]]</f>
        <v>6235900</v>
      </c>
      <c r="J333" s="214" t="str">
        <f>IF(List34[[#This Row],[Tanggal Trf]]&gt;0,"Done","-")</f>
        <v>Done</v>
      </c>
      <c r="K333" s="445" t="s">
        <v>25</v>
      </c>
      <c r="L333" s="221">
        <v>44679</v>
      </c>
      <c r="M333" s="100" t="s">
        <v>1015</v>
      </c>
      <c r="N333" s="100">
        <f>MONTH(List34[[#This Row],[Tanggal Pengajuan]])</f>
        <v>4</v>
      </c>
      <c r="O333" s="183">
        <v>44686</v>
      </c>
      <c r="P333" s="105" t="s">
        <v>795</v>
      </c>
      <c r="Q333" s="111"/>
      <c r="R333" s="230" t="s">
        <v>958</v>
      </c>
      <c r="T333" s="275">
        <f>+List34[[#This Row],[Pengajuan Donasi]]-List34[[#This Row],[Jumlah Transfer]]</f>
        <v>0</v>
      </c>
      <c r="U333" s="275"/>
    </row>
    <row r="334" spans="2:21" ht="30" customHeight="1" x14ac:dyDescent="0.2">
      <c r="B334" s="102">
        <v>44678</v>
      </c>
      <c r="C334" s="67"/>
      <c r="D334" s="14" t="s">
        <v>854</v>
      </c>
      <c r="E334" s="103" t="s">
        <v>17</v>
      </c>
      <c r="F334" s="103" t="s">
        <v>18</v>
      </c>
      <c r="G334" s="15">
        <v>118</v>
      </c>
      <c r="H334" s="258">
        <v>6186600</v>
      </c>
      <c r="I334" s="258">
        <f>List34[[#This Row],[Pengajuan Donasi]]</f>
        <v>6186600</v>
      </c>
      <c r="J334" s="214" t="str">
        <f>IF(List34[[#This Row],[Tanggal Trf]]&gt;0,"Done","-")</f>
        <v>Done</v>
      </c>
      <c r="K334" s="445" t="s">
        <v>25</v>
      </c>
      <c r="L334" s="221">
        <v>44679</v>
      </c>
      <c r="M334" s="100" t="s">
        <v>1015</v>
      </c>
      <c r="N334" s="100">
        <f>MONTH(List34[[#This Row],[Tanggal Pengajuan]])</f>
        <v>4</v>
      </c>
      <c r="O334" s="183">
        <v>44686</v>
      </c>
      <c r="P334" s="105" t="s">
        <v>795</v>
      </c>
      <c r="Q334" s="111"/>
      <c r="R334" s="230" t="s">
        <v>958</v>
      </c>
      <c r="T334" s="275">
        <f>+List34[[#This Row],[Pengajuan Donasi]]-List34[[#This Row],[Jumlah Transfer]]</f>
        <v>0</v>
      </c>
      <c r="U334" s="275"/>
    </row>
    <row r="335" spans="2:21" ht="30" customHeight="1" x14ac:dyDescent="0.2">
      <c r="B335" s="102">
        <v>44678</v>
      </c>
      <c r="C335" s="67"/>
      <c r="D335" s="14" t="s">
        <v>328</v>
      </c>
      <c r="E335" s="103" t="s">
        <v>17</v>
      </c>
      <c r="F335" s="103" t="s">
        <v>18</v>
      </c>
      <c r="G335" s="15">
        <v>14</v>
      </c>
      <c r="H335" s="258">
        <v>5023500</v>
      </c>
      <c r="I335" s="258">
        <f>List34[[#This Row],[Pengajuan Donasi]]</f>
        <v>5023500</v>
      </c>
      <c r="J335" s="214" t="str">
        <f>IF(List34[[#This Row],[Tanggal Trf]]&gt;0,"Done","-")</f>
        <v>Done</v>
      </c>
      <c r="K335" s="445" t="s">
        <v>25</v>
      </c>
      <c r="L335" s="221">
        <v>44679</v>
      </c>
      <c r="M335" s="100" t="s">
        <v>1015</v>
      </c>
      <c r="N335" s="100">
        <f>MONTH(List34[[#This Row],[Tanggal Pengajuan]])</f>
        <v>4</v>
      </c>
      <c r="O335" s="183">
        <v>44686</v>
      </c>
      <c r="P335" s="105" t="s">
        <v>795</v>
      </c>
      <c r="Q335" s="154"/>
      <c r="R335" s="230" t="s">
        <v>958</v>
      </c>
      <c r="T335" s="275">
        <f>+List34[[#This Row],[Pengajuan Donasi]]-List34[[#This Row],[Jumlah Transfer]]</f>
        <v>0</v>
      </c>
      <c r="U335" s="275"/>
    </row>
    <row r="336" spans="2:21" ht="30" customHeight="1" x14ac:dyDescent="0.2">
      <c r="B336" s="102">
        <v>44678</v>
      </c>
      <c r="C336" s="67"/>
      <c r="D336" s="14" t="s">
        <v>857</v>
      </c>
      <c r="E336" s="103" t="s">
        <v>17</v>
      </c>
      <c r="F336" s="103" t="s">
        <v>18</v>
      </c>
      <c r="G336" s="15">
        <v>78</v>
      </c>
      <c r="H336" s="258">
        <v>6368400</v>
      </c>
      <c r="I336" s="258">
        <f>List34[[#This Row],[Pengajuan Donasi]]</f>
        <v>6368400</v>
      </c>
      <c r="J336" s="214" t="str">
        <f>IF(List34[[#This Row],[Tanggal Trf]]&gt;0,"Done","-")</f>
        <v>Done</v>
      </c>
      <c r="K336" s="445" t="s">
        <v>25</v>
      </c>
      <c r="L336" s="221">
        <v>44679</v>
      </c>
      <c r="M336" s="100" t="s">
        <v>1015</v>
      </c>
      <c r="N336" s="100">
        <f>MONTH(List34[[#This Row],[Tanggal Pengajuan]])</f>
        <v>4</v>
      </c>
      <c r="O336" s="183">
        <v>44686</v>
      </c>
      <c r="P336" s="105" t="s">
        <v>795</v>
      </c>
      <c r="Q336" s="111"/>
      <c r="R336" s="230" t="s">
        <v>958</v>
      </c>
      <c r="T336" s="275">
        <f>+List34[[#This Row],[Pengajuan Donasi]]-List34[[#This Row],[Jumlah Transfer]]</f>
        <v>0</v>
      </c>
      <c r="U336" s="275"/>
    </row>
    <row r="337" spans="2:21" ht="30" customHeight="1" x14ac:dyDescent="0.2">
      <c r="B337" s="102">
        <v>44678</v>
      </c>
      <c r="C337" s="67"/>
      <c r="D337" s="14" t="s">
        <v>853</v>
      </c>
      <c r="E337" s="103" t="s">
        <v>17</v>
      </c>
      <c r="F337" s="103" t="s">
        <v>18</v>
      </c>
      <c r="G337" s="15">
        <v>25</v>
      </c>
      <c r="H337" s="258">
        <v>6212300</v>
      </c>
      <c r="I337" s="258">
        <f>List34[[#This Row],[Pengajuan Donasi]]</f>
        <v>6212300</v>
      </c>
      <c r="J337" s="214" t="str">
        <f>IF(List34[[#This Row],[Tanggal Trf]]&gt;0,"Done","-")</f>
        <v>Done</v>
      </c>
      <c r="K337" s="445" t="s">
        <v>25</v>
      </c>
      <c r="L337" s="221">
        <v>44679</v>
      </c>
      <c r="M337" s="100" t="s">
        <v>1015</v>
      </c>
      <c r="N337" s="100">
        <f>MONTH(List34[[#This Row],[Tanggal Pengajuan]])</f>
        <v>4</v>
      </c>
      <c r="O337" s="183">
        <v>44686</v>
      </c>
      <c r="P337" s="105" t="s">
        <v>795</v>
      </c>
      <c r="Q337" s="111"/>
      <c r="R337" s="230" t="s">
        <v>958</v>
      </c>
      <c r="T337" s="275">
        <f>+List34[[#This Row],[Pengajuan Donasi]]-List34[[#This Row],[Jumlah Transfer]]</f>
        <v>0</v>
      </c>
      <c r="U337" s="275"/>
    </row>
    <row r="338" spans="2:21" ht="30" customHeight="1" x14ac:dyDescent="0.2">
      <c r="B338" s="102">
        <v>44678</v>
      </c>
      <c r="C338" s="67"/>
      <c r="D338" s="14" t="s">
        <v>362</v>
      </c>
      <c r="E338" s="103" t="s">
        <v>17</v>
      </c>
      <c r="F338" s="103" t="s">
        <v>18</v>
      </c>
      <c r="G338" s="15">
        <v>137</v>
      </c>
      <c r="H338" s="258">
        <v>6059700</v>
      </c>
      <c r="I338" s="258">
        <f>List34[[#This Row],[Pengajuan Donasi]]</f>
        <v>6059700</v>
      </c>
      <c r="J338" s="214" t="str">
        <f>IF(List34[[#This Row],[Tanggal Trf]]&gt;0,"Done","-")</f>
        <v>Done</v>
      </c>
      <c r="K338" s="445" t="s">
        <v>25</v>
      </c>
      <c r="L338" s="221">
        <v>44679</v>
      </c>
      <c r="M338" s="100" t="s">
        <v>1015</v>
      </c>
      <c r="N338" s="100">
        <f>MONTH(List34[[#This Row],[Tanggal Pengajuan]])</f>
        <v>4</v>
      </c>
      <c r="O338" s="183">
        <v>44686</v>
      </c>
      <c r="P338" s="105" t="s">
        <v>795</v>
      </c>
      <c r="Q338" s="111"/>
      <c r="R338" s="230" t="s">
        <v>958</v>
      </c>
      <c r="T338" s="275">
        <f>+List34[[#This Row],[Pengajuan Donasi]]-List34[[#This Row],[Jumlah Transfer]]</f>
        <v>0</v>
      </c>
      <c r="U338" s="275"/>
    </row>
    <row r="339" spans="2:21" ht="30" customHeight="1" x14ac:dyDescent="0.2">
      <c r="B339" s="102">
        <v>44678</v>
      </c>
      <c r="C339" s="67"/>
      <c r="D339" s="14" t="s">
        <v>391</v>
      </c>
      <c r="E339" s="103" t="s">
        <v>17</v>
      </c>
      <c r="F339" s="103" t="s">
        <v>18</v>
      </c>
      <c r="G339" s="15">
        <v>40</v>
      </c>
      <c r="H339" s="258">
        <v>6240400</v>
      </c>
      <c r="I339" s="258">
        <f>List34[[#This Row],[Pengajuan Donasi]]</f>
        <v>6240400</v>
      </c>
      <c r="J339" s="214" t="str">
        <f>IF(List34[[#This Row],[Tanggal Trf]]&gt;0,"Done","-")</f>
        <v>Done</v>
      </c>
      <c r="K339" s="445" t="s">
        <v>25</v>
      </c>
      <c r="L339" s="221">
        <v>44679</v>
      </c>
      <c r="M339" s="100" t="s">
        <v>1015</v>
      </c>
      <c r="N339" s="100">
        <f>MONTH(List34[[#This Row],[Tanggal Pengajuan]])</f>
        <v>4</v>
      </c>
      <c r="O339" s="183">
        <v>44686</v>
      </c>
      <c r="P339" s="105" t="s">
        <v>795</v>
      </c>
      <c r="Q339" s="111"/>
      <c r="R339" s="230" t="s">
        <v>958</v>
      </c>
      <c r="T339" s="275">
        <f>+List34[[#This Row],[Pengajuan Donasi]]-List34[[#This Row],[Jumlah Transfer]]</f>
        <v>0</v>
      </c>
      <c r="U339" s="275"/>
    </row>
    <row r="340" spans="2:21" ht="30" customHeight="1" x14ac:dyDescent="0.2">
      <c r="B340" s="102">
        <v>44678</v>
      </c>
      <c r="C340" s="67"/>
      <c r="D340" s="14" t="s">
        <v>860</v>
      </c>
      <c r="E340" s="103" t="s">
        <v>17</v>
      </c>
      <c r="F340" s="103" t="s">
        <v>18</v>
      </c>
      <c r="G340" s="15">
        <v>45</v>
      </c>
      <c r="H340" s="258">
        <v>6292500</v>
      </c>
      <c r="I340" s="258">
        <f>List34[[#This Row],[Pengajuan Donasi]]</f>
        <v>6292500</v>
      </c>
      <c r="J340" s="213" t="str">
        <f>IF(List34[[#This Row],[Tanggal Trf]]&gt;0,"Done","-")</f>
        <v>Done</v>
      </c>
      <c r="K340" s="445" t="s">
        <v>25</v>
      </c>
      <c r="L340" s="221">
        <v>44679</v>
      </c>
      <c r="M340" s="100" t="s">
        <v>1015</v>
      </c>
      <c r="N340" s="100">
        <f>MONTH(List34[[#This Row],[Tanggal Pengajuan]])</f>
        <v>4</v>
      </c>
      <c r="O340" s="183">
        <v>44686</v>
      </c>
      <c r="P340" s="105" t="s">
        <v>795</v>
      </c>
      <c r="Q340" s="111"/>
      <c r="R340" s="230" t="s">
        <v>958</v>
      </c>
      <c r="T340" s="275">
        <f>+List34[[#This Row],[Pengajuan Donasi]]-List34[[#This Row],[Jumlah Transfer]]</f>
        <v>0</v>
      </c>
      <c r="U340" s="275"/>
    </row>
    <row r="341" spans="2:21" ht="30" customHeight="1" x14ac:dyDescent="0.2">
      <c r="B341" s="102">
        <v>44678</v>
      </c>
      <c r="C341" s="67"/>
      <c r="D341" s="14" t="s">
        <v>861</v>
      </c>
      <c r="E341" s="103" t="s">
        <v>17</v>
      </c>
      <c r="F341" s="103" t="s">
        <v>18</v>
      </c>
      <c r="G341" s="15">
        <v>65</v>
      </c>
      <c r="H341" s="258">
        <v>6271300</v>
      </c>
      <c r="I341" s="258">
        <f>List34[[#This Row],[Pengajuan Donasi]]</f>
        <v>6271300</v>
      </c>
      <c r="J341" s="213" t="str">
        <f>IF(List34[[#This Row],[Tanggal Trf]]&gt;0,"Done","-")</f>
        <v>Done</v>
      </c>
      <c r="K341" s="445" t="s">
        <v>25</v>
      </c>
      <c r="L341" s="221">
        <v>44679</v>
      </c>
      <c r="M341" s="100" t="s">
        <v>1015</v>
      </c>
      <c r="N341" s="100">
        <f>MONTH(List34[[#This Row],[Tanggal Pengajuan]])</f>
        <v>4</v>
      </c>
      <c r="O341" s="183">
        <v>44686</v>
      </c>
      <c r="P341" s="105" t="s">
        <v>795</v>
      </c>
      <c r="Q341" s="111"/>
      <c r="R341" s="230" t="s">
        <v>958</v>
      </c>
      <c r="T341" s="275">
        <f>+List34[[#This Row],[Pengajuan Donasi]]-List34[[#This Row],[Jumlah Transfer]]</f>
        <v>0</v>
      </c>
      <c r="U341" s="275"/>
    </row>
    <row r="342" spans="2:21" ht="30" customHeight="1" x14ac:dyDescent="0.2">
      <c r="B342" s="102">
        <v>44678</v>
      </c>
      <c r="C342" s="67"/>
      <c r="D342" s="14" t="s">
        <v>862</v>
      </c>
      <c r="E342" s="103" t="s">
        <v>17</v>
      </c>
      <c r="F342" s="103" t="s">
        <v>18</v>
      </c>
      <c r="G342" s="15">
        <v>40</v>
      </c>
      <c r="H342" s="258">
        <v>6294400</v>
      </c>
      <c r="I342" s="258">
        <f>List34[[#This Row],[Pengajuan Donasi]]</f>
        <v>6294400</v>
      </c>
      <c r="J342" s="213" t="str">
        <f>IF(List34[[#This Row],[Tanggal Trf]]&gt;0,"Done","-")</f>
        <v>Done</v>
      </c>
      <c r="K342" s="445" t="s">
        <v>25</v>
      </c>
      <c r="L342" s="221">
        <v>44679</v>
      </c>
      <c r="M342" s="100" t="s">
        <v>1015</v>
      </c>
      <c r="N342" s="100">
        <f>MONTH(List34[[#This Row],[Tanggal Pengajuan]])</f>
        <v>4</v>
      </c>
      <c r="O342" s="183">
        <v>44686</v>
      </c>
      <c r="P342" s="105" t="s">
        <v>795</v>
      </c>
      <c r="Q342" s="111"/>
      <c r="R342" s="230" t="s">
        <v>958</v>
      </c>
      <c r="T342" s="275">
        <f>+List34[[#This Row],[Pengajuan Donasi]]-List34[[#This Row],[Jumlah Transfer]]</f>
        <v>0</v>
      </c>
      <c r="U342" s="275"/>
    </row>
    <row r="343" spans="2:21" ht="30" customHeight="1" x14ac:dyDescent="0.2">
      <c r="B343" s="102">
        <v>44678</v>
      </c>
      <c r="C343" s="67"/>
      <c r="D343" s="14" t="s">
        <v>863</v>
      </c>
      <c r="E343" s="103" t="s">
        <v>17</v>
      </c>
      <c r="F343" s="103" t="s">
        <v>18</v>
      </c>
      <c r="G343" s="15">
        <v>142</v>
      </c>
      <c r="H343" s="258">
        <v>6316400</v>
      </c>
      <c r="I343" s="258">
        <f>List34[[#This Row],[Pengajuan Donasi]]</f>
        <v>6316400</v>
      </c>
      <c r="J343" s="213" t="str">
        <f>IF(List34[[#This Row],[Tanggal Trf]]&gt;0,"Done","-")</f>
        <v>Done</v>
      </c>
      <c r="K343" s="445" t="s">
        <v>25</v>
      </c>
      <c r="L343" s="221">
        <v>44679</v>
      </c>
      <c r="M343" s="100" t="s">
        <v>1015</v>
      </c>
      <c r="N343" s="100">
        <f>MONTH(List34[[#This Row],[Tanggal Pengajuan]])</f>
        <v>4</v>
      </c>
      <c r="O343" s="183">
        <v>44686</v>
      </c>
      <c r="P343" s="105" t="s">
        <v>795</v>
      </c>
      <c r="Q343" s="111"/>
      <c r="R343" s="230" t="s">
        <v>958</v>
      </c>
      <c r="T343" s="275">
        <f>+List34[[#This Row],[Pengajuan Donasi]]-List34[[#This Row],[Jumlah Transfer]]</f>
        <v>0</v>
      </c>
      <c r="U343" s="275"/>
    </row>
    <row r="344" spans="2:21" ht="30" customHeight="1" x14ac:dyDescent="0.2">
      <c r="B344" s="102">
        <v>44678</v>
      </c>
      <c r="C344" s="67"/>
      <c r="D344" s="14" t="s">
        <v>864</v>
      </c>
      <c r="E344" s="103" t="s">
        <v>17</v>
      </c>
      <c r="F344" s="103" t="s">
        <v>18</v>
      </c>
      <c r="G344" s="15">
        <v>141</v>
      </c>
      <c r="H344" s="258">
        <v>5607000</v>
      </c>
      <c r="I344" s="258">
        <f>List34[[#This Row],[Pengajuan Donasi]]</f>
        <v>5607000</v>
      </c>
      <c r="J344" s="213" t="str">
        <f>IF(List34[[#This Row],[Tanggal Trf]]&gt;0,"Done","-")</f>
        <v>Done</v>
      </c>
      <c r="K344" s="445" t="s">
        <v>25</v>
      </c>
      <c r="L344" s="221">
        <v>44679</v>
      </c>
      <c r="M344" s="100" t="s">
        <v>1015</v>
      </c>
      <c r="N344" s="100">
        <f>MONTH(List34[[#This Row],[Tanggal Pengajuan]])</f>
        <v>4</v>
      </c>
      <c r="O344" s="183">
        <v>44686</v>
      </c>
      <c r="P344" s="105" t="s">
        <v>795</v>
      </c>
      <c r="Q344" s="111"/>
      <c r="R344" s="230" t="s">
        <v>958</v>
      </c>
      <c r="T344" s="275">
        <f>+List34[[#This Row],[Pengajuan Donasi]]-List34[[#This Row],[Jumlah Transfer]]</f>
        <v>0</v>
      </c>
      <c r="U344" s="275"/>
    </row>
    <row r="345" spans="2:21" ht="30" customHeight="1" x14ac:dyDescent="0.2">
      <c r="B345" s="102">
        <v>44678</v>
      </c>
      <c r="C345" s="67"/>
      <c r="D345" s="14" t="s">
        <v>865</v>
      </c>
      <c r="E345" s="103" t="s">
        <v>17</v>
      </c>
      <c r="F345" s="103" t="s">
        <v>18</v>
      </c>
      <c r="G345" s="469">
        <v>96</v>
      </c>
      <c r="H345" s="258">
        <v>6136000</v>
      </c>
      <c r="I345" s="258">
        <f>List34[[#This Row],[Pengajuan Donasi]]</f>
        <v>6136000</v>
      </c>
      <c r="J345" s="213" t="str">
        <f>IF(List34[[#This Row],[Tanggal Trf]]&gt;0,"Done","-")</f>
        <v>Done</v>
      </c>
      <c r="K345" s="445" t="s">
        <v>25</v>
      </c>
      <c r="L345" s="221">
        <v>44679</v>
      </c>
      <c r="M345" s="100" t="s">
        <v>1015</v>
      </c>
      <c r="N345" s="100">
        <f>MONTH(List34[[#This Row],[Tanggal Pengajuan]])</f>
        <v>4</v>
      </c>
      <c r="O345" s="183">
        <v>44686</v>
      </c>
      <c r="P345" s="105" t="s">
        <v>795</v>
      </c>
      <c r="Q345" s="111"/>
      <c r="R345" s="230" t="s">
        <v>958</v>
      </c>
      <c r="T345" s="275">
        <f>+List34[[#This Row],[Pengajuan Donasi]]-List34[[#This Row],[Jumlah Transfer]]</f>
        <v>0</v>
      </c>
      <c r="U345" s="275"/>
    </row>
    <row r="346" spans="2:21" ht="30" customHeight="1" x14ac:dyDescent="0.2">
      <c r="B346" s="102">
        <v>44678</v>
      </c>
      <c r="C346" s="67"/>
      <c r="D346" s="14" t="s">
        <v>866</v>
      </c>
      <c r="E346" s="103" t="s">
        <v>17</v>
      </c>
      <c r="F346" s="103" t="s">
        <v>18</v>
      </c>
      <c r="G346" s="469">
        <v>56</v>
      </c>
      <c r="H346" s="258">
        <v>6313300</v>
      </c>
      <c r="I346" s="258">
        <f>List34[[#This Row],[Pengajuan Donasi]]</f>
        <v>6313300</v>
      </c>
      <c r="J346" s="213" t="str">
        <f>IF(List34[[#This Row],[Tanggal Trf]]&gt;0,"Done","-")</f>
        <v>Done</v>
      </c>
      <c r="K346" s="445" t="s">
        <v>25</v>
      </c>
      <c r="L346" s="221">
        <v>44679</v>
      </c>
      <c r="M346" s="100" t="s">
        <v>1015</v>
      </c>
      <c r="N346" s="100">
        <f>MONTH(List34[[#This Row],[Tanggal Pengajuan]])</f>
        <v>4</v>
      </c>
      <c r="O346" s="183">
        <v>44686</v>
      </c>
      <c r="P346" s="105" t="s">
        <v>795</v>
      </c>
      <c r="Q346" s="111"/>
      <c r="R346" s="230" t="s">
        <v>958</v>
      </c>
      <c r="T346" s="275">
        <f>+List34[[#This Row],[Pengajuan Donasi]]-List34[[#This Row],[Jumlah Transfer]]</f>
        <v>0</v>
      </c>
      <c r="U346" s="275"/>
    </row>
    <row r="347" spans="2:21" ht="30" customHeight="1" x14ac:dyDescent="0.2">
      <c r="B347" s="13">
        <v>44687</v>
      </c>
      <c r="C347" s="376" t="s">
        <v>931</v>
      </c>
      <c r="D347" s="14" t="s">
        <v>950</v>
      </c>
      <c r="E347" s="14" t="s">
        <v>26</v>
      </c>
      <c r="F347" s="14" t="s">
        <v>18</v>
      </c>
      <c r="G347" s="15">
        <v>1</v>
      </c>
      <c r="H347" s="263">
        <v>5000000</v>
      </c>
      <c r="I347" s="258">
        <f>List34[[#This Row],[Pengajuan Donasi]]</f>
        <v>5000000</v>
      </c>
      <c r="J347" s="214" t="str">
        <f>IF(List34[[#This Row],[Tanggal Trf]]&gt;0,"Done","-")</f>
        <v>Done</v>
      </c>
      <c r="K347" s="437"/>
      <c r="L347" s="221">
        <v>44693</v>
      </c>
      <c r="M347" s="203" t="s">
        <v>448</v>
      </c>
      <c r="N347" s="100">
        <f>MONTH(List34[[#This Row],[Tanggal Pengajuan]])</f>
        <v>5</v>
      </c>
      <c r="O347" s="101">
        <v>44694</v>
      </c>
      <c r="P347" s="100" t="s">
        <v>932</v>
      </c>
      <c r="Q347" s="111"/>
      <c r="R347" s="230" t="s">
        <v>958</v>
      </c>
      <c r="T347" s="275">
        <f>+List34[[#This Row],[Pengajuan Donasi]]-List34[[#This Row],[Jumlah Transfer]]</f>
        <v>0</v>
      </c>
      <c r="U347" s="275"/>
    </row>
    <row r="348" spans="2:21" ht="30" customHeight="1" x14ac:dyDescent="0.2">
      <c r="B348" s="13">
        <v>44687</v>
      </c>
      <c r="C348" s="67"/>
      <c r="D348" s="14" t="s">
        <v>875</v>
      </c>
      <c r="E348" s="14" t="s">
        <v>26</v>
      </c>
      <c r="F348" s="14" t="s">
        <v>18</v>
      </c>
      <c r="G348" s="15">
        <v>1</v>
      </c>
      <c r="H348" s="269">
        <v>1000000</v>
      </c>
      <c r="I348" s="258">
        <f>List34[[#This Row],[Pengajuan Donasi]]</f>
        <v>1000000</v>
      </c>
      <c r="J348" s="214" t="str">
        <f>IF(List34[[#This Row],[Tanggal Trf]]&gt;0,"Done","-")</f>
        <v>Done</v>
      </c>
      <c r="K348" s="437"/>
      <c r="L348" s="221">
        <v>44693</v>
      </c>
      <c r="M348" s="208" t="s">
        <v>453</v>
      </c>
      <c r="N348" s="100">
        <f>MONTH(List34[[#This Row],[Tanggal Pengajuan]])</f>
        <v>5</v>
      </c>
      <c r="O348" s="183">
        <v>44694</v>
      </c>
      <c r="P348" s="100" t="s">
        <v>932</v>
      </c>
      <c r="Q348" s="111"/>
      <c r="R348" s="230" t="s">
        <v>958</v>
      </c>
      <c r="T348" s="275">
        <f>+List34[[#This Row],[Pengajuan Donasi]]-List34[[#This Row],[Jumlah Transfer]]</f>
        <v>0</v>
      </c>
      <c r="U348" s="275"/>
    </row>
    <row r="349" spans="2:21" ht="30" customHeight="1" x14ac:dyDescent="0.2">
      <c r="B349" s="13">
        <v>44687</v>
      </c>
      <c r="C349" s="67"/>
      <c r="D349" s="14" t="s">
        <v>877</v>
      </c>
      <c r="E349" s="14" t="s">
        <v>26</v>
      </c>
      <c r="F349" s="14" t="s">
        <v>18</v>
      </c>
      <c r="G349" s="15">
        <v>1</v>
      </c>
      <c r="H349" s="265">
        <v>1000000</v>
      </c>
      <c r="I349" s="258">
        <f>List34[[#This Row],[Pengajuan Donasi]]</f>
        <v>1000000</v>
      </c>
      <c r="J349" s="214" t="str">
        <f>IF(List34[[#This Row],[Tanggal Trf]]&gt;0,"Done","-")</f>
        <v>Done</v>
      </c>
      <c r="K349" s="437"/>
      <c r="L349" s="221">
        <v>44693</v>
      </c>
      <c r="M349" s="184" t="s">
        <v>458</v>
      </c>
      <c r="N349" s="100">
        <f>MONTH(List34[[#This Row],[Tanggal Pengajuan]])</f>
        <v>5</v>
      </c>
      <c r="O349" s="183">
        <v>44694</v>
      </c>
      <c r="P349" s="100" t="s">
        <v>932</v>
      </c>
      <c r="Q349" s="111"/>
      <c r="R349" s="230" t="s">
        <v>958</v>
      </c>
      <c r="T349" s="275">
        <f>+List34[[#This Row],[Pengajuan Donasi]]-List34[[#This Row],[Jumlah Transfer]]</f>
        <v>0</v>
      </c>
      <c r="U349" s="275"/>
    </row>
    <row r="350" spans="2:21" ht="30" customHeight="1" x14ac:dyDescent="0.2">
      <c r="B350" s="13">
        <v>44687</v>
      </c>
      <c r="C350" s="67"/>
      <c r="D350" s="14" t="s">
        <v>878</v>
      </c>
      <c r="E350" s="14" t="s">
        <v>26</v>
      </c>
      <c r="F350" s="14" t="s">
        <v>18</v>
      </c>
      <c r="G350" s="15">
        <v>1</v>
      </c>
      <c r="H350" s="269">
        <v>1000000</v>
      </c>
      <c r="I350" s="258">
        <f>List34[[#This Row],[Pengajuan Donasi]]</f>
        <v>1000000</v>
      </c>
      <c r="J350" s="214" t="str">
        <f>IF(List34[[#This Row],[Tanggal Trf]]&gt;0,"Done","-")</f>
        <v>Done</v>
      </c>
      <c r="K350" s="437"/>
      <c r="L350" s="221">
        <v>44693</v>
      </c>
      <c r="M350" s="208" t="s">
        <v>460</v>
      </c>
      <c r="N350" s="100">
        <f>MONTH(List34[[#This Row],[Tanggal Pengajuan]])</f>
        <v>5</v>
      </c>
      <c r="O350" s="183">
        <v>44694</v>
      </c>
      <c r="P350" s="100" t="s">
        <v>932</v>
      </c>
      <c r="Q350" s="111"/>
      <c r="R350" s="230" t="s">
        <v>958</v>
      </c>
      <c r="T350" s="275">
        <f>+List34[[#This Row],[Pengajuan Donasi]]-List34[[#This Row],[Jumlah Transfer]]</f>
        <v>0</v>
      </c>
      <c r="U350" s="275"/>
    </row>
    <row r="351" spans="2:21" ht="30" customHeight="1" x14ac:dyDescent="0.2">
      <c r="B351" s="13">
        <v>44687</v>
      </c>
      <c r="C351" s="67"/>
      <c r="D351" s="14" t="s">
        <v>879</v>
      </c>
      <c r="E351" s="14" t="s">
        <v>26</v>
      </c>
      <c r="F351" s="14" t="s">
        <v>18</v>
      </c>
      <c r="G351" s="15">
        <v>1</v>
      </c>
      <c r="H351" s="265">
        <v>1000000</v>
      </c>
      <c r="I351" s="258">
        <f>List34[[#This Row],[Pengajuan Donasi]]</f>
        <v>1000000</v>
      </c>
      <c r="J351" s="214" t="str">
        <f>IF(List34[[#This Row],[Tanggal Trf]]&gt;0,"Done","-")</f>
        <v>Done</v>
      </c>
      <c r="K351" s="437"/>
      <c r="L351" s="221">
        <v>44693</v>
      </c>
      <c r="M351" s="184" t="s">
        <v>462</v>
      </c>
      <c r="N351" s="100">
        <f>MONTH(List34[[#This Row],[Tanggal Pengajuan]])</f>
        <v>5</v>
      </c>
      <c r="O351" s="183">
        <v>44694</v>
      </c>
      <c r="P351" s="100" t="s">
        <v>932</v>
      </c>
      <c r="Q351" s="111"/>
      <c r="R351" s="230" t="s">
        <v>958</v>
      </c>
      <c r="T351" s="275">
        <f>+List34[[#This Row],[Pengajuan Donasi]]-List34[[#This Row],[Jumlah Transfer]]</f>
        <v>0</v>
      </c>
      <c r="U351" s="275"/>
    </row>
    <row r="352" spans="2:21" ht="30" customHeight="1" x14ac:dyDescent="0.2">
      <c r="B352" s="13">
        <v>44687</v>
      </c>
      <c r="C352" s="67"/>
      <c r="D352" s="14" t="s">
        <v>951</v>
      </c>
      <c r="E352" s="14" t="s">
        <v>26</v>
      </c>
      <c r="F352" s="14" t="s">
        <v>18</v>
      </c>
      <c r="G352" s="15">
        <v>1</v>
      </c>
      <c r="H352" s="269">
        <v>1000000</v>
      </c>
      <c r="I352" s="258">
        <f>List34[[#This Row],[Pengajuan Donasi]]</f>
        <v>1000000</v>
      </c>
      <c r="J352" s="214" t="str">
        <f>IF(List34[[#This Row],[Tanggal Trf]]&gt;0,"Done","-")</f>
        <v>Done</v>
      </c>
      <c r="K352" s="437"/>
      <c r="L352" s="221">
        <v>44693</v>
      </c>
      <c r="M352" s="208" t="s">
        <v>466</v>
      </c>
      <c r="N352" s="100">
        <f>MONTH(List34[[#This Row],[Tanggal Pengajuan]])</f>
        <v>5</v>
      </c>
      <c r="O352" s="183">
        <v>44694</v>
      </c>
      <c r="P352" s="100" t="s">
        <v>932</v>
      </c>
      <c r="Q352" s="111"/>
      <c r="R352" s="230" t="s">
        <v>958</v>
      </c>
      <c r="T352" s="275">
        <f>+List34[[#This Row],[Pengajuan Donasi]]-List34[[#This Row],[Jumlah Transfer]]</f>
        <v>0</v>
      </c>
      <c r="U352" s="275"/>
    </row>
    <row r="353" spans="2:21" ht="30" customHeight="1" x14ac:dyDescent="0.2">
      <c r="B353" s="13">
        <v>44687</v>
      </c>
      <c r="C353" s="67"/>
      <c r="D353" s="14" t="s">
        <v>880</v>
      </c>
      <c r="E353" s="14" t="s">
        <v>26</v>
      </c>
      <c r="F353" s="14" t="s">
        <v>18</v>
      </c>
      <c r="G353" s="15">
        <v>1</v>
      </c>
      <c r="H353" s="265">
        <v>1000000</v>
      </c>
      <c r="I353" s="258">
        <f>List34[[#This Row],[Pengajuan Donasi]]</f>
        <v>1000000</v>
      </c>
      <c r="J353" s="214" t="str">
        <f>IF(List34[[#This Row],[Tanggal Trf]]&gt;0,"Done","-")</f>
        <v>Done</v>
      </c>
      <c r="K353" s="437"/>
      <c r="L353" s="221">
        <v>44693</v>
      </c>
      <c r="M353" s="184" t="s">
        <v>470</v>
      </c>
      <c r="N353" s="100">
        <f>MONTH(List34[[#This Row],[Tanggal Pengajuan]])</f>
        <v>5</v>
      </c>
      <c r="O353" s="183">
        <v>44694</v>
      </c>
      <c r="P353" s="100" t="s">
        <v>932</v>
      </c>
      <c r="Q353" s="111"/>
      <c r="R353" s="230" t="s">
        <v>958</v>
      </c>
      <c r="T353" s="275">
        <f>+List34[[#This Row],[Pengajuan Donasi]]-List34[[#This Row],[Jumlah Transfer]]</f>
        <v>0</v>
      </c>
      <c r="U353" s="275"/>
    </row>
    <row r="354" spans="2:21" ht="30" customHeight="1" x14ac:dyDescent="0.2">
      <c r="B354" s="13">
        <v>44687</v>
      </c>
      <c r="C354" s="67"/>
      <c r="D354" s="14" t="s">
        <v>952</v>
      </c>
      <c r="E354" s="14" t="s">
        <v>26</v>
      </c>
      <c r="F354" s="14" t="s">
        <v>18</v>
      </c>
      <c r="G354" s="15">
        <v>1</v>
      </c>
      <c r="H354" s="269">
        <v>1000000</v>
      </c>
      <c r="I354" s="258">
        <f>List34[[#This Row],[Pengajuan Donasi]]</f>
        <v>1000000</v>
      </c>
      <c r="J354" s="214" t="str">
        <f>IF(List34[[#This Row],[Tanggal Trf]]&gt;0,"Done","-")</f>
        <v>Done</v>
      </c>
      <c r="K354" s="437"/>
      <c r="L354" s="221">
        <v>44693</v>
      </c>
      <c r="M354" s="208" t="s">
        <v>519</v>
      </c>
      <c r="N354" s="100">
        <f>MONTH(List34[[#This Row],[Tanggal Pengajuan]])</f>
        <v>5</v>
      </c>
      <c r="O354" s="183">
        <v>44694</v>
      </c>
      <c r="P354" s="100" t="s">
        <v>932</v>
      </c>
      <c r="Q354" s="111"/>
      <c r="R354" s="230" t="s">
        <v>958</v>
      </c>
      <c r="T354" s="275">
        <f>+List34[[#This Row],[Pengajuan Donasi]]-List34[[#This Row],[Jumlah Transfer]]</f>
        <v>0</v>
      </c>
      <c r="U354" s="275"/>
    </row>
    <row r="355" spans="2:21" ht="30" customHeight="1" x14ac:dyDescent="0.2">
      <c r="B355" s="13">
        <v>44687</v>
      </c>
      <c r="C355" s="67"/>
      <c r="D355" s="14" t="s">
        <v>881</v>
      </c>
      <c r="E355" s="14" t="s">
        <v>26</v>
      </c>
      <c r="F355" s="14" t="s">
        <v>18</v>
      </c>
      <c r="G355" s="15">
        <v>1</v>
      </c>
      <c r="H355" s="265">
        <v>1000000</v>
      </c>
      <c r="I355" s="258">
        <f>List34[[#This Row],[Pengajuan Donasi]]</f>
        <v>1000000</v>
      </c>
      <c r="J355" s="214" t="str">
        <f>IF(List34[[#This Row],[Tanggal Trf]]&gt;0,"Done","-")</f>
        <v>Done</v>
      </c>
      <c r="K355" s="437"/>
      <c r="L355" s="221">
        <v>44693</v>
      </c>
      <c r="M355" s="184" t="s">
        <v>476</v>
      </c>
      <c r="N355" s="100">
        <f>MONTH(List34[[#This Row],[Tanggal Pengajuan]])</f>
        <v>5</v>
      </c>
      <c r="O355" s="183">
        <v>44694</v>
      </c>
      <c r="P355" s="100" t="s">
        <v>932</v>
      </c>
      <c r="Q355" s="111"/>
      <c r="R355" s="230" t="s">
        <v>958</v>
      </c>
      <c r="T355" s="275">
        <f>+List34[[#This Row],[Pengajuan Donasi]]-List34[[#This Row],[Jumlah Transfer]]</f>
        <v>0</v>
      </c>
      <c r="U355" s="275"/>
    </row>
    <row r="356" spans="2:21" ht="30" customHeight="1" x14ac:dyDescent="0.2">
      <c r="B356" s="13">
        <v>44687</v>
      </c>
      <c r="C356" s="67"/>
      <c r="D356" s="14" t="s">
        <v>882</v>
      </c>
      <c r="E356" s="14" t="s">
        <v>26</v>
      </c>
      <c r="F356" s="14" t="s">
        <v>18</v>
      </c>
      <c r="G356" s="15">
        <v>1</v>
      </c>
      <c r="H356" s="270">
        <v>750000</v>
      </c>
      <c r="I356" s="258">
        <f>List34[[#This Row],[Pengajuan Donasi]]</f>
        <v>750000</v>
      </c>
      <c r="J356" s="214" t="str">
        <f>IF(List34[[#This Row],[Tanggal Trf]]&gt;0,"Done","-")</f>
        <v>Done</v>
      </c>
      <c r="K356" s="437"/>
      <c r="L356" s="221">
        <v>44693</v>
      </c>
      <c r="M356" s="208" t="s">
        <v>479</v>
      </c>
      <c r="N356" s="100">
        <f>MONTH(List34[[#This Row],[Tanggal Pengajuan]])</f>
        <v>5</v>
      </c>
      <c r="O356" s="183">
        <v>44694</v>
      </c>
      <c r="P356" s="100" t="s">
        <v>932</v>
      </c>
      <c r="Q356" s="111"/>
      <c r="R356" s="230" t="s">
        <v>958</v>
      </c>
      <c r="T356" s="275">
        <f>+List34[[#This Row],[Pengajuan Donasi]]-List34[[#This Row],[Jumlah Transfer]]</f>
        <v>0</v>
      </c>
      <c r="U356" s="275"/>
    </row>
    <row r="357" spans="2:21" ht="30" customHeight="1" x14ac:dyDescent="0.2">
      <c r="B357" s="13">
        <v>44687</v>
      </c>
      <c r="C357" s="67"/>
      <c r="D357" s="14" t="s">
        <v>883</v>
      </c>
      <c r="E357" s="14" t="s">
        <v>26</v>
      </c>
      <c r="F357" s="14" t="s">
        <v>18</v>
      </c>
      <c r="G357" s="15">
        <v>1</v>
      </c>
      <c r="H357" s="263">
        <v>750000</v>
      </c>
      <c r="I357" s="258">
        <f>List34[[#This Row],[Pengajuan Donasi]]</f>
        <v>750000</v>
      </c>
      <c r="J357" s="214" t="str">
        <f>IF(List34[[#This Row],[Tanggal Trf]]&gt;0,"Done","-")</f>
        <v>Done</v>
      </c>
      <c r="K357" s="437"/>
      <c r="L357" s="221">
        <v>44693</v>
      </c>
      <c r="M357" s="184" t="s">
        <v>481</v>
      </c>
      <c r="N357" s="100">
        <f>MONTH(List34[[#This Row],[Tanggal Pengajuan]])</f>
        <v>5</v>
      </c>
      <c r="O357" s="183">
        <v>44694</v>
      </c>
      <c r="P357" s="100" t="s">
        <v>932</v>
      </c>
      <c r="Q357" s="111"/>
      <c r="R357" s="230" t="s">
        <v>958</v>
      </c>
      <c r="T357" s="275">
        <f>+List34[[#This Row],[Pengajuan Donasi]]-List34[[#This Row],[Jumlah Transfer]]</f>
        <v>0</v>
      </c>
      <c r="U357" s="275"/>
    </row>
    <row r="358" spans="2:21" ht="30" customHeight="1" x14ac:dyDescent="0.2">
      <c r="B358" s="13">
        <v>44687</v>
      </c>
      <c r="C358" s="67"/>
      <c r="D358" s="14" t="s">
        <v>953</v>
      </c>
      <c r="E358" s="14" t="s">
        <v>26</v>
      </c>
      <c r="F358" s="14" t="s">
        <v>18</v>
      </c>
      <c r="G358" s="15">
        <v>1</v>
      </c>
      <c r="H358" s="270">
        <v>1000000</v>
      </c>
      <c r="I358" s="258">
        <f>List34[[#This Row],[Pengajuan Donasi]]</f>
        <v>1000000</v>
      </c>
      <c r="J358" s="214" t="str">
        <f>IF(List34[[#This Row],[Tanggal Trf]]&gt;0,"Done","-")</f>
        <v>Done</v>
      </c>
      <c r="K358" s="437"/>
      <c r="L358" s="221">
        <v>44693</v>
      </c>
      <c r="M358" s="208" t="s">
        <v>873</v>
      </c>
      <c r="N358" s="100">
        <f>MONTH(List34[[#This Row],[Tanggal Pengajuan]])</f>
        <v>5</v>
      </c>
      <c r="O358" s="183">
        <v>44694</v>
      </c>
      <c r="P358" s="100" t="s">
        <v>932</v>
      </c>
      <c r="Q358" s="111"/>
      <c r="R358" s="230" t="s">
        <v>958</v>
      </c>
      <c r="T358" s="275">
        <f>+List34[[#This Row],[Pengajuan Donasi]]-List34[[#This Row],[Jumlah Transfer]]</f>
        <v>0</v>
      </c>
      <c r="U358" s="275"/>
    </row>
    <row r="359" spans="2:21" ht="30" customHeight="1" x14ac:dyDescent="0.2">
      <c r="B359" s="13">
        <v>44687</v>
      </c>
      <c r="C359" s="67"/>
      <c r="D359" s="14" t="s">
        <v>954</v>
      </c>
      <c r="E359" s="14" t="s">
        <v>26</v>
      </c>
      <c r="F359" s="14" t="s">
        <v>18</v>
      </c>
      <c r="G359" s="15">
        <v>1</v>
      </c>
      <c r="H359" s="263">
        <v>1000000</v>
      </c>
      <c r="I359" s="258">
        <f>List34[[#This Row],[Pengajuan Donasi]]</f>
        <v>1000000</v>
      </c>
      <c r="J359" s="214" t="str">
        <f>IF(List34[[#This Row],[Tanggal Trf]]&gt;0,"Done","-")</f>
        <v>Done</v>
      </c>
      <c r="K359" s="437"/>
      <c r="L359" s="221">
        <v>44693</v>
      </c>
      <c r="M359" s="204" t="s">
        <v>874</v>
      </c>
      <c r="N359" s="100">
        <f>MONTH(List34[[#This Row],[Tanggal Pengajuan]])</f>
        <v>5</v>
      </c>
      <c r="O359" s="183">
        <v>44694</v>
      </c>
      <c r="P359" s="100" t="s">
        <v>932</v>
      </c>
      <c r="Q359" s="111"/>
      <c r="R359" s="230" t="s">
        <v>958</v>
      </c>
      <c r="T359" s="275">
        <f>+List34[[#This Row],[Pengajuan Donasi]]-List34[[#This Row],[Jumlah Transfer]]</f>
        <v>0</v>
      </c>
      <c r="U359" s="275"/>
    </row>
    <row r="360" spans="2:21" ht="30" customHeight="1" x14ac:dyDescent="0.2">
      <c r="B360" s="13">
        <v>44687</v>
      </c>
      <c r="C360" s="67"/>
      <c r="D360" s="14" t="s">
        <v>955</v>
      </c>
      <c r="E360" s="14" t="s">
        <v>26</v>
      </c>
      <c r="F360" s="14" t="s">
        <v>18</v>
      </c>
      <c r="G360" s="15">
        <v>1</v>
      </c>
      <c r="H360" s="263">
        <v>1000000</v>
      </c>
      <c r="I360" s="258">
        <f>List34[[#This Row],[Pengajuan Donasi]]</f>
        <v>1000000</v>
      </c>
      <c r="J360" s="215" t="str">
        <f>IF(List34[[#This Row],[Tanggal Trf]]&gt;0,"Done","-")</f>
        <v>Done</v>
      </c>
      <c r="K360" s="438"/>
      <c r="L360" s="221">
        <v>44693</v>
      </c>
      <c r="M360" s="20" t="s">
        <v>762</v>
      </c>
      <c r="N360" s="20">
        <f>MONTH(List34[[#This Row],[Tanggal Pengajuan]])</f>
        <v>5</v>
      </c>
      <c r="O360" s="183">
        <v>44694</v>
      </c>
      <c r="P360" s="100" t="s">
        <v>932</v>
      </c>
      <c r="Q360" s="111"/>
      <c r="R360" s="230" t="s">
        <v>958</v>
      </c>
      <c r="T360" s="275">
        <f>+List34[[#This Row],[Pengajuan Donasi]]-List34[[#This Row],[Jumlah Transfer]]</f>
        <v>0</v>
      </c>
      <c r="U360" s="275"/>
    </row>
    <row r="361" spans="2:21" ht="30" customHeight="1" x14ac:dyDescent="0.2">
      <c r="B361" s="13">
        <v>44687</v>
      </c>
      <c r="C361" s="67" t="s">
        <v>933</v>
      </c>
      <c r="D361" s="14" t="s">
        <v>486</v>
      </c>
      <c r="E361" s="103" t="s">
        <v>179</v>
      </c>
      <c r="F361" s="103" t="s">
        <v>18</v>
      </c>
      <c r="G361" s="15">
        <v>44</v>
      </c>
      <c r="H361" s="258">
        <v>2640000</v>
      </c>
      <c r="I361" s="258">
        <f>List34[[#This Row],[Pengajuan Donasi]]</f>
        <v>2640000</v>
      </c>
      <c r="J361" s="213" t="str">
        <f>IF(List34[[#This Row],[Tanggal Trf]]&gt;0,"Done","-")</f>
        <v>Done</v>
      </c>
      <c r="K361" s="437"/>
      <c r="L361" s="221">
        <v>44693</v>
      </c>
      <c r="M361" s="100" t="s">
        <v>709</v>
      </c>
      <c r="N361" s="100">
        <f>MONTH(List34[[#This Row],[Tanggal Pengajuan]])</f>
        <v>5</v>
      </c>
      <c r="O361" s="183">
        <v>44694</v>
      </c>
      <c r="P361" s="100" t="s">
        <v>932</v>
      </c>
      <c r="Q361" s="111"/>
      <c r="R361" s="230" t="s">
        <v>958</v>
      </c>
      <c r="T361" s="275">
        <f>+List34[[#This Row],[Pengajuan Donasi]]-List34[[#This Row],[Jumlah Transfer]]</f>
        <v>0</v>
      </c>
      <c r="U361" s="275"/>
    </row>
    <row r="362" spans="2:21" ht="30" customHeight="1" x14ac:dyDescent="0.2">
      <c r="B362" s="13">
        <v>44687</v>
      </c>
      <c r="C362" s="67" t="s">
        <v>934</v>
      </c>
      <c r="D362" s="14" t="s">
        <v>392</v>
      </c>
      <c r="E362" s="103" t="s">
        <v>57</v>
      </c>
      <c r="F362" s="103" t="s">
        <v>18</v>
      </c>
      <c r="G362" s="15">
        <v>75</v>
      </c>
      <c r="H362" s="258">
        <v>10000000</v>
      </c>
      <c r="I362" s="258">
        <f>List34[[#This Row],[Pengajuan Donasi]]</f>
        <v>10000000</v>
      </c>
      <c r="J362" s="213" t="str">
        <f>IF(List34[[#This Row],[Tanggal Trf]]&gt;0,"Done","-")</f>
        <v>Done</v>
      </c>
      <c r="K362" s="437"/>
      <c r="L362" s="221">
        <v>44693</v>
      </c>
      <c r="M362" s="100" t="s">
        <v>540</v>
      </c>
      <c r="N362" s="100">
        <f>MONTH(List34[[#This Row],[Tanggal Pengajuan]])</f>
        <v>5</v>
      </c>
      <c r="O362" s="183">
        <v>44694</v>
      </c>
      <c r="P362" s="100" t="s">
        <v>932</v>
      </c>
      <c r="Q362" s="111"/>
      <c r="R362" s="230" t="s">
        <v>958</v>
      </c>
      <c r="T362" s="275">
        <f>+List34[[#This Row],[Pengajuan Donasi]]-List34[[#This Row],[Jumlah Transfer]]</f>
        <v>0</v>
      </c>
      <c r="U362" s="275"/>
    </row>
    <row r="363" spans="2:21" ht="30" customHeight="1" x14ac:dyDescent="0.2">
      <c r="B363" s="13">
        <v>44687</v>
      </c>
      <c r="C363" s="67" t="s">
        <v>935</v>
      </c>
      <c r="D363" s="14" t="s">
        <v>25</v>
      </c>
      <c r="E363" s="14" t="s">
        <v>179</v>
      </c>
      <c r="F363" s="14" t="s">
        <v>18</v>
      </c>
      <c r="G363" s="15">
        <v>12</v>
      </c>
      <c r="H363" s="258">
        <v>2520000</v>
      </c>
      <c r="I363" s="258">
        <f>List34[[#This Row],[Pengajuan Donasi]]</f>
        <v>2520000</v>
      </c>
      <c r="J363" s="213" t="str">
        <f>IF(List34[[#This Row],[Tanggal Trf]]&gt;0,"Done","-")</f>
        <v>Done</v>
      </c>
      <c r="K363" s="437" t="s">
        <v>686</v>
      </c>
      <c r="L363" s="221">
        <v>44693</v>
      </c>
      <c r="M363" s="14" t="s">
        <v>667</v>
      </c>
      <c r="N363" s="100">
        <f>MONTH(List34[[#This Row],[Tanggal Pengajuan]])</f>
        <v>5</v>
      </c>
      <c r="O363" s="101">
        <v>44698</v>
      </c>
      <c r="P363" s="100" t="s">
        <v>932</v>
      </c>
      <c r="Q363" s="111"/>
      <c r="R363" s="230" t="s">
        <v>958</v>
      </c>
      <c r="T363" s="275">
        <f>+List34[[#This Row],[Pengajuan Donasi]]-List34[[#This Row],[Jumlah Transfer]]</f>
        <v>0</v>
      </c>
      <c r="U363" s="275"/>
    </row>
    <row r="364" spans="2:21" ht="30" customHeight="1" x14ac:dyDescent="0.2">
      <c r="B364" s="13">
        <v>44687</v>
      </c>
      <c r="C364" s="163" t="s">
        <v>936</v>
      </c>
      <c r="D364" s="168" t="s">
        <v>916</v>
      </c>
      <c r="E364" s="164" t="s">
        <v>26</v>
      </c>
      <c r="F364" s="164" t="s">
        <v>18</v>
      </c>
      <c r="G364" s="178"/>
      <c r="H364" s="261">
        <v>0</v>
      </c>
      <c r="I364" s="261">
        <f>List34[[#This Row],[Pengajuan Donasi]]</f>
        <v>0</v>
      </c>
      <c r="J364" s="253" t="str">
        <f>IF(List34[[#This Row],[Tanggal Trf]]&gt;0,"Done","-")</f>
        <v>-</v>
      </c>
      <c r="K364" s="439" t="s">
        <v>1013</v>
      </c>
      <c r="L364" s="222"/>
      <c r="M364" s="193" t="s">
        <v>895</v>
      </c>
      <c r="N364" s="193">
        <f>MONTH(List34[[#This Row],[Tanggal Pengajuan]])</f>
        <v>5</v>
      </c>
      <c r="O364" s="222" t="s">
        <v>960</v>
      </c>
      <c r="P364" s="193" t="s">
        <v>1221</v>
      </c>
      <c r="Q364" s="254"/>
      <c r="R364" s="231" t="s">
        <v>958</v>
      </c>
      <c r="T364" s="275">
        <f>+List34[[#This Row],[Pengajuan Donasi]]-List34[[#This Row],[Jumlah Transfer]]</f>
        <v>0</v>
      </c>
      <c r="U364" s="275"/>
    </row>
    <row r="365" spans="2:21" ht="30" customHeight="1" x14ac:dyDescent="0.2">
      <c r="B365" s="13">
        <v>44687</v>
      </c>
      <c r="C365" s="163"/>
      <c r="D365" s="168" t="s">
        <v>917</v>
      </c>
      <c r="E365" s="164" t="s">
        <v>26</v>
      </c>
      <c r="F365" s="164" t="s">
        <v>18</v>
      </c>
      <c r="G365" s="178">
        <v>0</v>
      </c>
      <c r="H365" s="261">
        <v>0</v>
      </c>
      <c r="I365" s="261">
        <f>List34[[#This Row],[Pengajuan Donasi]]</f>
        <v>0</v>
      </c>
      <c r="J365" s="253" t="str">
        <f>IF(List34[[#This Row],[Tanggal Trf]]&gt;0,"Done","-")</f>
        <v>-</v>
      </c>
      <c r="K365" s="439" t="s">
        <v>1013</v>
      </c>
      <c r="L365" s="222"/>
      <c r="M365" s="193" t="s">
        <v>894</v>
      </c>
      <c r="N365" s="193">
        <f>MONTH(List34[[#This Row],[Tanggal Pengajuan]])</f>
        <v>5</v>
      </c>
      <c r="O365" s="222" t="s">
        <v>960</v>
      </c>
      <c r="P365" s="193" t="s">
        <v>1221</v>
      </c>
      <c r="Q365" s="254"/>
      <c r="R365" s="231" t="s">
        <v>958</v>
      </c>
      <c r="T365" s="275">
        <f>+List34[[#This Row],[Pengajuan Donasi]]-List34[[#This Row],[Jumlah Transfer]]</f>
        <v>0</v>
      </c>
      <c r="U365" s="275"/>
    </row>
    <row r="366" spans="2:21" ht="30" customHeight="1" x14ac:dyDescent="0.2">
      <c r="B366" s="13">
        <v>44687</v>
      </c>
      <c r="C366" s="163"/>
      <c r="D366" s="168" t="s">
        <v>918</v>
      </c>
      <c r="E366" s="164" t="s">
        <v>26</v>
      </c>
      <c r="F366" s="164" t="s">
        <v>18</v>
      </c>
      <c r="G366" s="178">
        <v>0</v>
      </c>
      <c r="H366" s="261">
        <v>0</v>
      </c>
      <c r="I366" s="261">
        <f>List34[[#This Row],[Pengajuan Donasi]]</f>
        <v>0</v>
      </c>
      <c r="J366" s="253" t="str">
        <f>IF(List34[[#This Row],[Tanggal Trf]]&gt;0,"Done","-")</f>
        <v>-</v>
      </c>
      <c r="K366" s="439" t="s">
        <v>1013</v>
      </c>
      <c r="L366" s="222"/>
      <c r="M366" s="193" t="s">
        <v>896</v>
      </c>
      <c r="N366" s="193">
        <f>MONTH(List34[[#This Row],[Tanggal Pengajuan]])</f>
        <v>5</v>
      </c>
      <c r="O366" s="222" t="s">
        <v>960</v>
      </c>
      <c r="P366" s="193" t="s">
        <v>1221</v>
      </c>
      <c r="Q366" s="254"/>
      <c r="R366" s="231" t="s">
        <v>958</v>
      </c>
      <c r="T366" s="275">
        <f>+List34[[#This Row],[Pengajuan Donasi]]-List34[[#This Row],[Jumlah Transfer]]</f>
        <v>0</v>
      </c>
      <c r="U366" s="275"/>
    </row>
    <row r="367" spans="2:21" ht="30" customHeight="1" x14ac:dyDescent="0.2">
      <c r="B367" s="13">
        <v>44687</v>
      </c>
      <c r="C367" s="163"/>
      <c r="D367" s="168" t="s">
        <v>919</v>
      </c>
      <c r="E367" s="164" t="s">
        <v>26</v>
      </c>
      <c r="F367" s="164" t="s">
        <v>18</v>
      </c>
      <c r="G367" s="178">
        <v>0</v>
      </c>
      <c r="H367" s="261">
        <v>0</v>
      </c>
      <c r="I367" s="261">
        <f>List34[[#This Row],[Pengajuan Donasi]]</f>
        <v>0</v>
      </c>
      <c r="J367" s="253" t="str">
        <f>IF(List34[[#This Row],[Tanggal Trf]]&gt;0,"Done","-")</f>
        <v>-</v>
      </c>
      <c r="K367" s="439" t="s">
        <v>1013</v>
      </c>
      <c r="L367" s="222"/>
      <c r="M367" s="193" t="s">
        <v>897</v>
      </c>
      <c r="N367" s="193">
        <f>MONTH(List34[[#This Row],[Tanggal Pengajuan]])</f>
        <v>5</v>
      </c>
      <c r="O367" s="222" t="s">
        <v>960</v>
      </c>
      <c r="P367" s="193" t="s">
        <v>1221</v>
      </c>
      <c r="Q367" s="254"/>
      <c r="R367" s="231" t="s">
        <v>958</v>
      </c>
      <c r="T367" s="275">
        <f>+List34[[#This Row],[Pengajuan Donasi]]-List34[[#This Row],[Jumlah Transfer]]</f>
        <v>0</v>
      </c>
      <c r="U367" s="275"/>
    </row>
    <row r="368" spans="2:21" ht="30" customHeight="1" x14ac:dyDescent="0.2">
      <c r="B368" s="13">
        <v>44687</v>
      </c>
      <c r="C368" s="163"/>
      <c r="D368" s="168" t="s">
        <v>920</v>
      </c>
      <c r="E368" s="164" t="s">
        <v>26</v>
      </c>
      <c r="F368" s="164" t="s">
        <v>18</v>
      </c>
      <c r="G368" s="178">
        <v>0</v>
      </c>
      <c r="H368" s="261">
        <v>0</v>
      </c>
      <c r="I368" s="261">
        <f>List34[[#This Row],[Pengajuan Donasi]]</f>
        <v>0</v>
      </c>
      <c r="J368" s="253" t="str">
        <f>IF(List34[[#This Row],[Tanggal Trf]]&gt;0,"Done","-")</f>
        <v>-</v>
      </c>
      <c r="K368" s="439" t="s">
        <v>1013</v>
      </c>
      <c r="L368" s="222"/>
      <c r="M368" s="193" t="s">
        <v>915</v>
      </c>
      <c r="N368" s="193">
        <f>MONTH(List34[[#This Row],[Tanggal Pengajuan]])</f>
        <v>5</v>
      </c>
      <c r="O368" s="222" t="s">
        <v>960</v>
      </c>
      <c r="P368" s="193" t="s">
        <v>1221</v>
      </c>
      <c r="Q368" s="254"/>
      <c r="R368" s="231" t="s">
        <v>958</v>
      </c>
      <c r="T368" s="275">
        <f>+List34[[#This Row],[Pengajuan Donasi]]-List34[[#This Row],[Jumlah Transfer]]</f>
        <v>0</v>
      </c>
      <c r="U368" s="275"/>
    </row>
    <row r="369" spans="2:21" ht="30" customHeight="1" x14ac:dyDescent="0.2">
      <c r="B369" s="13">
        <v>44687</v>
      </c>
      <c r="C369" s="163"/>
      <c r="D369" s="168" t="s">
        <v>921</v>
      </c>
      <c r="E369" s="164" t="s">
        <v>26</v>
      </c>
      <c r="F369" s="164" t="s">
        <v>18</v>
      </c>
      <c r="G369" s="178">
        <v>0</v>
      </c>
      <c r="H369" s="261">
        <v>0</v>
      </c>
      <c r="I369" s="261">
        <f>List34[[#This Row],[Pengajuan Donasi]]</f>
        <v>0</v>
      </c>
      <c r="J369" s="253" t="str">
        <f>IF(List34[[#This Row],[Tanggal Trf]]&gt;0,"Done","-")</f>
        <v>-</v>
      </c>
      <c r="K369" s="439" t="s">
        <v>1013</v>
      </c>
      <c r="L369" s="222"/>
      <c r="M369" s="193" t="s">
        <v>898</v>
      </c>
      <c r="N369" s="193">
        <f>MONTH(List34[[#This Row],[Tanggal Pengajuan]])</f>
        <v>5</v>
      </c>
      <c r="O369" s="222" t="s">
        <v>960</v>
      </c>
      <c r="P369" s="193" t="s">
        <v>1221</v>
      </c>
      <c r="Q369" s="254"/>
      <c r="R369" s="231" t="s">
        <v>958</v>
      </c>
      <c r="T369" s="275">
        <f>+List34[[#This Row],[Pengajuan Donasi]]-List34[[#This Row],[Jumlah Transfer]]</f>
        <v>0</v>
      </c>
      <c r="U369" s="275"/>
    </row>
    <row r="370" spans="2:21" ht="30" customHeight="1" x14ac:dyDescent="0.2">
      <c r="B370" s="13">
        <v>44687</v>
      </c>
      <c r="C370" s="163"/>
      <c r="D370" s="168" t="s">
        <v>922</v>
      </c>
      <c r="E370" s="164" t="s">
        <v>26</v>
      </c>
      <c r="F370" s="164" t="s">
        <v>18</v>
      </c>
      <c r="G370" s="178">
        <v>0</v>
      </c>
      <c r="H370" s="261">
        <v>0</v>
      </c>
      <c r="I370" s="261">
        <f>List34[[#This Row],[Pengajuan Donasi]]</f>
        <v>0</v>
      </c>
      <c r="J370" s="253" t="str">
        <f>IF(List34[[#This Row],[Tanggal Trf]]&gt;0,"Done","-")</f>
        <v>-</v>
      </c>
      <c r="K370" s="439" t="s">
        <v>1013</v>
      </c>
      <c r="L370" s="222"/>
      <c r="M370" s="193" t="s">
        <v>899</v>
      </c>
      <c r="N370" s="193">
        <f>MONTH(List34[[#This Row],[Tanggal Pengajuan]])</f>
        <v>5</v>
      </c>
      <c r="O370" s="222" t="s">
        <v>960</v>
      </c>
      <c r="P370" s="193" t="s">
        <v>1221</v>
      </c>
      <c r="Q370" s="254"/>
      <c r="R370" s="231" t="s">
        <v>958</v>
      </c>
      <c r="T370" s="275">
        <f>+List34[[#This Row],[Pengajuan Donasi]]-List34[[#This Row],[Jumlah Transfer]]</f>
        <v>0</v>
      </c>
      <c r="U370" s="275"/>
    </row>
    <row r="371" spans="2:21" ht="30" customHeight="1" x14ac:dyDescent="0.2">
      <c r="B371" s="13">
        <v>44687</v>
      </c>
      <c r="C371" s="163"/>
      <c r="D371" s="168" t="s">
        <v>923</v>
      </c>
      <c r="E371" s="164" t="s">
        <v>26</v>
      </c>
      <c r="F371" s="164" t="s">
        <v>18</v>
      </c>
      <c r="G371" s="178">
        <v>0</v>
      </c>
      <c r="H371" s="261">
        <v>0</v>
      </c>
      <c r="I371" s="261">
        <f>List34[[#This Row],[Pengajuan Donasi]]</f>
        <v>0</v>
      </c>
      <c r="J371" s="253" t="str">
        <f>IF(List34[[#This Row],[Tanggal Trf]]&gt;0,"Done","-")</f>
        <v>-</v>
      </c>
      <c r="K371" s="439" t="s">
        <v>1013</v>
      </c>
      <c r="L371" s="222"/>
      <c r="M371" s="193" t="s">
        <v>900</v>
      </c>
      <c r="N371" s="193">
        <f>MONTH(List34[[#This Row],[Tanggal Pengajuan]])</f>
        <v>5</v>
      </c>
      <c r="O371" s="222" t="s">
        <v>960</v>
      </c>
      <c r="P371" s="193" t="s">
        <v>1221</v>
      </c>
      <c r="Q371" s="254"/>
      <c r="R371" s="231" t="s">
        <v>958</v>
      </c>
      <c r="T371" s="275">
        <f>+List34[[#This Row],[Pengajuan Donasi]]-List34[[#This Row],[Jumlah Transfer]]</f>
        <v>0</v>
      </c>
      <c r="U371" s="275"/>
    </row>
    <row r="372" spans="2:21" ht="30" customHeight="1" x14ac:dyDescent="0.2">
      <c r="B372" s="13">
        <v>44687</v>
      </c>
      <c r="C372" s="163"/>
      <c r="D372" s="168" t="s">
        <v>924</v>
      </c>
      <c r="E372" s="164" t="s">
        <v>26</v>
      </c>
      <c r="F372" s="164" t="s">
        <v>18</v>
      </c>
      <c r="G372" s="178">
        <v>0</v>
      </c>
      <c r="H372" s="261">
        <v>0</v>
      </c>
      <c r="I372" s="261">
        <f>List34[[#This Row],[Pengajuan Donasi]]</f>
        <v>0</v>
      </c>
      <c r="J372" s="253" t="str">
        <f>IF(List34[[#This Row],[Tanggal Trf]]&gt;0,"Done","-")</f>
        <v>-</v>
      </c>
      <c r="K372" s="439" t="s">
        <v>1013</v>
      </c>
      <c r="L372" s="222"/>
      <c r="M372" s="193" t="s">
        <v>901</v>
      </c>
      <c r="N372" s="193">
        <f>MONTH(List34[[#This Row],[Tanggal Pengajuan]])</f>
        <v>5</v>
      </c>
      <c r="O372" s="222" t="s">
        <v>960</v>
      </c>
      <c r="P372" s="193" t="s">
        <v>1221</v>
      </c>
      <c r="Q372" s="254"/>
      <c r="R372" s="231" t="s">
        <v>958</v>
      </c>
      <c r="T372" s="275">
        <f>+List34[[#This Row],[Pengajuan Donasi]]-List34[[#This Row],[Jumlah Transfer]]</f>
        <v>0</v>
      </c>
      <c r="U372" s="275"/>
    </row>
    <row r="373" spans="2:21" ht="30" customHeight="1" x14ac:dyDescent="0.2">
      <c r="B373" s="13">
        <v>44687</v>
      </c>
      <c r="C373" s="163"/>
      <c r="D373" s="168" t="s">
        <v>925</v>
      </c>
      <c r="E373" s="164" t="s">
        <v>26</v>
      </c>
      <c r="F373" s="164" t="s">
        <v>18</v>
      </c>
      <c r="G373" s="178">
        <v>0</v>
      </c>
      <c r="H373" s="261">
        <v>0</v>
      </c>
      <c r="I373" s="261">
        <f>List34[[#This Row],[Pengajuan Donasi]]</f>
        <v>0</v>
      </c>
      <c r="J373" s="253" t="str">
        <f>IF(List34[[#This Row],[Tanggal Trf]]&gt;0,"Done","-")</f>
        <v>-</v>
      </c>
      <c r="K373" s="439" t="s">
        <v>1013</v>
      </c>
      <c r="L373" s="222"/>
      <c r="M373" s="193" t="s">
        <v>1014</v>
      </c>
      <c r="N373" s="193">
        <f>MONTH(List34[[#This Row],[Tanggal Pengajuan]])</f>
        <v>5</v>
      </c>
      <c r="O373" s="222" t="s">
        <v>960</v>
      </c>
      <c r="P373" s="193" t="s">
        <v>1221</v>
      </c>
      <c r="Q373" s="254"/>
      <c r="R373" s="231" t="s">
        <v>958</v>
      </c>
      <c r="T373" s="275">
        <f>+List34[[#This Row],[Pengajuan Donasi]]-List34[[#This Row],[Jumlah Transfer]]</f>
        <v>0</v>
      </c>
      <c r="U373" s="275"/>
    </row>
    <row r="374" spans="2:21" ht="30" customHeight="1" x14ac:dyDescent="0.2">
      <c r="B374" s="13">
        <v>44687</v>
      </c>
      <c r="C374" s="163"/>
      <c r="D374" s="168" t="s">
        <v>926</v>
      </c>
      <c r="E374" s="164" t="s">
        <v>26</v>
      </c>
      <c r="F374" s="164" t="s">
        <v>18</v>
      </c>
      <c r="G374" s="178">
        <v>0</v>
      </c>
      <c r="H374" s="261">
        <v>0</v>
      </c>
      <c r="I374" s="261">
        <f>List34[[#This Row],[Pengajuan Donasi]]</f>
        <v>0</v>
      </c>
      <c r="J374" s="253" t="str">
        <f>IF(List34[[#This Row],[Tanggal Trf]]&gt;0,"Done","-")</f>
        <v>-</v>
      </c>
      <c r="K374" s="439" t="s">
        <v>1013</v>
      </c>
      <c r="L374" s="222"/>
      <c r="M374" s="193" t="s">
        <v>1014</v>
      </c>
      <c r="N374" s="193">
        <f>MONTH(List34[[#This Row],[Tanggal Pengajuan]])</f>
        <v>5</v>
      </c>
      <c r="O374" s="222" t="s">
        <v>960</v>
      </c>
      <c r="P374" s="193" t="s">
        <v>1221</v>
      </c>
      <c r="Q374" s="254"/>
      <c r="R374" s="231" t="s">
        <v>958</v>
      </c>
      <c r="T374" s="275">
        <f>+List34[[#This Row],[Pengajuan Donasi]]-List34[[#This Row],[Jumlah Transfer]]</f>
        <v>0</v>
      </c>
      <c r="U374" s="275"/>
    </row>
    <row r="375" spans="2:21" ht="30" customHeight="1" x14ac:dyDescent="0.2">
      <c r="B375" s="13">
        <v>44687</v>
      </c>
      <c r="C375" s="163"/>
      <c r="D375" s="168" t="s">
        <v>927</v>
      </c>
      <c r="E375" s="164" t="s">
        <v>26</v>
      </c>
      <c r="F375" s="164" t="s">
        <v>18</v>
      </c>
      <c r="G375" s="178">
        <v>0</v>
      </c>
      <c r="H375" s="261">
        <v>0</v>
      </c>
      <c r="I375" s="261">
        <f>List34[[#This Row],[Pengajuan Donasi]]</f>
        <v>0</v>
      </c>
      <c r="J375" s="253" t="str">
        <f>IF(List34[[#This Row],[Tanggal Trf]]&gt;0,"Done","-")</f>
        <v>-</v>
      </c>
      <c r="K375" s="439" t="s">
        <v>1013</v>
      </c>
      <c r="L375" s="222"/>
      <c r="M375" s="193" t="s">
        <v>1014</v>
      </c>
      <c r="N375" s="193">
        <f>MONTH(List34[[#This Row],[Tanggal Pengajuan]])</f>
        <v>5</v>
      </c>
      <c r="O375" s="222" t="s">
        <v>960</v>
      </c>
      <c r="P375" s="193" t="s">
        <v>1221</v>
      </c>
      <c r="Q375" s="254"/>
      <c r="R375" s="231" t="s">
        <v>958</v>
      </c>
      <c r="T375" s="275">
        <f>+List34[[#This Row],[Pengajuan Donasi]]-List34[[#This Row],[Jumlah Transfer]]</f>
        <v>0</v>
      </c>
      <c r="U375" s="275"/>
    </row>
    <row r="376" spans="2:21" ht="30" customHeight="1" x14ac:dyDescent="0.2">
      <c r="B376" s="13">
        <v>44687</v>
      </c>
      <c r="C376" s="163"/>
      <c r="D376" s="168" t="s">
        <v>928</v>
      </c>
      <c r="E376" s="164" t="s">
        <v>26</v>
      </c>
      <c r="F376" s="164" t="s">
        <v>18</v>
      </c>
      <c r="G376" s="178">
        <v>0</v>
      </c>
      <c r="H376" s="261">
        <v>0</v>
      </c>
      <c r="I376" s="261">
        <f>List34[[#This Row],[Pengajuan Donasi]]</f>
        <v>0</v>
      </c>
      <c r="J376" s="253" t="str">
        <f>IF(List34[[#This Row],[Tanggal Trf]]&gt;0,"Done","-")</f>
        <v>-</v>
      </c>
      <c r="K376" s="439" t="s">
        <v>1013</v>
      </c>
      <c r="L376" s="222"/>
      <c r="M376" s="193" t="s">
        <v>1014</v>
      </c>
      <c r="N376" s="255">
        <f>MONTH(List34[[#This Row],[Tanggal Pengajuan]])</f>
        <v>5</v>
      </c>
      <c r="O376" s="222" t="s">
        <v>960</v>
      </c>
      <c r="P376" s="193" t="s">
        <v>1221</v>
      </c>
      <c r="Q376" s="254"/>
      <c r="R376" s="231" t="s">
        <v>958</v>
      </c>
      <c r="T376" s="275">
        <f>+List34[[#This Row],[Pengajuan Donasi]]-List34[[#This Row],[Jumlah Transfer]]</f>
        <v>0</v>
      </c>
      <c r="U376" s="275"/>
    </row>
    <row r="377" spans="2:21" ht="30" customHeight="1" x14ac:dyDescent="0.2">
      <c r="B377" s="13">
        <v>44687</v>
      </c>
      <c r="C377" s="163"/>
      <c r="D377" s="168" t="s">
        <v>929</v>
      </c>
      <c r="E377" s="164" t="s">
        <v>26</v>
      </c>
      <c r="F377" s="164" t="s">
        <v>18</v>
      </c>
      <c r="G377" s="178">
        <v>0</v>
      </c>
      <c r="H377" s="261">
        <v>0</v>
      </c>
      <c r="I377" s="261">
        <f>List34[[#This Row],[Pengajuan Donasi]]</f>
        <v>0</v>
      </c>
      <c r="J377" s="253" t="str">
        <f>IF(List34[[#This Row],[Tanggal Trf]]&gt;0,"Done","-")</f>
        <v>-</v>
      </c>
      <c r="K377" s="439" t="s">
        <v>1013</v>
      </c>
      <c r="L377" s="222"/>
      <c r="M377" s="193" t="s">
        <v>902</v>
      </c>
      <c r="N377" s="255">
        <f>MONTH(List34[[#This Row],[Tanggal Pengajuan]])</f>
        <v>5</v>
      </c>
      <c r="O377" s="222" t="s">
        <v>960</v>
      </c>
      <c r="P377" s="193" t="s">
        <v>1221</v>
      </c>
      <c r="Q377" s="254"/>
      <c r="R377" s="231" t="s">
        <v>958</v>
      </c>
      <c r="T377" s="275">
        <f>+List34[[#This Row],[Pengajuan Donasi]]-List34[[#This Row],[Jumlah Transfer]]</f>
        <v>0</v>
      </c>
      <c r="U377" s="275"/>
    </row>
    <row r="378" spans="2:21" ht="30" customHeight="1" x14ac:dyDescent="0.2">
      <c r="B378" s="13">
        <v>44687</v>
      </c>
      <c r="C378" s="163"/>
      <c r="D378" s="168" t="s">
        <v>930</v>
      </c>
      <c r="E378" s="164" t="s">
        <v>26</v>
      </c>
      <c r="F378" s="164" t="s">
        <v>18</v>
      </c>
      <c r="G378" s="178">
        <v>0</v>
      </c>
      <c r="H378" s="261">
        <v>0</v>
      </c>
      <c r="I378" s="261">
        <f>List34[[#This Row],[Pengajuan Donasi]]</f>
        <v>0</v>
      </c>
      <c r="J378" s="253" t="str">
        <f>IF(List34[[#This Row],[Tanggal Trf]]&gt;0,"Done","-")</f>
        <v>-</v>
      </c>
      <c r="K378" s="439" t="s">
        <v>1013</v>
      </c>
      <c r="L378" s="222"/>
      <c r="M378" s="193" t="s">
        <v>903</v>
      </c>
      <c r="N378" s="255">
        <f>MONTH(List34[[#This Row],[Tanggal Pengajuan]])</f>
        <v>5</v>
      </c>
      <c r="O378" s="222" t="s">
        <v>960</v>
      </c>
      <c r="P378" s="193" t="s">
        <v>1221</v>
      </c>
      <c r="Q378" s="254"/>
      <c r="R378" s="231" t="s">
        <v>958</v>
      </c>
      <c r="T378" s="275">
        <f>+List34[[#This Row],[Pengajuan Donasi]]-List34[[#This Row],[Jumlah Transfer]]</f>
        <v>0</v>
      </c>
      <c r="U378" s="275"/>
    </row>
    <row r="379" spans="2:21" ht="30" customHeight="1" x14ac:dyDescent="0.2">
      <c r="B379" s="13">
        <v>44687</v>
      </c>
      <c r="C379" s="67" t="s">
        <v>937</v>
      </c>
      <c r="D379" s="14" t="s">
        <v>859</v>
      </c>
      <c r="E379" s="14" t="s">
        <v>17</v>
      </c>
      <c r="F379" s="14" t="s">
        <v>18</v>
      </c>
      <c r="G379" s="15">
        <v>23</v>
      </c>
      <c r="H379" s="258">
        <v>6000000</v>
      </c>
      <c r="I379" s="258">
        <f>List34[[#This Row],[Pengajuan Donasi]]</f>
        <v>6000000</v>
      </c>
      <c r="J379" s="214" t="str">
        <f>IF(List34[[#This Row],[Tanggal Trf]]&gt;0,"Done","-")</f>
        <v>Done</v>
      </c>
      <c r="K379" s="437"/>
      <c r="L379" s="221">
        <v>44705</v>
      </c>
      <c r="M379" s="105" t="s">
        <v>650</v>
      </c>
      <c r="N379" s="100">
        <f>MONTH(List34[[#This Row],[Tanggal Pengajuan]])</f>
        <v>5</v>
      </c>
      <c r="O379" s="183">
        <v>44694</v>
      </c>
      <c r="P379" s="100" t="s">
        <v>932</v>
      </c>
      <c r="Q379" s="111"/>
      <c r="R379" s="230" t="s">
        <v>958</v>
      </c>
      <c r="T379" s="275">
        <f>+List34[[#This Row],[Pengajuan Donasi]]-List34[[#This Row],[Jumlah Transfer]]</f>
        <v>0</v>
      </c>
      <c r="U379" s="275"/>
    </row>
    <row r="380" spans="2:21" ht="30" customHeight="1" x14ac:dyDescent="0.2">
      <c r="B380" s="13">
        <v>44687</v>
      </c>
      <c r="C380" s="67" t="s">
        <v>938</v>
      </c>
      <c r="D380" s="14" t="s">
        <v>114</v>
      </c>
      <c r="E380" s="103" t="s">
        <v>179</v>
      </c>
      <c r="F380" s="103" t="s">
        <v>18</v>
      </c>
      <c r="G380" s="15">
        <v>115</v>
      </c>
      <c r="H380" s="258">
        <v>11875000</v>
      </c>
      <c r="I380" s="258">
        <f>List34[[#This Row],[Pengajuan Donasi]]</f>
        <v>11875000</v>
      </c>
      <c r="J380" s="213" t="str">
        <f>IF(List34[[#This Row],[Tanggal Trf]]&gt;0,"Done","-")</f>
        <v>Done</v>
      </c>
      <c r="K380" s="437"/>
      <c r="L380" s="221">
        <v>44705</v>
      </c>
      <c r="M380" s="100" t="s">
        <v>733</v>
      </c>
      <c r="N380" s="100">
        <f>MONTH(List34[[#This Row],[Tanggal Pengajuan]])</f>
        <v>5</v>
      </c>
      <c r="O380" s="101">
        <v>44722</v>
      </c>
      <c r="P380" s="100" t="s">
        <v>932</v>
      </c>
      <c r="Q380" s="111"/>
      <c r="R380" s="230" t="s">
        <v>958</v>
      </c>
      <c r="T380" s="275">
        <f>+List34[[#This Row],[Pengajuan Donasi]]-List34[[#This Row],[Jumlah Transfer]]</f>
        <v>0</v>
      </c>
      <c r="U380" s="275"/>
    </row>
    <row r="381" spans="2:21" ht="30" customHeight="1" x14ac:dyDescent="0.2">
      <c r="B381" s="13">
        <v>44687</v>
      </c>
      <c r="C381" s="67" t="s">
        <v>939</v>
      </c>
      <c r="D381" s="14" t="s">
        <v>60</v>
      </c>
      <c r="E381" s="103" t="s">
        <v>179</v>
      </c>
      <c r="F381" s="103" t="s">
        <v>18</v>
      </c>
      <c r="G381" s="15">
        <v>37</v>
      </c>
      <c r="H381" s="258">
        <v>1200000</v>
      </c>
      <c r="I381" s="258">
        <f>List34[[#This Row],[Pengajuan Donasi]]</f>
        <v>1200000</v>
      </c>
      <c r="J381" s="213" t="str">
        <f>IF(List34[[#This Row],[Tanggal Trf]]&gt;0,"Done","-")</f>
        <v>Done</v>
      </c>
      <c r="K381" s="437"/>
      <c r="L381" s="221">
        <v>44705</v>
      </c>
      <c r="M381" s="100" t="s">
        <v>674</v>
      </c>
      <c r="N381" s="100">
        <f>MONTH(List34[[#This Row],[Tanggal Pengajuan]])</f>
        <v>5</v>
      </c>
      <c r="O381" s="101">
        <v>44746</v>
      </c>
      <c r="P381" s="100" t="s">
        <v>932</v>
      </c>
      <c r="Q381" s="111"/>
      <c r="R381" s="230" t="s">
        <v>958</v>
      </c>
      <c r="T381" s="275">
        <f>+List34[[#This Row],[Pengajuan Donasi]]-List34[[#This Row],[Jumlah Transfer]]</f>
        <v>0</v>
      </c>
      <c r="U381" s="275"/>
    </row>
    <row r="382" spans="2:21" ht="30" customHeight="1" x14ac:dyDescent="0.2">
      <c r="B382" s="13">
        <v>44687</v>
      </c>
      <c r="C382" s="67" t="s">
        <v>940</v>
      </c>
      <c r="D382" s="14" t="s">
        <v>129</v>
      </c>
      <c r="E382" s="103" t="s">
        <v>179</v>
      </c>
      <c r="F382" s="103" t="s">
        <v>18</v>
      </c>
      <c r="G382" s="15">
        <v>32</v>
      </c>
      <c r="H382" s="258">
        <v>7950000</v>
      </c>
      <c r="I382" s="258">
        <f>List34[[#This Row],[Pengajuan Donasi]]</f>
        <v>7950000</v>
      </c>
      <c r="J382" s="213" t="str">
        <f>IF(List34[[#This Row],[Tanggal Trf]]&gt;0,"Done","-")</f>
        <v>Done</v>
      </c>
      <c r="K382" s="437"/>
      <c r="L382" s="221">
        <v>44705</v>
      </c>
      <c r="M382" s="100" t="s">
        <v>675</v>
      </c>
      <c r="N382" s="100">
        <f>MONTH(List34[[#This Row],[Tanggal Pengajuan]])</f>
        <v>5</v>
      </c>
      <c r="O382" s="183">
        <v>44746</v>
      </c>
      <c r="P382" s="100" t="s">
        <v>932</v>
      </c>
      <c r="Q382" s="111"/>
      <c r="R382" s="230" t="s">
        <v>958</v>
      </c>
      <c r="T382" s="275">
        <f>+List34[[#This Row],[Pengajuan Donasi]]-List34[[#This Row],[Jumlah Transfer]]</f>
        <v>0</v>
      </c>
      <c r="U382" s="275"/>
    </row>
    <row r="383" spans="2:21" ht="30" customHeight="1" x14ac:dyDescent="0.2">
      <c r="B383" s="13">
        <v>44687</v>
      </c>
      <c r="C383" s="67" t="s">
        <v>941</v>
      </c>
      <c r="D383" s="14" t="s">
        <v>106</v>
      </c>
      <c r="E383" s="103" t="s">
        <v>179</v>
      </c>
      <c r="F383" s="103" t="s">
        <v>18</v>
      </c>
      <c r="G383" s="15">
        <v>85</v>
      </c>
      <c r="H383" s="267">
        <v>18700000</v>
      </c>
      <c r="I383" s="258">
        <f>List34[[#This Row],[Pengajuan Donasi]]</f>
        <v>18700000</v>
      </c>
      <c r="J383" s="213" t="str">
        <f>IF(List34[[#This Row],[Tanggal Trf]]&gt;0,"Done","-")</f>
        <v>Done</v>
      </c>
      <c r="K383" s="437"/>
      <c r="L383" s="221">
        <v>44705</v>
      </c>
      <c r="M383" s="100" t="s">
        <v>893</v>
      </c>
      <c r="N383" s="100">
        <f>MONTH(List34[[#This Row],[Tanggal Pengajuan]])</f>
        <v>5</v>
      </c>
      <c r="O383" s="101">
        <v>44700</v>
      </c>
      <c r="P383" s="100" t="s">
        <v>932</v>
      </c>
      <c r="Q383" s="111"/>
      <c r="R383" s="230" t="s">
        <v>958</v>
      </c>
      <c r="T383" s="275">
        <f>+List34[[#This Row],[Pengajuan Donasi]]-List34[[#This Row],[Jumlah Transfer]]</f>
        <v>0</v>
      </c>
      <c r="U383" s="275"/>
    </row>
    <row r="384" spans="2:21" ht="30" customHeight="1" x14ac:dyDescent="0.2">
      <c r="B384" s="13">
        <v>44687</v>
      </c>
      <c r="C384" s="67" t="s">
        <v>942</v>
      </c>
      <c r="D384" s="14" t="s">
        <v>48</v>
      </c>
      <c r="E384" s="103" t="s">
        <v>179</v>
      </c>
      <c r="F384" s="103" t="s">
        <v>18</v>
      </c>
      <c r="G384" s="15">
        <v>39</v>
      </c>
      <c r="H384" s="258">
        <v>3325000</v>
      </c>
      <c r="I384" s="258">
        <f>List34[[#This Row],[Pengajuan Donasi]]</f>
        <v>3325000</v>
      </c>
      <c r="J384" s="213" t="str">
        <f>IF(List34[[#This Row],[Tanggal Trf]]&gt;0,"Done","-")</f>
        <v>Done</v>
      </c>
      <c r="K384" s="437"/>
      <c r="L384" s="221">
        <v>44705</v>
      </c>
      <c r="M384" s="100" t="s">
        <v>445</v>
      </c>
      <c r="N384" s="100">
        <f>MONTH(List34[[#This Row],[Tanggal Pengajuan]])</f>
        <v>5</v>
      </c>
      <c r="O384" s="101">
        <v>44746</v>
      </c>
      <c r="P384" s="100" t="s">
        <v>932</v>
      </c>
      <c r="Q384" s="111"/>
      <c r="R384" s="230" t="s">
        <v>958</v>
      </c>
      <c r="T384" s="275">
        <f>+List34[[#This Row],[Pengajuan Donasi]]-List34[[#This Row],[Jumlah Transfer]]</f>
        <v>0</v>
      </c>
      <c r="U384" s="275"/>
    </row>
    <row r="385" spans="2:21" ht="30" customHeight="1" x14ac:dyDescent="0.2">
      <c r="B385" s="13">
        <v>44687</v>
      </c>
      <c r="C385" s="67" t="s">
        <v>943</v>
      </c>
      <c r="D385" s="14" t="s">
        <v>87</v>
      </c>
      <c r="E385" s="103" t="s">
        <v>179</v>
      </c>
      <c r="F385" s="103" t="s">
        <v>18</v>
      </c>
      <c r="G385" s="15">
        <v>24</v>
      </c>
      <c r="H385" s="258">
        <v>2400000</v>
      </c>
      <c r="I385" s="258">
        <f>List34[[#This Row],[Pengajuan Donasi]]</f>
        <v>2400000</v>
      </c>
      <c r="J385" s="213" t="str">
        <f>IF(List34[[#This Row],[Tanggal Trf]]&gt;0,"Done","-")</f>
        <v>Done</v>
      </c>
      <c r="K385" s="437"/>
      <c r="L385" s="221">
        <v>44705</v>
      </c>
      <c r="M385" s="100" t="s">
        <v>493</v>
      </c>
      <c r="N385" s="100">
        <f>MONTH(List34[[#This Row],[Tanggal Pengajuan]])</f>
        <v>5</v>
      </c>
      <c r="O385" s="183">
        <v>44746</v>
      </c>
      <c r="P385" s="100" t="s">
        <v>932</v>
      </c>
      <c r="Q385" s="111"/>
      <c r="R385" s="230" t="s">
        <v>958</v>
      </c>
      <c r="T385" s="275">
        <f>+List34[[#This Row],[Pengajuan Donasi]]-List34[[#This Row],[Jumlah Transfer]]</f>
        <v>0</v>
      </c>
      <c r="U385" s="275"/>
    </row>
    <row r="386" spans="2:21" ht="30" customHeight="1" x14ac:dyDescent="0.2">
      <c r="B386" s="13">
        <v>44687</v>
      </c>
      <c r="C386" s="67" t="s">
        <v>944</v>
      </c>
      <c r="D386" s="14" t="s">
        <v>256</v>
      </c>
      <c r="E386" s="103" t="s">
        <v>17</v>
      </c>
      <c r="F386" s="103" t="s">
        <v>18</v>
      </c>
      <c r="G386" s="15">
        <v>86</v>
      </c>
      <c r="H386" s="258">
        <v>8500000</v>
      </c>
      <c r="I386" s="258">
        <f>List34[[#This Row],[Pengajuan Donasi]]</f>
        <v>8500000</v>
      </c>
      <c r="J386" s="213" t="str">
        <f>IF(List34[[#This Row],[Tanggal Trf]]&gt;0,"Done","-")</f>
        <v>Done</v>
      </c>
      <c r="K386" s="437"/>
      <c r="L386" s="221">
        <v>44693</v>
      </c>
      <c r="M386" s="100" t="s">
        <v>136</v>
      </c>
      <c r="N386" s="100">
        <f>MONTH(List34[[#This Row],[Tanggal Pengajuan]])</f>
        <v>5</v>
      </c>
      <c r="O386" s="101">
        <v>44698</v>
      </c>
      <c r="P386" s="100" t="s">
        <v>932</v>
      </c>
      <c r="Q386" s="111"/>
      <c r="R386" s="230" t="s">
        <v>958</v>
      </c>
      <c r="T386" s="275">
        <f>+List34[[#This Row],[Pengajuan Donasi]]-List34[[#This Row],[Jumlah Transfer]]</f>
        <v>0</v>
      </c>
      <c r="U386" s="275"/>
    </row>
    <row r="387" spans="2:21" ht="30" customHeight="1" x14ac:dyDescent="0.2">
      <c r="B387" s="13">
        <v>44687</v>
      </c>
      <c r="C387" s="67"/>
      <c r="D387" s="14" t="s">
        <v>257</v>
      </c>
      <c r="E387" s="103" t="s">
        <v>17</v>
      </c>
      <c r="F387" s="103" t="s">
        <v>18</v>
      </c>
      <c r="G387" s="469">
        <v>134</v>
      </c>
      <c r="H387" s="258">
        <v>5500000</v>
      </c>
      <c r="I387" s="258">
        <f>List34[[#This Row],[Pengajuan Donasi]]</f>
        <v>5500000</v>
      </c>
      <c r="J387" s="213" t="str">
        <f>IF(List34[[#This Row],[Tanggal Trf]]&gt;0,"Done","-")</f>
        <v>Done</v>
      </c>
      <c r="K387" s="437"/>
      <c r="L387" s="221">
        <v>44693</v>
      </c>
      <c r="M387" s="100" t="s">
        <v>136</v>
      </c>
      <c r="N387" s="100">
        <f>MONTH(List34[[#This Row],[Tanggal Pengajuan]])</f>
        <v>5</v>
      </c>
      <c r="O387" s="183">
        <v>44698</v>
      </c>
      <c r="P387" s="100"/>
      <c r="Q387" s="111"/>
      <c r="R387" s="230"/>
      <c r="U387" s="275"/>
    </row>
    <row r="388" spans="2:21" ht="30" customHeight="1" x14ac:dyDescent="0.2">
      <c r="B388" s="13">
        <v>44687</v>
      </c>
      <c r="C388" s="67"/>
      <c r="D388" s="14" t="s">
        <v>222</v>
      </c>
      <c r="E388" s="176" t="s">
        <v>17</v>
      </c>
      <c r="F388" s="103" t="s">
        <v>18</v>
      </c>
      <c r="G388" s="469">
        <v>34</v>
      </c>
      <c r="H388" s="258">
        <v>5500000</v>
      </c>
      <c r="I388" s="258">
        <f>List34[[#This Row],[Pengajuan Donasi]]</f>
        <v>5500000</v>
      </c>
      <c r="J388" s="213" t="str">
        <f>IF(List34[[#This Row],[Tanggal Trf]]&gt;0,"Done","-")</f>
        <v>Done</v>
      </c>
      <c r="K388" s="437"/>
      <c r="L388" s="221">
        <v>44693</v>
      </c>
      <c r="M388" s="100" t="s">
        <v>136</v>
      </c>
      <c r="N388" s="100">
        <f>MONTH(List34[[#This Row],[Tanggal Pengajuan]])</f>
        <v>5</v>
      </c>
      <c r="O388" s="183">
        <v>44698</v>
      </c>
      <c r="P388" s="100"/>
      <c r="Q388" s="111"/>
      <c r="R388" s="230"/>
      <c r="U388" s="275"/>
    </row>
    <row r="389" spans="2:21" ht="30" customHeight="1" x14ac:dyDescent="0.2">
      <c r="B389" s="13">
        <v>44687</v>
      </c>
      <c r="C389" s="67" t="s">
        <v>945</v>
      </c>
      <c r="D389" s="103" t="s">
        <v>429</v>
      </c>
      <c r="E389" s="103" t="s">
        <v>57</v>
      </c>
      <c r="F389" s="103" t="s">
        <v>18</v>
      </c>
      <c r="G389" s="15">
        <v>38</v>
      </c>
      <c r="H389" s="258">
        <v>15000000</v>
      </c>
      <c r="I389" s="258">
        <f>List34[[#This Row],[Pengajuan Donasi]]</f>
        <v>15000000</v>
      </c>
      <c r="J389" s="213" t="str">
        <f>IF(List34[[#This Row],[Tanggal Trf]]&gt;0,"Done","-")</f>
        <v>Done</v>
      </c>
      <c r="K389" s="437"/>
      <c r="L389" s="221">
        <v>44693</v>
      </c>
      <c r="M389" s="105" t="s">
        <v>537</v>
      </c>
      <c r="N389" s="100">
        <f>MONTH(List34[[#This Row],[Tanggal Pengajuan]])</f>
        <v>5</v>
      </c>
      <c r="O389" s="101">
        <v>44694</v>
      </c>
      <c r="P389" s="100" t="s">
        <v>932</v>
      </c>
      <c r="Q389" s="111"/>
      <c r="R389" s="230" t="s">
        <v>958</v>
      </c>
      <c r="T389" s="275">
        <f>+List34[[#This Row],[Pengajuan Donasi]]-List34[[#This Row],[Jumlah Transfer]]</f>
        <v>0</v>
      </c>
      <c r="U389" s="275"/>
    </row>
    <row r="390" spans="2:21" ht="30" customHeight="1" x14ac:dyDescent="0.2">
      <c r="B390" s="13">
        <v>44687</v>
      </c>
      <c r="C390" s="67" t="s">
        <v>946</v>
      </c>
      <c r="D390" s="14" t="s">
        <v>420</v>
      </c>
      <c r="E390" s="103" t="s">
        <v>57</v>
      </c>
      <c r="F390" s="103" t="s">
        <v>18</v>
      </c>
      <c r="G390" s="15">
        <v>29</v>
      </c>
      <c r="H390" s="258">
        <v>10000000</v>
      </c>
      <c r="I390" s="258">
        <f>List34[[#This Row],[Pengajuan Donasi]]</f>
        <v>10000000</v>
      </c>
      <c r="J390" s="213" t="str">
        <f>IF(List34[[#This Row],[Tanggal Trf]]&gt;0,"Done","-")</f>
        <v>Done</v>
      </c>
      <c r="K390" s="437"/>
      <c r="L390" s="221">
        <v>44706</v>
      </c>
      <c r="M390" s="100" t="s">
        <v>534</v>
      </c>
      <c r="N390" s="100">
        <f>MONTH(List34[[#This Row],[Tanggal Pengajuan]])</f>
        <v>5</v>
      </c>
      <c r="O390" s="183">
        <v>44694</v>
      </c>
      <c r="P390" s="100" t="s">
        <v>932</v>
      </c>
      <c r="Q390" s="111"/>
      <c r="R390" s="230" t="s">
        <v>958</v>
      </c>
      <c r="T390" s="275">
        <f>+List34[[#This Row],[Pengajuan Donasi]]-List34[[#This Row],[Jumlah Transfer]]</f>
        <v>0</v>
      </c>
      <c r="U390" s="275"/>
    </row>
    <row r="391" spans="2:21" ht="30" customHeight="1" x14ac:dyDescent="0.2">
      <c r="B391" s="13">
        <v>44687</v>
      </c>
      <c r="C391" s="67" t="s">
        <v>947</v>
      </c>
      <c r="D391" s="103" t="s">
        <v>413</v>
      </c>
      <c r="E391" s="14" t="s">
        <v>57</v>
      </c>
      <c r="F391" s="14" t="s">
        <v>18</v>
      </c>
      <c r="G391" s="15">
        <v>16</v>
      </c>
      <c r="H391" s="258">
        <v>10000000</v>
      </c>
      <c r="I391" s="258">
        <f>List34[[#This Row],[Pengajuan Donasi]]</f>
        <v>10000000</v>
      </c>
      <c r="J391" s="213" t="str">
        <f>IF(List34[[#This Row],[Tanggal Trf]]&gt;0,"Done","-")</f>
        <v>Done</v>
      </c>
      <c r="K391" s="437"/>
      <c r="L391" s="221">
        <v>44705</v>
      </c>
      <c r="M391" s="105" t="s">
        <v>544</v>
      </c>
      <c r="N391" s="100">
        <f>MONTH(List34[[#This Row],[Tanggal Pengajuan]])</f>
        <v>5</v>
      </c>
      <c r="O391" s="101">
        <v>44698</v>
      </c>
      <c r="P391" s="100" t="s">
        <v>932</v>
      </c>
      <c r="Q391" s="111"/>
      <c r="R391" s="230" t="s">
        <v>958</v>
      </c>
      <c r="T391" s="275">
        <f>+List34[[#This Row],[Pengajuan Donasi]]-List34[[#This Row],[Jumlah Transfer]]</f>
        <v>0</v>
      </c>
      <c r="U391" s="275"/>
    </row>
    <row r="392" spans="2:21" ht="30" customHeight="1" x14ac:dyDescent="0.2">
      <c r="B392" s="13">
        <v>44687</v>
      </c>
      <c r="C392" s="67" t="s">
        <v>948</v>
      </c>
      <c r="D392" s="14" t="s">
        <v>407</v>
      </c>
      <c r="E392" s="103" t="s">
        <v>57</v>
      </c>
      <c r="F392" s="103" t="s">
        <v>18</v>
      </c>
      <c r="G392" s="15">
        <v>64</v>
      </c>
      <c r="H392" s="258">
        <v>10000000</v>
      </c>
      <c r="I392" s="258">
        <f>List34[[#This Row],[Pengajuan Donasi]]</f>
        <v>10000000</v>
      </c>
      <c r="J392" s="213" t="str">
        <f>IF(List34[[#This Row],[Tanggal Trf]]&gt;0,"Done","-")</f>
        <v>Done</v>
      </c>
      <c r="K392" s="437"/>
      <c r="L392" s="221">
        <v>44693</v>
      </c>
      <c r="M392" s="105" t="s">
        <v>661</v>
      </c>
      <c r="N392" s="100">
        <f>MONTH(List34[[#This Row],[Tanggal Pengajuan]])</f>
        <v>5</v>
      </c>
      <c r="O392" s="183">
        <v>44698</v>
      </c>
      <c r="P392" s="100" t="s">
        <v>932</v>
      </c>
      <c r="Q392" s="111"/>
      <c r="R392" s="230" t="s">
        <v>958</v>
      </c>
      <c r="T392" s="275">
        <f>+List34[[#This Row],[Pengajuan Donasi]]-List34[[#This Row],[Jumlah Transfer]]</f>
        <v>0</v>
      </c>
      <c r="U392" s="275"/>
    </row>
    <row r="393" spans="2:21" ht="30" customHeight="1" x14ac:dyDescent="0.2">
      <c r="B393" s="13">
        <v>44687</v>
      </c>
      <c r="C393" s="67" t="s">
        <v>949</v>
      </c>
      <c r="D393" s="103" t="s">
        <v>426</v>
      </c>
      <c r="E393" s="14" t="s">
        <v>57</v>
      </c>
      <c r="F393" s="14" t="s">
        <v>18</v>
      </c>
      <c r="G393" s="15">
        <v>31</v>
      </c>
      <c r="H393" s="258">
        <v>10000000</v>
      </c>
      <c r="I393" s="258">
        <f>List34[[#This Row],[Pengajuan Donasi]]</f>
        <v>10000000</v>
      </c>
      <c r="J393" s="213" t="str">
        <f>IF(List34[[#This Row],[Tanggal Trf]]&gt;0,"Done","-")</f>
        <v>Done</v>
      </c>
      <c r="K393" s="437"/>
      <c r="L393" s="221">
        <v>44693</v>
      </c>
      <c r="M393" s="100" t="s">
        <v>655</v>
      </c>
      <c r="N393" s="100">
        <f>MONTH(List34[[#This Row],[Tanggal Pengajuan]])</f>
        <v>5</v>
      </c>
      <c r="O393" s="183">
        <v>44698</v>
      </c>
      <c r="P393" s="100" t="s">
        <v>932</v>
      </c>
      <c r="Q393" s="111"/>
      <c r="R393" s="230" t="s">
        <v>958</v>
      </c>
      <c r="T393" s="275">
        <f>+List34[[#This Row],[Pengajuan Donasi]]-List34[[#This Row],[Jumlah Transfer]]</f>
        <v>0</v>
      </c>
      <c r="U393" s="275"/>
    </row>
    <row r="394" spans="2:21" ht="30" customHeight="1" x14ac:dyDescent="0.2">
      <c r="B394" s="102">
        <v>44690</v>
      </c>
      <c r="C394" s="67" t="s">
        <v>996</v>
      </c>
      <c r="D394" s="14" t="s">
        <v>1059</v>
      </c>
      <c r="E394" s="103" t="s">
        <v>1055</v>
      </c>
      <c r="F394" s="103" t="s">
        <v>18</v>
      </c>
      <c r="G394" s="15"/>
      <c r="H394" s="258">
        <v>3012300</v>
      </c>
      <c r="I394" s="258">
        <f>List34[[#This Row],[Pengajuan Donasi]]</f>
        <v>3012300</v>
      </c>
      <c r="J394" s="214" t="str">
        <f>IF(List34[[#This Row],[Tanggal Trf]]&gt;0,"Done","-")</f>
        <v>Done</v>
      </c>
      <c r="K394" s="437" t="s">
        <v>992</v>
      </c>
      <c r="L394" s="221">
        <v>44705</v>
      </c>
      <c r="M394" s="105" t="s">
        <v>1000</v>
      </c>
      <c r="N394" s="100">
        <f>MONTH(List34[[#This Row],[Tanggal Pengajuan]])</f>
        <v>5</v>
      </c>
      <c r="O394" s="101">
        <v>44746</v>
      </c>
      <c r="P394" s="100" t="s">
        <v>1066</v>
      </c>
      <c r="Q394" s="111"/>
      <c r="R394" s="230" t="s">
        <v>958</v>
      </c>
      <c r="T394" s="275">
        <f>+List34[[#This Row],[Pengajuan Donasi]]-List34[[#This Row],[Jumlah Transfer]]</f>
        <v>0</v>
      </c>
      <c r="U394" s="275"/>
    </row>
    <row r="395" spans="2:21" ht="30" customHeight="1" x14ac:dyDescent="0.2">
      <c r="B395" s="102">
        <v>44690</v>
      </c>
      <c r="C395" s="67" t="s">
        <v>997</v>
      </c>
      <c r="D395" s="14" t="s">
        <v>1059</v>
      </c>
      <c r="E395" s="103" t="s">
        <v>1055</v>
      </c>
      <c r="F395" s="103" t="s">
        <v>18</v>
      </c>
      <c r="G395" s="15"/>
      <c r="H395" s="258">
        <v>2005000</v>
      </c>
      <c r="I395" s="258">
        <f>List34[[#This Row],[Pengajuan Donasi]]</f>
        <v>2005000</v>
      </c>
      <c r="J395" s="214" t="str">
        <f>IF(List34[[#This Row],[Tanggal Trf]]&gt;0,"Done","-")</f>
        <v>Done</v>
      </c>
      <c r="K395" s="437" t="s">
        <v>993</v>
      </c>
      <c r="L395" s="221">
        <v>44722</v>
      </c>
      <c r="M395" s="105" t="s">
        <v>1000</v>
      </c>
      <c r="N395" s="100">
        <f>MONTH(List34[[#This Row],[Tanggal Pengajuan]])</f>
        <v>5</v>
      </c>
      <c r="O395" s="183">
        <v>44746</v>
      </c>
      <c r="P395" s="100" t="s">
        <v>795</v>
      </c>
      <c r="Q395" s="111"/>
      <c r="R395" s="230" t="s">
        <v>958</v>
      </c>
      <c r="T395" s="275">
        <f>+List34[[#This Row],[Pengajuan Donasi]]-List34[[#This Row],[Jumlah Transfer]]</f>
        <v>0</v>
      </c>
      <c r="U395" s="275"/>
    </row>
    <row r="396" spans="2:21" ht="30" customHeight="1" x14ac:dyDescent="0.2">
      <c r="B396" s="102">
        <v>44690</v>
      </c>
      <c r="C396" s="67" t="s">
        <v>998</v>
      </c>
      <c r="D396" s="14" t="s">
        <v>994</v>
      </c>
      <c r="E396" s="103" t="s">
        <v>1055</v>
      </c>
      <c r="F396" s="103" t="s">
        <v>28</v>
      </c>
      <c r="G396" s="15"/>
      <c r="H396" s="258">
        <v>3000000</v>
      </c>
      <c r="I396" s="258">
        <f>List34[[#This Row],[Pengajuan Donasi]]</f>
        <v>3000000</v>
      </c>
      <c r="J396" s="214" t="str">
        <f>IF(List34[[#This Row],[Tanggal Trf]]&gt;0,"Done","-")</f>
        <v>Done</v>
      </c>
      <c r="K396" s="437"/>
      <c r="L396" s="221">
        <v>44693</v>
      </c>
      <c r="M396" s="105" t="s">
        <v>1000</v>
      </c>
      <c r="N396" s="100">
        <f>MONTH(List34[[#This Row],[Tanggal Pengajuan]])</f>
        <v>5</v>
      </c>
      <c r="O396" s="183">
        <v>44746</v>
      </c>
      <c r="P396" s="100" t="s">
        <v>932</v>
      </c>
      <c r="Q396" s="111"/>
      <c r="R396" s="230" t="s">
        <v>958</v>
      </c>
      <c r="T396" s="275">
        <f>+List34[[#This Row],[Pengajuan Donasi]]-List34[[#This Row],[Jumlah Transfer]]</f>
        <v>0</v>
      </c>
      <c r="U396" s="275"/>
    </row>
    <row r="397" spans="2:21" ht="30" customHeight="1" x14ac:dyDescent="0.2">
      <c r="B397" s="102">
        <v>44691</v>
      </c>
      <c r="C397" s="67" t="s">
        <v>999</v>
      </c>
      <c r="D397" s="14" t="s">
        <v>995</v>
      </c>
      <c r="E397" s="103" t="s">
        <v>26</v>
      </c>
      <c r="F397" s="103" t="s">
        <v>28</v>
      </c>
      <c r="G397" s="15"/>
      <c r="H397" s="258">
        <v>10000000</v>
      </c>
      <c r="I397" s="258">
        <f>List34[[#This Row],[Pengajuan Donasi]]</f>
        <v>10000000</v>
      </c>
      <c r="J397" s="214" t="str">
        <f>IF(List34[[#This Row],[Tanggal Trf]]&gt;0,"Done","-")</f>
        <v>Done</v>
      </c>
      <c r="K397" s="437"/>
      <c r="L397" s="221">
        <v>44693</v>
      </c>
      <c r="M397" s="105" t="s">
        <v>1001</v>
      </c>
      <c r="N397" s="100">
        <f>MONTH(List34[[#This Row],[Tanggal Pengajuan]])</f>
        <v>5</v>
      </c>
      <c r="O397" s="101">
        <v>44698</v>
      </c>
      <c r="P397" s="100" t="s">
        <v>932</v>
      </c>
      <c r="Q397" s="111"/>
      <c r="R397" s="230" t="s">
        <v>958</v>
      </c>
      <c r="T397" s="275">
        <f>+List34[[#This Row],[Pengajuan Donasi]]-List34[[#This Row],[Jumlah Transfer]]</f>
        <v>0</v>
      </c>
      <c r="U397" s="275"/>
    </row>
    <row r="398" spans="2:21" ht="30" customHeight="1" x14ac:dyDescent="0.2">
      <c r="B398" s="102">
        <v>44693</v>
      </c>
      <c r="C398" s="67" t="s">
        <v>1002</v>
      </c>
      <c r="D398" s="14" t="s">
        <v>1003</v>
      </c>
      <c r="E398" s="103" t="s">
        <v>71</v>
      </c>
      <c r="F398" s="103" t="s">
        <v>28</v>
      </c>
      <c r="G398" s="15">
        <v>1</v>
      </c>
      <c r="H398" s="258">
        <v>777000</v>
      </c>
      <c r="I398" s="258">
        <f>List34[[#This Row],[Pengajuan Donasi]]</f>
        <v>777000</v>
      </c>
      <c r="J398" s="214" t="str">
        <f>IF(List34[[#This Row],[Tanggal Trf]]&gt;0,"Done","-")</f>
        <v>Done</v>
      </c>
      <c r="K398" s="437" t="s">
        <v>25</v>
      </c>
      <c r="L398" s="221">
        <v>44705</v>
      </c>
      <c r="M398" s="105" t="s">
        <v>227</v>
      </c>
      <c r="N398" s="100">
        <f>MONTH(List34[[#This Row],[Tanggal Pengajuan]])</f>
        <v>5</v>
      </c>
      <c r="O398" s="183">
        <v>44698</v>
      </c>
      <c r="P398" s="100" t="s">
        <v>932</v>
      </c>
      <c r="Q398" s="111"/>
      <c r="R398" s="229"/>
      <c r="T398" s="275">
        <f>+List34[[#This Row],[Pengajuan Donasi]]-List34[[#This Row],[Jumlah Transfer]]</f>
        <v>0</v>
      </c>
      <c r="U398" s="275"/>
    </row>
    <row r="399" spans="2:21" ht="30" customHeight="1" x14ac:dyDescent="0.2">
      <c r="B399" s="102">
        <v>44700</v>
      </c>
      <c r="C399" s="67" t="s">
        <v>1005</v>
      </c>
      <c r="D399" s="14" t="s">
        <v>1004</v>
      </c>
      <c r="E399" s="103" t="s">
        <v>107</v>
      </c>
      <c r="F399" s="103" t="s">
        <v>28</v>
      </c>
      <c r="G399" s="15"/>
      <c r="H399" s="258">
        <v>35000000</v>
      </c>
      <c r="I399" s="258">
        <f>List34[[#This Row],[Pengajuan Donasi]]</f>
        <v>35000000</v>
      </c>
      <c r="J399" s="214" t="str">
        <f>IF(List34[[#This Row],[Tanggal Trf]]&gt;0,"Done","-")</f>
        <v>Done</v>
      </c>
      <c r="K399" s="437"/>
      <c r="L399" s="221">
        <v>44706</v>
      </c>
      <c r="M399" s="105" t="s">
        <v>1016</v>
      </c>
      <c r="N399" s="100">
        <f>MONTH(List34[[#This Row],[Tanggal Pengajuan]])</f>
        <v>5</v>
      </c>
      <c r="O399" s="101">
        <v>44706</v>
      </c>
      <c r="P399" s="100" t="s">
        <v>932</v>
      </c>
      <c r="Q399" s="111"/>
      <c r="R399" s="229"/>
      <c r="T399" s="275">
        <f>+List34[[#This Row],[Pengajuan Donasi]]-List34[[#This Row],[Jumlah Transfer]]</f>
        <v>0</v>
      </c>
      <c r="U399" s="275"/>
    </row>
    <row r="400" spans="2:21" ht="30" customHeight="1" x14ac:dyDescent="0.2">
      <c r="B400" s="102">
        <v>44704</v>
      </c>
      <c r="C400" s="67" t="s">
        <v>1012</v>
      </c>
      <c r="D400" s="103" t="s">
        <v>916</v>
      </c>
      <c r="E400" s="14" t="s">
        <v>26</v>
      </c>
      <c r="F400" s="14" t="s">
        <v>18</v>
      </c>
      <c r="G400" s="15">
        <v>1</v>
      </c>
      <c r="H400" s="258">
        <v>500000</v>
      </c>
      <c r="I400" s="258">
        <f>List34[[#This Row],[Pengajuan Donasi]]</f>
        <v>500000</v>
      </c>
      <c r="J400" s="213" t="str">
        <f>IF(List34[[#This Row],[Tanggal Trf]]&gt;0,"Done","-")</f>
        <v>Done</v>
      </c>
      <c r="K400" s="437"/>
      <c r="L400" s="221">
        <v>44712</v>
      </c>
      <c r="M400" s="100" t="s">
        <v>895</v>
      </c>
      <c r="N400" s="100">
        <f>MONTH(List34[[#This Row],[Tanggal Pengajuan]])</f>
        <v>5</v>
      </c>
      <c r="O400" s="183">
        <v>44698</v>
      </c>
      <c r="P400" s="100" t="s">
        <v>932</v>
      </c>
      <c r="Q400" s="111"/>
      <c r="R400" s="229"/>
      <c r="T400" s="275">
        <f>+List34[[#This Row],[Pengajuan Donasi]]-List34[[#This Row],[Jumlah Transfer]]</f>
        <v>0</v>
      </c>
      <c r="U400" s="275"/>
    </row>
    <row r="401" spans="2:21" ht="30" customHeight="1" x14ac:dyDescent="0.2">
      <c r="B401" s="102">
        <v>44704</v>
      </c>
      <c r="C401" s="67"/>
      <c r="D401" s="103" t="s">
        <v>917</v>
      </c>
      <c r="E401" s="14" t="s">
        <v>26</v>
      </c>
      <c r="F401" s="14" t="s">
        <v>18</v>
      </c>
      <c r="G401" s="15">
        <v>1</v>
      </c>
      <c r="H401" s="258">
        <v>500000</v>
      </c>
      <c r="I401" s="258">
        <f>List34[[#This Row],[Pengajuan Donasi]]</f>
        <v>500000</v>
      </c>
      <c r="J401" s="213" t="str">
        <f>IF(List34[[#This Row],[Tanggal Trf]]&gt;0,"Done","-")</f>
        <v>Done</v>
      </c>
      <c r="K401" s="437"/>
      <c r="L401" s="221">
        <v>44712</v>
      </c>
      <c r="M401" s="100" t="s">
        <v>894</v>
      </c>
      <c r="N401" s="100">
        <f>MONTH(List34[[#This Row],[Tanggal Pengajuan]])</f>
        <v>5</v>
      </c>
      <c r="O401" s="183">
        <v>44698</v>
      </c>
      <c r="P401" s="100" t="s">
        <v>932</v>
      </c>
      <c r="Q401" s="111"/>
      <c r="R401" s="229"/>
      <c r="T401" s="275">
        <f>+List34[[#This Row],[Pengajuan Donasi]]-List34[[#This Row],[Jumlah Transfer]]</f>
        <v>0</v>
      </c>
      <c r="U401" s="275"/>
    </row>
    <row r="402" spans="2:21" ht="30" customHeight="1" x14ac:dyDescent="0.2">
      <c r="B402" s="102">
        <v>44704</v>
      </c>
      <c r="C402" s="67"/>
      <c r="D402" s="103" t="s">
        <v>918</v>
      </c>
      <c r="E402" s="14" t="s">
        <v>26</v>
      </c>
      <c r="F402" s="14" t="s">
        <v>18</v>
      </c>
      <c r="G402" s="15">
        <v>1</v>
      </c>
      <c r="H402" s="258">
        <v>500000</v>
      </c>
      <c r="I402" s="258">
        <f>List34[[#This Row],[Pengajuan Donasi]]</f>
        <v>500000</v>
      </c>
      <c r="J402" s="213" t="str">
        <f>IF(List34[[#This Row],[Tanggal Trf]]&gt;0,"Done","-")</f>
        <v>Done</v>
      </c>
      <c r="K402" s="437"/>
      <c r="L402" s="221">
        <v>44712</v>
      </c>
      <c r="M402" s="100" t="s">
        <v>896</v>
      </c>
      <c r="N402" s="100">
        <f>MONTH(List34[[#This Row],[Tanggal Pengajuan]])</f>
        <v>5</v>
      </c>
      <c r="O402" s="183">
        <v>44698</v>
      </c>
      <c r="P402" s="100" t="s">
        <v>932</v>
      </c>
      <c r="Q402" s="111"/>
      <c r="R402" s="229"/>
      <c r="T402" s="275">
        <f>+List34[[#This Row],[Pengajuan Donasi]]-List34[[#This Row],[Jumlah Transfer]]</f>
        <v>0</v>
      </c>
      <c r="U402" s="275"/>
    </row>
    <row r="403" spans="2:21" ht="30" customHeight="1" x14ac:dyDescent="0.2">
      <c r="B403" s="102">
        <v>44704</v>
      </c>
      <c r="C403" s="163"/>
      <c r="D403" s="103" t="s">
        <v>919</v>
      </c>
      <c r="E403" s="14" t="s">
        <v>26</v>
      </c>
      <c r="F403" s="14" t="s">
        <v>18</v>
      </c>
      <c r="G403" s="15">
        <v>1</v>
      </c>
      <c r="H403" s="258">
        <v>500000</v>
      </c>
      <c r="I403" s="258">
        <f>List34[[#This Row],[Pengajuan Donasi]]</f>
        <v>500000</v>
      </c>
      <c r="J403" s="213" t="str">
        <f>IF(List34[[#This Row],[Tanggal Trf]]&gt;0,"Done","-")</f>
        <v>Done</v>
      </c>
      <c r="K403" s="437"/>
      <c r="L403" s="221">
        <v>44712</v>
      </c>
      <c r="M403" s="100" t="s">
        <v>897</v>
      </c>
      <c r="N403" s="100">
        <f>MONTH(List34[[#This Row],[Tanggal Pengajuan]])</f>
        <v>5</v>
      </c>
      <c r="O403" s="183">
        <v>44698</v>
      </c>
      <c r="P403" s="100" t="s">
        <v>932</v>
      </c>
      <c r="Q403" s="111"/>
      <c r="R403" s="229"/>
      <c r="T403" s="275">
        <f>+List34[[#This Row],[Pengajuan Donasi]]-List34[[#This Row],[Jumlah Transfer]]</f>
        <v>0</v>
      </c>
      <c r="U403" s="275"/>
    </row>
    <row r="404" spans="2:21" ht="30" customHeight="1" x14ac:dyDescent="0.2">
      <c r="B404" s="102">
        <v>44704</v>
      </c>
      <c r="C404" s="163"/>
      <c r="D404" s="103" t="s">
        <v>920</v>
      </c>
      <c r="E404" s="14" t="s">
        <v>26</v>
      </c>
      <c r="F404" s="14" t="s">
        <v>18</v>
      </c>
      <c r="G404" s="15">
        <v>1</v>
      </c>
      <c r="H404" s="258">
        <v>500000</v>
      </c>
      <c r="I404" s="258">
        <f>List34[[#This Row],[Pengajuan Donasi]]</f>
        <v>500000</v>
      </c>
      <c r="J404" s="213" t="str">
        <f>IF(List34[[#This Row],[Tanggal Trf]]&gt;0,"Done","-")</f>
        <v>Done</v>
      </c>
      <c r="K404" s="437"/>
      <c r="L404" s="221">
        <v>44712</v>
      </c>
      <c r="M404" s="100" t="s">
        <v>915</v>
      </c>
      <c r="N404" s="100">
        <f>MONTH(List34[[#This Row],[Tanggal Pengajuan]])</f>
        <v>5</v>
      </c>
      <c r="O404" s="183">
        <v>44698</v>
      </c>
      <c r="P404" s="100" t="s">
        <v>932</v>
      </c>
      <c r="Q404" s="105"/>
      <c r="R404" s="229"/>
      <c r="T404" s="275">
        <f>+List34[[#This Row],[Pengajuan Donasi]]-List34[[#This Row],[Jumlah Transfer]]</f>
        <v>0</v>
      </c>
      <c r="U404" s="275"/>
    </row>
    <row r="405" spans="2:21" ht="30" customHeight="1" x14ac:dyDescent="0.2">
      <c r="B405" s="102">
        <v>44704</v>
      </c>
      <c r="C405" s="163"/>
      <c r="D405" s="103" t="s">
        <v>921</v>
      </c>
      <c r="E405" s="14" t="s">
        <v>26</v>
      </c>
      <c r="F405" s="14" t="s">
        <v>18</v>
      </c>
      <c r="G405" s="15">
        <v>1</v>
      </c>
      <c r="H405" s="258">
        <v>500000</v>
      </c>
      <c r="I405" s="258">
        <f>List34[[#This Row],[Pengajuan Donasi]]</f>
        <v>500000</v>
      </c>
      <c r="J405" s="213" t="str">
        <f>IF(List34[[#This Row],[Tanggal Trf]]&gt;0,"Done","-")</f>
        <v>Done</v>
      </c>
      <c r="K405" s="437"/>
      <c r="L405" s="221">
        <v>44712</v>
      </c>
      <c r="M405" t="s">
        <v>1014</v>
      </c>
      <c r="N405" s="100">
        <f>MONTH(List34[[#This Row],[Tanggal Pengajuan]])</f>
        <v>5</v>
      </c>
      <c r="O405" s="183">
        <v>44698</v>
      </c>
      <c r="P405" s="100" t="s">
        <v>932</v>
      </c>
      <c r="Q405" s="105"/>
      <c r="R405" s="229"/>
      <c r="T405" s="275">
        <f>+List34[[#This Row],[Pengajuan Donasi]]-List34[[#This Row],[Jumlah Transfer]]</f>
        <v>0</v>
      </c>
      <c r="U405" s="275"/>
    </row>
    <row r="406" spans="2:21" ht="30" customHeight="1" x14ac:dyDescent="0.2">
      <c r="B406" s="102">
        <v>44704</v>
      </c>
      <c r="C406" s="163"/>
      <c r="D406" s="103" t="s">
        <v>922</v>
      </c>
      <c r="E406" s="14" t="s">
        <v>26</v>
      </c>
      <c r="F406" s="14" t="s">
        <v>18</v>
      </c>
      <c r="G406" s="15">
        <v>1</v>
      </c>
      <c r="H406" s="258">
        <v>500000</v>
      </c>
      <c r="I406" s="258">
        <f>List34[[#This Row],[Pengajuan Donasi]]</f>
        <v>500000</v>
      </c>
      <c r="J406" s="213" t="str">
        <f>IF(List34[[#This Row],[Tanggal Trf]]&gt;0,"Done","-")</f>
        <v>Done</v>
      </c>
      <c r="K406" s="437"/>
      <c r="L406" s="221">
        <v>44712</v>
      </c>
      <c r="M406" s="100" t="s">
        <v>899</v>
      </c>
      <c r="N406" s="100">
        <f>MONTH(List34[[#This Row],[Tanggal Pengajuan]])</f>
        <v>5</v>
      </c>
      <c r="O406" s="183">
        <v>44698</v>
      </c>
      <c r="P406" s="100" t="s">
        <v>932</v>
      </c>
      <c r="Q406" s="105"/>
      <c r="R406" s="229"/>
      <c r="T406" s="275">
        <f>+List34[[#This Row],[Pengajuan Donasi]]-List34[[#This Row],[Jumlah Transfer]]</f>
        <v>0</v>
      </c>
      <c r="U406" s="275"/>
    </row>
    <row r="407" spans="2:21" ht="30" customHeight="1" x14ac:dyDescent="0.2">
      <c r="B407" s="102">
        <v>44704</v>
      </c>
      <c r="C407" s="163"/>
      <c r="D407" s="103" t="s">
        <v>923</v>
      </c>
      <c r="E407" s="14" t="s">
        <v>26</v>
      </c>
      <c r="F407" s="14" t="s">
        <v>18</v>
      </c>
      <c r="G407" s="15">
        <v>1</v>
      </c>
      <c r="H407" s="258">
        <v>500000</v>
      </c>
      <c r="I407" s="258">
        <f>List34[[#This Row],[Pengajuan Donasi]]</f>
        <v>500000</v>
      </c>
      <c r="J407" s="213" t="str">
        <f>IF(List34[[#This Row],[Tanggal Trf]]&gt;0,"Done","-")</f>
        <v>Done</v>
      </c>
      <c r="K407" s="437"/>
      <c r="L407" s="221">
        <v>44712</v>
      </c>
      <c r="M407" s="100" t="s">
        <v>900</v>
      </c>
      <c r="N407" s="100">
        <f>MONTH(List34[[#This Row],[Tanggal Pengajuan]])</f>
        <v>5</v>
      </c>
      <c r="O407" s="183">
        <v>44698</v>
      </c>
      <c r="P407" s="100" t="s">
        <v>932</v>
      </c>
      <c r="Q407" s="111"/>
      <c r="R407" s="229"/>
      <c r="T407" s="275">
        <f>+List34[[#This Row],[Pengajuan Donasi]]-List34[[#This Row],[Jumlah Transfer]]</f>
        <v>0</v>
      </c>
      <c r="U407" s="275"/>
    </row>
    <row r="408" spans="2:21" ht="30" customHeight="1" x14ac:dyDescent="0.2">
      <c r="B408" s="102">
        <v>44704</v>
      </c>
      <c r="C408" s="163"/>
      <c r="D408" s="103" t="s">
        <v>924</v>
      </c>
      <c r="E408" s="14" t="s">
        <v>26</v>
      </c>
      <c r="F408" s="14" t="s">
        <v>18</v>
      </c>
      <c r="G408" s="15">
        <v>1</v>
      </c>
      <c r="H408" s="258">
        <v>500000</v>
      </c>
      <c r="I408" s="258">
        <f>List34[[#This Row],[Pengajuan Donasi]]</f>
        <v>500000</v>
      </c>
      <c r="J408" s="213" t="str">
        <f>IF(List34[[#This Row],[Tanggal Trf]]&gt;0,"Done","-")</f>
        <v>Done</v>
      </c>
      <c r="K408" s="437"/>
      <c r="L408" s="221">
        <v>44712</v>
      </c>
      <c r="M408" s="100" t="s">
        <v>901</v>
      </c>
      <c r="N408" s="100">
        <f>MONTH(List34[[#This Row],[Tanggal Pengajuan]])</f>
        <v>5</v>
      </c>
      <c r="O408" s="183">
        <v>44698</v>
      </c>
      <c r="P408" s="100" t="s">
        <v>932</v>
      </c>
      <c r="Q408" s="111"/>
      <c r="R408" s="229"/>
      <c r="T408" s="275">
        <f>+List34[[#This Row],[Pengajuan Donasi]]-List34[[#This Row],[Jumlah Transfer]]</f>
        <v>0</v>
      </c>
      <c r="U408" s="275"/>
    </row>
    <row r="409" spans="2:21" ht="30" customHeight="1" x14ac:dyDescent="0.2">
      <c r="B409" s="102">
        <v>44704</v>
      </c>
      <c r="C409" s="163"/>
      <c r="D409" s="103" t="s">
        <v>925</v>
      </c>
      <c r="E409" s="14" t="s">
        <v>26</v>
      </c>
      <c r="F409" s="14" t="s">
        <v>18</v>
      </c>
      <c r="G409" s="15">
        <v>1</v>
      </c>
      <c r="H409" s="258">
        <v>500000</v>
      </c>
      <c r="I409" s="258">
        <f>List34[[#This Row],[Pengajuan Donasi]]</f>
        <v>500000</v>
      </c>
      <c r="J409" s="213" t="str">
        <f>IF(List34[[#This Row],[Tanggal Trf]]&gt;0,"Done","-")</f>
        <v>Done</v>
      </c>
      <c r="K409" s="437"/>
      <c r="L409" s="221">
        <v>44712</v>
      </c>
      <c r="M409" t="s">
        <v>1014</v>
      </c>
      <c r="N409" s="100">
        <f>MONTH(List34[[#This Row],[Tanggal Pengajuan]])</f>
        <v>5</v>
      </c>
      <c r="O409" s="183">
        <v>44698</v>
      </c>
      <c r="P409" s="100" t="s">
        <v>932</v>
      </c>
      <c r="Q409" s="105"/>
      <c r="R409" s="229"/>
      <c r="T409" s="275">
        <f>+List34[[#This Row],[Pengajuan Donasi]]-List34[[#This Row],[Jumlah Transfer]]</f>
        <v>0</v>
      </c>
      <c r="U409" s="275"/>
    </row>
    <row r="410" spans="2:21" ht="30" customHeight="1" x14ac:dyDescent="0.2">
      <c r="B410" s="102">
        <v>44704</v>
      </c>
      <c r="C410" s="163"/>
      <c r="D410" s="103" t="s">
        <v>926</v>
      </c>
      <c r="E410" s="14" t="s">
        <v>26</v>
      </c>
      <c r="F410" s="14" t="s">
        <v>18</v>
      </c>
      <c r="G410" s="15">
        <v>1</v>
      </c>
      <c r="H410" s="258">
        <v>500000</v>
      </c>
      <c r="I410" s="258">
        <f>List34[[#This Row],[Pengajuan Donasi]]</f>
        <v>500000</v>
      </c>
      <c r="J410" s="213" t="str">
        <f>IF(List34[[#This Row],[Tanggal Trf]]&gt;0,"Done","-")</f>
        <v>Done</v>
      </c>
      <c r="K410" s="437"/>
      <c r="L410" s="221">
        <v>44712</v>
      </c>
      <c r="M410" t="s">
        <v>1014</v>
      </c>
      <c r="N410" s="100">
        <f>MONTH(List34[[#This Row],[Tanggal Pengajuan]])</f>
        <v>5</v>
      </c>
      <c r="O410" s="183">
        <v>44698</v>
      </c>
      <c r="P410" s="100" t="s">
        <v>932</v>
      </c>
      <c r="Q410" s="111"/>
      <c r="R410" s="229"/>
      <c r="T410" s="275">
        <f>+List34[[#This Row],[Pengajuan Donasi]]-List34[[#This Row],[Jumlah Transfer]]</f>
        <v>0</v>
      </c>
      <c r="U410" s="275"/>
    </row>
    <row r="411" spans="2:21" ht="30" customHeight="1" x14ac:dyDescent="0.2">
      <c r="B411" s="102">
        <v>44704</v>
      </c>
      <c r="C411" s="163"/>
      <c r="D411" s="103" t="s">
        <v>927</v>
      </c>
      <c r="E411" s="14" t="s">
        <v>26</v>
      </c>
      <c r="F411" s="14" t="s">
        <v>18</v>
      </c>
      <c r="G411" s="15">
        <v>1</v>
      </c>
      <c r="H411" s="258">
        <v>500000</v>
      </c>
      <c r="I411" s="258">
        <f>List34[[#This Row],[Pengajuan Donasi]]</f>
        <v>500000</v>
      </c>
      <c r="J411" s="213" t="str">
        <f>IF(List34[[#This Row],[Tanggal Trf]]&gt;0,"Done","-")</f>
        <v>Done</v>
      </c>
      <c r="K411" s="437"/>
      <c r="L411" s="221">
        <v>44712</v>
      </c>
      <c r="M411" t="s">
        <v>1014</v>
      </c>
      <c r="N411" s="100">
        <f>MONTH(List34[[#This Row],[Tanggal Pengajuan]])</f>
        <v>5</v>
      </c>
      <c r="O411" s="183">
        <v>44698</v>
      </c>
      <c r="P411" s="100" t="s">
        <v>932</v>
      </c>
      <c r="Q411" s="111"/>
      <c r="R411" s="229"/>
      <c r="T411" s="275">
        <f>+List34[[#This Row],[Pengajuan Donasi]]-List34[[#This Row],[Jumlah Transfer]]</f>
        <v>0</v>
      </c>
      <c r="U411" s="275"/>
    </row>
    <row r="412" spans="2:21" ht="30" customHeight="1" x14ac:dyDescent="0.2">
      <c r="B412" s="102">
        <v>44704</v>
      </c>
      <c r="C412" s="163"/>
      <c r="D412" s="103" t="s">
        <v>928</v>
      </c>
      <c r="E412" s="14" t="s">
        <v>26</v>
      </c>
      <c r="F412" s="14" t="s">
        <v>18</v>
      </c>
      <c r="G412" s="15">
        <v>1</v>
      </c>
      <c r="H412" s="258">
        <v>500000</v>
      </c>
      <c r="I412" s="258">
        <f>List34[[#This Row],[Pengajuan Donasi]]</f>
        <v>500000</v>
      </c>
      <c r="J412" s="213" t="str">
        <f>IF(List34[[#This Row],[Tanggal Trf]]&gt;0,"Done","-")</f>
        <v>Done</v>
      </c>
      <c r="K412" s="437"/>
      <c r="L412" s="221">
        <v>44712</v>
      </c>
      <c r="M412" t="s">
        <v>1014</v>
      </c>
      <c r="N412" s="200">
        <f>MONTH(List34[[#This Row],[Tanggal Pengajuan]])</f>
        <v>5</v>
      </c>
      <c r="O412" s="183">
        <v>44698</v>
      </c>
      <c r="P412" s="100" t="s">
        <v>932</v>
      </c>
      <c r="Q412" s="111"/>
      <c r="R412" s="229"/>
      <c r="T412" s="275">
        <f>+List34[[#This Row],[Pengajuan Donasi]]-List34[[#This Row],[Jumlah Transfer]]</f>
        <v>0</v>
      </c>
      <c r="U412" s="275"/>
    </row>
    <row r="413" spans="2:21" ht="30" customHeight="1" x14ac:dyDescent="0.2">
      <c r="B413" s="102">
        <v>44704</v>
      </c>
      <c r="C413" s="67"/>
      <c r="D413" s="103" t="s">
        <v>929</v>
      </c>
      <c r="E413" s="14" t="s">
        <v>26</v>
      </c>
      <c r="F413" s="14" t="s">
        <v>18</v>
      </c>
      <c r="G413" s="15">
        <v>1</v>
      </c>
      <c r="H413" s="258">
        <v>500000</v>
      </c>
      <c r="I413" s="258">
        <f>List34[[#This Row],[Pengajuan Donasi]]</f>
        <v>500000</v>
      </c>
      <c r="J413" s="213" t="str">
        <f>IF(List34[[#This Row],[Tanggal Trf]]&gt;0,"Done","-")</f>
        <v>Done</v>
      </c>
      <c r="K413" s="437"/>
      <c r="L413" s="221">
        <v>44712</v>
      </c>
      <c r="M413" s="100" t="s">
        <v>902</v>
      </c>
      <c r="N413" s="200">
        <f>MONTH(List34[[#This Row],[Tanggal Pengajuan]])</f>
        <v>5</v>
      </c>
      <c r="O413" s="183">
        <v>44698</v>
      </c>
      <c r="P413" s="100" t="s">
        <v>932</v>
      </c>
      <c r="Q413" s="111"/>
      <c r="R413" s="229"/>
      <c r="T413" s="275">
        <f>+List34[[#This Row],[Pengajuan Donasi]]-List34[[#This Row],[Jumlah Transfer]]</f>
        <v>0</v>
      </c>
      <c r="U413" s="275"/>
    </row>
    <row r="414" spans="2:21" ht="30" customHeight="1" x14ac:dyDescent="0.2">
      <c r="B414" s="102">
        <v>44704</v>
      </c>
      <c r="C414" s="67"/>
      <c r="D414" s="103" t="s">
        <v>930</v>
      </c>
      <c r="E414" s="14" t="s">
        <v>26</v>
      </c>
      <c r="F414" s="14" t="s">
        <v>18</v>
      </c>
      <c r="G414" s="15">
        <v>1</v>
      </c>
      <c r="H414" s="258">
        <v>500000</v>
      </c>
      <c r="I414" s="258">
        <f>List34[[#This Row],[Pengajuan Donasi]]</f>
        <v>500000</v>
      </c>
      <c r="J414" s="213" t="str">
        <f>IF(List34[[#This Row],[Tanggal Trf]]&gt;0,"Done","-")</f>
        <v>Done</v>
      </c>
      <c r="K414" s="437"/>
      <c r="L414" s="221">
        <v>44712</v>
      </c>
      <c r="M414" s="100" t="s">
        <v>903</v>
      </c>
      <c r="N414" s="200">
        <f>MONTH(List34[[#This Row],[Tanggal Pengajuan]])</f>
        <v>5</v>
      </c>
      <c r="O414" s="183">
        <v>44698</v>
      </c>
      <c r="P414" s="100" t="s">
        <v>932</v>
      </c>
      <c r="Q414" s="111"/>
      <c r="R414" s="229"/>
      <c r="T414" s="275">
        <f>+List34[[#This Row],[Pengajuan Donasi]]-List34[[#This Row],[Jumlah Transfer]]</f>
        <v>0</v>
      </c>
      <c r="U414" s="275"/>
    </row>
    <row r="415" spans="2:21" ht="30" customHeight="1" x14ac:dyDescent="0.2">
      <c r="B415" s="102">
        <v>44708</v>
      </c>
      <c r="C415" s="67" t="s">
        <v>1064</v>
      </c>
      <c r="D415" s="103" t="s">
        <v>1057</v>
      </c>
      <c r="E415" s="103" t="s">
        <v>1054</v>
      </c>
      <c r="F415" s="14" t="s">
        <v>18</v>
      </c>
      <c r="G415" s="15">
        <v>0</v>
      </c>
      <c r="H415" s="258">
        <v>0</v>
      </c>
      <c r="I415" s="258">
        <f>List34[[#This Row],[Pengajuan Donasi]]</f>
        <v>0</v>
      </c>
      <c r="J415" s="214" t="str">
        <f>IF(List34[[#This Row],[Tanggal Trf]]&gt;0,"Done","-")</f>
        <v>Done</v>
      </c>
      <c r="K415" s="437"/>
      <c r="L415" s="221">
        <v>44708</v>
      </c>
      <c r="M415" s="105" t="s">
        <v>960</v>
      </c>
      <c r="N415" s="200">
        <f>MONTH(List34[[#This Row],[Tanggal Pengajuan]])</f>
        <v>5</v>
      </c>
      <c r="O415" s="183" t="s">
        <v>960</v>
      </c>
      <c r="P415" s="100" t="s">
        <v>932</v>
      </c>
      <c r="Q415" s="111"/>
      <c r="R415" s="229"/>
      <c r="U415" s="275"/>
    </row>
    <row r="416" spans="2:21" ht="30" customHeight="1" x14ac:dyDescent="0.2">
      <c r="B416" s="102">
        <v>44708</v>
      </c>
      <c r="C416" s="67" t="s">
        <v>1063</v>
      </c>
      <c r="D416" s="103" t="s">
        <v>1057</v>
      </c>
      <c r="E416" s="103" t="s">
        <v>1054</v>
      </c>
      <c r="F416" s="14" t="s">
        <v>18</v>
      </c>
      <c r="G416" s="15">
        <v>0</v>
      </c>
      <c r="H416" s="258">
        <v>0</v>
      </c>
      <c r="I416" s="258">
        <f>List34[[#This Row],[Pengajuan Donasi]]</f>
        <v>0</v>
      </c>
      <c r="J416" s="214" t="str">
        <f>IF(List34[[#This Row],[Tanggal Trf]]&gt;0,"Done","-")</f>
        <v>Done</v>
      </c>
      <c r="K416" s="437"/>
      <c r="L416" s="221">
        <v>44708</v>
      </c>
      <c r="M416" s="105" t="s">
        <v>960</v>
      </c>
      <c r="N416" s="200">
        <f>MONTH(List34[[#This Row],[Tanggal Pengajuan]])</f>
        <v>5</v>
      </c>
      <c r="O416" s="183" t="s">
        <v>960</v>
      </c>
      <c r="P416" s="100" t="s">
        <v>932</v>
      </c>
      <c r="Q416" s="111"/>
      <c r="R416" s="229"/>
      <c r="U416" s="275"/>
    </row>
    <row r="417" spans="2:21" ht="30" customHeight="1" x14ac:dyDescent="0.2">
      <c r="B417" s="102">
        <v>44708</v>
      </c>
      <c r="C417" s="67" t="s">
        <v>1061</v>
      </c>
      <c r="D417" s="103" t="s">
        <v>1065</v>
      </c>
      <c r="E417" s="103" t="s">
        <v>107</v>
      </c>
      <c r="F417" s="103" t="s">
        <v>28</v>
      </c>
      <c r="G417" s="15">
        <v>0</v>
      </c>
      <c r="H417" s="258">
        <v>35000000</v>
      </c>
      <c r="I417" s="258">
        <f>List34[[#This Row],[Pengajuan Donasi]]</f>
        <v>35000000</v>
      </c>
      <c r="J417" s="214" t="str">
        <f>IF(List34[[#This Row],[Tanggal Trf]]&gt;0,"Done","-")</f>
        <v>Done</v>
      </c>
      <c r="K417" s="437"/>
      <c r="L417" s="221">
        <v>44715</v>
      </c>
      <c r="M417" s="105" t="s">
        <v>1067</v>
      </c>
      <c r="N417" s="200">
        <f>MONTH(List34[[#This Row],[Tanggal Pengajuan]])</f>
        <v>5</v>
      </c>
      <c r="O417" s="183">
        <v>44747</v>
      </c>
      <c r="P417" s="100" t="s">
        <v>932</v>
      </c>
      <c r="Q417" s="111"/>
      <c r="R417" s="229"/>
      <c r="U417" s="275"/>
    </row>
    <row r="418" spans="2:21" ht="30" customHeight="1" x14ac:dyDescent="0.2">
      <c r="B418" s="102">
        <v>44711</v>
      </c>
      <c r="C418" s="67" t="s">
        <v>1062</v>
      </c>
      <c r="D418" s="103" t="s">
        <v>558</v>
      </c>
      <c r="E418" s="103" t="s">
        <v>57</v>
      </c>
      <c r="F418" s="103" t="s">
        <v>28</v>
      </c>
      <c r="G418" s="15">
        <v>25</v>
      </c>
      <c r="H418" s="258">
        <v>25000000</v>
      </c>
      <c r="I418" s="258">
        <f>List34[[#This Row],[Pengajuan Donasi]]</f>
        <v>25000000</v>
      </c>
      <c r="J418" s="214" t="str">
        <f>IF(List34[[#This Row],[Tanggal Trf]]&gt;0,"Done","-")</f>
        <v>Done</v>
      </c>
      <c r="K418" s="437"/>
      <c r="L418" s="221">
        <v>44715</v>
      </c>
      <c r="M418" s="105" t="s">
        <v>556</v>
      </c>
      <c r="N418" s="200">
        <f>MONTH(List34[[#This Row],[Tanggal Pengajuan]])</f>
        <v>5</v>
      </c>
      <c r="O418" s="183">
        <v>44747</v>
      </c>
      <c r="P418" s="100" t="s">
        <v>932</v>
      </c>
      <c r="Q418" s="111"/>
      <c r="R418" s="229"/>
      <c r="U418" s="275"/>
    </row>
    <row r="419" spans="2:21" ht="30" customHeight="1" x14ac:dyDescent="0.2">
      <c r="B419" s="102">
        <v>44711</v>
      </c>
      <c r="C419" s="67" t="s">
        <v>1060</v>
      </c>
      <c r="D419" s="103" t="s">
        <v>872</v>
      </c>
      <c r="E419" s="103" t="s">
        <v>17</v>
      </c>
      <c r="F419" s="103" t="s">
        <v>18</v>
      </c>
      <c r="G419" s="15">
        <v>59</v>
      </c>
      <c r="H419" s="258">
        <v>6202600</v>
      </c>
      <c r="I419" s="258">
        <f>List34[[#This Row],[Pengajuan Donasi]]</f>
        <v>6202600</v>
      </c>
      <c r="J419" s="214" t="str">
        <f>IF(List34[[#This Row],[Tanggal Trf]]&gt;0,"Done","-")</f>
        <v>Done</v>
      </c>
      <c r="K419" s="437"/>
      <c r="L419" s="221">
        <v>44715</v>
      </c>
      <c r="M419" s="105" t="s">
        <v>1015</v>
      </c>
      <c r="N419" s="100">
        <f>MONTH(List34[[#This Row],[Tanggal Pengajuan]])</f>
        <v>5</v>
      </c>
      <c r="O419" s="183">
        <v>44747</v>
      </c>
      <c r="P419" s="100" t="s">
        <v>932</v>
      </c>
      <c r="Q419" s="111"/>
      <c r="R419" s="229"/>
      <c r="T419" s="275">
        <f>+List34[[#This Row],[Pengajuan Donasi]]-List34[[#This Row],[Jumlah Transfer]]</f>
        <v>0</v>
      </c>
      <c r="U419" s="275"/>
    </row>
    <row r="420" spans="2:21" ht="30" customHeight="1" x14ac:dyDescent="0.2">
      <c r="B420" s="102">
        <v>44711</v>
      </c>
      <c r="C420" s="163"/>
      <c r="D420" s="103" t="s">
        <v>870</v>
      </c>
      <c r="E420" s="103" t="s">
        <v>17</v>
      </c>
      <c r="F420" s="103" t="s">
        <v>18</v>
      </c>
      <c r="G420" s="15">
        <v>19</v>
      </c>
      <c r="H420" s="258">
        <v>5579800</v>
      </c>
      <c r="I420" s="258">
        <f>List34[[#This Row],[Pengajuan Donasi]]</f>
        <v>5579800</v>
      </c>
      <c r="J420" s="214" t="str">
        <f>IF(List34[[#This Row],[Tanggal Trf]]&gt;0,"Done","-")</f>
        <v>Done</v>
      </c>
      <c r="K420" s="437"/>
      <c r="L420" s="221">
        <v>44715</v>
      </c>
      <c r="M420" s="105" t="s">
        <v>1015</v>
      </c>
      <c r="N420" s="100">
        <f>MONTH(List34[[#This Row],[Tanggal Pengajuan]])</f>
        <v>5</v>
      </c>
      <c r="O420" s="183">
        <v>44747</v>
      </c>
      <c r="P420" s="100" t="s">
        <v>932</v>
      </c>
      <c r="Q420" s="111"/>
      <c r="R420" s="229"/>
      <c r="T420" s="275">
        <f>+List34[[#This Row],[Pengajuan Donasi]]-List34[[#This Row],[Jumlah Transfer]]</f>
        <v>0</v>
      </c>
    </row>
    <row r="421" spans="2:21" ht="30" customHeight="1" x14ac:dyDescent="0.2">
      <c r="B421" s="102">
        <v>44711</v>
      </c>
      <c r="C421" s="163"/>
      <c r="D421" s="103" t="s">
        <v>849</v>
      </c>
      <c r="E421" s="103" t="s">
        <v>17</v>
      </c>
      <c r="F421" s="103" t="s">
        <v>18</v>
      </c>
      <c r="G421" s="15">
        <v>63</v>
      </c>
      <c r="H421" s="258">
        <v>6165700</v>
      </c>
      <c r="I421" s="258">
        <f>List34[[#This Row],[Pengajuan Donasi]]</f>
        <v>6165700</v>
      </c>
      <c r="J421" s="214" t="str">
        <f>IF(List34[[#This Row],[Tanggal Trf]]&gt;0,"Done","-")</f>
        <v>Done</v>
      </c>
      <c r="K421" s="437"/>
      <c r="L421" s="221">
        <v>44715</v>
      </c>
      <c r="M421" s="105" t="s">
        <v>1015</v>
      </c>
      <c r="N421" s="100">
        <f>MONTH(List34[[#This Row],[Tanggal Pengajuan]])</f>
        <v>5</v>
      </c>
      <c r="O421" s="183">
        <v>44747</v>
      </c>
      <c r="P421" s="100" t="s">
        <v>932</v>
      </c>
      <c r="Q421" s="111"/>
      <c r="R421" s="229"/>
      <c r="T421" s="275">
        <f>+List34[[#This Row],[Pengajuan Donasi]]-List34[[#This Row],[Jumlah Transfer]]</f>
        <v>0</v>
      </c>
    </row>
    <row r="422" spans="2:21" ht="30" customHeight="1" x14ac:dyDescent="0.2">
      <c r="B422" s="102">
        <v>44711</v>
      </c>
      <c r="C422" s="163"/>
      <c r="D422" s="103" t="s">
        <v>850</v>
      </c>
      <c r="E422" s="103" t="s">
        <v>17</v>
      </c>
      <c r="F422" s="103" t="s">
        <v>18</v>
      </c>
      <c r="G422" s="15">
        <v>61</v>
      </c>
      <c r="H422" s="258">
        <v>6333300</v>
      </c>
      <c r="I422" s="258">
        <f>List34[[#This Row],[Pengajuan Donasi]]</f>
        <v>6333300</v>
      </c>
      <c r="J422" s="214" t="str">
        <f>IF(List34[[#This Row],[Tanggal Trf]]&gt;0,"Done","-")</f>
        <v>Done</v>
      </c>
      <c r="K422" s="437"/>
      <c r="L422" s="221">
        <v>44715</v>
      </c>
      <c r="M422" s="105" t="s">
        <v>1015</v>
      </c>
      <c r="N422" s="100">
        <f>MONTH(List34[[#This Row],[Tanggal Pengajuan]])</f>
        <v>5</v>
      </c>
      <c r="O422" s="183">
        <v>44747</v>
      </c>
      <c r="P422" s="100" t="s">
        <v>932</v>
      </c>
      <c r="Q422" s="111"/>
      <c r="R422" s="229"/>
      <c r="T422" s="275">
        <f>+List34[[#This Row],[Pengajuan Donasi]]-List34[[#This Row],[Jumlah Transfer]]</f>
        <v>0</v>
      </c>
    </row>
    <row r="423" spans="2:21" ht="30" customHeight="1" x14ac:dyDescent="0.2">
      <c r="B423" s="102">
        <v>44711</v>
      </c>
      <c r="C423" s="163"/>
      <c r="D423" s="103" t="s">
        <v>852</v>
      </c>
      <c r="E423" s="103" t="s">
        <v>17</v>
      </c>
      <c r="F423" s="103" t="s">
        <v>18</v>
      </c>
      <c r="G423" s="15">
        <v>42</v>
      </c>
      <c r="H423" s="271">
        <v>6140200</v>
      </c>
      <c r="I423" s="258">
        <f>List34[[#This Row],[Pengajuan Donasi]]</f>
        <v>6140200</v>
      </c>
      <c r="J423" s="214" t="str">
        <f>IF(List34[[#This Row],[Tanggal Trf]]&gt;0,"Done","-")</f>
        <v>Done</v>
      </c>
      <c r="K423" s="437"/>
      <c r="L423" s="221">
        <v>44715</v>
      </c>
      <c r="M423" s="105" t="s">
        <v>1015</v>
      </c>
      <c r="N423" s="100">
        <f>MONTH(List34[[#This Row],[Tanggal Pengajuan]])</f>
        <v>5</v>
      </c>
      <c r="O423" s="183">
        <v>44747</v>
      </c>
      <c r="P423" s="100" t="s">
        <v>932</v>
      </c>
      <c r="Q423" s="111"/>
      <c r="R423" s="229"/>
      <c r="T423" s="275">
        <f>+List34[[#This Row],[Pengajuan Donasi]]-List34[[#This Row],[Jumlah Transfer]]</f>
        <v>0</v>
      </c>
    </row>
    <row r="424" spans="2:21" ht="30" customHeight="1" x14ac:dyDescent="0.2">
      <c r="B424" s="102">
        <v>44711</v>
      </c>
      <c r="C424" s="163"/>
      <c r="D424" s="103" t="s">
        <v>238</v>
      </c>
      <c r="E424" s="103" t="s">
        <v>17</v>
      </c>
      <c r="F424" s="103" t="s">
        <v>18</v>
      </c>
      <c r="G424" s="15">
        <v>42</v>
      </c>
      <c r="H424" s="271">
        <v>6227200</v>
      </c>
      <c r="I424" s="258">
        <f>List34[[#This Row],[Pengajuan Donasi]]</f>
        <v>6227200</v>
      </c>
      <c r="J424" s="214" t="str">
        <f>IF(List34[[#This Row],[Tanggal Trf]]&gt;0,"Done","-")</f>
        <v>Done</v>
      </c>
      <c r="K424" s="437"/>
      <c r="L424" s="221">
        <v>44715</v>
      </c>
      <c r="M424" s="105" t="s">
        <v>1015</v>
      </c>
      <c r="N424" s="100">
        <f>MONTH(List34[[#This Row],[Tanggal Pengajuan]])</f>
        <v>5</v>
      </c>
      <c r="O424" s="183">
        <v>44747</v>
      </c>
      <c r="P424" s="100" t="s">
        <v>932</v>
      </c>
      <c r="Q424" s="111"/>
      <c r="R424" s="229"/>
      <c r="T424" s="275">
        <f>+List34[[#This Row],[Pengajuan Donasi]]-List34[[#This Row],[Jumlah Transfer]]</f>
        <v>0</v>
      </c>
    </row>
    <row r="425" spans="2:21" ht="30" customHeight="1" x14ac:dyDescent="0.2">
      <c r="B425" s="102">
        <v>44711</v>
      </c>
      <c r="C425" s="163"/>
      <c r="D425" s="103" t="s">
        <v>867</v>
      </c>
      <c r="E425" s="103" t="s">
        <v>17</v>
      </c>
      <c r="F425" s="103" t="s">
        <v>18</v>
      </c>
      <c r="G425" s="15">
        <v>129</v>
      </c>
      <c r="H425" s="258">
        <v>6386400</v>
      </c>
      <c r="I425" s="258">
        <f>List34[[#This Row],[Pengajuan Donasi]]</f>
        <v>6386400</v>
      </c>
      <c r="J425" s="214" t="str">
        <f>IF(List34[[#This Row],[Tanggal Trf]]&gt;0,"Done","-")</f>
        <v>Done</v>
      </c>
      <c r="K425" s="437"/>
      <c r="L425" s="221">
        <v>44715</v>
      </c>
      <c r="M425" s="105" t="s">
        <v>1015</v>
      </c>
      <c r="N425" s="100">
        <f>MONTH(List34[[#This Row],[Tanggal Pengajuan]])</f>
        <v>5</v>
      </c>
      <c r="O425" s="183">
        <v>44747</v>
      </c>
      <c r="P425" s="100" t="s">
        <v>932</v>
      </c>
      <c r="Q425" s="111"/>
      <c r="R425" s="229"/>
      <c r="T425" s="275">
        <f>+List34[[#This Row],[Pengajuan Donasi]]-List34[[#This Row],[Jumlah Transfer]]</f>
        <v>0</v>
      </c>
    </row>
    <row r="426" spans="2:21" ht="30" customHeight="1" x14ac:dyDescent="0.2">
      <c r="B426" s="102">
        <v>44711</v>
      </c>
      <c r="C426" s="163"/>
      <c r="D426" s="103" t="s">
        <v>868</v>
      </c>
      <c r="E426" s="103" t="s">
        <v>17</v>
      </c>
      <c r="F426" s="103" t="s">
        <v>18</v>
      </c>
      <c r="G426" s="15">
        <v>27</v>
      </c>
      <c r="H426" s="271">
        <v>6373100</v>
      </c>
      <c r="I426" s="258">
        <f>List34[[#This Row],[Pengajuan Donasi]]</f>
        <v>6373100</v>
      </c>
      <c r="J426" s="214" t="str">
        <f>IF(List34[[#This Row],[Tanggal Trf]]&gt;0,"Done","-")</f>
        <v>Done</v>
      </c>
      <c r="K426" s="437"/>
      <c r="L426" s="221">
        <v>44715</v>
      </c>
      <c r="M426" s="105" t="s">
        <v>1015</v>
      </c>
      <c r="N426" s="100">
        <f>MONTH(List34[[#This Row],[Tanggal Pengajuan]])</f>
        <v>5</v>
      </c>
      <c r="O426" s="183">
        <v>44747</v>
      </c>
      <c r="P426" s="100" t="s">
        <v>932</v>
      </c>
      <c r="Q426" s="111"/>
      <c r="R426" s="229"/>
      <c r="T426" s="275">
        <f>+List34[[#This Row],[Pengajuan Donasi]]-List34[[#This Row],[Jumlah Transfer]]</f>
        <v>0</v>
      </c>
    </row>
    <row r="427" spans="2:21" ht="30" customHeight="1" x14ac:dyDescent="0.2">
      <c r="B427" s="102">
        <v>44711</v>
      </c>
      <c r="C427" s="163"/>
      <c r="D427" s="103" t="s">
        <v>124</v>
      </c>
      <c r="E427" s="103" t="s">
        <v>17</v>
      </c>
      <c r="F427" s="103" t="s">
        <v>18</v>
      </c>
      <c r="G427" s="15">
        <v>119</v>
      </c>
      <c r="H427" s="271">
        <v>6282900</v>
      </c>
      <c r="I427" s="258">
        <f>List34[[#This Row],[Pengajuan Donasi]]</f>
        <v>6282900</v>
      </c>
      <c r="J427" s="214" t="str">
        <f>IF(List34[[#This Row],[Tanggal Trf]]&gt;0,"Done","-")</f>
        <v>Done</v>
      </c>
      <c r="K427" s="437"/>
      <c r="L427" s="221">
        <v>44715</v>
      </c>
      <c r="M427" s="105" t="s">
        <v>1015</v>
      </c>
      <c r="N427" s="100">
        <f>MONTH(List34[[#This Row],[Tanggal Pengajuan]])</f>
        <v>5</v>
      </c>
      <c r="O427" s="183">
        <v>44747</v>
      </c>
      <c r="P427" s="100" t="s">
        <v>932</v>
      </c>
      <c r="Q427" s="111"/>
      <c r="R427" s="229"/>
      <c r="T427" s="275">
        <f>+List34[[#This Row],[Pengajuan Donasi]]-List34[[#This Row],[Jumlah Transfer]]</f>
        <v>0</v>
      </c>
    </row>
    <row r="428" spans="2:21" ht="30" customHeight="1" x14ac:dyDescent="0.2">
      <c r="B428" s="102">
        <v>44711</v>
      </c>
      <c r="C428" s="163"/>
      <c r="D428" s="103" t="s">
        <v>855</v>
      </c>
      <c r="E428" s="103" t="s">
        <v>17</v>
      </c>
      <c r="F428" s="103" t="s">
        <v>18</v>
      </c>
      <c r="G428" s="15">
        <v>91</v>
      </c>
      <c r="H428" s="271">
        <v>6280500</v>
      </c>
      <c r="I428" s="258">
        <f>List34[[#This Row],[Pengajuan Donasi]]</f>
        <v>6280500</v>
      </c>
      <c r="J428" s="214" t="str">
        <f>IF(List34[[#This Row],[Tanggal Trf]]&gt;0,"Done","-")</f>
        <v>Done</v>
      </c>
      <c r="K428" s="437"/>
      <c r="L428" s="221">
        <v>44715</v>
      </c>
      <c r="M428" s="105" t="s">
        <v>1015</v>
      </c>
      <c r="N428" s="100">
        <f>MONTH(List34[[#This Row],[Tanggal Pengajuan]])</f>
        <v>5</v>
      </c>
      <c r="O428" s="183">
        <v>44747</v>
      </c>
      <c r="P428" s="100" t="s">
        <v>932</v>
      </c>
      <c r="Q428" s="111"/>
      <c r="R428" s="229"/>
      <c r="T428" s="275">
        <f>+List34[[#This Row],[Pengajuan Donasi]]-List34[[#This Row],[Jumlah Transfer]]</f>
        <v>0</v>
      </c>
    </row>
    <row r="429" spans="2:21" ht="30" customHeight="1" x14ac:dyDescent="0.2">
      <c r="B429" s="102">
        <v>44711</v>
      </c>
      <c r="C429" s="163"/>
      <c r="D429" s="103" t="s">
        <v>871</v>
      </c>
      <c r="E429" s="103" t="s">
        <v>17</v>
      </c>
      <c r="F429" s="103" t="s">
        <v>18</v>
      </c>
      <c r="G429" s="15">
        <v>68</v>
      </c>
      <c r="H429" s="271">
        <v>6243400</v>
      </c>
      <c r="I429" s="258">
        <f>List34[[#This Row],[Pengajuan Donasi]]</f>
        <v>6243400</v>
      </c>
      <c r="J429" s="214" t="str">
        <f>IF(List34[[#This Row],[Tanggal Trf]]&gt;0,"Done","-")</f>
        <v>Done</v>
      </c>
      <c r="K429" s="437"/>
      <c r="L429" s="221">
        <v>44715</v>
      </c>
      <c r="M429" s="105" t="s">
        <v>1015</v>
      </c>
      <c r="N429" s="100">
        <f>MONTH(List34[[#This Row],[Tanggal Pengajuan]])</f>
        <v>5</v>
      </c>
      <c r="O429" s="183">
        <v>44747</v>
      </c>
      <c r="P429" s="100" t="s">
        <v>932</v>
      </c>
      <c r="Q429" s="111"/>
      <c r="R429" s="229"/>
      <c r="T429" s="275">
        <f>+List34[[#This Row],[Pengajuan Donasi]]-List34[[#This Row],[Jumlah Transfer]]</f>
        <v>0</v>
      </c>
    </row>
    <row r="430" spans="2:21" ht="30" customHeight="1" x14ac:dyDescent="0.2">
      <c r="B430" s="102">
        <v>44711</v>
      </c>
      <c r="C430" s="163"/>
      <c r="D430" s="103" t="s">
        <v>851</v>
      </c>
      <c r="E430" s="103" t="s">
        <v>17</v>
      </c>
      <c r="F430" s="103" t="s">
        <v>18</v>
      </c>
      <c r="G430" s="15">
        <v>22</v>
      </c>
      <c r="H430" s="271">
        <v>6294800</v>
      </c>
      <c r="I430" s="258">
        <f>List34[[#This Row],[Pengajuan Donasi]]</f>
        <v>6294800</v>
      </c>
      <c r="J430" s="214" t="str">
        <f>IF(List34[[#This Row],[Tanggal Trf]]&gt;0,"Done","-")</f>
        <v>Done</v>
      </c>
      <c r="K430" s="437"/>
      <c r="L430" s="221">
        <v>44715</v>
      </c>
      <c r="M430" s="105" t="s">
        <v>1015</v>
      </c>
      <c r="N430" s="100">
        <f>MONTH(List34[[#This Row],[Tanggal Pengajuan]])</f>
        <v>5</v>
      </c>
      <c r="O430" s="183">
        <v>44747</v>
      </c>
      <c r="P430" s="100" t="s">
        <v>932</v>
      </c>
      <c r="Q430" s="111"/>
      <c r="R430" s="229"/>
      <c r="T430" s="275">
        <f>+List34[[#This Row],[Pengajuan Donasi]]-List34[[#This Row],[Jumlah Transfer]]</f>
        <v>0</v>
      </c>
    </row>
    <row r="431" spans="2:21" ht="30" customHeight="1" x14ac:dyDescent="0.2">
      <c r="B431" s="102">
        <v>44711</v>
      </c>
      <c r="C431" s="163"/>
      <c r="D431" s="103" t="s">
        <v>869</v>
      </c>
      <c r="E431" s="103" t="s">
        <v>17</v>
      </c>
      <c r="F431" s="103" t="s">
        <v>18</v>
      </c>
      <c r="G431" s="15">
        <v>93</v>
      </c>
      <c r="H431" s="271">
        <v>6358600</v>
      </c>
      <c r="I431" s="258">
        <f>List34[[#This Row],[Pengajuan Donasi]]</f>
        <v>6358600</v>
      </c>
      <c r="J431" s="214" t="str">
        <f>IF(List34[[#This Row],[Tanggal Trf]]&gt;0,"Done","-")</f>
        <v>Done</v>
      </c>
      <c r="K431" s="437"/>
      <c r="L431" s="221">
        <v>44715</v>
      </c>
      <c r="M431" s="105" t="s">
        <v>1015</v>
      </c>
      <c r="N431" s="100">
        <f>MONTH(List34[[#This Row],[Tanggal Pengajuan]])</f>
        <v>5</v>
      </c>
      <c r="O431" s="183">
        <v>44747</v>
      </c>
      <c r="P431" s="100" t="s">
        <v>932</v>
      </c>
      <c r="Q431" s="111"/>
      <c r="R431" s="229"/>
      <c r="T431" s="275">
        <f>+List34[[#This Row],[Pengajuan Donasi]]-List34[[#This Row],[Jumlah Transfer]]</f>
        <v>0</v>
      </c>
    </row>
    <row r="432" spans="2:21" ht="30" customHeight="1" x14ac:dyDescent="0.2">
      <c r="B432" s="102">
        <v>44711</v>
      </c>
      <c r="C432" s="163"/>
      <c r="D432" s="103" t="s">
        <v>848</v>
      </c>
      <c r="E432" s="103" t="s">
        <v>17</v>
      </c>
      <c r="F432" s="103" t="s">
        <v>18</v>
      </c>
      <c r="G432" s="15">
        <v>36</v>
      </c>
      <c r="H432" s="271">
        <v>6310000</v>
      </c>
      <c r="I432" s="258">
        <f>List34[[#This Row],[Pengajuan Donasi]]</f>
        <v>6310000</v>
      </c>
      <c r="J432" s="214" t="str">
        <f>IF(List34[[#This Row],[Tanggal Trf]]&gt;0,"Done","-")</f>
        <v>Done</v>
      </c>
      <c r="K432" s="437"/>
      <c r="L432" s="221">
        <v>44715</v>
      </c>
      <c r="M432" s="105" t="s">
        <v>1015</v>
      </c>
      <c r="N432" s="100">
        <f>MONTH(List34[[#This Row],[Tanggal Pengajuan]])</f>
        <v>5</v>
      </c>
      <c r="O432" s="183">
        <v>44747</v>
      </c>
      <c r="P432" s="100" t="s">
        <v>932</v>
      </c>
      <c r="Q432" s="111"/>
      <c r="R432" s="229"/>
      <c r="T432" s="275">
        <f>+List34[[#This Row],[Pengajuan Donasi]]-List34[[#This Row],[Jumlah Transfer]]</f>
        <v>0</v>
      </c>
    </row>
    <row r="433" spans="2:20" ht="30" customHeight="1" x14ac:dyDescent="0.2">
      <c r="B433" s="102">
        <v>44711</v>
      </c>
      <c r="C433" s="163"/>
      <c r="D433" s="103" t="s">
        <v>229</v>
      </c>
      <c r="E433" s="103" t="s">
        <v>17</v>
      </c>
      <c r="F433" s="103" t="s">
        <v>18</v>
      </c>
      <c r="G433" s="15">
        <v>40</v>
      </c>
      <c r="H433" s="271">
        <v>6266100</v>
      </c>
      <c r="I433" s="258">
        <f>List34[[#This Row],[Pengajuan Donasi]]</f>
        <v>6266100</v>
      </c>
      <c r="J433" s="214" t="str">
        <f>IF(List34[[#This Row],[Tanggal Trf]]&gt;0,"Done","-")</f>
        <v>Done</v>
      </c>
      <c r="K433" s="437"/>
      <c r="L433" s="221">
        <v>44715</v>
      </c>
      <c r="M433" s="105" t="s">
        <v>1015</v>
      </c>
      <c r="N433" s="100">
        <f>MONTH(List34[[#This Row],[Tanggal Pengajuan]])</f>
        <v>5</v>
      </c>
      <c r="O433" s="183">
        <v>44747</v>
      </c>
      <c r="P433" s="100" t="s">
        <v>932</v>
      </c>
      <c r="Q433" s="111"/>
      <c r="R433" s="229"/>
      <c r="T433" s="275">
        <f>+List34[[#This Row],[Pengajuan Donasi]]-List34[[#This Row],[Jumlah Transfer]]</f>
        <v>0</v>
      </c>
    </row>
    <row r="434" spans="2:20" ht="30" customHeight="1" x14ac:dyDescent="0.2">
      <c r="B434" s="102">
        <v>44711</v>
      </c>
      <c r="C434" s="163"/>
      <c r="D434" s="103" t="s">
        <v>228</v>
      </c>
      <c r="E434" s="103" t="s">
        <v>17</v>
      </c>
      <c r="F434" s="103" t="s">
        <v>18</v>
      </c>
      <c r="G434" s="15">
        <v>66</v>
      </c>
      <c r="H434" s="271">
        <v>6179900</v>
      </c>
      <c r="I434" s="258">
        <f>List34[[#This Row],[Pengajuan Donasi]]</f>
        <v>6179900</v>
      </c>
      <c r="J434" s="214" t="str">
        <f>IF(List34[[#This Row],[Tanggal Trf]]&gt;0,"Done","-")</f>
        <v>Done</v>
      </c>
      <c r="K434" s="437"/>
      <c r="L434" s="221">
        <v>44715</v>
      </c>
      <c r="M434" s="105" t="s">
        <v>1015</v>
      </c>
      <c r="N434" s="100">
        <f>MONTH(List34[[#This Row],[Tanggal Pengajuan]])</f>
        <v>5</v>
      </c>
      <c r="O434" s="183">
        <v>44747</v>
      </c>
      <c r="P434" s="100" t="s">
        <v>932</v>
      </c>
      <c r="Q434" s="111"/>
      <c r="R434" s="229"/>
      <c r="T434" s="275">
        <f>+List34[[#This Row],[Pengajuan Donasi]]-List34[[#This Row],[Jumlah Transfer]]</f>
        <v>0</v>
      </c>
    </row>
    <row r="435" spans="2:20" ht="30" customHeight="1" x14ac:dyDescent="0.2">
      <c r="B435" s="102">
        <v>44711</v>
      </c>
      <c r="C435" s="163"/>
      <c r="D435" s="103" t="s">
        <v>858</v>
      </c>
      <c r="E435" s="103" t="s">
        <v>17</v>
      </c>
      <c r="F435" s="103" t="s">
        <v>18</v>
      </c>
      <c r="G435" s="15">
        <v>12</v>
      </c>
      <c r="H435" s="271">
        <v>6142800</v>
      </c>
      <c r="I435" s="258">
        <f>List34[[#This Row],[Pengajuan Donasi]]</f>
        <v>6142800</v>
      </c>
      <c r="J435" s="214" t="str">
        <f>IF(List34[[#This Row],[Tanggal Trf]]&gt;0,"Done","-")</f>
        <v>Done</v>
      </c>
      <c r="K435" s="437"/>
      <c r="L435" s="221">
        <v>44715</v>
      </c>
      <c r="M435" s="105" t="s">
        <v>1015</v>
      </c>
      <c r="N435" s="100">
        <f>MONTH(List34[[#This Row],[Tanggal Pengajuan]])</f>
        <v>5</v>
      </c>
      <c r="O435" s="183">
        <v>44747</v>
      </c>
      <c r="P435" s="100" t="s">
        <v>932</v>
      </c>
      <c r="Q435" s="111"/>
      <c r="R435" s="229"/>
      <c r="T435" s="275">
        <f>+List34[[#This Row],[Pengajuan Donasi]]-List34[[#This Row],[Jumlah Transfer]]</f>
        <v>0</v>
      </c>
    </row>
    <row r="436" spans="2:20" ht="30" customHeight="1" x14ac:dyDescent="0.2">
      <c r="B436" s="102">
        <v>44711</v>
      </c>
      <c r="C436" s="163"/>
      <c r="D436" s="103" t="s">
        <v>856</v>
      </c>
      <c r="E436" s="103" t="s">
        <v>17</v>
      </c>
      <c r="F436" s="103" t="s">
        <v>18</v>
      </c>
      <c r="G436" s="15">
        <v>32</v>
      </c>
      <c r="H436" s="271">
        <v>6282000</v>
      </c>
      <c r="I436" s="258">
        <f>List34[[#This Row],[Pengajuan Donasi]]</f>
        <v>6282000</v>
      </c>
      <c r="J436" s="214" t="str">
        <f>IF(List34[[#This Row],[Tanggal Trf]]&gt;0,"Done","-")</f>
        <v>Done</v>
      </c>
      <c r="K436" s="437"/>
      <c r="L436" s="221">
        <v>44715</v>
      </c>
      <c r="M436" s="105" t="s">
        <v>1015</v>
      </c>
      <c r="N436" s="100">
        <f>MONTH(List34[[#This Row],[Tanggal Pengajuan]])</f>
        <v>5</v>
      </c>
      <c r="O436" s="183">
        <v>44747</v>
      </c>
      <c r="P436" s="100" t="s">
        <v>932</v>
      </c>
      <c r="Q436" s="111"/>
      <c r="R436" s="229"/>
      <c r="T436" s="275">
        <f>+List34[[#This Row],[Pengajuan Donasi]]-List34[[#This Row],[Jumlah Transfer]]</f>
        <v>0</v>
      </c>
    </row>
    <row r="437" spans="2:20" ht="30" customHeight="1" x14ac:dyDescent="0.2">
      <c r="B437" s="102">
        <v>44711</v>
      </c>
      <c r="C437" s="163"/>
      <c r="D437" s="103" t="s">
        <v>854</v>
      </c>
      <c r="E437" s="103" t="s">
        <v>17</v>
      </c>
      <c r="F437" s="103" t="s">
        <v>18</v>
      </c>
      <c r="G437" s="15">
        <v>118</v>
      </c>
      <c r="H437" s="271">
        <v>6226600</v>
      </c>
      <c r="I437" s="258">
        <f>List34[[#This Row],[Pengajuan Donasi]]</f>
        <v>6226600</v>
      </c>
      <c r="J437" s="214" t="str">
        <f>IF(List34[[#This Row],[Tanggal Trf]]&gt;0,"Done","-")</f>
        <v>Done</v>
      </c>
      <c r="K437" s="440"/>
      <c r="L437" s="221">
        <v>44715</v>
      </c>
      <c r="M437" s="105" t="s">
        <v>1015</v>
      </c>
      <c r="N437" s="100">
        <f>MONTH(List34[[#This Row],[Tanggal Pengajuan]])</f>
        <v>5</v>
      </c>
      <c r="O437" s="183">
        <v>44747</v>
      </c>
      <c r="P437" s="100" t="s">
        <v>932</v>
      </c>
      <c r="Q437" s="111"/>
      <c r="R437" s="229"/>
      <c r="T437" s="275">
        <f>+List34[[#This Row],[Pengajuan Donasi]]-List34[[#This Row],[Jumlah Transfer]]</f>
        <v>0</v>
      </c>
    </row>
    <row r="438" spans="2:20" ht="30" customHeight="1" x14ac:dyDescent="0.2">
      <c r="B438" s="102">
        <v>44711</v>
      </c>
      <c r="C438" s="163"/>
      <c r="D438" s="103" t="s">
        <v>328</v>
      </c>
      <c r="E438" s="103" t="s">
        <v>17</v>
      </c>
      <c r="F438" s="103" t="s">
        <v>18</v>
      </c>
      <c r="G438" s="15">
        <v>14</v>
      </c>
      <c r="H438" s="271">
        <v>4998500</v>
      </c>
      <c r="I438" s="258">
        <f>List34[[#This Row],[Pengajuan Donasi]]</f>
        <v>4998500</v>
      </c>
      <c r="J438" s="214" t="str">
        <f>IF(List34[[#This Row],[Tanggal Trf]]&gt;0,"Done","-")</f>
        <v>Done</v>
      </c>
      <c r="K438" s="440"/>
      <c r="L438" s="221">
        <v>44715</v>
      </c>
      <c r="M438" s="105" t="s">
        <v>1015</v>
      </c>
      <c r="N438" s="100">
        <f>MONTH(List34[[#This Row],[Tanggal Pengajuan]])</f>
        <v>5</v>
      </c>
      <c r="O438" s="183">
        <v>44747</v>
      </c>
      <c r="P438" s="100" t="s">
        <v>932</v>
      </c>
      <c r="Q438" s="111"/>
      <c r="R438" s="229"/>
      <c r="T438" s="275">
        <f>+List34[[#This Row],[Pengajuan Donasi]]-List34[[#This Row],[Jumlah Transfer]]</f>
        <v>0</v>
      </c>
    </row>
    <row r="439" spans="2:20" ht="30" customHeight="1" x14ac:dyDescent="0.2">
      <c r="B439" s="102">
        <v>44711</v>
      </c>
      <c r="C439" s="163"/>
      <c r="D439" s="103" t="s">
        <v>857</v>
      </c>
      <c r="E439" s="103" t="s">
        <v>17</v>
      </c>
      <c r="F439" s="103" t="s">
        <v>18</v>
      </c>
      <c r="G439" s="15">
        <v>78</v>
      </c>
      <c r="H439" s="271">
        <v>6406500</v>
      </c>
      <c r="I439" s="258">
        <f>List34[[#This Row],[Pengajuan Donasi]]</f>
        <v>6406500</v>
      </c>
      <c r="J439" s="214" t="str">
        <f>IF(List34[[#This Row],[Tanggal Trf]]&gt;0,"Done","-")</f>
        <v>Done</v>
      </c>
      <c r="K439" s="437"/>
      <c r="L439" s="221">
        <v>44715</v>
      </c>
      <c r="M439" s="105" t="s">
        <v>1015</v>
      </c>
      <c r="N439" s="100">
        <f>MONTH(List34[[#This Row],[Tanggal Pengajuan]])</f>
        <v>5</v>
      </c>
      <c r="O439" s="183">
        <v>44747</v>
      </c>
      <c r="P439" s="100" t="s">
        <v>932</v>
      </c>
      <c r="Q439" s="111"/>
      <c r="R439" s="229"/>
    </row>
    <row r="440" spans="2:20" ht="30" customHeight="1" x14ac:dyDescent="0.2">
      <c r="B440" s="102">
        <v>44711</v>
      </c>
      <c r="C440" s="163"/>
      <c r="D440" s="103" t="s">
        <v>853</v>
      </c>
      <c r="E440" s="103" t="s">
        <v>17</v>
      </c>
      <c r="F440" s="103" t="s">
        <v>18</v>
      </c>
      <c r="G440" s="15">
        <v>25</v>
      </c>
      <c r="H440" s="258">
        <v>6286400</v>
      </c>
      <c r="I440" s="258">
        <f>List34[[#This Row],[Pengajuan Donasi]]</f>
        <v>6286400</v>
      </c>
      <c r="J440" s="214" t="str">
        <f>IF(List34[[#This Row],[Tanggal Trf]]&gt;0,"Done","-")</f>
        <v>Done</v>
      </c>
      <c r="K440" s="440"/>
      <c r="L440" s="221">
        <v>44715</v>
      </c>
      <c r="M440" s="105" t="s">
        <v>1015</v>
      </c>
      <c r="N440" s="100">
        <f>MONTH(List34[[#This Row],[Tanggal Pengajuan]])</f>
        <v>5</v>
      </c>
      <c r="O440" s="183">
        <v>44747</v>
      </c>
      <c r="P440" s="100" t="s">
        <v>932</v>
      </c>
      <c r="Q440" s="111"/>
      <c r="R440" s="229"/>
    </row>
    <row r="441" spans="2:20" ht="30" customHeight="1" x14ac:dyDescent="0.2">
      <c r="B441" s="102">
        <v>44711</v>
      </c>
      <c r="C441" s="163"/>
      <c r="D441" s="103" t="s">
        <v>362</v>
      </c>
      <c r="E441" s="103" t="s">
        <v>17</v>
      </c>
      <c r="F441" s="103" t="s">
        <v>18</v>
      </c>
      <c r="G441" s="15">
        <v>137</v>
      </c>
      <c r="H441" s="258">
        <v>6076100</v>
      </c>
      <c r="I441" s="258">
        <f>List34[[#This Row],[Pengajuan Donasi]]</f>
        <v>6076100</v>
      </c>
      <c r="J441" s="214" t="str">
        <f>IF(List34[[#This Row],[Tanggal Trf]]&gt;0,"Done","-")</f>
        <v>Done</v>
      </c>
      <c r="K441" s="440"/>
      <c r="L441" s="221">
        <v>44715</v>
      </c>
      <c r="M441" s="105" t="s">
        <v>1015</v>
      </c>
      <c r="N441" s="100">
        <f>MONTH(List34[[#This Row],[Tanggal Pengajuan]])</f>
        <v>5</v>
      </c>
      <c r="O441" s="183">
        <v>44747</v>
      </c>
      <c r="P441" s="100" t="s">
        <v>932</v>
      </c>
      <c r="Q441" s="111"/>
      <c r="R441" s="229"/>
    </row>
    <row r="442" spans="2:20" ht="30" customHeight="1" x14ac:dyDescent="0.2">
      <c r="B442" s="102">
        <v>44711</v>
      </c>
      <c r="C442" s="163"/>
      <c r="D442" s="103" t="s">
        <v>391</v>
      </c>
      <c r="E442" s="103" t="s">
        <v>17</v>
      </c>
      <c r="F442" s="103" t="s">
        <v>18</v>
      </c>
      <c r="G442" s="15">
        <v>40</v>
      </c>
      <c r="H442" s="258">
        <v>6413000</v>
      </c>
      <c r="I442" s="258">
        <f>List34[[#This Row],[Pengajuan Donasi]]</f>
        <v>6413000</v>
      </c>
      <c r="J442" s="214" t="str">
        <f>IF(List34[[#This Row],[Tanggal Trf]]&gt;0,"Done","-")</f>
        <v>Done</v>
      </c>
      <c r="K442" s="440"/>
      <c r="L442" s="221">
        <v>44715</v>
      </c>
      <c r="M442" s="105" t="s">
        <v>1015</v>
      </c>
      <c r="N442" s="100">
        <f>MONTH(List34[[#This Row],[Tanggal Pengajuan]])</f>
        <v>5</v>
      </c>
      <c r="O442" s="183">
        <v>44747</v>
      </c>
      <c r="P442" s="100" t="s">
        <v>932</v>
      </c>
      <c r="Q442" s="111"/>
      <c r="R442" s="229"/>
    </row>
    <row r="443" spans="2:20" ht="30" customHeight="1" x14ac:dyDescent="0.2">
      <c r="B443" s="102">
        <v>44711</v>
      </c>
      <c r="C443" s="163"/>
      <c r="D443" s="103" t="s">
        <v>860</v>
      </c>
      <c r="E443" s="103" t="s">
        <v>17</v>
      </c>
      <c r="F443" s="103" t="s">
        <v>18</v>
      </c>
      <c r="G443" s="15">
        <v>45</v>
      </c>
      <c r="H443" s="258">
        <v>6299500</v>
      </c>
      <c r="I443" s="258">
        <f>List34[[#This Row],[Pengajuan Donasi]]</f>
        <v>6299500</v>
      </c>
      <c r="J443" s="214" t="str">
        <f>IF(List34[[#This Row],[Tanggal Trf]]&gt;0,"Done","-")</f>
        <v>Done</v>
      </c>
      <c r="K443" s="440"/>
      <c r="L443" s="221">
        <v>44715</v>
      </c>
      <c r="M443" s="105" t="s">
        <v>1015</v>
      </c>
      <c r="N443" s="100">
        <f>MONTH(List34[[#This Row],[Tanggal Pengajuan]])</f>
        <v>5</v>
      </c>
      <c r="O443" s="183">
        <v>44747</v>
      </c>
      <c r="P443" s="100" t="s">
        <v>932</v>
      </c>
      <c r="Q443" s="111"/>
      <c r="R443" s="229"/>
    </row>
    <row r="444" spans="2:20" ht="30" customHeight="1" x14ac:dyDescent="0.2">
      <c r="B444" s="102">
        <v>44711</v>
      </c>
      <c r="C444" s="163"/>
      <c r="D444" s="103" t="s">
        <v>861</v>
      </c>
      <c r="E444" s="103" t="s">
        <v>17</v>
      </c>
      <c r="F444" s="103" t="s">
        <v>18</v>
      </c>
      <c r="G444" s="15">
        <v>65</v>
      </c>
      <c r="H444" s="258">
        <v>6247600</v>
      </c>
      <c r="I444" s="258">
        <f>List34[[#This Row],[Pengajuan Donasi]]</f>
        <v>6247600</v>
      </c>
      <c r="J444" s="213" t="str">
        <f>IF(List34[[#This Row],[Tanggal Trf]]&gt;0,"Done","-")</f>
        <v>Done</v>
      </c>
      <c r="K444" s="440"/>
      <c r="L444" s="221">
        <v>44715</v>
      </c>
      <c r="M444" s="105" t="s">
        <v>1015</v>
      </c>
      <c r="N444" s="100">
        <f>MONTH(List34[[#This Row],[Tanggal Pengajuan]])</f>
        <v>5</v>
      </c>
      <c r="O444" s="183">
        <v>44747</v>
      </c>
      <c r="P444" s="100" t="s">
        <v>932</v>
      </c>
      <c r="Q444" s="111"/>
      <c r="R444" s="229"/>
    </row>
    <row r="445" spans="2:20" ht="30" customHeight="1" x14ac:dyDescent="0.2">
      <c r="B445" s="102">
        <v>44711</v>
      </c>
      <c r="C445" s="163"/>
      <c r="D445" s="103" t="s">
        <v>862</v>
      </c>
      <c r="E445" s="103" t="s">
        <v>17</v>
      </c>
      <c r="F445" s="103" t="s">
        <v>18</v>
      </c>
      <c r="G445" s="15">
        <v>40</v>
      </c>
      <c r="H445" s="258">
        <v>6354200</v>
      </c>
      <c r="I445" s="258">
        <f>List34[[#This Row],[Pengajuan Donasi]]</f>
        <v>6354200</v>
      </c>
      <c r="J445" s="214" t="str">
        <f>IF(List34[[#This Row],[Tanggal Trf]]&gt;0,"Done","-")</f>
        <v>Done</v>
      </c>
      <c r="K445" s="440"/>
      <c r="L445" s="221">
        <v>44715</v>
      </c>
      <c r="M445" s="105" t="s">
        <v>1015</v>
      </c>
      <c r="N445" s="100">
        <f>MONTH(List34[[#This Row],[Tanggal Pengajuan]])</f>
        <v>5</v>
      </c>
      <c r="O445" s="183">
        <v>44747</v>
      </c>
      <c r="P445" s="100" t="s">
        <v>932</v>
      </c>
      <c r="Q445" s="111"/>
      <c r="R445" s="229"/>
    </row>
    <row r="446" spans="2:20" ht="30" customHeight="1" x14ac:dyDescent="0.2">
      <c r="B446" s="102">
        <v>44711</v>
      </c>
      <c r="C446" s="163"/>
      <c r="D446" s="103" t="s">
        <v>863</v>
      </c>
      <c r="E446" s="103" t="s">
        <v>17</v>
      </c>
      <c r="F446" s="103" t="s">
        <v>18</v>
      </c>
      <c r="G446" s="15">
        <v>142</v>
      </c>
      <c r="H446" s="271">
        <v>6478200</v>
      </c>
      <c r="I446" s="258">
        <f>List34[[#This Row],[Pengajuan Donasi]]</f>
        <v>6478200</v>
      </c>
      <c r="J446" s="214" t="str">
        <f>IF(List34[[#This Row],[Tanggal Trf]]&gt;0,"Done","-")</f>
        <v>Done</v>
      </c>
      <c r="K446" s="437"/>
      <c r="L446" s="221">
        <v>44715</v>
      </c>
      <c r="M446" s="105" t="s">
        <v>1015</v>
      </c>
      <c r="N446" s="100">
        <f>MONTH(List34[[#This Row],[Tanggal Pengajuan]])</f>
        <v>5</v>
      </c>
      <c r="O446" s="183">
        <v>44747</v>
      </c>
      <c r="P446" s="100" t="s">
        <v>932</v>
      </c>
      <c r="Q446" s="111"/>
      <c r="R446" s="229"/>
    </row>
    <row r="447" spans="2:20" ht="29.25" x14ac:dyDescent="0.2">
      <c r="B447" s="102">
        <v>44711</v>
      </c>
      <c r="C447" s="163"/>
      <c r="D447" s="103" t="s">
        <v>864</v>
      </c>
      <c r="E447" s="103" t="s">
        <v>17</v>
      </c>
      <c r="F447" s="103" t="s">
        <v>18</v>
      </c>
      <c r="G447" s="15">
        <v>141</v>
      </c>
      <c r="H447" s="271">
        <v>5661300</v>
      </c>
      <c r="I447" s="258">
        <f>List34[[#This Row],[Pengajuan Donasi]]</f>
        <v>5661300</v>
      </c>
      <c r="J447" s="214" t="str">
        <f>IF(List34[[#This Row],[Tanggal Trf]]&gt;0,"Done","-")</f>
        <v>Done</v>
      </c>
      <c r="K447" s="437"/>
      <c r="L447" s="221">
        <v>44715</v>
      </c>
      <c r="M447" s="105" t="s">
        <v>1015</v>
      </c>
      <c r="N447" s="100">
        <f>MONTH(List34[[#This Row],[Tanggal Pengajuan]])</f>
        <v>5</v>
      </c>
      <c r="O447" s="183">
        <v>44747</v>
      </c>
      <c r="P447" s="100" t="s">
        <v>932</v>
      </c>
      <c r="Q447" s="111"/>
      <c r="R447" s="229"/>
    </row>
    <row r="448" spans="2:20" ht="29.25" x14ac:dyDescent="0.2">
      <c r="B448" s="102">
        <v>44711</v>
      </c>
      <c r="C448" s="163"/>
      <c r="D448" s="103" t="s">
        <v>865</v>
      </c>
      <c r="E448" s="103" t="s">
        <v>17</v>
      </c>
      <c r="F448" s="103" t="s">
        <v>18</v>
      </c>
      <c r="G448" s="469">
        <v>96</v>
      </c>
      <c r="H448" s="271">
        <v>6172300</v>
      </c>
      <c r="I448" s="258">
        <f>List34[[#This Row],[Pengajuan Donasi]]</f>
        <v>6172300</v>
      </c>
      <c r="J448" s="214" t="str">
        <f>IF(List34[[#This Row],[Tanggal Trf]]&gt;0,"Done","-")</f>
        <v>Done</v>
      </c>
      <c r="K448" s="437"/>
      <c r="L448" s="221">
        <v>44715</v>
      </c>
      <c r="M448" s="105" t="s">
        <v>1015</v>
      </c>
      <c r="N448" s="100">
        <f>MONTH(List34[[#This Row],[Tanggal Pengajuan]])</f>
        <v>5</v>
      </c>
      <c r="O448" s="183">
        <v>44747</v>
      </c>
      <c r="P448" s="100" t="s">
        <v>932</v>
      </c>
      <c r="Q448" s="111"/>
      <c r="R448" s="229"/>
    </row>
    <row r="449" spans="2:18" ht="29.25" x14ac:dyDescent="0.2">
      <c r="B449" s="102">
        <v>44711</v>
      </c>
      <c r="C449" s="163"/>
      <c r="D449" s="103" t="s">
        <v>866</v>
      </c>
      <c r="E449" s="103" t="s">
        <v>17</v>
      </c>
      <c r="F449" s="103" t="s">
        <v>18</v>
      </c>
      <c r="G449" s="469">
        <v>56</v>
      </c>
      <c r="H449" s="271">
        <v>6442100</v>
      </c>
      <c r="I449" s="258">
        <f>List34[[#This Row],[Pengajuan Donasi]]</f>
        <v>6442100</v>
      </c>
      <c r="J449" s="214" t="str">
        <f>IF(List34[[#This Row],[Tanggal Trf]]&gt;0,"Done","-")</f>
        <v>Done</v>
      </c>
      <c r="K449" s="437"/>
      <c r="L449" s="221">
        <v>44715</v>
      </c>
      <c r="M449" s="105" t="s">
        <v>1015</v>
      </c>
      <c r="N449" s="100">
        <f>MONTH(List34[[#This Row],[Tanggal Pengajuan]])</f>
        <v>5</v>
      </c>
      <c r="O449" s="183">
        <v>44747</v>
      </c>
      <c r="P449" s="100" t="s">
        <v>932</v>
      </c>
      <c r="Q449" s="111"/>
      <c r="R449" s="229"/>
    </row>
    <row r="450" spans="2:18" ht="29.25" x14ac:dyDescent="0.2">
      <c r="B450" s="102">
        <v>44715</v>
      </c>
      <c r="C450" s="67" t="s">
        <v>1077</v>
      </c>
      <c r="D450" s="14" t="s">
        <v>859</v>
      </c>
      <c r="E450" s="14" t="s">
        <v>17</v>
      </c>
      <c r="F450" s="103" t="s">
        <v>18</v>
      </c>
      <c r="G450" s="15">
        <v>23</v>
      </c>
      <c r="H450" s="271">
        <v>6000000</v>
      </c>
      <c r="I450" s="258">
        <f>List34[[#This Row],[Pengajuan Donasi]]</f>
        <v>6000000</v>
      </c>
      <c r="J450" s="214" t="str">
        <f>IF(List34[[#This Row],[Tanggal Trf]]&gt;0,"Done","-")</f>
        <v>Done</v>
      </c>
      <c r="K450" s="437"/>
      <c r="L450" s="223">
        <v>44721</v>
      </c>
      <c r="M450" s="105" t="s">
        <v>650</v>
      </c>
      <c r="N450" s="100">
        <f>MONTH(List34[[#This Row],[Tanggal Pengajuan]])</f>
        <v>6</v>
      </c>
      <c r="O450" s="183">
        <v>44747</v>
      </c>
      <c r="P450" s="105" t="s">
        <v>1116</v>
      </c>
      <c r="Q450" s="111"/>
      <c r="R450" s="229"/>
    </row>
    <row r="451" spans="2:18" ht="29.25" x14ac:dyDescent="0.2">
      <c r="B451" s="102">
        <v>44715</v>
      </c>
      <c r="C451" s="67" t="s">
        <v>1078</v>
      </c>
      <c r="D451" s="14" t="s">
        <v>950</v>
      </c>
      <c r="E451" s="14" t="s">
        <v>26</v>
      </c>
      <c r="F451" s="14" t="s">
        <v>18</v>
      </c>
      <c r="G451" s="15">
        <v>1</v>
      </c>
      <c r="H451" s="377">
        <v>5000000</v>
      </c>
      <c r="I451" s="258">
        <f>List34[[#This Row],[Pengajuan Donasi]]</f>
        <v>5000000</v>
      </c>
      <c r="J451" s="214" t="str">
        <f>IF(List34[[#This Row],[Tanggal Trf]]&gt;0,"Done","-")</f>
        <v>Done</v>
      </c>
      <c r="K451" s="437"/>
      <c r="L451" s="223">
        <v>44722</v>
      </c>
      <c r="M451" s="203" t="s">
        <v>448</v>
      </c>
      <c r="N451" s="100">
        <f>MONTH(List34[[#This Row],[Tanggal Pengajuan]])</f>
        <v>6</v>
      </c>
      <c r="O451" s="183">
        <v>44747</v>
      </c>
      <c r="P451" s="105" t="s">
        <v>1116</v>
      </c>
      <c r="Q451" s="111"/>
      <c r="R451" s="229"/>
    </row>
    <row r="452" spans="2:18" ht="15.75" x14ac:dyDescent="0.2">
      <c r="B452" s="102">
        <v>44715</v>
      </c>
      <c r="C452" s="67"/>
      <c r="D452" s="14" t="s">
        <v>875</v>
      </c>
      <c r="E452" s="14" t="s">
        <v>26</v>
      </c>
      <c r="F452" s="14" t="s">
        <v>18</v>
      </c>
      <c r="G452" s="15">
        <v>1</v>
      </c>
      <c r="H452" s="378">
        <v>1000000</v>
      </c>
      <c r="I452" s="258">
        <f>List34[[#This Row],[Pengajuan Donasi]]</f>
        <v>1000000</v>
      </c>
      <c r="J452" s="214" t="str">
        <f>IF(List34[[#This Row],[Tanggal Trf]]&gt;0,"Done","-")</f>
        <v>Done</v>
      </c>
      <c r="K452" s="437"/>
      <c r="L452" s="223">
        <v>44722</v>
      </c>
      <c r="M452" s="208" t="s">
        <v>453</v>
      </c>
      <c r="N452" s="100">
        <f>MONTH(List34[[#This Row],[Tanggal Pengajuan]])</f>
        <v>6</v>
      </c>
      <c r="O452" s="183">
        <v>44747</v>
      </c>
      <c r="P452" s="105" t="s">
        <v>1116</v>
      </c>
      <c r="Q452" s="111"/>
      <c r="R452" s="229"/>
    </row>
    <row r="453" spans="2:18" ht="29.25" x14ac:dyDescent="0.2">
      <c r="B453" s="102">
        <v>44715</v>
      </c>
      <c r="C453" s="67"/>
      <c r="D453" s="14" t="s">
        <v>877</v>
      </c>
      <c r="E453" s="14" t="s">
        <v>26</v>
      </c>
      <c r="F453" s="14" t="s">
        <v>1313</v>
      </c>
      <c r="G453" s="15">
        <v>1</v>
      </c>
      <c r="H453" s="379">
        <v>1000000</v>
      </c>
      <c r="I453" s="258">
        <f>List34[[#This Row],[Pengajuan Donasi]]</f>
        <v>1000000</v>
      </c>
      <c r="J453" s="214" t="str">
        <f>IF(List34[[#This Row],[Tanggal Trf]]&gt;0,"Done","-")</f>
        <v>Done</v>
      </c>
      <c r="K453" s="437"/>
      <c r="L453" s="223">
        <v>44722</v>
      </c>
      <c r="M453" s="184" t="s">
        <v>458</v>
      </c>
      <c r="N453" s="100">
        <f>MONTH(List34[[#This Row],[Tanggal Pengajuan]])</f>
        <v>6</v>
      </c>
      <c r="O453" s="183">
        <v>44747</v>
      </c>
      <c r="P453" s="105" t="s">
        <v>1116</v>
      </c>
      <c r="Q453" s="111"/>
      <c r="R453" s="229"/>
    </row>
    <row r="454" spans="2:18" ht="15.75" x14ac:dyDescent="0.2">
      <c r="B454" s="102">
        <v>44715</v>
      </c>
      <c r="C454" s="67"/>
      <c r="D454" s="14" t="s">
        <v>878</v>
      </c>
      <c r="E454" s="14" t="s">
        <v>26</v>
      </c>
      <c r="F454" s="14" t="s">
        <v>18</v>
      </c>
      <c r="G454" s="15">
        <v>1</v>
      </c>
      <c r="H454" s="378">
        <v>1000000</v>
      </c>
      <c r="I454" s="258">
        <f>List34[[#This Row],[Pengajuan Donasi]]</f>
        <v>1000000</v>
      </c>
      <c r="J454" s="214" t="str">
        <f>IF(List34[[#This Row],[Tanggal Trf]]&gt;0,"Done","-")</f>
        <v>Done</v>
      </c>
      <c r="K454" s="437"/>
      <c r="L454" s="223">
        <v>44722</v>
      </c>
      <c r="M454" s="208" t="s">
        <v>460</v>
      </c>
      <c r="N454" s="100">
        <f>MONTH(List34[[#This Row],[Tanggal Pengajuan]])</f>
        <v>6</v>
      </c>
      <c r="O454" s="183">
        <v>44747</v>
      </c>
      <c r="P454" s="105" t="s">
        <v>1116</v>
      </c>
      <c r="Q454" s="111"/>
      <c r="R454" s="229"/>
    </row>
    <row r="455" spans="2:18" ht="15.75" x14ac:dyDescent="0.2">
      <c r="B455" s="102">
        <v>44715</v>
      </c>
      <c r="C455" s="67"/>
      <c r="D455" s="14" t="s">
        <v>879</v>
      </c>
      <c r="E455" s="14" t="s">
        <v>26</v>
      </c>
      <c r="F455" s="14" t="s">
        <v>18</v>
      </c>
      <c r="G455" s="15">
        <v>1</v>
      </c>
      <c r="H455" s="379">
        <v>1000000</v>
      </c>
      <c r="I455" s="258">
        <f>List34[[#This Row],[Pengajuan Donasi]]</f>
        <v>1000000</v>
      </c>
      <c r="J455" s="214" t="str">
        <f>IF(List34[[#This Row],[Tanggal Trf]]&gt;0,"Done","-")</f>
        <v>Done</v>
      </c>
      <c r="K455" s="437"/>
      <c r="L455" s="223">
        <v>44722</v>
      </c>
      <c r="M455" s="184" t="s">
        <v>462</v>
      </c>
      <c r="N455" s="100">
        <f>MONTH(List34[[#This Row],[Tanggal Pengajuan]])</f>
        <v>6</v>
      </c>
      <c r="O455" s="183">
        <v>44747</v>
      </c>
      <c r="P455" s="105" t="s">
        <v>1116</v>
      </c>
      <c r="Q455" s="111"/>
      <c r="R455" s="229"/>
    </row>
    <row r="456" spans="2:18" ht="29.25" x14ac:dyDescent="0.2">
      <c r="B456" s="102">
        <v>44715</v>
      </c>
      <c r="C456" s="67"/>
      <c r="D456" s="14" t="s">
        <v>951</v>
      </c>
      <c r="E456" s="14" t="s">
        <v>26</v>
      </c>
      <c r="F456" s="14" t="s">
        <v>18</v>
      </c>
      <c r="G456" s="15">
        <v>1</v>
      </c>
      <c r="H456" s="378">
        <v>1000000</v>
      </c>
      <c r="I456" s="258">
        <f>List34[[#This Row],[Pengajuan Donasi]]</f>
        <v>1000000</v>
      </c>
      <c r="J456" s="214" t="str">
        <f>IF(List34[[#This Row],[Tanggal Trf]]&gt;0,"Done","-")</f>
        <v>Done</v>
      </c>
      <c r="K456" s="437"/>
      <c r="L456" s="223">
        <v>44722</v>
      </c>
      <c r="M456" s="208" t="s">
        <v>466</v>
      </c>
      <c r="N456" s="100">
        <f>MONTH(List34[[#This Row],[Tanggal Pengajuan]])</f>
        <v>6</v>
      </c>
      <c r="O456" s="183">
        <v>44747</v>
      </c>
      <c r="P456" s="105" t="s">
        <v>1116</v>
      </c>
      <c r="Q456" s="111"/>
      <c r="R456" s="229"/>
    </row>
    <row r="457" spans="2:18" ht="15.75" x14ac:dyDescent="0.2">
      <c r="B457" s="102">
        <v>44715</v>
      </c>
      <c r="C457" s="67"/>
      <c r="D457" s="14" t="s">
        <v>880</v>
      </c>
      <c r="E457" s="14" t="s">
        <v>26</v>
      </c>
      <c r="F457" s="14" t="s">
        <v>18</v>
      </c>
      <c r="G457" s="15">
        <v>1</v>
      </c>
      <c r="H457" s="379">
        <v>1000000</v>
      </c>
      <c r="I457" s="258">
        <f>List34[[#This Row],[Pengajuan Donasi]]</f>
        <v>1000000</v>
      </c>
      <c r="J457" s="214" t="str">
        <f>IF(List34[[#This Row],[Tanggal Trf]]&gt;0,"Done","-")</f>
        <v>Done</v>
      </c>
      <c r="K457" s="437"/>
      <c r="L457" s="223">
        <v>44722</v>
      </c>
      <c r="M457" s="184" t="s">
        <v>470</v>
      </c>
      <c r="N457" s="100">
        <f>MONTH(List34[[#This Row],[Tanggal Pengajuan]])</f>
        <v>6</v>
      </c>
      <c r="O457" s="183">
        <v>44747</v>
      </c>
      <c r="P457" s="105" t="s">
        <v>1116</v>
      </c>
      <c r="Q457" s="111"/>
      <c r="R457" s="229"/>
    </row>
    <row r="458" spans="2:18" ht="29.25" x14ac:dyDescent="0.2">
      <c r="B458" s="102">
        <v>44715</v>
      </c>
      <c r="C458" s="67"/>
      <c r="D458" s="14" t="s">
        <v>952</v>
      </c>
      <c r="E458" s="14" t="s">
        <v>26</v>
      </c>
      <c r="F458" s="14" t="s">
        <v>18</v>
      </c>
      <c r="G458" s="15">
        <v>1</v>
      </c>
      <c r="H458" s="378">
        <v>1000000</v>
      </c>
      <c r="I458" s="258">
        <f>List34[[#This Row],[Pengajuan Donasi]]</f>
        <v>1000000</v>
      </c>
      <c r="J458" s="214" t="str">
        <f>IF(List34[[#This Row],[Tanggal Trf]]&gt;0,"Done","-")</f>
        <v>Done</v>
      </c>
      <c r="K458" s="437"/>
      <c r="L458" s="223">
        <v>44722</v>
      </c>
      <c r="M458" s="208" t="s">
        <v>519</v>
      </c>
      <c r="N458" s="100">
        <f>MONTH(List34[[#This Row],[Tanggal Pengajuan]])</f>
        <v>6</v>
      </c>
      <c r="O458" s="183">
        <v>44747</v>
      </c>
      <c r="P458" s="105" t="s">
        <v>1116</v>
      </c>
      <c r="Q458" s="111"/>
      <c r="R458" s="229"/>
    </row>
    <row r="459" spans="2:18" ht="29.25" x14ac:dyDescent="0.2">
      <c r="B459" s="102">
        <v>44715</v>
      </c>
      <c r="C459" s="67"/>
      <c r="D459" s="14" t="s">
        <v>881</v>
      </c>
      <c r="E459" s="14" t="s">
        <v>26</v>
      </c>
      <c r="F459" s="14" t="s">
        <v>18</v>
      </c>
      <c r="G459" s="15">
        <v>1</v>
      </c>
      <c r="H459" s="379">
        <v>1000000</v>
      </c>
      <c r="I459" s="258">
        <f>List34[[#This Row],[Pengajuan Donasi]]</f>
        <v>1000000</v>
      </c>
      <c r="J459" s="214" t="str">
        <f>IF(List34[[#This Row],[Tanggal Trf]]&gt;0,"Done","-")</f>
        <v>Done</v>
      </c>
      <c r="K459" s="437"/>
      <c r="L459" s="223">
        <v>44722</v>
      </c>
      <c r="M459" s="184" t="s">
        <v>476</v>
      </c>
      <c r="N459" s="100">
        <f>MONTH(List34[[#This Row],[Tanggal Pengajuan]])</f>
        <v>6</v>
      </c>
      <c r="O459" s="183">
        <v>44747</v>
      </c>
      <c r="P459" s="105" t="s">
        <v>1116</v>
      </c>
      <c r="Q459" s="111"/>
      <c r="R459" s="229"/>
    </row>
    <row r="460" spans="2:18" ht="29.25" x14ac:dyDescent="0.2">
      <c r="B460" s="102">
        <v>44715</v>
      </c>
      <c r="C460" s="67"/>
      <c r="D460" s="14" t="s">
        <v>882</v>
      </c>
      <c r="E460" s="14" t="s">
        <v>26</v>
      </c>
      <c r="F460" s="14" t="s">
        <v>18</v>
      </c>
      <c r="G460" s="15">
        <v>1</v>
      </c>
      <c r="H460" s="380">
        <v>750000</v>
      </c>
      <c r="I460" s="258">
        <f>List34[[#This Row],[Pengajuan Donasi]]</f>
        <v>750000</v>
      </c>
      <c r="J460" s="214" t="str">
        <f>IF(List34[[#This Row],[Tanggal Trf]]&gt;0,"Done","-")</f>
        <v>Done</v>
      </c>
      <c r="K460" s="437"/>
      <c r="L460" s="223">
        <v>44722</v>
      </c>
      <c r="M460" s="208" t="s">
        <v>479</v>
      </c>
      <c r="N460" s="100">
        <f>MONTH(List34[[#This Row],[Tanggal Pengajuan]])</f>
        <v>6</v>
      </c>
      <c r="O460" s="183">
        <v>44747</v>
      </c>
      <c r="P460" s="105" t="s">
        <v>1116</v>
      </c>
      <c r="Q460" s="111"/>
      <c r="R460" s="229"/>
    </row>
    <row r="461" spans="2:18" ht="15.75" x14ac:dyDescent="0.2">
      <c r="B461" s="102">
        <v>44715</v>
      </c>
      <c r="C461" s="67"/>
      <c r="D461" s="14" t="s">
        <v>883</v>
      </c>
      <c r="E461" s="14" t="s">
        <v>26</v>
      </c>
      <c r="F461" s="14" t="s">
        <v>18</v>
      </c>
      <c r="G461" s="15">
        <v>1</v>
      </c>
      <c r="H461" s="377">
        <v>750000</v>
      </c>
      <c r="I461" s="258">
        <f>List34[[#This Row],[Pengajuan Donasi]]</f>
        <v>750000</v>
      </c>
      <c r="J461" s="214" t="str">
        <f>IF(List34[[#This Row],[Tanggal Trf]]&gt;0,"Done","-")</f>
        <v>Done</v>
      </c>
      <c r="K461" s="437"/>
      <c r="L461" s="223">
        <v>44722</v>
      </c>
      <c r="M461" s="184" t="s">
        <v>481</v>
      </c>
      <c r="N461" s="100">
        <f>MONTH(List34[[#This Row],[Tanggal Pengajuan]])</f>
        <v>6</v>
      </c>
      <c r="O461" s="183">
        <v>44747</v>
      </c>
      <c r="P461" s="105" t="s">
        <v>1116</v>
      </c>
      <c r="Q461" s="111"/>
      <c r="R461" s="229"/>
    </row>
    <row r="462" spans="2:18" ht="29.25" x14ac:dyDescent="0.2">
      <c r="B462" s="102">
        <v>44715</v>
      </c>
      <c r="C462" s="67"/>
      <c r="D462" s="14" t="s">
        <v>953</v>
      </c>
      <c r="E462" s="14" t="s">
        <v>26</v>
      </c>
      <c r="F462" s="14" t="s">
        <v>18</v>
      </c>
      <c r="G462" s="15">
        <v>1</v>
      </c>
      <c r="H462" s="380">
        <v>1000000</v>
      </c>
      <c r="I462" s="258">
        <f>List34[[#This Row],[Pengajuan Donasi]]</f>
        <v>1000000</v>
      </c>
      <c r="J462" s="214" t="str">
        <f>IF(List34[[#This Row],[Tanggal Trf]]&gt;0,"Done","-")</f>
        <v>Done</v>
      </c>
      <c r="K462" s="437"/>
      <c r="L462" s="223">
        <v>44722</v>
      </c>
      <c r="M462" s="208" t="s">
        <v>873</v>
      </c>
      <c r="N462" s="100">
        <f>MONTH(List34[[#This Row],[Tanggal Pengajuan]])</f>
        <v>6</v>
      </c>
      <c r="O462" s="183">
        <v>44747</v>
      </c>
      <c r="P462" s="105" t="s">
        <v>1116</v>
      </c>
      <c r="Q462" s="111"/>
      <c r="R462" s="229"/>
    </row>
    <row r="463" spans="2:18" ht="29.25" x14ac:dyDescent="0.2">
      <c r="B463" s="102">
        <v>44715</v>
      </c>
      <c r="C463" s="67"/>
      <c r="D463" s="14" t="s">
        <v>954</v>
      </c>
      <c r="E463" s="14" t="s">
        <v>26</v>
      </c>
      <c r="F463" s="14" t="s">
        <v>18</v>
      </c>
      <c r="G463" s="15">
        <v>1</v>
      </c>
      <c r="H463" s="377">
        <v>1000000</v>
      </c>
      <c r="I463" s="258">
        <f>List34[[#This Row],[Pengajuan Donasi]]</f>
        <v>1000000</v>
      </c>
      <c r="J463" s="214" t="str">
        <f>IF(List34[[#This Row],[Tanggal Trf]]&gt;0,"Done","-")</f>
        <v>Done</v>
      </c>
      <c r="K463" s="437"/>
      <c r="L463" s="223">
        <v>44722</v>
      </c>
      <c r="M463" s="204" t="s">
        <v>874</v>
      </c>
      <c r="N463" s="100">
        <f>MONTH(List34[[#This Row],[Tanggal Pengajuan]])</f>
        <v>6</v>
      </c>
      <c r="O463" s="183">
        <v>44747</v>
      </c>
      <c r="P463" s="105" t="s">
        <v>1116</v>
      </c>
      <c r="Q463" s="111"/>
      <c r="R463" s="229"/>
    </row>
    <row r="464" spans="2:18" ht="29.25" x14ac:dyDescent="0.2">
      <c r="B464" s="102">
        <v>44715</v>
      </c>
      <c r="C464" s="67"/>
      <c r="D464" s="14" t="s">
        <v>955</v>
      </c>
      <c r="E464" s="14" t="s">
        <v>26</v>
      </c>
      <c r="F464" s="14" t="s">
        <v>18</v>
      </c>
      <c r="G464" s="15">
        <v>1</v>
      </c>
      <c r="H464" s="377">
        <v>1000000</v>
      </c>
      <c r="I464" s="258">
        <f>List34[[#This Row],[Pengajuan Donasi]]</f>
        <v>1000000</v>
      </c>
      <c r="J464" s="214" t="str">
        <f>IF(List34[[#This Row],[Tanggal Trf]]&gt;0,"Done","-")</f>
        <v>Done</v>
      </c>
      <c r="K464" s="437"/>
      <c r="L464" s="223">
        <v>44722</v>
      </c>
      <c r="M464" s="20" t="s">
        <v>762</v>
      </c>
      <c r="N464" s="100">
        <f>MONTH(List34[[#This Row],[Tanggal Pengajuan]])</f>
        <v>6</v>
      </c>
      <c r="O464" s="183">
        <v>44747</v>
      </c>
      <c r="P464" s="105" t="s">
        <v>1116</v>
      </c>
      <c r="Q464" s="111"/>
      <c r="R464" s="229"/>
    </row>
    <row r="465" spans="2:18" ht="15.75" x14ac:dyDescent="0.2">
      <c r="B465" s="102">
        <v>44715</v>
      </c>
      <c r="C465" s="67" t="s">
        <v>1079</v>
      </c>
      <c r="D465" s="14" t="s">
        <v>486</v>
      </c>
      <c r="E465" s="103" t="s">
        <v>179</v>
      </c>
      <c r="F465" s="103" t="s">
        <v>18</v>
      </c>
      <c r="G465" s="15">
        <v>44</v>
      </c>
      <c r="H465" s="258">
        <v>2640000</v>
      </c>
      <c r="I465" s="258">
        <f>List34[[#This Row],[Pengajuan Donasi]]</f>
        <v>2640000</v>
      </c>
      <c r="J465" s="214" t="str">
        <f>IF(List34[[#This Row],[Tanggal Trf]]&gt;0,"Done","-")</f>
        <v>Done</v>
      </c>
      <c r="K465" s="437"/>
      <c r="L465" s="223">
        <v>44721</v>
      </c>
      <c r="M465" s="100" t="s">
        <v>709</v>
      </c>
      <c r="N465" s="100">
        <f>MONTH(List34[[#This Row],[Tanggal Pengajuan]])</f>
        <v>6</v>
      </c>
      <c r="O465" s="183">
        <v>44748</v>
      </c>
      <c r="P465" s="105" t="s">
        <v>1116</v>
      </c>
      <c r="Q465" s="111"/>
      <c r="R465" s="229"/>
    </row>
    <row r="466" spans="2:18" ht="29.25" x14ac:dyDescent="0.2">
      <c r="B466" s="102">
        <v>44715</v>
      </c>
      <c r="C466" s="67" t="s">
        <v>1080</v>
      </c>
      <c r="D466" s="14" t="s">
        <v>392</v>
      </c>
      <c r="E466" s="103" t="s">
        <v>57</v>
      </c>
      <c r="F466" s="103" t="s">
        <v>18</v>
      </c>
      <c r="G466" s="15">
        <v>75</v>
      </c>
      <c r="H466" s="258">
        <v>10000000</v>
      </c>
      <c r="I466" s="258">
        <f>List34[[#This Row],[Pengajuan Donasi]]</f>
        <v>10000000</v>
      </c>
      <c r="J466" s="214" t="str">
        <f>IF(List34[[#This Row],[Tanggal Trf]]&gt;0,"Done","-")</f>
        <v>Done</v>
      </c>
      <c r="K466" s="437"/>
      <c r="L466" s="223">
        <v>44721</v>
      </c>
      <c r="M466" s="100" t="s">
        <v>540</v>
      </c>
      <c r="N466" s="100">
        <f>MONTH(List34[[#This Row],[Tanggal Pengajuan]])</f>
        <v>6</v>
      </c>
      <c r="O466" s="183">
        <v>44748</v>
      </c>
      <c r="P466" s="105" t="s">
        <v>1116</v>
      </c>
      <c r="Q466" s="111"/>
      <c r="R466" s="229"/>
    </row>
    <row r="467" spans="2:18" ht="29.25" x14ac:dyDescent="0.2">
      <c r="B467" s="102">
        <v>44715</v>
      </c>
      <c r="C467" s="67" t="s">
        <v>1081</v>
      </c>
      <c r="D467" s="103" t="s">
        <v>429</v>
      </c>
      <c r="E467" s="103" t="s">
        <v>57</v>
      </c>
      <c r="F467" s="103" t="s">
        <v>18</v>
      </c>
      <c r="G467" s="15">
        <v>38</v>
      </c>
      <c r="H467" s="258">
        <v>15000000</v>
      </c>
      <c r="I467" s="258">
        <f>List34[[#This Row],[Pengajuan Donasi]]</f>
        <v>15000000</v>
      </c>
      <c r="J467" s="214" t="str">
        <f>IF(List34[[#This Row],[Tanggal Trf]]&gt;0,"Done","-")</f>
        <v>Done</v>
      </c>
      <c r="K467" s="437"/>
      <c r="L467" s="223">
        <v>44721</v>
      </c>
      <c r="M467" s="105" t="s">
        <v>537</v>
      </c>
      <c r="N467" s="100">
        <f>MONTH(List34[[#This Row],[Tanggal Pengajuan]])</f>
        <v>6</v>
      </c>
      <c r="O467" s="183">
        <v>44748</v>
      </c>
      <c r="P467" s="105" t="s">
        <v>1116</v>
      </c>
      <c r="Q467" s="111"/>
      <c r="R467" s="229"/>
    </row>
    <row r="468" spans="2:18" ht="29.25" x14ac:dyDescent="0.2">
      <c r="B468" s="102">
        <v>44715</v>
      </c>
      <c r="C468" s="67" t="s">
        <v>1082</v>
      </c>
      <c r="D468" s="14" t="s">
        <v>420</v>
      </c>
      <c r="E468" s="103" t="s">
        <v>57</v>
      </c>
      <c r="F468" s="103" t="s">
        <v>18</v>
      </c>
      <c r="G468" s="15">
        <v>29</v>
      </c>
      <c r="H468" s="258">
        <v>10000000</v>
      </c>
      <c r="I468" s="258">
        <f>List34[[#This Row],[Pengajuan Donasi]]</f>
        <v>10000000</v>
      </c>
      <c r="J468" s="214" t="str">
        <f>IF(List34[[#This Row],[Tanggal Trf]]&gt;0,"Done","-")</f>
        <v>Done</v>
      </c>
      <c r="K468" s="437"/>
      <c r="L468" s="223">
        <v>44721</v>
      </c>
      <c r="M468" s="100" t="s">
        <v>534</v>
      </c>
      <c r="N468" s="100">
        <f>MONTH(List34[[#This Row],[Tanggal Pengajuan]])</f>
        <v>6</v>
      </c>
      <c r="O468" s="183">
        <v>44748</v>
      </c>
      <c r="P468" s="105" t="s">
        <v>1116</v>
      </c>
      <c r="Q468" s="111"/>
      <c r="R468" s="229"/>
    </row>
    <row r="469" spans="2:18" ht="29.25" x14ac:dyDescent="0.2">
      <c r="B469" s="102">
        <v>44715</v>
      </c>
      <c r="C469" s="67" t="s">
        <v>1083</v>
      </c>
      <c r="D469" s="103" t="s">
        <v>426</v>
      </c>
      <c r="E469" s="14" t="s">
        <v>57</v>
      </c>
      <c r="F469" s="14" t="s">
        <v>18</v>
      </c>
      <c r="G469" s="15">
        <v>31</v>
      </c>
      <c r="H469" s="258">
        <v>10000000</v>
      </c>
      <c r="I469" s="258">
        <f>List34[[#This Row],[Pengajuan Donasi]]</f>
        <v>10000000</v>
      </c>
      <c r="J469" s="214" t="str">
        <f>IF(List34[[#This Row],[Tanggal Trf]]&gt;0,"Done","-")</f>
        <v>Done</v>
      </c>
      <c r="K469" s="437"/>
      <c r="L469" s="223">
        <v>44721</v>
      </c>
      <c r="M469" s="100" t="s">
        <v>655</v>
      </c>
      <c r="N469" s="100">
        <f>MONTH(List34[[#This Row],[Tanggal Pengajuan]])</f>
        <v>6</v>
      </c>
      <c r="O469" s="183">
        <v>44748</v>
      </c>
      <c r="P469" s="105" t="s">
        <v>1116</v>
      </c>
      <c r="Q469" s="111"/>
      <c r="R469" s="229"/>
    </row>
    <row r="470" spans="2:18" ht="29.25" x14ac:dyDescent="0.2">
      <c r="B470" s="102">
        <v>44715</v>
      </c>
      <c r="C470" s="67" t="s">
        <v>1084</v>
      </c>
      <c r="D470" s="103" t="s">
        <v>413</v>
      </c>
      <c r="E470" s="14" t="s">
        <v>57</v>
      </c>
      <c r="F470" s="14" t="s">
        <v>18</v>
      </c>
      <c r="G470" s="15">
        <v>16</v>
      </c>
      <c r="H470" s="258">
        <v>10000000</v>
      </c>
      <c r="I470" s="258">
        <f>List34[[#This Row],[Pengajuan Donasi]]</f>
        <v>10000000</v>
      </c>
      <c r="J470" s="214" t="str">
        <f>IF(List34[[#This Row],[Tanggal Trf]]&gt;0,"Done","-")</f>
        <v>Done</v>
      </c>
      <c r="K470" s="440"/>
      <c r="L470" s="223">
        <v>44722</v>
      </c>
      <c r="M470" s="105" t="s">
        <v>544</v>
      </c>
      <c r="N470" s="100">
        <f>MONTH(List34[[#This Row],[Tanggal Pengajuan]])</f>
        <v>6</v>
      </c>
      <c r="O470" s="183">
        <v>44748</v>
      </c>
      <c r="P470" s="105" t="s">
        <v>1116</v>
      </c>
      <c r="Q470" s="111"/>
      <c r="R470" s="229"/>
    </row>
    <row r="471" spans="2:18" ht="29.25" x14ac:dyDescent="0.2">
      <c r="B471" s="102">
        <v>44715</v>
      </c>
      <c r="C471" s="67" t="s">
        <v>1085</v>
      </c>
      <c r="D471" s="14" t="s">
        <v>407</v>
      </c>
      <c r="E471" s="103" t="s">
        <v>57</v>
      </c>
      <c r="F471" s="103" t="s">
        <v>18</v>
      </c>
      <c r="G471" s="15">
        <v>64</v>
      </c>
      <c r="H471" s="258">
        <v>10000000</v>
      </c>
      <c r="I471" s="258">
        <f>List34[[#This Row],[Pengajuan Donasi]]</f>
        <v>10000000</v>
      </c>
      <c r="J471" s="214" t="str">
        <f>IF(List34[[#This Row],[Tanggal Trf]]&gt;0,"Done","-")</f>
        <v>Done</v>
      </c>
      <c r="K471" s="437"/>
      <c r="L471" s="223">
        <v>44721</v>
      </c>
      <c r="M471" s="105" t="s">
        <v>661</v>
      </c>
      <c r="N471" s="100">
        <f>MONTH(List34[[#This Row],[Tanggal Pengajuan]])</f>
        <v>6</v>
      </c>
      <c r="O471" s="183">
        <v>44748</v>
      </c>
      <c r="P471" s="105" t="s">
        <v>1116</v>
      </c>
      <c r="Q471" s="111"/>
      <c r="R471" s="229"/>
    </row>
    <row r="472" spans="2:18" ht="15.75" x14ac:dyDescent="0.2">
      <c r="B472" s="102">
        <v>44715</v>
      </c>
      <c r="C472" s="67" t="s">
        <v>1086</v>
      </c>
      <c r="D472" s="103" t="s">
        <v>916</v>
      </c>
      <c r="E472" s="14" t="s">
        <v>26</v>
      </c>
      <c r="F472" s="14" t="s">
        <v>18</v>
      </c>
      <c r="G472" s="15">
        <v>1</v>
      </c>
      <c r="H472" s="258">
        <v>500000</v>
      </c>
      <c r="I472" s="258">
        <f>List34[[#This Row],[Pengajuan Donasi]]</f>
        <v>500000</v>
      </c>
      <c r="J472" s="214" t="str">
        <f>IF(List34[[#This Row],[Tanggal Trf]]&gt;0,"Done","-")</f>
        <v>Done</v>
      </c>
      <c r="K472" s="445"/>
      <c r="L472" s="221">
        <v>44814</v>
      </c>
      <c r="M472" s="403" t="s">
        <v>895</v>
      </c>
      <c r="N472" s="100">
        <f>MONTH(List34[[#This Row],[Tanggal Pengajuan]])</f>
        <v>6</v>
      </c>
      <c r="O472" s="183">
        <v>44748</v>
      </c>
      <c r="P472" s="105" t="s">
        <v>1116</v>
      </c>
      <c r="Q472" s="111"/>
      <c r="R472" s="229"/>
    </row>
    <row r="473" spans="2:18" ht="15.75" x14ac:dyDescent="0.2">
      <c r="B473" s="102">
        <v>44715</v>
      </c>
      <c r="C473" s="67"/>
      <c r="D473" s="103" t="s">
        <v>917</v>
      </c>
      <c r="E473" s="14" t="s">
        <v>26</v>
      </c>
      <c r="F473" s="14" t="s">
        <v>18</v>
      </c>
      <c r="G473" s="15">
        <v>1</v>
      </c>
      <c r="H473" s="258">
        <v>500000</v>
      </c>
      <c r="I473" s="258">
        <f>List34[[#This Row],[Pengajuan Donasi]]</f>
        <v>500000</v>
      </c>
      <c r="J473" s="214" t="str">
        <f>IF(List34[[#This Row],[Tanggal Trf]]&gt;0,"Done","-")</f>
        <v>Done</v>
      </c>
      <c r="K473" s="445"/>
      <c r="L473" s="221">
        <v>44814</v>
      </c>
      <c r="M473" s="403" t="s">
        <v>894</v>
      </c>
      <c r="N473" s="100">
        <f>MONTH(List34[[#This Row],[Tanggal Pengajuan]])</f>
        <v>6</v>
      </c>
      <c r="O473" s="183">
        <v>44748</v>
      </c>
      <c r="P473" s="105" t="s">
        <v>1116</v>
      </c>
      <c r="Q473" s="111"/>
      <c r="R473" s="229"/>
    </row>
    <row r="474" spans="2:18" ht="15.75" x14ac:dyDescent="0.2">
      <c r="B474" s="102">
        <v>44715</v>
      </c>
      <c r="C474" s="67"/>
      <c r="D474" s="103" t="s">
        <v>918</v>
      </c>
      <c r="E474" s="14" t="s">
        <v>26</v>
      </c>
      <c r="F474" s="14" t="s">
        <v>18</v>
      </c>
      <c r="G474" s="15">
        <v>1</v>
      </c>
      <c r="H474" s="258">
        <v>500000</v>
      </c>
      <c r="I474" s="258">
        <f>List34[[#This Row],[Pengajuan Donasi]]</f>
        <v>500000</v>
      </c>
      <c r="J474" s="214" t="str">
        <f>IF(List34[[#This Row],[Tanggal Trf]]&gt;0,"Done","-")</f>
        <v>Done</v>
      </c>
      <c r="K474" s="445"/>
      <c r="L474" s="221">
        <v>44814</v>
      </c>
      <c r="M474" s="403" t="s">
        <v>896</v>
      </c>
      <c r="N474" s="100">
        <f>MONTH(List34[[#This Row],[Tanggal Pengajuan]])</f>
        <v>6</v>
      </c>
      <c r="O474" s="183">
        <v>44748</v>
      </c>
      <c r="P474" s="105" t="s">
        <v>1116</v>
      </c>
      <c r="Q474" s="111"/>
      <c r="R474" s="229"/>
    </row>
    <row r="475" spans="2:18" ht="15.75" x14ac:dyDescent="0.2">
      <c r="B475" s="102">
        <v>44715</v>
      </c>
      <c r="C475" s="67"/>
      <c r="D475" s="103" t="s">
        <v>919</v>
      </c>
      <c r="E475" s="14" t="s">
        <v>26</v>
      </c>
      <c r="F475" s="14" t="s">
        <v>18</v>
      </c>
      <c r="G475" s="15">
        <v>1</v>
      </c>
      <c r="H475" s="258">
        <v>500000</v>
      </c>
      <c r="I475" s="258">
        <f>List34[[#This Row],[Pengajuan Donasi]]</f>
        <v>500000</v>
      </c>
      <c r="J475" s="214" t="str">
        <f>IF(List34[[#This Row],[Tanggal Trf]]&gt;0,"Done","-")</f>
        <v>Done</v>
      </c>
      <c r="K475" s="445"/>
      <c r="L475" s="221">
        <v>44814</v>
      </c>
      <c r="M475" s="403" t="s">
        <v>897</v>
      </c>
      <c r="N475" s="100">
        <f>MONTH(List34[[#This Row],[Tanggal Pengajuan]])</f>
        <v>6</v>
      </c>
      <c r="O475" s="183">
        <v>44748</v>
      </c>
      <c r="P475" s="105" t="s">
        <v>1116</v>
      </c>
      <c r="Q475" s="111"/>
      <c r="R475" s="229"/>
    </row>
    <row r="476" spans="2:18" ht="15.75" x14ac:dyDescent="0.2">
      <c r="B476" s="102">
        <v>44715</v>
      </c>
      <c r="C476" s="67"/>
      <c r="D476" s="103" t="s">
        <v>920</v>
      </c>
      <c r="E476" s="14" t="s">
        <v>26</v>
      </c>
      <c r="F476" s="14" t="s">
        <v>18</v>
      </c>
      <c r="G476" s="15">
        <v>1</v>
      </c>
      <c r="H476" s="258">
        <v>500000</v>
      </c>
      <c r="I476" s="258">
        <f>List34[[#This Row],[Pengajuan Donasi]]</f>
        <v>500000</v>
      </c>
      <c r="J476" s="214" t="str">
        <f>IF(List34[[#This Row],[Tanggal Trf]]&gt;0,"Done","-")</f>
        <v>Done</v>
      </c>
      <c r="K476" s="445"/>
      <c r="L476" s="221">
        <v>44814</v>
      </c>
      <c r="M476" s="403" t="s">
        <v>915</v>
      </c>
      <c r="N476" s="100">
        <f>MONTH(List34[[#This Row],[Tanggal Pengajuan]])</f>
        <v>6</v>
      </c>
      <c r="O476" s="183">
        <v>44748</v>
      </c>
      <c r="P476" s="105" t="s">
        <v>1116</v>
      </c>
      <c r="Q476" s="111"/>
      <c r="R476" s="229"/>
    </row>
    <row r="477" spans="2:18" ht="15.75" x14ac:dyDescent="0.2">
      <c r="B477" s="102">
        <v>44715</v>
      </c>
      <c r="C477" s="67"/>
      <c r="D477" s="103" t="s">
        <v>921</v>
      </c>
      <c r="E477" s="14" t="s">
        <v>26</v>
      </c>
      <c r="F477" s="14" t="s">
        <v>18</v>
      </c>
      <c r="G477" s="15">
        <v>1</v>
      </c>
      <c r="H477" s="258">
        <v>500000</v>
      </c>
      <c r="I477" s="258">
        <f>List34[[#This Row],[Pengajuan Donasi]]</f>
        <v>500000</v>
      </c>
      <c r="J477" s="214" t="str">
        <f>IF(List34[[#This Row],[Tanggal Trf]]&gt;0,"Done","-")</f>
        <v>Done</v>
      </c>
      <c r="K477" s="445"/>
      <c r="L477" s="221">
        <v>44814</v>
      </c>
      <c r="M477" t="s">
        <v>1014</v>
      </c>
      <c r="N477" s="100">
        <f>MONTH(List34[[#This Row],[Tanggal Pengajuan]])</f>
        <v>6</v>
      </c>
      <c r="O477" s="183">
        <v>44748</v>
      </c>
      <c r="P477" s="105" t="s">
        <v>1116</v>
      </c>
      <c r="Q477" s="111"/>
      <c r="R477" s="229"/>
    </row>
    <row r="478" spans="2:18" ht="15.75" x14ac:dyDescent="0.2">
      <c r="B478" s="102">
        <v>44715</v>
      </c>
      <c r="C478" s="67"/>
      <c r="D478" s="103" t="s">
        <v>922</v>
      </c>
      <c r="E478" s="14" t="s">
        <v>26</v>
      </c>
      <c r="F478" s="14" t="s">
        <v>18</v>
      </c>
      <c r="G478" s="15">
        <v>1</v>
      </c>
      <c r="H478" s="258">
        <v>500000</v>
      </c>
      <c r="I478" s="258">
        <f>List34[[#This Row],[Pengajuan Donasi]]</f>
        <v>500000</v>
      </c>
      <c r="J478" s="213" t="str">
        <f>IF(List34[[#This Row],[Tanggal Trf]]&gt;0,"Done","-")</f>
        <v>Done</v>
      </c>
      <c r="K478" s="445"/>
      <c r="L478" s="221">
        <v>44814</v>
      </c>
      <c r="M478" s="403" t="s">
        <v>899</v>
      </c>
      <c r="N478" s="100">
        <f>MONTH(List34[[#This Row],[Tanggal Pengajuan]])</f>
        <v>6</v>
      </c>
      <c r="O478" s="183">
        <v>44748</v>
      </c>
      <c r="P478" s="105" t="s">
        <v>1116</v>
      </c>
      <c r="Q478" s="111"/>
      <c r="R478" s="229"/>
    </row>
    <row r="479" spans="2:18" ht="15.75" x14ac:dyDescent="0.2">
      <c r="B479" s="102">
        <v>44715</v>
      </c>
      <c r="C479" s="67"/>
      <c r="D479" s="103" t="s">
        <v>923</v>
      </c>
      <c r="E479" s="14" t="s">
        <v>26</v>
      </c>
      <c r="F479" s="14" t="s">
        <v>18</v>
      </c>
      <c r="G479" s="15">
        <v>1</v>
      </c>
      <c r="H479" s="258">
        <v>500000</v>
      </c>
      <c r="I479" s="258">
        <f>List34[[#This Row],[Pengajuan Donasi]]</f>
        <v>500000</v>
      </c>
      <c r="J479" s="213" t="str">
        <f>IF(List34[[#This Row],[Tanggal Trf]]&gt;0,"Done","-")</f>
        <v>Done</v>
      </c>
      <c r="K479" s="445"/>
      <c r="L479" s="221">
        <v>44814</v>
      </c>
      <c r="M479" s="403" t="s">
        <v>900</v>
      </c>
      <c r="N479" s="100">
        <f>MONTH(List34[[#This Row],[Tanggal Pengajuan]])</f>
        <v>6</v>
      </c>
      <c r="O479" s="183">
        <v>44748</v>
      </c>
      <c r="P479" s="105" t="s">
        <v>1116</v>
      </c>
      <c r="Q479" s="111"/>
      <c r="R479" s="229"/>
    </row>
    <row r="480" spans="2:18" ht="15.75" x14ac:dyDescent="0.2">
      <c r="B480" s="102">
        <v>44715</v>
      </c>
      <c r="C480" s="67"/>
      <c r="D480" s="103" t="s">
        <v>924</v>
      </c>
      <c r="E480" s="14" t="s">
        <v>26</v>
      </c>
      <c r="F480" s="14" t="s">
        <v>18</v>
      </c>
      <c r="G480" s="15">
        <v>1</v>
      </c>
      <c r="H480" s="258">
        <v>500000</v>
      </c>
      <c r="I480" s="258">
        <f>List34[[#This Row],[Pengajuan Donasi]]</f>
        <v>500000</v>
      </c>
      <c r="J480" s="213" t="str">
        <f>IF(List34[[#This Row],[Tanggal Trf]]&gt;0,"Done","-")</f>
        <v>Done</v>
      </c>
      <c r="K480" s="445"/>
      <c r="L480" s="221">
        <v>44814</v>
      </c>
      <c r="M480" s="403" t="s">
        <v>901</v>
      </c>
      <c r="N480" s="100">
        <f>MONTH(List34[[#This Row],[Tanggal Pengajuan]])</f>
        <v>6</v>
      </c>
      <c r="O480" s="183">
        <v>44748</v>
      </c>
      <c r="P480" s="105" t="s">
        <v>1116</v>
      </c>
      <c r="Q480" s="111"/>
      <c r="R480" s="229"/>
    </row>
    <row r="481" spans="2:18" ht="15.75" x14ac:dyDescent="0.2">
      <c r="B481" s="102">
        <v>44715</v>
      </c>
      <c r="C481" s="67"/>
      <c r="D481" s="103" t="s">
        <v>925</v>
      </c>
      <c r="E481" s="14" t="s">
        <v>26</v>
      </c>
      <c r="F481" s="14" t="s">
        <v>18</v>
      </c>
      <c r="G481" s="15">
        <v>1</v>
      </c>
      <c r="H481" s="258">
        <v>500000</v>
      </c>
      <c r="I481" s="258">
        <f>List34[[#This Row],[Pengajuan Donasi]]</f>
        <v>500000</v>
      </c>
      <c r="J481" s="213" t="str">
        <f>IF(List34[[#This Row],[Tanggal Trf]]&gt;0,"Done","-")</f>
        <v>Done</v>
      </c>
      <c r="K481" s="445"/>
      <c r="L481" s="221">
        <v>44814</v>
      </c>
      <c r="M481" t="s">
        <v>1014</v>
      </c>
      <c r="N481" s="100">
        <f>MONTH(List34[[#This Row],[Tanggal Pengajuan]])</f>
        <v>6</v>
      </c>
      <c r="O481" s="183">
        <v>44748</v>
      </c>
      <c r="P481" s="105" t="s">
        <v>1116</v>
      </c>
      <c r="Q481" s="111"/>
      <c r="R481" s="229"/>
    </row>
    <row r="482" spans="2:18" ht="15.75" x14ac:dyDescent="0.2">
      <c r="B482" s="102">
        <v>44715</v>
      </c>
      <c r="C482" s="67"/>
      <c r="D482" s="103" t="s">
        <v>926</v>
      </c>
      <c r="E482" s="14" t="s">
        <v>26</v>
      </c>
      <c r="F482" s="14" t="s">
        <v>18</v>
      </c>
      <c r="G482" s="15">
        <v>1</v>
      </c>
      <c r="H482" s="258">
        <v>500000</v>
      </c>
      <c r="I482" s="258">
        <f>List34[[#This Row],[Pengajuan Donasi]]</f>
        <v>500000</v>
      </c>
      <c r="J482" s="213" t="str">
        <f>IF(List34[[#This Row],[Tanggal Trf]]&gt;0,"Done","-")</f>
        <v>Done</v>
      </c>
      <c r="K482" s="445"/>
      <c r="L482" s="221">
        <v>44814</v>
      </c>
      <c r="M482" t="s">
        <v>1014</v>
      </c>
      <c r="N482" s="100">
        <f>MONTH(List34[[#This Row],[Tanggal Pengajuan]])</f>
        <v>6</v>
      </c>
      <c r="O482" s="183">
        <v>44748</v>
      </c>
      <c r="P482" s="105" t="s">
        <v>1116</v>
      </c>
      <c r="Q482" s="111"/>
      <c r="R482" s="229"/>
    </row>
    <row r="483" spans="2:18" ht="15.75" x14ac:dyDescent="0.2">
      <c r="B483" s="102">
        <v>44715</v>
      </c>
      <c r="C483" s="67"/>
      <c r="D483" s="103" t="s">
        <v>927</v>
      </c>
      <c r="E483" s="14" t="s">
        <v>26</v>
      </c>
      <c r="F483" s="14" t="s">
        <v>18</v>
      </c>
      <c r="G483" s="15">
        <v>1</v>
      </c>
      <c r="H483" s="258">
        <v>500000</v>
      </c>
      <c r="I483" s="258">
        <f>List34[[#This Row],[Pengajuan Donasi]]</f>
        <v>500000</v>
      </c>
      <c r="J483" s="213" t="str">
        <f>IF(List34[[#This Row],[Tanggal Trf]]&gt;0,"Done","-")</f>
        <v>Done</v>
      </c>
      <c r="K483" s="445"/>
      <c r="L483" s="221">
        <v>44814</v>
      </c>
      <c r="M483" t="s">
        <v>1014</v>
      </c>
      <c r="N483" s="100">
        <f>MONTH(List34[[#This Row],[Tanggal Pengajuan]])</f>
        <v>6</v>
      </c>
      <c r="O483" s="183">
        <v>44748</v>
      </c>
      <c r="P483" s="105" t="s">
        <v>1116</v>
      </c>
      <c r="Q483" s="111"/>
      <c r="R483" s="229"/>
    </row>
    <row r="484" spans="2:18" ht="15.75" x14ac:dyDescent="0.2">
      <c r="B484" s="102">
        <v>44715</v>
      </c>
      <c r="C484" s="67"/>
      <c r="D484" s="103" t="s">
        <v>928</v>
      </c>
      <c r="E484" s="14" t="s">
        <v>26</v>
      </c>
      <c r="F484" s="14" t="s">
        <v>18</v>
      </c>
      <c r="G484" s="15">
        <v>1</v>
      </c>
      <c r="H484" s="258">
        <v>500000</v>
      </c>
      <c r="I484" s="258">
        <f>List34[[#This Row],[Pengajuan Donasi]]</f>
        <v>500000</v>
      </c>
      <c r="J484" s="213" t="str">
        <f>IF(List34[[#This Row],[Tanggal Trf]]&gt;0,"Done","-")</f>
        <v>Done</v>
      </c>
      <c r="K484" s="445"/>
      <c r="L484" s="221">
        <v>44814</v>
      </c>
      <c r="M484" t="s">
        <v>1014</v>
      </c>
      <c r="N484" s="100">
        <f>MONTH(List34[[#This Row],[Tanggal Pengajuan]])</f>
        <v>6</v>
      </c>
      <c r="O484" s="183">
        <v>44748</v>
      </c>
      <c r="P484" s="105" t="s">
        <v>1116</v>
      </c>
      <c r="Q484" s="111"/>
      <c r="R484" s="229"/>
    </row>
    <row r="485" spans="2:18" ht="15.75" x14ac:dyDescent="0.2">
      <c r="B485" s="102">
        <v>44715</v>
      </c>
      <c r="C485" s="67"/>
      <c r="D485" s="103" t="s">
        <v>929</v>
      </c>
      <c r="E485" s="14" t="s">
        <v>26</v>
      </c>
      <c r="F485" s="14" t="s">
        <v>18</v>
      </c>
      <c r="G485" s="15">
        <v>1</v>
      </c>
      <c r="H485" s="258">
        <v>500000</v>
      </c>
      <c r="I485" s="258">
        <f>List34[[#This Row],[Pengajuan Donasi]]</f>
        <v>500000</v>
      </c>
      <c r="J485" s="213" t="str">
        <f>IF(List34[[#This Row],[Tanggal Trf]]&gt;0,"Done","-")</f>
        <v>Done</v>
      </c>
      <c r="K485" s="445"/>
      <c r="L485" s="221">
        <v>44814</v>
      </c>
      <c r="M485" s="403" t="s">
        <v>902</v>
      </c>
      <c r="N485" s="100">
        <f>MONTH(List34[[#This Row],[Tanggal Pengajuan]])</f>
        <v>6</v>
      </c>
      <c r="O485" s="183">
        <v>44748</v>
      </c>
      <c r="P485" s="105" t="s">
        <v>1116</v>
      </c>
      <c r="Q485" s="111"/>
      <c r="R485" s="229"/>
    </row>
    <row r="486" spans="2:18" ht="15.75" x14ac:dyDescent="0.2">
      <c r="B486" s="102">
        <v>44715</v>
      </c>
      <c r="C486" s="67"/>
      <c r="D486" s="103" t="s">
        <v>930</v>
      </c>
      <c r="E486" s="14" t="s">
        <v>26</v>
      </c>
      <c r="F486" s="14" t="s">
        <v>18</v>
      </c>
      <c r="G486" s="15">
        <v>1</v>
      </c>
      <c r="H486" s="258">
        <v>500000</v>
      </c>
      <c r="I486" s="258">
        <f>List34[[#This Row],[Pengajuan Donasi]]</f>
        <v>500000</v>
      </c>
      <c r="J486" s="213" t="str">
        <f>IF(List34[[#This Row],[Tanggal Trf]]&gt;0,"Done","-")</f>
        <v>Done</v>
      </c>
      <c r="K486" s="445"/>
      <c r="L486" s="221">
        <v>44814</v>
      </c>
      <c r="M486" s="403" t="s">
        <v>903</v>
      </c>
      <c r="N486" s="100">
        <f>MONTH(List34[[#This Row],[Tanggal Pengajuan]])</f>
        <v>6</v>
      </c>
      <c r="O486" s="183">
        <v>44748</v>
      </c>
      <c r="P486" s="105" t="s">
        <v>1116</v>
      </c>
      <c r="Q486" s="111"/>
      <c r="R486" s="229"/>
    </row>
    <row r="487" spans="2:18" ht="15.75" x14ac:dyDescent="0.2">
      <c r="B487" s="102">
        <v>44715</v>
      </c>
      <c r="C487" s="67" t="s">
        <v>1087</v>
      </c>
      <c r="D487" s="14" t="s">
        <v>25</v>
      </c>
      <c r="E487" s="14" t="s">
        <v>179</v>
      </c>
      <c r="F487" s="14" t="s">
        <v>18</v>
      </c>
      <c r="G487" s="15">
        <v>12</v>
      </c>
      <c r="H487" s="258">
        <v>2520000</v>
      </c>
      <c r="I487" s="258">
        <f>List34[[#This Row],[Pengajuan Donasi]]</f>
        <v>2520000</v>
      </c>
      <c r="J487" s="213" t="str">
        <f>IF(List34[[#This Row],[Tanggal Trf]]&gt;0,"Done","-")</f>
        <v>Done</v>
      </c>
      <c r="K487" s="437" t="s">
        <v>686</v>
      </c>
      <c r="L487" s="221">
        <v>44721</v>
      </c>
      <c r="M487" s="404" t="s">
        <v>667</v>
      </c>
      <c r="N487" s="100">
        <f>MONTH(List34[[#This Row],[Tanggal Pengajuan]])</f>
        <v>6</v>
      </c>
      <c r="O487" s="183">
        <v>44748</v>
      </c>
      <c r="P487" s="105" t="s">
        <v>1116</v>
      </c>
      <c r="Q487" s="111"/>
      <c r="R487" s="229"/>
    </row>
    <row r="488" spans="2:18" ht="29.25" x14ac:dyDescent="0.2">
      <c r="B488" s="102">
        <v>44715</v>
      </c>
      <c r="C488" s="67" t="s">
        <v>1088</v>
      </c>
      <c r="D488" s="14" t="s">
        <v>256</v>
      </c>
      <c r="E488" s="103" t="s">
        <v>17</v>
      </c>
      <c r="F488" s="103" t="s">
        <v>18</v>
      </c>
      <c r="G488" s="15">
        <v>86</v>
      </c>
      <c r="H488" s="258">
        <v>8500000</v>
      </c>
      <c r="I488" s="258">
        <f>List34[[#This Row],[Pengajuan Donasi]]</f>
        <v>8500000</v>
      </c>
      <c r="J488" s="213" t="str">
        <f>IF(List34[[#This Row],[Tanggal Trf]]&gt;0,"Done","-")</f>
        <v>Done</v>
      </c>
      <c r="K488" s="445"/>
      <c r="L488" s="221">
        <v>44721</v>
      </c>
      <c r="M488" s="403" t="s">
        <v>136</v>
      </c>
      <c r="N488" s="100">
        <f>MONTH(List34[[#This Row],[Tanggal Pengajuan]])</f>
        <v>6</v>
      </c>
      <c r="O488" s="183">
        <v>44748</v>
      </c>
      <c r="P488" s="105" t="s">
        <v>1116</v>
      </c>
      <c r="Q488" s="111"/>
      <c r="R488" s="229"/>
    </row>
    <row r="489" spans="2:18" ht="29.25" x14ac:dyDescent="0.2">
      <c r="B489" s="102">
        <v>44715</v>
      </c>
      <c r="C489" s="181"/>
      <c r="D489" s="14" t="s">
        <v>257</v>
      </c>
      <c r="E489" s="103" t="s">
        <v>17</v>
      </c>
      <c r="F489" s="103" t="s">
        <v>18</v>
      </c>
      <c r="G489" s="469">
        <v>134</v>
      </c>
      <c r="H489" s="258">
        <v>5500000</v>
      </c>
      <c r="I489" s="258">
        <f>List34[[#This Row],[Pengajuan Donasi]]</f>
        <v>5500000</v>
      </c>
      <c r="J489" s="213" t="str">
        <f>IF(List34[[#This Row],[Tanggal Trf]]&gt;0,"Done","-")</f>
        <v>Done</v>
      </c>
      <c r="K489" s="445"/>
      <c r="L489" s="221">
        <v>44721</v>
      </c>
      <c r="M489" s="403" t="s">
        <v>136</v>
      </c>
      <c r="N489" s="100">
        <f>MONTH(List34[[#This Row],[Tanggal Pengajuan]])</f>
        <v>6</v>
      </c>
      <c r="O489" s="183">
        <v>44748</v>
      </c>
      <c r="P489" s="105" t="s">
        <v>1116</v>
      </c>
      <c r="Q489" s="111"/>
      <c r="R489" s="229"/>
    </row>
    <row r="490" spans="2:18" ht="29.25" x14ac:dyDescent="0.2">
      <c r="B490" s="102">
        <v>44715</v>
      </c>
      <c r="C490" s="181"/>
      <c r="D490" s="14" t="s">
        <v>222</v>
      </c>
      <c r="E490" s="176" t="s">
        <v>17</v>
      </c>
      <c r="F490" s="103" t="s">
        <v>18</v>
      </c>
      <c r="G490" s="469">
        <v>38</v>
      </c>
      <c r="H490" s="258">
        <v>5500000</v>
      </c>
      <c r="I490" s="258">
        <f>List34[[#This Row],[Pengajuan Donasi]]</f>
        <v>5500000</v>
      </c>
      <c r="J490" s="213" t="str">
        <f>IF(List34[[#This Row],[Tanggal Trf]]&gt;0,"Done","-")</f>
        <v>Done</v>
      </c>
      <c r="K490" s="445"/>
      <c r="L490" s="221">
        <v>44721</v>
      </c>
      <c r="M490" s="403" t="s">
        <v>136</v>
      </c>
      <c r="N490" s="100">
        <f>MONTH(List34[[#This Row],[Tanggal Pengajuan]])</f>
        <v>6</v>
      </c>
      <c r="O490" s="183">
        <v>44748</v>
      </c>
      <c r="P490" s="105" t="s">
        <v>1116</v>
      </c>
      <c r="Q490" s="111"/>
      <c r="R490" s="229"/>
    </row>
    <row r="491" spans="2:18" ht="15.75" x14ac:dyDescent="0.2">
      <c r="B491" s="102">
        <v>44715</v>
      </c>
      <c r="C491" s="163" t="s">
        <v>1089</v>
      </c>
      <c r="D491" s="164" t="s">
        <v>1098</v>
      </c>
      <c r="E491" s="164" t="s">
        <v>960</v>
      </c>
      <c r="F491" s="168" t="s">
        <v>960</v>
      </c>
      <c r="G491" s="470"/>
      <c r="H491" s="261">
        <v>0</v>
      </c>
      <c r="I491" s="261">
        <f>List34[[#This Row],[Pengajuan Donasi]]</f>
        <v>0</v>
      </c>
      <c r="J491" s="253" t="str">
        <f>IF(List34[[#This Row],[Tanggal Trf]]&gt;0,"Done","-")</f>
        <v>-</v>
      </c>
      <c r="K491" s="447"/>
      <c r="L491" s="221"/>
      <c r="M491" s="405" t="s">
        <v>960</v>
      </c>
      <c r="N491" s="193">
        <f>MONTH(List34[[#This Row],[Tanggal Pengajuan]])</f>
        <v>6</v>
      </c>
      <c r="O491" s="183" t="s">
        <v>960</v>
      </c>
      <c r="P491" s="166" t="s">
        <v>1222</v>
      </c>
      <c r="Q491" s="111"/>
      <c r="R491" s="229"/>
    </row>
    <row r="492" spans="2:18" ht="15.75" x14ac:dyDescent="0.2">
      <c r="B492" s="102">
        <v>44715</v>
      </c>
      <c r="C492" s="163" t="s">
        <v>1090</v>
      </c>
      <c r="D492" s="164" t="s">
        <v>1117</v>
      </c>
      <c r="E492" s="168" t="s">
        <v>179</v>
      </c>
      <c r="F492" s="168" t="s">
        <v>18</v>
      </c>
      <c r="G492" s="178"/>
      <c r="H492" s="412">
        <v>0</v>
      </c>
      <c r="I492" s="261">
        <f>List34[[#This Row],[Pengajuan Donasi]]</f>
        <v>0</v>
      </c>
      <c r="J492" s="253" t="str">
        <f>IF(List34[[#This Row],[Tanggal Trf]]&gt;0,"Done","-")</f>
        <v>-</v>
      </c>
      <c r="K492" s="439"/>
      <c r="L492" s="222"/>
      <c r="M492" s="405" t="s">
        <v>893</v>
      </c>
      <c r="N492" s="193">
        <f>MONTH(List34[[#This Row],[Tanggal Pengajuan]])</f>
        <v>6</v>
      </c>
      <c r="O492" s="194" t="s">
        <v>960</v>
      </c>
      <c r="P492" s="166" t="s">
        <v>1222</v>
      </c>
      <c r="Q492" s="111"/>
      <c r="R492" s="229"/>
    </row>
    <row r="493" spans="2:18" ht="15.75" x14ac:dyDescent="0.2">
      <c r="B493" s="102">
        <v>44715</v>
      </c>
      <c r="C493" s="67" t="s">
        <v>1091</v>
      </c>
      <c r="D493" s="14" t="s">
        <v>48</v>
      </c>
      <c r="E493" s="103" t="s">
        <v>179</v>
      </c>
      <c r="F493" s="103" t="s">
        <v>18</v>
      </c>
      <c r="G493" s="15">
        <v>39</v>
      </c>
      <c r="H493" s="258">
        <v>3325000</v>
      </c>
      <c r="I493" s="258">
        <f>List34[[#This Row],[Pengajuan Donasi]]</f>
        <v>3325000</v>
      </c>
      <c r="J493" s="213" t="str">
        <f>IF(List34[[#This Row],[Tanggal Trf]]&gt;0,"Done","-")</f>
        <v>Done</v>
      </c>
      <c r="K493" s="437"/>
      <c r="L493" s="221">
        <v>44721</v>
      </c>
      <c r="M493" s="403" t="s">
        <v>445</v>
      </c>
      <c r="N493" s="100">
        <f>MONTH(List34[[#This Row],[Tanggal Pengajuan]])</f>
        <v>6</v>
      </c>
      <c r="O493" s="183">
        <v>44748</v>
      </c>
      <c r="P493" s="105" t="s">
        <v>1116</v>
      </c>
      <c r="Q493" s="111"/>
      <c r="R493" s="229"/>
    </row>
    <row r="494" spans="2:18" ht="15.75" x14ac:dyDescent="0.2">
      <c r="B494" s="102">
        <v>44715</v>
      </c>
      <c r="C494" s="67" t="s">
        <v>1092</v>
      </c>
      <c r="D494" s="14" t="s">
        <v>114</v>
      </c>
      <c r="E494" s="103" t="s">
        <v>179</v>
      </c>
      <c r="F494" s="103" t="s">
        <v>18</v>
      </c>
      <c r="G494" s="15">
        <v>115</v>
      </c>
      <c r="H494" s="258">
        <v>11875000</v>
      </c>
      <c r="I494" s="258">
        <f>List34[[#This Row],[Pengajuan Donasi]]</f>
        <v>11875000</v>
      </c>
      <c r="J494" s="213" t="str">
        <f>IF(List34[[#This Row],[Tanggal Trf]]&gt;0,"Done","-")</f>
        <v>Done</v>
      </c>
      <c r="K494" s="437"/>
      <c r="L494" s="221">
        <v>44721</v>
      </c>
      <c r="M494" s="403" t="s">
        <v>733</v>
      </c>
      <c r="N494" s="100">
        <f>MONTH(List34[[#This Row],[Tanggal Pengajuan]])</f>
        <v>6</v>
      </c>
      <c r="O494" s="183">
        <v>44748</v>
      </c>
      <c r="P494" s="105" t="s">
        <v>1116</v>
      </c>
      <c r="Q494" s="111"/>
      <c r="R494" s="229"/>
    </row>
    <row r="495" spans="2:18" ht="15.75" x14ac:dyDescent="0.2">
      <c r="B495" s="102">
        <v>44715</v>
      </c>
      <c r="C495" s="67" t="s">
        <v>1093</v>
      </c>
      <c r="D495" s="14" t="s">
        <v>60</v>
      </c>
      <c r="E495" s="103" t="s">
        <v>179</v>
      </c>
      <c r="F495" s="103" t="s">
        <v>18</v>
      </c>
      <c r="G495" s="15">
        <v>37</v>
      </c>
      <c r="H495" s="258">
        <v>1200000</v>
      </c>
      <c r="I495" s="258">
        <f>List34[[#This Row],[Pengajuan Donasi]]</f>
        <v>1200000</v>
      </c>
      <c r="J495" s="213" t="str">
        <f>IF(List34[[#This Row],[Tanggal Trf]]&gt;0,"Done","-")</f>
        <v>Done</v>
      </c>
      <c r="K495" s="437"/>
      <c r="L495" s="221">
        <v>44721</v>
      </c>
      <c r="M495" s="403" t="s">
        <v>674</v>
      </c>
      <c r="N495" s="100">
        <f>MONTH(List34[[#This Row],[Tanggal Pengajuan]])</f>
        <v>6</v>
      </c>
      <c r="O495" s="183">
        <v>44748</v>
      </c>
      <c r="P495" s="105" t="s">
        <v>1116</v>
      </c>
      <c r="Q495" s="111"/>
      <c r="R495" s="229"/>
    </row>
    <row r="496" spans="2:18" ht="15.75" x14ac:dyDescent="0.2">
      <c r="B496" s="102">
        <v>44715</v>
      </c>
      <c r="C496" s="67" t="s">
        <v>1094</v>
      </c>
      <c r="D496" s="14" t="s">
        <v>129</v>
      </c>
      <c r="E496" s="103" t="s">
        <v>179</v>
      </c>
      <c r="F496" s="103" t="s">
        <v>18</v>
      </c>
      <c r="G496" s="15">
        <v>32</v>
      </c>
      <c r="H496" s="258">
        <v>7950000</v>
      </c>
      <c r="I496" s="258">
        <f>List34[[#This Row],[Pengajuan Donasi]]</f>
        <v>7950000</v>
      </c>
      <c r="J496" s="213" t="str">
        <f>IF(List34[[#This Row],[Tanggal Trf]]&gt;0,"Done","-")</f>
        <v>Done</v>
      </c>
      <c r="K496" s="437"/>
      <c r="L496" s="221">
        <v>44721</v>
      </c>
      <c r="M496" s="403" t="s">
        <v>675</v>
      </c>
      <c r="N496" s="100">
        <f>MONTH(List34[[#This Row],[Tanggal Pengajuan]])</f>
        <v>6</v>
      </c>
      <c r="O496" s="183">
        <v>44749</v>
      </c>
      <c r="P496" s="105" t="s">
        <v>1116</v>
      </c>
      <c r="Q496" s="111"/>
      <c r="R496" s="229"/>
    </row>
    <row r="497" spans="2:18" ht="24.75" x14ac:dyDescent="0.2">
      <c r="B497" s="13">
        <v>44718</v>
      </c>
      <c r="C497" s="67" t="s">
        <v>1095</v>
      </c>
      <c r="D497" s="14" t="s">
        <v>1059</v>
      </c>
      <c r="E497" s="103" t="s">
        <v>1055</v>
      </c>
      <c r="F497" s="103" t="s">
        <v>18</v>
      </c>
      <c r="G497" s="15"/>
      <c r="H497" s="258">
        <v>3008700</v>
      </c>
      <c r="I497" s="258">
        <f>List34[[#This Row],[Pengajuan Donasi]]</f>
        <v>3008700</v>
      </c>
      <c r="J497" s="214" t="str">
        <f>IF(List34[[#This Row],[Tanggal Trf]]&gt;0,"Done","-")</f>
        <v>Done</v>
      </c>
      <c r="K497" s="452" t="s">
        <v>1097</v>
      </c>
      <c r="L497" s="221">
        <v>44757</v>
      </c>
      <c r="M497" s="406" t="s">
        <v>1000</v>
      </c>
      <c r="N497" s="100">
        <f>MONTH(List34[[#This Row],[Tanggal Pengajuan]])</f>
        <v>6</v>
      </c>
      <c r="O497" s="183">
        <v>44889</v>
      </c>
      <c r="P497" s="105" t="s">
        <v>1116</v>
      </c>
      <c r="Q497" s="111"/>
      <c r="R497" s="229"/>
    </row>
    <row r="498" spans="2:18" ht="29.25" x14ac:dyDescent="0.2">
      <c r="B498" s="13">
        <v>44718</v>
      </c>
      <c r="C498" s="67" t="s">
        <v>1096</v>
      </c>
      <c r="D498" s="103" t="s">
        <v>856</v>
      </c>
      <c r="E498" s="103" t="s">
        <v>17</v>
      </c>
      <c r="F498" s="103" t="s">
        <v>18</v>
      </c>
      <c r="G498" s="15">
        <v>32</v>
      </c>
      <c r="H498" s="258">
        <v>6282000</v>
      </c>
      <c r="I498" s="258">
        <f>List34[[#This Row],[Pengajuan Donasi]]</f>
        <v>6282000</v>
      </c>
      <c r="J498" s="214" t="str">
        <f>IF(List34[[#This Row],[Tanggal Trf]]&gt;0,"Done","-")</f>
        <v>Done</v>
      </c>
      <c r="K498" s="437"/>
      <c r="L498" s="221">
        <v>44721</v>
      </c>
      <c r="M498" s="403" t="s">
        <v>683</v>
      </c>
      <c r="N498" s="100">
        <f>MONTH(List34[[#This Row],[Tanggal Pengajuan]])</f>
        <v>6</v>
      </c>
      <c r="O498" s="183">
        <v>44725</v>
      </c>
      <c r="P498" s="105" t="s">
        <v>1116</v>
      </c>
      <c r="Q498" s="111"/>
      <c r="R498" s="229"/>
    </row>
    <row r="499" spans="2:18" ht="29.25" x14ac:dyDescent="0.2">
      <c r="B499" s="13">
        <v>44718</v>
      </c>
      <c r="C499" s="67"/>
      <c r="D499" s="103" t="s">
        <v>853</v>
      </c>
      <c r="E499" s="103" t="s">
        <v>17</v>
      </c>
      <c r="F499" s="103" t="s">
        <v>18</v>
      </c>
      <c r="G499" s="471">
        <v>25</v>
      </c>
      <c r="H499" s="258">
        <v>6286400</v>
      </c>
      <c r="I499" s="258">
        <f>List34[[#This Row],[Pengajuan Donasi]]</f>
        <v>6286400</v>
      </c>
      <c r="J499" s="213" t="str">
        <f>IF(List34[[#This Row],[Tanggal Trf]]&gt;0,"Done","-")</f>
        <v>Done</v>
      </c>
      <c r="K499" s="445"/>
      <c r="L499" s="220">
        <v>44721</v>
      </c>
      <c r="M499" s="403" t="s">
        <v>683</v>
      </c>
      <c r="N499" s="100">
        <f>MONTH(List34[[#This Row],[Tanggal Pengajuan]])</f>
        <v>6</v>
      </c>
      <c r="O499" s="183">
        <v>44725</v>
      </c>
      <c r="P499" s="105" t="s">
        <v>1116</v>
      </c>
      <c r="Q499" s="111"/>
      <c r="R499" s="229"/>
    </row>
    <row r="500" spans="2:18" ht="29.25" x14ac:dyDescent="0.2">
      <c r="B500" s="13">
        <v>44725</v>
      </c>
      <c r="C500" s="67" t="s">
        <v>1105</v>
      </c>
      <c r="D500" s="14" t="s">
        <v>871</v>
      </c>
      <c r="E500" s="103" t="s">
        <v>17</v>
      </c>
      <c r="F500" s="103" t="s">
        <v>18</v>
      </c>
      <c r="G500" s="471">
        <v>68</v>
      </c>
      <c r="H500" s="258">
        <v>6243400</v>
      </c>
      <c r="I500" s="258">
        <f>List34[[#This Row],[Pengajuan Donasi]]</f>
        <v>6243400</v>
      </c>
      <c r="J500" s="213" t="str">
        <f>IF(List34[[#This Row],[Tanggal Trf]]&gt;0,"Done","-")</f>
        <v>Done</v>
      </c>
      <c r="K500" s="445"/>
      <c r="L500" s="223">
        <v>44729</v>
      </c>
      <c r="M500" s="100" t="s">
        <v>683</v>
      </c>
      <c r="N500" s="100">
        <f>MONTH(List34[[#This Row],[Tanggal Pengajuan]])</f>
        <v>6</v>
      </c>
      <c r="O500" s="183">
        <v>44735</v>
      </c>
      <c r="P500" s="105" t="s">
        <v>1116</v>
      </c>
      <c r="Q500" s="111"/>
      <c r="R500" s="229"/>
    </row>
    <row r="501" spans="2:18" ht="29.25" x14ac:dyDescent="0.2">
      <c r="B501" s="13">
        <v>44725</v>
      </c>
      <c r="C501" s="67"/>
      <c r="D501" s="14" t="s">
        <v>854</v>
      </c>
      <c r="E501" s="103" t="s">
        <v>17</v>
      </c>
      <c r="F501" s="103" t="s">
        <v>18</v>
      </c>
      <c r="G501" s="471">
        <v>118</v>
      </c>
      <c r="H501" s="258">
        <v>6226600</v>
      </c>
      <c r="I501" s="258">
        <f>List34[[#This Row],[Pengajuan Donasi]]</f>
        <v>6226600</v>
      </c>
      <c r="J501" s="213" t="str">
        <f>IF(List34[[#This Row],[Tanggal Trf]]&gt;0,"Done","-")</f>
        <v>Done</v>
      </c>
      <c r="K501" s="445"/>
      <c r="L501" s="223">
        <v>44729</v>
      </c>
      <c r="M501" s="100" t="s">
        <v>683</v>
      </c>
      <c r="N501" s="100">
        <f>MONTH(List34[[#This Row],[Tanggal Pengajuan]])</f>
        <v>6</v>
      </c>
      <c r="O501" s="183">
        <v>44735</v>
      </c>
      <c r="P501" s="105" t="s">
        <v>1116</v>
      </c>
      <c r="Q501" s="111"/>
      <c r="R501" s="229"/>
    </row>
    <row r="502" spans="2:18" ht="29.25" x14ac:dyDescent="0.2">
      <c r="B502" s="13">
        <v>44725</v>
      </c>
      <c r="C502" s="67" t="s">
        <v>1106</v>
      </c>
      <c r="D502" s="14" t="s">
        <v>850</v>
      </c>
      <c r="E502" s="103" t="s">
        <v>17</v>
      </c>
      <c r="F502" s="103" t="s">
        <v>18</v>
      </c>
      <c r="G502" s="471">
        <v>61</v>
      </c>
      <c r="H502" s="258">
        <v>6333300</v>
      </c>
      <c r="I502" s="258">
        <f>List34[[#This Row],[Pengajuan Donasi]]</f>
        <v>6333300</v>
      </c>
      <c r="J502" s="213" t="str">
        <f>IF(List34[[#This Row],[Tanggal Trf]]&gt;0,"Done","-")</f>
        <v>Done</v>
      </c>
      <c r="K502" s="445"/>
      <c r="L502" s="224">
        <v>44735</v>
      </c>
      <c r="M502" s="100" t="s">
        <v>683</v>
      </c>
      <c r="N502" s="100">
        <f>MONTH(List34[[#This Row],[Tanggal Pengajuan]])</f>
        <v>6</v>
      </c>
      <c r="O502" s="183">
        <v>44749</v>
      </c>
      <c r="P502" s="105" t="s">
        <v>1116</v>
      </c>
      <c r="Q502" s="111"/>
      <c r="R502" s="229"/>
    </row>
    <row r="503" spans="2:18" ht="29.25" x14ac:dyDescent="0.2">
      <c r="B503" s="13">
        <v>44725</v>
      </c>
      <c r="C503" s="67"/>
      <c r="D503" s="14" t="s">
        <v>861</v>
      </c>
      <c r="E503" s="103" t="s">
        <v>17</v>
      </c>
      <c r="F503" s="103" t="s">
        <v>18</v>
      </c>
      <c r="G503" s="471">
        <v>65</v>
      </c>
      <c r="H503" s="258">
        <v>6247600</v>
      </c>
      <c r="I503" s="258">
        <f>List34[[#This Row],[Pengajuan Donasi]]</f>
        <v>6247600</v>
      </c>
      <c r="J503" s="213" t="str">
        <f>IF(List34[[#This Row],[Tanggal Trf]]&gt;0,"Done","-")</f>
        <v>Done</v>
      </c>
      <c r="K503" s="445"/>
      <c r="L503" s="224">
        <v>44735</v>
      </c>
      <c r="M503" s="100" t="s">
        <v>683</v>
      </c>
      <c r="N503" s="100">
        <f>MONTH(List34[[#This Row],[Tanggal Pengajuan]])</f>
        <v>6</v>
      </c>
      <c r="O503" s="183">
        <v>44749</v>
      </c>
      <c r="P503" s="105" t="s">
        <v>1116</v>
      </c>
      <c r="Q503" s="111"/>
      <c r="R503" s="229"/>
    </row>
    <row r="504" spans="2:18" ht="29.25" x14ac:dyDescent="0.2">
      <c r="B504" s="13">
        <v>44736</v>
      </c>
      <c r="C504" s="67" t="s">
        <v>1107</v>
      </c>
      <c r="D504" s="14" t="s">
        <v>872</v>
      </c>
      <c r="E504" s="103" t="s">
        <v>17</v>
      </c>
      <c r="F504" s="103" t="s">
        <v>18</v>
      </c>
      <c r="G504" s="471">
        <v>59</v>
      </c>
      <c r="H504" s="258">
        <v>6004100</v>
      </c>
      <c r="I504" s="258">
        <f>List34[[#This Row],[Pengajuan Donasi]]</f>
        <v>6004100</v>
      </c>
      <c r="J504" s="213" t="str">
        <f>IF(List34[[#This Row],[Tanggal Trf]]&gt;0,"Done","-")</f>
        <v>Done</v>
      </c>
      <c r="K504" s="445"/>
      <c r="L504" s="224">
        <v>44741</v>
      </c>
      <c r="M504" s="100" t="s">
        <v>1015</v>
      </c>
      <c r="N504" s="100">
        <f>MONTH(List34[[#This Row],[Tanggal Pengajuan]])</f>
        <v>6</v>
      </c>
      <c r="O504" s="183"/>
      <c r="P504" s="105" t="s">
        <v>1116</v>
      </c>
      <c r="Q504" s="111"/>
      <c r="R504" s="229"/>
    </row>
    <row r="505" spans="2:18" ht="29.25" x14ac:dyDescent="0.2">
      <c r="B505" s="13">
        <v>44736</v>
      </c>
      <c r="C505" s="67"/>
      <c r="D505" s="14" t="s">
        <v>870</v>
      </c>
      <c r="E505" s="103" t="s">
        <v>17</v>
      </c>
      <c r="F505" s="103" t="s">
        <v>18</v>
      </c>
      <c r="G505" s="471">
        <v>19</v>
      </c>
      <c r="H505" s="258">
        <v>6002300</v>
      </c>
      <c r="I505" s="258">
        <f>List34[[#This Row],[Pengajuan Donasi]]</f>
        <v>6002300</v>
      </c>
      <c r="J505" s="213" t="str">
        <f>IF(List34[[#This Row],[Tanggal Trf]]&gt;0,"Done","-")</f>
        <v>Done</v>
      </c>
      <c r="K505" s="445"/>
      <c r="L505" s="224">
        <v>44741</v>
      </c>
      <c r="M505" s="100" t="s">
        <v>1015</v>
      </c>
      <c r="N505" s="100">
        <f>MONTH(List34[[#This Row],[Tanggal Pengajuan]])</f>
        <v>6</v>
      </c>
      <c r="O505" s="183"/>
      <c r="P505" s="105" t="s">
        <v>1116</v>
      </c>
      <c r="Q505" s="111"/>
      <c r="R505" s="229"/>
    </row>
    <row r="506" spans="2:18" ht="29.25" x14ac:dyDescent="0.2">
      <c r="B506" s="13">
        <v>44736</v>
      </c>
      <c r="C506" s="67"/>
      <c r="D506" s="14" t="s">
        <v>124</v>
      </c>
      <c r="E506" s="103" t="s">
        <v>17</v>
      </c>
      <c r="F506" s="103" t="s">
        <v>18</v>
      </c>
      <c r="G506" s="471">
        <v>119</v>
      </c>
      <c r="H506" s="258">
        <v>6000700</v>
      </c>
      <c r="I506" s="258">
        <f>List34[[#This Row],[Pengajuan Donasi]]</f>
        <v>6000700</v>
      </c>
      <c r="J506" s="213" t="str">
        <f>IF(List34[[#This Row],[Tanggal Trf]]&gt;0,"Done","-")</f>
        <v>Done</v>
      </c>
      <c r="K506" s="445"/>
      <c r="L506" s="224">
        <v>44741</v>
      </c>
      <c r="M506" s="100" t="s">
        <v>1015</v>
      </c>
      <c r="N506" s="100">
        <f>MONTH(List34[[#This Row],[Tanggal Pengajuan]])</f>
        <v>6</v>
      </c>
      <c r="O506" s="183"/>
      <c r="P506" s="105" t="s">
        <v>1116</v>
      </c>
      <c r="Q506" s="111"/>
      <c r="R506" s="229"/>
    </row>
    <row r="507" spans="2:18" ht="29.25" x14ac:dyDescent="0.2">
      <c r="B507" s="13">
        <v>44736</v>
      </c>
      <c r="C507" s="67"/>
      <c r="D507" s="14" t="s">
        <v>228</v>
      </c>
      <c r="E507" s="103" t="s">
        <v>17</v>
      </c>
      <c r="F507" s="103" t="s">
        <v>18</v>
      </c>
      <c r="G507" s="471">
        <v>64</v>
      </c>
      <c r="H507" s="258">
        <v>6008600</v>
      </c>
      <c r="I507" s="258">
        <f>List34[[#This Row],[Pengajuan Donasi]]</f>
        <v>6008600</v>
      </c>
      <c r="J507" s="213" t="str">
        <f>IF(List34[[#This Row],[Tanggal Trf]]&gt;0,"Done","-")</f>
        <v>Done</v>
      </c>
      <c r="K507" s="445"/>
      <c r="L507" s="224">
        <v>44741</v>
      </c>
      <c r="M507" s="100" t="s">
        <v>1015</v>
      </c>
      <c r="N507" s="100">
        <f>MONTH(List34[[#This Row],[Tanggal Pengajuan]])</f>
        <v>6</v>
      </c>
      <c r="O507" s="183"/>
      <c r="P507" s="105" t="s">
        <v>1116</v>
      </c>
      <c r="Q507" s="111"/>
      <c r="R507" s="229"/>
    </row>
    <row r="508" spans="2:18" ht="29.25" x14ac:dyDescent="0.2">
      <c r="B508" s="13">
        <v>44736</v>
      </c>
      <c r="C508" s="67"/>
      <c r="D508" s="14" t="s">
        <v>869</v>
      </c>
      <c r="E508" s="103" t="s">
        <v>17</v>
      </c>
      <c r="F508" s="103" t="s">
        <v>18</v>
      </c>
      <c r="G508" s="471">
        <v>98</v>
      </c>
      <c r="H508" s="258">
        <v>6004600</v>
      </c>
      <c r="I508" s="258">
        <f>List34[[#This Row],[Pengajuan Donasi]]</f>
        <v>6004600</v>
      </c>
      <c r="J508" s="213" t="str">
        <f>IF(List34[[#This Row],[Tanggal Trf]]&gt;0,"Done","-")</f>
        <v>Done</v>
      </c>
      <c r="K508" s="445"/>
      <c r="L508" s="224">
        <v>44741</v>
      </c>
      <c r="M508" s="100" t="s">
        <v>1015</v>
      </c>
      <c r="N508" s="100">
        <f>MONTH(List34[[#This Row],[Tanggal Pengajuan]])</f>
        <v>6</v>
      </c>
      <c r="O508" s="183"/>
      <c r="P508" s="105" t="s">
        <v>1116</v>
      </c>
      <c r="Q508" s="111"/>
      <c r="R508" s="229"/>
    </row>
    <row r="509" spans="2:18" ht="29.25" x14ac:dyDescent="0.2">
      <c r="B509" s="13">
        <v>44736</v>
      </c>
      <c r="C509" s="67"/>
      <c r="D509" s="14" t="s">
        <v>868</v>
      </c>
      <c r="E509" s="103" t="s">
        <v>17</v>
      </c>
      <c r="F509" s="103" t="s">
        <v>18</v>
      </c>
      <c r="G509" s="471">
        <v>27</v>
      </c>
      <c r="H509" s="258">
        <v>6002500</v>
      </c>
      <c r="I509" s="258">
        <f>List34[[#This Row],[Pengajuan Donasi]]</f>
        <v>6002500</v>
      </c>
      <c r="J509" s="213" t="str">
        <f>IF(List34[[#This Row],[Tanggal Trf]]&gt;0,"Done","-")</f>
        <v>Done</v>
      </c>
      <c r="K509" s="445"/>
      <c r="L509" s="224">
        <v>44741</v>
      </c>
      <c r="M509" s="100" t="s">
        <v>1015</v>
      </c>
      <c r="N509" s="100">
        <f>MONTH(List34[[#This Row],[Tanggal Pengajuan]])</f>
        <v>6</v>
      </c>
      <c r="O509" s="183"/>
      <c r="P509" s="105" t="s">
        <v>1116</v>
      </c>
      <c r="Q509" s="111"/>
      <c r="R509" s="229"/>
    </row>
    <row r="510" spans="2:18" ht="29.25" x14ac:dyDescent="0.2">
      <c r="B510" s="13">
        <v>44736</v>
      </c>
      <c r="C510" s="67"/>
      <c r="D510" s="14" t="s">
        <v>229</v>
      </c>
      <c r="E510" s="103" t="s">
        <v>17</v>
      </c>
      <c r="F510" s="103" t="s">
        <v>18</v>
      </c>
      <c r="G510" s="471">
        <v>40</v>
      </c>
      <c r="H510" s="258">
        <v>6008700</v>
      </c>
      <c r="I510" s="258">
        <f>List34[[#This Row],[Pengajuan Donasi]]</f>
        <v>6008700</v>
      </c>
      <c r="J510" s="213" t="str">
        <f>IF(List34[[#This Row],[Tanggal Trf]]&gt;0,"Done","-")</f>
        <v>Done</v>
      </c>
      <c r="K510" s="445"/>
      <c r="L510" s="224">
        <v>44741</v>
      </c>
      <c r="M510" s="100" t="s">
        <v>1015</v>
      </c>
      <c r="N510" s="100">
        <f>MONTH(List34[[#This Row],[Tanggal Pengajuan]])</f>
        <v>6</v>
      </c>
      <c r="O510" s="183"/>
      <c r="P510" s="105" t="s">
        <v>1116</v>
      </c>
      <c r="Q510" s="111"/>
      <c r="R510" s="229"/>
    </row>
    <row r="511" spans="2:18" ht="29.25" x14ac:dyDescent="0.2">
      <c r="B511" s="13">
        <v>44736</v>
      </c>
      <c r="C511" s="67"/>
      <c r="D511" s="14" t="s">
        <v>848</v>
      </c>
      <c r="E511" s="103" t="s">
        <v>17</v>
      </c>
      <c r="F511" s="103" t="s">
        <v>18</v>
      </c>
      <c r="G511" s="471">
        <v>36</v>
      </c>
      <c r="H511" s="258">
        <v>6007000</v>
      </c>
      <c r="I511" s="258">
        <f>List34[[#This Row],[Pengajuan Donasi]]</f>
        <v>6007000</v>
      </c>
      <c r="J511" s="213" t="str">
        <f>IF(List34[[#This Row],[Tanggal Trf]]&gt;0,"Done","-")</f>
        <v>Done</v>
      </c>
      <c r="K511" s="445"/>
      <c r="L511" s="224">
        <v>44741</v>
      </c>
      <c r="M511" s="100" t="s">
        <v>1015</v>
      </c>
      <c r="N511" s="100">
        <f>MONTH(List34[[#This Row],[Tanggal Pengajuan]])</f>
        <v>6</v>
      </c>
      <c r="O511" s="183"/>
      <c r="P511" s="105" t="s">
        <v>1116</v>
      </c>
      <c r="Q511" s="111"/>
      <c r="R511" s="229"/>
    </row>
    <row r="512" spans="2:18" ht="29.25" x14ac:dyDescent="0.2">
      <c r="B512" s="13">
        <v>44736</v>
      </c>
      <c r="C512" s="67"/>
      <c r="D512" s="14" t="s">
        <v>867</v>
      </c>
      <c r="E512" s="103" t="s">
        <v>17</v>
      </c>
      <c r="F512" s="103" t="s">
        <v>18</v>
      </c>
      <c r="G512" s="471">
        <v>129</v>
      </c>
      <c r="H512" s="258">
        <v>6001500</v>
      </c>
      <c r="I512" s="258">
        <f>List34[[#This Row],[Pengajuan Donasi]]</f>
        <v>6001500</v>
      </c>
      <c r="J512" s="213" t="str">
        <f>IF(List34[[#This Row],[Tanggal Trf]]&gt;0,"Done","-")</f>
        <v>Done</v>
      </c>
      <c r="K512" s="445"/>
      <c r="L512" s="224">
        <v>44741</v>
      </c>
      <c r="M512" s="100" t="s">
        <v>1015</v>
      </c>
      <c r="N512" s="100">
        <f>MONTH(List34[[#This Row],[Tanggal Pengajuan]])</f>
        <v>6</v>
      </c>
      <c r="O512" s="183"/>
      <c r="P512" s="105" t="s">
        <v>1116</v>
      </c>
      <c r="Q512" s="111"/>
      <c r="R512" s="229"/>
    </row>
    <row r="513" spans="2:18" ht="29.25" x14ac:dyDescent="0.2">
      <c r="B513" s="13">
        <v>44736</v>
      </c>
      <c r="C513" s="67"/>
      <c r="D513" s="14" t="s">
        <v>238</v>
      </c>
      <c r="E513" s="103" t="s">
        <v>17</v>
      </c>
      <c r="F513" s="103" t="s">
        <v>18</v>
      </c>
      <c r="G513" s="471">
        <v>42</v>
      </c>
      <c r="H513" s="258">
        <v>6019800</v>
      </c>
      <c r="I513" s="258">
        <f>List34[[#This Row],[Pengajuan Donasi]]</f>
        <v>6019800</v>
      </c>
      <c r="J513" s="213" t="str">
        <f>IF(List34[[#This Row],[Tanggal Trf]]&gt;0,"Done","-")</f>
        <v>Done</v>
      </c>
      <c r="K513" s="445"/>
      <c r="L513" s="224">
        <v>44741</v>
      </c>
      <c r="M513" s="100" t="s">
        <v>1015</v>
      </c>
      <c r="N513" s="100">
        <f>MONTH(List34[[#This Row],[Tanggal Pengajuan]])</f>
        <v>6</v>
      </c>
      <c r="O513" s="183"/>
      <c r="P513" s="105" t="s">
        <v>1116</v>
      </c>
      <c r="Q513" s="111"/>
      <c r="R513" s="229"/>
    </row>
    <row r="514" spans="2:18" ht="29.25" x14ac:dyDescent="0.2">
      <c r="B514" s="13">
        <v>44736</v>
      </c>
      <c r="C514" s="67"/>
      <c r="D514" s="14" t="s">
        <v>849</v>
      </c>
      <c r="E514" s="103" t="s">
        <v>17</v>
      </c>
      <c r="F514" s="103" t="s">
        <v>18</v>
      </c>
      <c r="G514" s="471">
        <v>62</v>
      </c>
      <c r="H514" s="258">
        <v>6119600</v>
      </c>
      <c r="I514" s="258">
        <f>List34[[#This Row],[Pengajuan Donasi]]</f>
        <v>6119600</v>
      </c>
      <c r="J514" s="213" t="str">
        <f>IF(List34[[#This Row],[Tanggal Trf]]&gt;0,"Done","-")</f>
        <v>Done</v>
      </c>
      <c r="K514" s="445"/>
      <c r="L514" s="224">
        <v>44741</v>
      </c>
      <c r="M514" s="100" t="s">
        <v>1015</v>
      </c>
      <c r="N514" s="100">
        <f>MONTH(List34[[#This Row],[Tanggal Pengajuan]])</f>
        <v>6</v>
      </c>
      <c r="O514" s="183"/>
      <c r="P514" s="105" t="s">
        <v>1116</v>
      </c>
      <c r="Q514" s="111"/>
      <c r="R514" s="229"/>
    </row>
    <row r="515" spans="2:18" ht="29.25" x14ac:dyDescent="0.2">
      <c r="B515" s="13">
        <v>44736</v>
      </c>
      <c r="C515" s="67"/>
      <c r="D515" s="14" t="s">
        <v>851</v>
      </c>
      <c r="E515" s="103" t="s">
        <v>17</v>
      </c>
      <c r="F515" s="103" t="s">
        <v>18</v>
      </c>
      <c r="G515" s="471">
        <v>22</v>
      </c>
      <c r="H515" s="258">
        <v>5999300</v>
      </c>
      <c r="I515" s="258">
        <f>List34[[#This Row],[Pengajuan Donasi]]</f>
        <v>5999300</v>
      </c>
      <c r="J515" s="213" t="str">
        <f>IF(List34[[#This Row],[Tanggal Trf]]&gt;0,"Done","-")</f>
        <v>Done</v>
      </c>
      <c r="K515" s="445"/>
      <c r="L515" s="224">
        <v>44741</v>
      </c>
      <c r="M515" s="100" t="s">
        <v>1015</v>
      </c>
      <c r="N515" s="100">
        <f>MONTH(List34[[#This Row],[Tanggal Pengajuan]])</f>
        <v>6</v>
      </c>
      <c r="O515" s="183"/>
      <c r="P515" s="105" t="s">
        <v>1116</v>
      </c>
      <c r="Q515" s="111"/>
      <c r="R515" s="229"/>
    </row>
    <row r="516" spans="2:18" ht="29.25" x14ac:dyDescent="0.2">
      <c r="B516" s="13">
        <v>44736</v>
      </c>
      <c r="C516" s="67"/>
      <c r="D516" s="14" t="s">
        <v>852</v>
      </c>
      <c r="E516" s="103" t="s">
        <v>17</v>
      </c>
      <c r="F516" s="103" t="s">
        <v>18</v>
      </c>
      <c r="G516" s="471">
        <v>42</v>
      </c>
      <c r="H516" s="258">
        <v>5999500</v>
      </c>
      <c r="I516" s="258">
        <f>List34[[#This Row],[Pengajuan Donasi]]</f>
        <v>5999500</v>
      </c>
      <c r="J516" s="213" t="str">
        <f>IF(List34[[#This Row],[Tanggal Trf]]&gt;0,"Done","-")</f>
        <v>Done</v>
      </c>
      <c r="K516" s="445"/>
      <c r="L516" s="224">
        <v>44741</v>
      </c>
      <c r="M516" s="100" t="s">
        <v>1015</v>
      </c>
      <c r="N516" s="100">
        <f>MONTH(List34[[#This Row],[Tanggal Pengajuan]])</f>
        <v>6</v>
      </c>
      <c r="O516" s="183"/>
      <c r="P516" s="105" t="s">
        <v>1116</v>
      </c>
      <c r="Q516" s="111"/>
      <c r="R516" s="229"/>
    </row>
    <row r="517" spans="2:18" ht="29.25" x14ac:dyDescent="0.2">
      <c r="B517" s="13">
        <v>44736</v>
      </c>
      <c r="C517" s="67"/>
      <c r="D517" s="14" t="s">
        <v>855</v>
      </c>
      <c r="E517" s="103" t="s">
        <v>17</v>
      </c>
      <c r="F517" s="103" t="s">
        <v>18</v>
      </c>
      <c r="G517" s="471">
        <v>91</v>
      </c>
      <c r="H517" s="258">
        <v>6004200</v>
      </c>
      <c r="I517" s="258">
        <f>List34[[#This Row],[Pengajuan Donasi]]</f>
        <v>6004200</v>
      </c>
      <c r="J517" s="213" t="str">
        <f>IF(List34[[#This Row],[Tanggal Trf]]&gt;0,"Done","-")</f>
        <v>Done</v>
      </c>
      <c r="K517" s="445"/>
      <c r="L517" s="224">
        <v>44741</v>
      </c>
      <c r="M517" s="100" t="s">
        <v>1015</v>
      </c>
      <c r="N517" s="100">
        <f>MONTH(List34[[#This Row],[Tanggal Pengajuan]])</f>
        <v>6</v>
      </c>
      <c r="O517" s="183"/>
      <c r="P517" s="105" t="s">
        <v>1116</v>
      </c>
      <c r="Q517" s="111"/>
      <c r="R517" s="229"/>
    </row>
    <row r="518" spans="2:18" ht="29.25" x14ac:dyDescent="0.2">
      <c r="B518" s="13">
        <v>44736</v>
      </c>
      <c r="C518" s="67"/>
      <c r="D518" s="14" t="s">
        <v>857</v>
      </c>
      <c r="E518" s="103" t="s">
        <v>17</v>
      </c>
      <c r="F518" s="103" t="s">
        <v>18</v>
      </c>
      <c r="G518" s="471">
        <v>78</v>
      </c>
      <c r="H518" s="258">
        <v>6002100</v>
      </c>
      <c r="I518" s="258">
        <f>List34[[#This Row],[Pengajuan Donasi]]</f>
        <v>6002100</v>
      </c>
      <c r="J518" s="213" t="str">
        <f>IF(List34[[#This Row],[Tanggal Trf]]&gt;0,"Done","-")</f>
        <v>Done</v>
      </c>
      <c r="K518" s="445"/>
      <c r="L518" s="224">
        <v>44741</v>
      </c>
      <c r="M518" s="100" t="s">
        <v>1015</v>
      </c>
      <c r="N518" s="100">
        <f>MONTH(List34[[#This Row],[Tanggal Pengajuan]])</f>
        <v>6</v>
      </c>
      <c r="O518" s="183"/>
      <c r="P518" s="105" t="s">
        <v>1116</v>
      </c>
      <c r="Q518" s="111"/>
      <c r="R518" s="229"/>
    </row>
    <row r="519" spans="2:18" ht="29.25" x14ac:dyDescent="0.2">
      <c r="B519" s="13">
        <v>44736</v>
      </c>
      <c r="C519" s="67"/>
      <c r="D519" s="14" t="s">
        <v>328</v>
      </c>
      <c r="E519" s="103" t="s">
        <v>17</v>
      </c>
      <c r="F519" s="103" t="s">
        <v>18</v>
      </c>
      <c r="G519" s="471">
        <v>14</v>
      </c>
      <c r="H519" s="258">
        <v>5507900</v>
      </c>
      <c r="I519" s="258">
        <f>List34[[#This Row],[Pengajuan Donasi]]</f>
        <v>5507900</v>
      </c>
      <c r="J519" s="213" t="str">
        <f>IF(List34[[#This Row],[Tanggal Trf]]&gt;0,"Done","-")</f>
        <v>Done</v>
      </c>
      <c r="K519" s="445"/>
      <c r="L519" s="224">
        <v>44741</v>
      </c>
      <c r="M519" s="100" t="s">
        <v>1015</v>
      </c>
      <c r="N519" s="100">
        <f>MONTH(List34[[#This Row],[Tanggal Pengajuan]])</f>
        <v>6</v>
      </c>
      <c r="O519" s="183"/>
      <c r="P519" s="105" t="s">
        <v>1116</v>
      </c>
      <c r="Q519" s="111"/>
      <c r="R519" s="229"/>
    </row>
    <row r="520" spans="2:18" ht="29.25" x14ac:dyDescent="0.2">
      <c r="B520" s="13">
        <v>44736</v>
      </c>
      <c r="C520" s="67"/>
      <c r="D520" s="14" t="s">
        <v>362</v>
      </c>
      <c r="E520" s="103" t="s">
        <v>17</v>
      </c>
      <c r="F520" s="103" t="s">
        <v>18</v>
      </c>
      <c r="G520" s="471">
        <v>137</v>
      </c>
      <c r="H520" s="258">
        <v>5997500</v>
      </c>
      <c r="I520" s="258">
        <f>List34[[#This Row],[Pengajuan Donasi]]</f>
        <v>5997500</v>
      </c>
      <c r="J520" s="213" t="str">
        <f>IF(List34[[#This Row],[Tanggal Trf]]&gt;0,"Done","-")</f>
        <v>Done</v>
      </c>
      <c r="K520" s="445"/>
      <c r="L520" s="224">
        <v>44741</v>
      </c>
      <c r="M520" s="100" t="s">
        <v>1015</v>
      </c>
      <c r="N520" s="100">
        <f>MONTH(List34[[#This Row],[Tanggal Pengajuan]])</f>
        <v>6</v>
      </c>
      <c r="O520" s="183"/>
      <c r="P520" s="105" t="s">
        <v>1116</v>
      </c>
      <c r="Q520" s="111"/>
      <c r="R520" s="229"/>
    </row>
    <row r="521" spans="2:18" ht="29.25" x14ac:dyDescent="0.2">
      <c r="B521" s="13">
        <v>44736</v>
      </c>
      <c r="C521" s="67"/>
      <c r="D521" s="14" t="s">
        <v>858</v>
      </c>
      <c r="E521" s="103" t="s">
        <v>17</v>
      </c>
      <c r="F521" s="103" t="s">
        <v>18</v>
      </c>
      <c r="G521" s="471">
        <v>12</v>
      </c>
      <c r="H521" s="258">
        <v>6005700</v>
      </c>
      <c r="I521" s="258">
        <f>List34[[#This Row],[Pengajuan Donasi]]</f>
        <v>6005700</v>
      </c>
      <c r="J521" s="213" t="str">
        <f>IF(List34[[#This Row],[Tanggal Trf]]&gt;0,"Done","-")</f>
        <v>Done</v>
      </c>
      <c r="K521" s="445"/>
      <c r="L521" s="224">
        <v>44741</v>
      </c>
      <c r="M521" s="100" t="s">
        <v>1015</v>
      </c>
      <c r="N521" s="100">
        <f>MONTH(List34[[#This Row],[Tanggal Pengajuan]])</f>
        <v>6</v>
      </c>
      <c r="O521" s="183"/>
      <c r="P521" s="105" t="s">
        <v>1116</v>
      </c>
      <c r="Q521" s="111"/>
      <c r="R521" s="229"/>
    </row>
    <row r="522" spans="2:18" ht="29.25" x14ac:dyDescent="0.2">
      <c r="B522" s="13">
        <v>44736</v>
      </c>
      <c r="C522" s="67"/>
      <c r="D522" s="14" t="s">
        <v>391</v>
      </c>
      <c r="E522" s="103" t="s">
        <v>17</v>
      </c>
      <c r="F522" s="103" t="s">
        <v>18</v>
      </c>
      <c r="G522" s="471">
        <v>40</v>
      </c>
      <c r="H522" s="258">
        <v>6007200</v>
      </c>
      <c r="I522" s="258">
        <f>List34[[#This Row],[Pengajuan Donasi]]</f>
        <v>6007200</v>
      </c>
      <c r="J522" s="213" t="str">
        <f>IF(List34[[#This Row],[Tanggal Trf]]&gt;0,"Done","-")</f>
        <v>Done</v>
      </c>
      <c r="K522" s="445"/>
      <c r="L522" s="224">
        <v>44741</v>
      </c>
      <c r="M522" s="100" t="s">
        <v>1015</v>
      </c>
      <c r="N522" s="100">
        <f>MONTH(List34[[#This Row],[Tanggal Pengajuan]])</f>
        <v>6</v>
      </c>
      <c r="O522" s="183"/>
      <c r="P522" s="105" t="s">
        <v>1116</v>
      </c>
      <c r="Q522" s="111"/>
      <c r="R522" s="229"/>
    </row>
    <row r="523" spans="2:18" ht="29.25" x14ac:dyDescent="0.2">
      <c r="B523" s="13">
        <v>44736</v>
      </c>
      <c r="C523" s="67"/>
      <c r="D523" s="14" t="s">
        <v>860</v>
      </c>
      <c r="E523" s="103" t="s">
        <v>17</v>
      </c>
      <c r="F523" s="103" t="s">
        <v>18</v>
      </c>
      <c r="G523" s="471">
        <v>45</v>
      </c>
      <c r="H523" s="258">
        <v>6006700</v>
      </c>
      <c r="I523" s="258">
        <f>List34[[#This Row],[Pengajuan Donasi]]</f>
        <v>6006700</v>
      </c>
      <c r="J523" s="213" t="str">
        <f>IF(List34[[#This Row],[Tanggal Trf]]&gt;0,"Done","-")</f>
        <v>Done</v>
      </c>
      <c r="K523" s="445"/>
      <c r="L523" s="224">
        <v>44741</v>
      </c>
      <c r="M523" s="100" t="s">
        <v>1015</v>
      </c>
      <c r="N523" s="100">
        <f>MONTH(List34[[#This Row],[Tanggal Pengajuan]])</f>
        <v>6</v>
      </c>
      <c r="O523" s="183"/>
      <c r="P523" s="105" t="s">
        <v>1116</v>
      </c>
      <c r="Q523" s="111"/>
      <c r="R523" s="229"/>
    </row>
    <row r="524" spans="2:18" ht="29.25" x14ac:dyDescent="0.2">
      <c r="B524" s="13">
        <v>44736</v>
      </c>
      <c r="C524" s="67"/>
      <c r="D524" s="14" t="s">
        <v>862</v>
      </c>
      <c r="E524" s="103" t="s">
        <v>17</v>
      </c>
      <c r="F524" s="103" t="s">
        <v>18</v>
      </c>
      <c r="G524" s="471">
        <v>40</v>
      </c>
      <c r="H524" s="258">
        <v>6009500</v>
      </c>
      <c r="I524" s="258">
        <f>List34[[#This Row],[Pengajuan Donasi]]</f>
        <v>6009500</v>
      </c>
      <c r="J524" s="213" t="str">
        <f>IF(List34[[#This Row],[Tanggal Trf]]&gt;0,"Done","-")</f>
        <v>Done</v>
      </c>
      <c r="K524" s="445"/>
      <c r="L524" s="224">
        <v>44741</v>
      </c>
      <c r="M524" s="100" t="s">
        <v>1015</v>
      </c>
      <c r="N524" s="100">
        <f>MONTH(List34[[#This Row],[Tanggal Pengajuan]])</f>
        <v>6</v>
      </c>
      <c r="O524" s="183"/>
      <c r="P524" s="105" t="s">
        <v>1116</v>
      </c>
      <c r="Q524" s="111"/>
      <c r="R524" s="229"/>
    </row>
    <row r="525" spans="2:18" ht="29.25" x14ac:dyDescent="0.2">
      <c r="B525" s="13">
        <v>44736</v>
      </c>
      <c r="C525" s="67"/>
      <c r="D525" s="14" t="s">
        <v>863</v>
      </c>
      <c r="E525" s="103" t="s">
        <v>17</v>
      </c>
      <c r="F525" s="103" t="s">
        <v>18</v>
      </c>
      <c r="G525" s="471">
        <v>142</v>
      </c>
      <c r="H525" s="258">
        <v>6006700</v>
      </c>
      <c r="I525" s="258">
        <f>List34[[#This Row],[Pengajuan Donasi]]</f>
        <v>6006700</v>
      </c>
      <c r="J525" s="213" t="str">
        <f>IF(List34[[#This Row],[Tanggal Trf]]&gt;0,"Done","-")</f>
        <v>Done</v>
      </c>
      <c r="K525" s="445"/>
      <c r="L525" s="224">
        <v>44741</v>
      </c>
      <c r="M525" s="100" t="s">
        <v>1015</v>
      </c>
      <c r="N525" s="100">
        <f>MONTH(List34[[#This Row],[Tanggal Pengajuan]])</f>
        <v>6</v>
      </c>
      <c r="O525" s="183"/>
      <c r="P525" s="105" t="s">
        <v>1116</v>
      </c>
      <c r="Q525" s="111"/>
      <c r="R525" s="229"/>
    </row>
    <row r="526" spans="2:18" ht="29.25" x14ac:dyDescent="0.2">
      <c r="B526" s="13">
        <v>44736</v>
      </c>
      <c r="C526" s="67"/>
      <c r="D526" s="14" t="s">
        <v>864</v>
      </c>
      <c r="E526" s="103" t="s">
        <v>17</v>
      </c>
      <c r="F526" s="103" t="s">
        <v>18</v>
      </c>
      <c r="G526" s="471">
        <v>141</v>
      </c>
      <c r="H526" s="258">
        <v>5500200</v>
      </c>
      <c r="I526" s="258">
        <f>List34[[#This Row],[Pengajuan Donasi]]</f>
        <v>5500200</v>
      </c>
      <c r="J526" s="213" t="str">
        <f>IF(List34[[#This Row],[Tanggal Trf]]&gt;0,"Done","-")</f>
        <v>Done</v>
      </c>
      <c r="K526" s="445"/>
      <c r="L526" s="224">
        <v>44741</v>
      </c>
      <c r="M526" s="100" t="s">
        <v>1015</v>
      </c>
      <c r="N526" s="100">
        <f>MONTH(List34[[#This Row],[Tanggal Pengajuan]])</f>
        <v>6</v>
      </c>
      <c r="O526" s="183"/>
      <c r="P526" s="105" t="s">
        <v>1116</v>
      </c>
      <c r="Q526" s="111"/>
      <c r="R526" s="229"/>
    </row>
    <row r="527" spans="2:18" ht="29.25" x14ac:dyDescent="0.2">
      <c r="B527" s="13">
        <v>44736</v>
      </c>
      <c r="C527" s="67"/>
      <c r="D527" s="14" t="s">
        <v>865</v>
      </c>
      <c r="E527" s="103" t="s">
        <v>17</v>
      </c>
      <c r="F527" s="103" t="s">
        <v>18</v>
      </c>
      <c r="G527" s="471">
        <v>96</v>
      </c>
      <c r="H527" s="258">
        <v>5999200</v>
      </c>
      <c r="I527" s="258">
        <f>List34[[#This Row],[Pengajuan Donasi]]</f>
        <v>5999200</v>
      </c>
      <c r="J527" s="213" t="str">
        <f>IF(List34[[#This Row],[Tanggal Trf]]&gt;0,"Done","-")</f>
        <v>Done</v>
      </c>
      <c r="K527" s="445"/>
      <c r="L527" s="224">
        <v>44741</v>
      </c>
      <c r="M527" s="100" t="s">
        <v>1015</v>
      </c>
      <c r="N527" s="100">
        <f>MONTH(List34[[#This Row],[Tanggal Pengajuan]])</f>
        <v>6</v>
      </c>
      <c r="O527" s="183"/>
      <c r="P527" s="105" t="s">
        <v>1116</v>
      </c>
      <c r="Q527" s="111"/>
      <c r="R527" s="229"/>
    </row>
    <row r="528" spans="2:18" ht="29.25" x14ac:dyDescent="0.2">
      <c r="B528" s="13">
        <v>44736</v>
      </c>
      <c r="C528" s="67"/>
      <c r="D528" s="14" t="s">
        <v>866</v>
      </c>
      <c r="E528" s="103" t="s">
        <v>17</v>
      </c>
      <c r="F528" s="103" t="s">
        <v>18</v>
      </c>
      <c r="G528" s="471">
        <v>56</v>
      </c>
      <c r="H528" s="258">
        <v>6010600</v>
      </c>
      <c r="I528" s="258">
        <f>List34[[#This Row],[Pengajuan Donasi]]</f>
        <v>6010600</v>
      </c>
      <c r="J528" s="213" t="str">
        <f>IF(List34[[#This Row],[Tanggal Trf]]&gt;0,"Done","-")</f>
        <v>Done</v>
      </c>
      <c r="K528" s="445"/>
      <c r="L528" s="224">
        <v>44741</v>
      </c>
      <c r="M528" s="100" t="s">
        <v>1015</v>
      </c>
      <c r="N528" s="100">
        <f>MONTH(List34[[#This Row],[Tanggal Pengajuan]])</f>
        <v>6</v>
      </c>
      <c r="O528" s="183"/>
      <c r="P528" s="105" t="s">
        <v>1116</v>
      </c>
      <c r="Q528" s="111"/>
      <c r="R528" s="229"/>
    </row>
    <row r="529" spans="2:18" ht="29.25" x14ac:dyDescent="0.2">
      <c r="B529" s="13">
        <v>44736</v>
      </c>
      <c r="C529" s="67"/>
      <c r="D529" s="14" t="s">
        <v>1099</v>
      </c>
      <c r="E529" s="103" t="s">
        <v>17</v>
      </c>
      <c r="F529" s="103" t="s">
        <v>18</v>
      </c>
      <c r="G529" s="471">
        <v>65</v>
      </c>
      <c r="H529" s="258">
        <v>6017800</v>
      </c>
      <c r="I529" s="258">
        <f>List34[[#This Row],[Pengajuan Donasi]]</f>
        <v>6017800</v>
      </c>
      <c r="J529" s="213" t="str">
        <f>IF(List34[[#This Row],[Tanggal Trf]]&gt;0,"Done","-")</f>
        <v>Done</v>
      </c>
      <c r="K529" s="445"/>
      <c r="L529" s="224">
        <v>44741</v>
      </c>
      <c r="M529" s="100" t="s">
        <v>1015</v>
      </c>
      <c r="N529" s="100">
        <f>MONTH(List34[[#This Row],[Tanggal Pengajuan]])</f>
        <v>6</v>
      </c>
      <c r="O529" s="183"/>
      <c r="P529" s="105" t="s">
        <v>1116</v>
      </c>
      <c r="Q529" s="111"/>
      <c r="R529" s="229"/>
    </row>
    <row r="530" spans="2:18" ht="15.75" x14ac:dyDescent="0.2">
      <c r="B530" s="13">
        <v>44734</v>
      </c>
      <c r="C530" s="67" t="s">
        <v>1108</v>
      </c>
      <c r="D530" s="14" t="s">
        <v>1104</v>
      </c>
      <c r="E530" s="14" t="s">
        <v>26</v>
      </c>
      <c r="F530" s="103" t="s">
        <v>28</v>
      </c>
      <c r="G530" s="471"/>
      <c r="H530" s="258">
        <v>1508700</v>
      </c>
      <c r="I530" s="258">
        <f>List34[[#This Row],[Pengajuan Donasi]]</f>
        <v>1508700</v>
      </c>
      <c r="J530" s="213" t="str">
        <f>IF(List34[[#This Row],[Tanggal Trf]]&gt;0,"Done","-")</f>
        <v>Done</v>
      </c>
      <c r="K530" s="445"/>
      <c r="L530" s="224">
        <v>44736</v>
      </c>
      <c r="M530" s="100" t="s">
        <v>683</v>
      </c>
      <c r="N530" s="100">
        <f>MONTH(List34[[#This Row],[Tanggal Pengajuan]])</f>
        <v>6</v>
      </c>
      <c r="O530" s="183">
        <v>44749</v>
      </c>
      <c r="P530" s="105" t="s">
        <v>1116</v>
      </c>
      <c r="Q530" s="111"/>
      <c r="R530" s="229"/>
    </row>
    <row r="531" spans="2:18" ht="15.75" x14ac:dyDescent="0.2">
      <c r="B531" s="13">
        <v>44741</v>
      </c>
      <c r="C531" s="67" t="s">
        <v>1110</v>
      </c>
      <c r="D531" s="14" t="s">
        <v>1114</v>
      </c>
      <c r="E531" s="14" t="s">
        <v>1054</v>
      </c>
      <c r="F531" s="103" t="s">
        <v>28</v>
      </c>
      <c r="G531" s="471">
        <v>1</v>
      </c>
      <c r="H531" s="258">
        <v>777000</v>
      </c>
      <c r="I531" s="258">
        <f>List34[[#This Row],[Pengajuan Donasi]]</f>
        <v>777000</v>
      </c>
      <c r="J531" s="213" t="str">
        <f>IF(List34[[#This Row],[Tanggal Trf]]&gt;0,"Done","-")</f>
        <v>Done</v>
      </c>
      <c r="K531" s="14" t="s">
        <v>1109</v>
      </c>
      <c r="L531" s="224">
        <v>44743</v>
      </c>
      <c r="M531" s="105" t="s">
        <v>227</v>
      </c>
      <c r="N531" s="100">
        <f>MONTH(List34[[#This Row],[Tanggal Pengajuan]])</f>
        <v>6</v>
      </c>
      <c r="O531" s="183">
        <v>44749</v>
      </c>
      <c r="P531" s="105" t="s">
        <v>1116</v>
      </c>
      <c r="Q531" s="111"/>
      <c r="R531" s="229"/>
    </row>
    <row r="532" spans="2:18" ht="15.75" x14ac:dyDescent="0.2">
      <c r="B532" s="13">
        <v>44741</v>
      </c>
      <c r="C532" s="67" t="s">
        <v>1111</v>
      </c>
      <c r="D532" s="14" t="s">
        <v>1057</v>
      </c>
      <c r="E532" s="14" t="s">
        <v>1054</v>
      </c>
      <c r="F532" s="103" t="s">
        <v>18</v>
      </c>
      <c r="G532" s="471"/>
      <c r="H532" s="258">
        <v>0</v>
      </c>
      <c r="I532" s="258">
        <f>List34[[#This Row],[Pengajuan Donasi]]</f>
        <v>0</v>
      </c>
      <c r="J532" s="213" t="str">
        <f>IF(List34[[#This Row],[Tanggal Trf]]&gt;0,"Done","-")</f>
        <v>Done</v>
      </c>
      <c r="K532" s="445" t="s">
        <v>960</v>
      </c>
      <c r="L532" s="224" t="s">
        <v>960</v>
      </c>
      <c r="M532" s="100" t="s">
        <v>960</v>
      </c>
      <c r="N532" s="100">
        <f>MONTH(List34[[#This Row],[Tanggal Pengajuan]])</f>
        <v>6</v>
      </c>
      <c r="O532" s="183" t="s">
        <v>960</v>
      </c>
      <c r="P532" s="105" t="s">
        <v>1116</v>
      </c>
      <c r="Q532" s="111"/>
      <c r="R532" s="229"/>
    </row>
    <row r="533" spans="2:18" ht="15.75" x14ac:dyDescent="0.2">
      <c r="B533" s="13">
        <v>44741</v>
      </c>
      <c r="C533" s="67" t="s">
        <v>1112</v>
      </c>
      <c r="D533" s="14" t="s">
        <v>1057</v>
      </c>
      <c r="E533" s="14" t="s">
        <v>1054</v>
      </c>
      <c r="F533" s="103" t="s">
        <v>18</v>
      </c>
      <c r="G533" s="471"/>
      <c r="H533" s="258">
        <v>0</v>
      </c>
      <c r="I533" s="258">
        <f>List34[[#This Row],[Pengajuan Donasi]]</f>
        <v>0</v>
      </c>
      <c r="J533" s="213" t="str">
        <f>IF(List34[[#This Row],[Tanggal Trf]]&gt;0,"Done","-")</f>
        <v>Done</v>
      </c>
      <c r="K533" s="445" t="s">
        <v>960</v>
      </c>
      <c r="L533" s="224" t="s">
        <v>960</v>
      </c>
      <c r="M533" s="100" t="s">
        <v>960</v>
      </c>
      <c r="N533" s="100">
        <f>MONTH(List34[[#This Row],[Tanggal Pengajuan]])</f>
        <v>6</v>
      </c>
      <c r="O533" s="183" t="s">
        <v>960</v>
      </c>
      <c r="P533" s="105" t="s">
        <v>1116</v>
      </c>
      <c r="Q533" s="111"/>
      <c r="R533" s="229"/>
    </row>
    <row r="534" spans="2:18" ht="29.25" x14ac:dyDescent="0.2">
      <c r="B534" s="13">
        <v>44743</v>
      </c>
      <c r="C534" s="67" t="s">
        <v>1113</v>
      </c>
      <c r="D534" s="14" t="s">
        <v>863</v>
      </c>
      <c r="E534" s="103" t="s">
        <v>17</v>
      </c>
      <c r="F534" s="103" t="s">
        <v>18</v>
      </c>
      <c r="G534" s="471">
        <v>142</v>
      </c>
      <c r="H534" s="258">
        <v>6800300</v>
      </c>
      <c r="I534" s="258">
        <f>List34[[#This Row],[Pengajuan Donasi]]</f>
        <v>6800300</v>
      </c>
      <c r="J534" s="213" t="str">
        <f>IF(List34[[#This Row],[Tanggal Trf]]&gt;0,"Done","-")</f>
        <v>Done</v>
      </c>
      <c r="K534" s="448" t="s">
        <v>1185</v>
      </c>
      <c r="L534" s="224">
        <v>44743</v>
      </c>
      <c r="M534" s="100" t="s">
        <v>683</v>
      </c>
      <c r="N534" s="100">
        <f>MONTH(List34[[#This Row],[Tanggal Pengajuan]])</f>
        <v>7</v>
      </c>
      <c r="O534" s="183">
        <v>44749</v>
      </c>
      <c r="P534" s="105" t="s">
        <v>1116</v>
      </c>
      <c r="Q534" s="111"/>
      <c r="R534" s="229"/>
    </row>
    <row r="535" spans="2:18" ht="29.25" x14ac:dyDescent="0.2">
      <c r="B535" s="13">
        <v>44743</v>
      </c>
      <c r="C535" s="67"/>
      <c r="D535" s="14" t="s">
        <v>1115</v>
      </c>
      <c r="E535" s="103" t="s">
        <v>17</v>
      </c>
      <c r="F535" s="103" t="s">
        <v>18</v>
      </c>
      <c r="G535" s="471">
        <v>35</v>
      </c>
      <c r="H535" s="258">
        <v>6001700</v>
      </c>
      <c r="I535" s="258">
        <f>List34[[#This Row],[Pengajuan Donasi]]</f>
        <v>6001700</v>
      </c>
      <c r="J535" s="213" t="str">
        <f>IF(List34[[#This Row],[Tanggal Trf]]&gt;0,"Done","-")</f>
        <v>Done</v>
      </c>
      <c r="K535" s="448" t="s">
        <v>1185</v>
      </c>
      <c r="L535" s="224">
        <v>44743</v>
      </c>
      <c r="M535" s="100" t="s">
        <v>683</v>
      </c>
      <c r="N535" s="100">
        <f>MONTH(List34[[#This Row],[Tanggal Pengajuan]])</f>
        <v>7</v>
      </c>
      <c r="O535" s="183">
        <v>44749</v>
      </c>
      <c r="P535" s="105" t="s">
        <v>1116</v>
      </c>
      <c r="Q535" s="111"/>
      <c r="R535" s="229"/>
    </row>
    <row r="536" spans="2:18" ht="29.25" x14ac:dyDescent="0.2">
      <c r="B536" s="13">
        <v>44746</v>
      </c>
      <c r="C536" s="67" t="s">
        <v>1133</v>
      </c>
      <c r="D536" s="14" t="s">
        <v>362</v>
      </c>
      <c r="E536" s="103" t="s">
        <v>17</v>
      </c>
      <c r="F536" s="103" t="s">
        <v>18</v>
      </c>
      <c r="G536" s="471">
        <v>137</v>
      </c>
      <c r="H536" s="258">
        <v>6000000</v>
      </c>
      <c r="I536" s="258">
        <f>List34[[#This Row],[Pengajuan Donasi]]</f>
        <v>6000000</v>
      </c>
      <c r="J536" s="213" t="str">
        <f>IF(List34[[#This Row],[Tanggal Trf]]&gt;0,"Done","-")</f>
        <v>Done</v>
      </c>
      <c r="K536" s="448" t="s">
        <v>1156</v>
      </c>
      <c r="L536" s="224">
        <v>44757</v>
      </c>
      <c r="M536" s="100" t="s">
        <v>683</v>
      </c>
      <c r="N536" s="100">
        <f>MONTH(List34[[#This Row],[Tanggal Pengajuan]])</f>
        <v>7</v>
      </c>
      <c r="O536" s="183">
        <v>44763</v>
      </c>
      <c r="P536" s="105" t="s">
        <v>1180</v>
      </c>
      <c r="Q536" s="111"/>
      <c r="R536" s="229"/>
    </row>
    <row r="537" spans="2:18" ht="29.25" x14ac:dyDescent="0.2">
      <c r="B537" s="13">
        <v>44746</v>
      </c>
      <c r="C537" s="67"/>
      <c r="D537" s="14" t="s">
        <v>391</v>
      </c>
      <c r="E537" s="103" t="s">
        <v>17</v>
      </c>
      <c r="F537" s="103" t="s">
        <v>18</v>
      </c>
      <c r="G537" s="471">
        <v>40</v>
      </c>
      <c r="H537" s="258">
        <v>6007200</v>
      </c>
      <c r="I537" s="258">
        <f>List34[[#This Row],[Pengajuan Donasi]]</f>
        <v>6007200</v>
      </c>
      <c r="J537" s="213" t="str">
        <f>IF(List34[[#This Row],[Tanggal Trf]]&gt;0,"Done","-")</f>
        <v>Done</v>
      </c>
      <c r="K537" s="448" t="s">
        <v>1156</v>
      </c>
      <c r="L537" s="224">
        <v>44757</v>
      </c>
      <c r="M537" s="100" t="s">
        <v>683</v>
      </c>
      <c r="N537" s="100">
        <f>MONTH(List34[[#This Row],[Tanggal Pengajuan]])</f>
        <v>7</v>
      </c>
      <c r="O537" s="183">
        <v>44763</v>
      </c>
      <c r="P537" s="105" t="s">
        <v>1180</v>
      </c>
      <c r="Q537" s="111"/>
      <c r="R537" s="229"/>
    </row>
    <row r="538" spans="2:18" ht="24.75" x14ac:dyDescent="0.2">
      <c r="B538" s="13">
        <v>44746</v>
      </c>
      <c r="C538" s="67" t="s">
        <v>1134</v>
      </c>
      <c r="D538" s="14" t="s">
        <v>53</v>
      </c>
      <c r="E538" s="14" t="s">
        <v>179</v>
      </c>
      <c r="F538" s="103" t="s">
        <v>28</v>
      </c>
      <c r="G538" s="471">
        <v>47</v>
      </c>
      <c r="H538" s="258">
        <v>15851950</v>
      </c>
      <c r="I538" s="258">
        <f>List34[[#This Row],[Pengajuan Donasi]]</f>
        <v>15851950</v>
      </c>
      <c r="J538" s="213" t="str">
        <f>IF(List34[[#This Row],[Tanggal Trf]]&gt;0,"Done","-")</f>
        <v>Done</v>
      </c>
      <c r="K538" s="445" t="s">
        <v>1157</v>
      </c>
      <c r="L538" s="224">
        <v>44764</v>
      </c>
      <c r="M538" s="100" t="s">
        <v>1178</v>
      </c>
      <c r="N538" s="100">
        <f>MONTH(List34[[#This Row],[Tanggal Pengajuan]])</f>
        <v>7</v>
      </c>
      <c r="O538" s="183">
        <v>44882</v>
      </c>
      <c r="P538" s="105" t="s">
        <v>1180</v>
      </c>
      <c r="Q538" s="111"/>
      <c r="R538" s="229"/>
    </row>
    <row r="539" spans="2:18" ht="15.75" x14ac:dyDescent="0.2">
      <c r="B539" s="13">
        <v>44746</v>
      </c>
      <c r="C539" s="67" t="s">
        <v>1135</v>
      </c>
      <c r="D539" s="14" t="s">
        <v>48</v>
      </c>
      <c r="E539" s="14" t="s">
        <v>179</v>
      </c>
      <c r="F539" s="103" t="s">
        <v>18</v>
      </c>
      <c r="G539" s="471">
        <v>47</v>
      </c>
      <c r="H539" s="258">
        <v>14274000</v>
      </c>
      <c r="I539" s="258">
        <f>List34[[#This Row],[Pengajuan Donasi]]</f>
        <v>14274000</v>
      </c>
      <c r="J539" s="213" t="str">
        <f>IF(List34[[#This Row],[Tanggal Trf]]&gt;0,"Done","-")</f>
        <v>Done</v>
      </c>
      <c r="K539" s="445" t="s">
        <v>1158</v>
      </c>
      <c r="L539" s="224">
        <v>44764</v>
      </c>
      <c r="M539" s="403" t="s">
        <v>445</v>
      </c>
      <c r="N539" s="100">
        <f>MONTH(List34[[#This Row],[Tanggal Pengajuan]])</f>
        <v>7</v>
      </c>
      <c r="O539" s="183">
        <v>44861</v>
      </c>
      <c r="P539" s="105" t="s">
        <v>1180</v>
      </c>
      <c r="Q539" s="111"/>
      <c r="R539" s="229"/>
    </row>
    <row r="540" spans="2:18" ht="29.25" x14ac:dyDescent="0.2">
      <c r="B540" s="13">
        <v>44746</v>
      </c>
      <c r="C540" s="67" t="s">
        <v>1136</v>
      </c>
      <c r="D540" s="14" t="s">
        <v>859</v>
      </c>
      <c r="E540" s="14" t="s">
        <v>17</v>
      </c>
      <c r="F540" s="103" t="s">
        <v>18</v>
      </c>
      <c r="G540" s="471">
        <v>23</v>
      </c>
      <c r="H540" s="258">
        <v>6000000</v>
      </c>
      <c r="I540" s="258">
        <f>List34[[#This Row],[Pengajuan Donasi]]</f>
        <v>6000000</v>
      </c>
      <c r="J540" s="213" t="str">
        <f>IF(List34[[#This Row],[Tanggal Trf]]&gt;0,"Done","-")</f>
        <v>Done</v>
      </c>
      <c r="K540" s="445" t="s">
        <v>1159</v>
      </c>
      <c r="L540" s="224">
        <v>44764</v>
      </c>
      <c r="M540" s="105" t="s">
        <v>650</v>
      </c>
      <c r="N540" s="100">
        <f>MONTH(List34[[#This Row],[Tanggal Pengajuan]])</f>
        <v>7</v>
      </c>
      <c r="O540" s="183">
        <v>44865</v>
      </c>
      <c r="P540" s="105" t="s">
        <v>1180</v>
      </c>
      <c r="Q540" s="111"/>
      <c r="R540" s="229"/>
    </row>
    <row r="541" spans="2:18" ht="29.25" x14ac:dyDescent="0.2">
      <c r="B541" s="13">
        <v>44746</v>
      </c>
      <c r="C541" s="67" t="s">
        <v>1137</v>
      </c>
      <c r="D541" s="14" t="s">
        <v>950</v>
      </c>
      <c r="E541" s="14" t="s">
        <v>26</v>
      </c>
      <c r="F541" s="103" t="s">
        <v>18</v>
      </c>
      <c r="G541" s="471">
        <v>1</v>
      </c>
      <c r="H541" s="258">
        <v>5000000</v>
      </c>
      <c r="I541" s="258">
        <f>List34[[#This Row],[Pengajuan Donasi]]</f>
        <v>5000000</v>
      </c>
      <c r="J541" s="213" t="str">
        <f>IF(List34[[#This Row],[Tanggal Trf]]&gt;0,"Done","-")</f>
        <v>Done</v>
      </c>
      <c r="K541" s="445" t="s">
        <v>1160</v>
      </c>
      <c r="L541" s="224">
        <v>44764</v>
      </c>
      <c r="M541" s="100" t="s">
        <v>448</v>
      </c>
      <c r="N541" s="100">
        <f>MONTH(List34[[#This Row],[Tanggal Pengajuan]])</f>
        <v>7</v>
      </c>
      <c r="O541" s="183">
        <v>44781</v>
      </c>
      <c r="P541" s="105" t="s">
        <v>1180</v>
      </c>
      <c r="Q541" s="111"/>
      <c r="R541" s="229"/>
    </row>
    <row r="542" spans="2:18" ht="24.75" x14ac:dyDescent="0.2">
      <c r="B542" s="13">
        <v>44746</v>
      </c>
      <c r="C542" s="67"/>
      <c r="D542" s="14" t="s">
        <v>875</v>
      </c>
      <c r="E542" s="103" t="s">
        <v>26</v>
      </c>
      <c r="F542" s="103" t="s">
        <v>18</v>
      </c>
      <c r="G542" s="471">
        <v>1</v>
      </c>
      <c r="H542" s="258">
        <v>1000000</v>
      </c>
      <c r="I542" s="258">
        <f>List34[[#This Row],[Pengajuan Donasi]]</f>
        <v>1000000</v>
      </c>
      <c r="J542" s="213" t="str">
        <f>IF(List34[[#This Row],[Tanggal Trf]]&gt;0,"Done","-")</f>
        <v>Done</v>
      </c>
      <c r="K542" s="445" t="s">
        <v>1160</v>
      </c>
      <c r="L542" s="224">
        <v>44764</v>
      </c>
      <c r="M542" s="100" t="s">
        <v>453</v>
      </c>
      <c r="N542" s="100">
        <f>MONTH(List34[[#This Row],[Tanggal Pengajuan]])</f>
        <v>7</v>
      </c>
      <c r="O542" s="183">
        <v>44781</v>
      </c>
      <c r="P542" s="105" t="s">
        <v>1180</v>
      </c>
      <c r="Q542" s="111"/>
      <c r="R542" s="229"/>
    </row>
    <row r="543" spans="2:18" ht="29.25" x14ac:dyDescent="0.2">
      <c r="B543" s="13">
        <v>44746</v>
      </c>
      <c r="C543" s="67"/>
      <c r="D543" s="14" t="s">
        <v>877</v>
      </c>
      <c r="E543" s="103" t="s">
        <v>26</v>
      </c>
      <c r="F543" s="103" t="s">
        <v>18</v>
      </c>
      <c r="G543" s="471">
        <v>1</v>
      </c>
      <c r="H543" s="258">
        <v>1000000</v>
      </c>
      <c r="I543" s="258">
        <f>List34[[#This Row],[Pengajuan Donasi]]</f>
        <v>1000000</v>
      </c>
      <c r="J543" s="213" t="str">
        <f>IF(List34[[#This Row],[Tanggal Trf]]&gt;0,"Done","-")</f>
        <v>Done</v>
      </c>
      <c r="K543" s="445" t="s">
        <v>1160</v>
      </c>
      <c r="L543" s="224">
        <v>44764</v>
      </c>
      <c r="M543" s="100" t="s">
        <v>458</v>
      </c>
      <c r="N543" s="100">
        <f>MONTH(List34[[#This Row],[Tanggal Pengajuan]])</f>
        <v>7</v>
      </c>
      <c r="O543" s="183">
        <v>44781</v>
      </c>
      <c r="P543" s="105" t="s">
        <v>1180</v>
      </c>
      <c r="Q543" s="111"/>
      <c r="R543" s="229"/>
    </row>
    <row r="544" spans="2:18" ht="24.75" x14ac:dyDescent="0.2">
      <c r="B544" s="13">
        <v>44746</v>
      </c>
      <c r="C544" s="67"/>
      <c r="D544" s="14" t="s">
        <v>878</v>
      </c>
      <c r="E544" s="103" t="s">
        <v>26</v>
      </c>
      <c r="F544" s="103" t="s">
        <v>18</v>
      </c>
      <c r="G544" s="471">
        <v>1</v>
      </c>
      <c r="H544" s="258">
        <v>1000000</v>
      </c>
      <c r="I544" s="258">
        <f>List34[[#This Row],[Pengajuan Donasi]]</f>
        <v>1000000</v>
      </c>
      <c r="J544" s="213" t="str">
        <f>IF(List34[[#This Row],[Tanggal Trf]]&gt;0,"Done","-")</f>
        <v>Done</v>
      </c>
      <c r="K544" s="445" t="s">
        <v>1160</v>
      </c>
      <c r="L544" s="224">
        <v>44764</v>
      </c>
      <c r="M544" s="100" t="s">
        <v>460</v>
      </c>
      <c r="N544" s="100">
        <f>MONTH(List34[[#This Row],[Tanggal Pengajuan]])</f>
        <v>7</v>
      </c>
      <c r="O544" s="183">
        <v>44781</v>
      </c>
      <c r="P544" s="105" t="s">
        <v>1180</v>
      </c>
      <c r="Q544" s="111"/>
      <c r="R544" s="229"/>
    </row>
    <row r="545" spans="2:18" ht="24.75" x14ac:dyDescent="0.2">
      <c r="B545" s="13">
        <v>44746</v>
      </c>
      <c r="C545" s="67"/>
      <c r="D545" s="14" t="s">
        <v>879</v>
      </c>
      <c r="E545" s="103" t="s">
        <v>26</v>
      </c>
      <c r="F545" s="103" t="s">
        <v>18</v>
      </c>
      <c r="G545" s="471">
        <v>1</v>
      </c>
      <c r="H545" s="258">
        <v>1000000</v>
      </c>
      <c r="I545" s="258">
        <f>List34[[#This Row],[Pengajuan Donasi]]</f>
        <v>1000000</v>
      </c>
      <c r="J545" s="213" t="str">
        <f>IF(List34[[#This Row],[Tanggal Trf]]&gt;0,"Done","-")</f>
        <v>Done</v>
      </c>
      <c r="K545" s="445" t="s">
        <v>1160</v>
      </c>
      <c r="L545" s="224">
        <v>44764</v>
      </c>
      <c r="M545" s="100" t="s">
        <v>462</v>
      </c>
      <c r="N545" s="100">
        <f>MONTH(List34[[#This Row],[Tanggal Pengajuan]])</f>
        <v>7</v>
      </c>
      <c r="O545" s="183">
        <v>44781</v>
      </c>
      <c r="P545" s="105" t="s">
        <v>1180</v>
      </c>
      <c r="Q545" s="111"/>
      <c r="R545" s="229"/>
    </row>
    <row r="546" spans="2:18" ht="29.25" x14ac:dyDescent="0.2">
      <c r="B546" s="13">
        <v>44746</v>
      </c>
      <c r="C546" s="67"/>
      <c r="D546" s="14" t="s">
        <v>951</v>
      </c>
      <c r="E546" s="103" t="s">
        <v>26</v>
      </c>
      <c r="F546" s="103" t="s">
        <v>18</v>
      </c>
      <c r="G546" s="471">
        <v>1</v>
      </c>
      <c r="H546" s="258">
        <v>1000000</v>
      </c>
      <c r="I546" s="258">
        <f>List34[[#This Row],[Pengajuan Donasi]]</f>
        <v>1000000</v>
      </c>
      <c r="J546" s="213" t="str">
        <f>IF(List34[[#This Row],[Tanggal Trf]]&gt;0,"Done","-")</f>
        <v>Done</v>
      </c>
      <c r="K546" s="445" t="s">
        <v>1160</v>
      </c>
      <c r="L546" s="224">
        <v>44764</v>
      </c>
      <c r="M546" s="100" t="s">
        <v>466</v>
      </c>
      <c r="N546" s="100">
        <f>MONTH(List34[[#This Row],[Tanggal Pengajuan]])</f>
        <v>7</v>
      </c>
      <c r="O546" s="183">
        <v>44781</v>
      </c>
      <c r="P546" s="105" t="s">
        <v>1180</v>
      </c>
      <c r="Q546" s="111"/>
      <c r="R546" s="229"/>
    </row>
    <row r="547" spans="2:18" ht="24.75" x14ac:dyDescent="0.2">
      <c r="B547" s="13">
        <v>44746</v>
      </c>
      <c r="C547" s="67"/>
      <c r="D547" s="14" t="s">
        <v>880</v>
      </c>
      <c r="E547" s="103" t="s">
        <v>26</v>
      </c>
      <c r="F547" s="103" t="s">
        <v>18</v>
      </c>
      <c r="G547" s="471">
        <v>1</v>
      </c>
      <c r="H547" s="258">
        <v>1000000</v>
      </c>
      <c r="I547" s="258">
        <f>List34[[#This Row],[Pengajuan Donasi]]</f>
        <v>1000000</v>
      </c>
      <c r="J547" s="213" t="str">
        <f>IF(List34[[#This Row],[Tanggal Trf]]&gt;0,"Done","-")</f>
        <v>Done</v>
      </c>
      <c r="K547" s="445" t="s">
        <v>1160</v>
      </c>
      <c r="L547" s="224">
        <v>44764</v>
      </c>
      <c r="M547" s="100" t="s">
        <v>470</v>
      </c>
      <c r="N547" s="100">
        <f>MONTH(List34[[#This Row],[Tanggal Pengajuan]])</f>
        <v>7</v>
      </c>
      <c r="O547" s="183">
        <v>44781</v>
      </c>
      <c r="P547" s="105" t="s">
        <v>1180</v>
      </c>
      <c r="Q547" s="111"/>
      <c r="R547" s="229"/>
    </row>
    <row r="548" spans="2:18" ht="29.25" x14ac:dyDescent="0.2">
      <c r="B548" s="13">
        <v>44746</v>
      </c>
      <c r="C548" s="67"/>
      <c r="D548" s="14" t="s">
        <v>952</v>
      </c>
      <c r="E548" s="103" t="s">
        <v>26</v>
      </c>
      <c r="F548" s="103" t="s">
        <v>18</v>
      </c>
      <c r="G548" s="471">
        <v>1</v>
      </c>
      <c r="H548" s="258">
        <v>1000000</v>
      </c>
      <c r="I548" s="258">
        <f>List34[[#This Row],[Pengajuan Donasi]]</f>
        <v>1000000</v>
      </c>
      <c r="J548" s="213" t="str">
        <f>IF(List34[[#This Row],[Tanggal Trf]]&gt;0,"Done","-")</f>
        <v>Done</v>
      </c>
      <c r="K548" s="445" t="s">
        <v>1160</v>
      </c>
      <c r="L548" s="224">
        <v>44764</v>
      </c>
      <c r="M548" s="100" t="s">
        <v>519</v>
      </c>
      <c r="N548" s="100">
        <f>MONTH(List34[[#This Row],[Tanggal Pengajuan]])</f>
        <v>7</v>
      </c>
      <c r="O548" s="183">
        <v>44781</v>
      </c>
      <c r="P548" s="105" t="s">
        <v>1180</v>
      </c>
      <c r="Q548" s="111"/>
      <c r="R548" s="229"/>
    </row>
    <row r="549" spans="2:18" ht="29.25" x14ac:dyDescent="0.2">
      <c r="B549" s="13">
        <v>44746</v>
      </c>
      <c r="C549" s="67"/>
      <c r="D549" s="14" t="s">
        <v>881</v>
      </c>
      <c r="E549" s="103" t="s">
        <v>26</v>
      </c>
      <c r="F549" s="103" t="s">
        <v>18</v>
      </c>
      <c r="G549" s="471">
        <v>1</v>
      </c>
      <c r="H549" s="258">
        <v>1000000</v>
      </c>
      <c r="I549" s="258">
        <f>List34[[#This Row],[Pengajuan Donasi]]</f>
        <v>1000000</v>
      </c>
      <c r="J549" s="213" t="str">
        <f>IF(List34[[#This Row],[Tanggal Trf]]&gt;0,"Done","-")</f>
        <v>Done</v>
      </c>
      <c r="K549" s="445" t="s">
        <v>1160</v>
      </c>
      <c r="L549" s="224">
        <v>44764</v>
      </c>
      <c r="M549" s="100" t="s">
        <v>476</v>
      </c>
      <c r="N549" s="100">
        <f>MONTH(List34[[#This Row],[Tanggal Pengajuan]])</f>
        <v>7</v>
      </c>
      <c r="O549" s="183">
        <v>44781</v>
      </c>
      <c r="P549" s="105" t="s">
        <v>1180</v>
      </c>
      <c r="Q549" s="111"/>
      <c r="R549" s="229"/>
    </row>
    <row r="550" spans="2:18" ht="29.25" x14ac:dyDescent="0.2">
      <c r="B550" s="13">
        <v>44746</v>
      </c>
      <c r="C550" s="67"/>
      <c r="D550" s="14" t="s">
        <v>882</v>
      </c>
      <c r="E550" s="103" t="s">
        <v>26</v>
      </c>
      <c r="F550" s="103" t="s">
        <v>18</v>
      </c>
      <c r="G550" s="471">
        <v>1</v>
      </c>
      <c r="H550" s="258">
        <v>750000</v>
      </c>
      <c r="I550" s="258">
        <f>List34[[#This Row],[Pengajuan Donasi]]</f>
        <v>750000</v>
      </c>
      <c r="J550" s="213" t="str">
        <f>IF(List34[[#This Row],[Tanggal Trf]]&gt;0,"Done","-")</f>
        <v>Done</v>
      </c>
      <c r="K550" s="445" t="s">
        <v>1160</v>
      </c>
      <c r="L550" s="224">
        <v>44764</v>
      </c>
      <c r="M550" s="100" t="s">
        <v>479</v>
      </c>
      <c r="N550" s="100">
        <f>MONTH(List34[[#This Row],[Tanggal Pengajuan]])</f>
        <v>7</v>
      </c>
      <c r="O550" s="183">
        <v>44781</v>
      </c>
      <c r="P550" s="105" t="s">
        <v>1180</v>
      </c>
      <c r="Q550" s="111"/>
      <c r="R550" s="229"/>
    </row>
    <row r="551" spans="2:18" ht="24.75" x14ac:dyDescent="0.2">
      <c r="B551" s="13">
        <v>44746</v>
      </c>
      <c r="C551" s="67"/>
      <c r="D551" s="14" t="s">
        <v>883</v>
      </c>
      <c r="E551" s="103" t="s">
        <v>26</v>
      </c>
      <c r="F551" s="103" t="s">
        <v>18</v>
      </c>
      <c r="G551" s="471">
        <v>1</v>
      </c>
      <c r="H551" s="258">
        <v>750000</v>
      </c>
      <c r="I551" s="258">
        <f>List34[[#This Row],[Pengajuan Donasi]]</f>
        <v>750000</v>
      </c>
      <c r="J551" s="213" t="str">
        <f>IF(List34[[#This Row],[Tanggal Trf]]&gt;0,"Done","-")</f>
        <v>Done</v>
      </c>
      <c r="K551" s="445" t="s">
        <v>1160</v>
      </c>
      <c r="L551" s="224">
        <v>44764</v>
      </c>
      <c r="M551" s="100" t="s">
        <v>481</v>
      </c>
      <c r="N551" s="100">
        <f>MONTH(List34[[#This Row],[Tanggal Pengajuan]])</f>
        <v>7</v>
      </c>
      <c r="O551" s="183">
        <v>44781</v>
      </c>
      <c r="P551" s="105" t="s">
        <v>1180</v>
      </c>
      <c r="Q551" s="111"/>
      <c r="R551" s="229"/>
    </row>
    <row r="552" spans="2:18" ht="29.25" x14ac:dyDescent="0.2">
      <c r="B552" s="13">
        <v>44746</v>
      </c>
      <c r="C552" s="67"/>
      <c r="D552" s="14" t="s">
        <v>953</v>
      </c>
      <c r="E552" s="103" t="s">
        <v>26</v>
      </c>
      <c r="F552" s="103" t="s">
        <v>18</v>
      </c>
      <c r="G552" s="471">
        <v>1</v>
      </c>
      <c r="H552" s="258">
        <v>1000000</v>
      </c>
      <c r="I552" s="258">
        <f>List34[[#This Row],[Pengajuan Donasi]]</f>
        <v>1000000</v>
      </c>
      <c r="J552" s="213" t="str">
        <f>IF(List34[[#This Row],[Tanggal Trf]]&gt;0,"Done","-")</f>
        <v>Done</v>
      </c>
      <c r="K552" s="445" t="s">
        <v>1160</v>
      </c>
      <c r="L552" s="224">
        <v>44764</v>
      </c>
      <c r="M552" s="100" t="s">
        <v>873</v>
      </c>
      <c r="N552" s="100">
        <f>MONTH(List34[[#This Row],[Tanggal Pengajuan]])</f>
        <v>7</v>
      </c>
      <c r="O552" s="183">
        <v>44781</v>
      </c>
      <c r="P552" s="105" t="s">
        <v>1180</v>
      </c>
      <c r="Q552" s="111"/>
      <c r="R552" s="229"/>
    </row>
    <row r="553" spans="2:18" ht="29.25" x14ac:dyDescent="0.2">
      <c r="B553" s="13">
        <v>44746</v>
      </c>
      <c r="C553" s="67"/>
      <c r="D553" s="14" t="s">
        <v>954</v>
      </c>
      <c r="E553" s="103" t="s">
        <v>26</v>
      </c>
      <c r="F553" s="103" t="s">
        <v>18</v>
      </c>
      <c r="G553" s="471">
        <v>1</v>
      </c>
      <c r="H553" s="258">
        <v>1000000</v>
      </c>
      <c r="I553" s="258">
        <f>List34[[#This Row],[Pengajuan Donasi]]</f>
        <v>1000000</v>
      </c>
      <c r="J553" s="213" t="str">
        <f>IF(List34[[#This Row],[Tanggal Trf]]&gt;0,"Done","-")</f>
        <v>Done</v>
      </c>
      <c r="K553" s="445" t="s">
        <v>1160</v>
      </c>
      <c r="L553" s="224">
        <v>44764</v>
      </c>
      <c r="M553" s="100" t="s">
        <v>874</v>
      </c>
      <c r="N553" s="100">
        <f>MONTH(List34[[#This Row],[Tanggal Pengajuan]])</f>
        <v>7</v>
      </c>
      <c r="O553" s="183">
        <v>44781</v>
      </c>
      <c r="P553" s="105" t="s">
        <v>1180</v>
      </c>
      <c r="Q553" s="111"/>
      <c r="R553" s="229"/>
    </row>
    <row r="554" spans="2:18" ht="29.25" x14ac:dyDescent="0.2">
      <c r="B554" s="13">
        <v>44746</v>
      </c>
      <c r="C554" s="67"/>
      <c r="D554" s="14" t="s">
        <v>955</v>
      </c>
      <c r="E554" s="103" t="s">
        <v>26</v>
      </c>
      <c r="F554" s="103" t="s">
        <v>18</v>
      </c>
      <c r="G554" s="471">
        <v>1</v>
      </c>
      <c r="H554" s="258">
        <v>1000000</v>
      </c>
      <c r="I554" s="258">
        <f>List34[[#This Row],[Pengajuan Donasi]]</f>
        <v>1000000</v>
      </c>
      <c r="J554" s="213" t="str">
        <f>IF(List34[[#This Row],[Tanggal Trf]]&gt;0,"Done","-")</f>
        <v>Done</v>
      </c>
      <c r="K554" s="445" t="s">
        <v>1160</v>
      </c>
      <c r="L554" s="224">
        <v>44764</v>
      </c>
      <c r="M554" s="100" t="s">
        <v>762</v>
      </c>
      <c r="N554" s="100">
        <f>MONTH(List34[[#This Row],[Tanggal Pengajuan]])</f>
        <v>7</v>
      </c>
      <c r="O554" s="183">
        <v>44781</v>
      </c>
      <c r="P554" s="105" t="s">
        <v>1180</v>
      </c>
      <c r="Q554" s="111"/>
      <c r="R554" s="229"/>
    </row>
    <row r="555" spans="2:18" ht="29.25" x14ac:dyDescent="0.2">
      <c r="B555" s="13">
        <v>44746</v>
      </c>
      <c r="C555" s="163" t="s">
        <v>1138</v>
      </c>
      <c r="D555" s="164" t="s">
        <v>486</v>
      </c>
      <c r="E555" s="168" t="s">
        <v>57</v>
      </c>
      <c r="F555" s="168" t="s">
        <v>18</v>
      </c>
      <c r="G555" s="470">
        <v>44</v>
      </c>
      <c r="H555" s="261"/>
      <c r="I555" s="261">
        <f>List34[[#This Row],[Pengajuan Donasi]]</f>
        <v>0</v>
      </c>
      <c r="J555" s="253" t="str">
        <f>IF(List34[[#This Row],[Tanggal Trf]]&gt;0,"Done","-")</f>
        <v>-</v>
      </c>
      <c r="K555" s="447" t="s">
        <v>1161</v>
      </c>
      <c r="L555" s="449"/>
      <c r="M555" s="193" t="s">
        <v>709</v>
      </c>
      <c r="N555" s="193">
        <f>MONTH(List34[[#This Row],[Tanggal Pengajuan]])</f>
        <v>7</v>
      </c>
      <c r="O555" s="194"/>
      <c r="P555" s="166" t="s">
        <v>1189</v>
      </c>
      <c r="Q555" s="111"/>
      <c r="R555" s="229"/>
    </row>
    <row r="556" spans="2:18" ht="29.25" x14ac:dyDescent="0.2">
      <c r="B556" s="13">
        <v>44746</v>
      </c>
      <c r="C556" s="67" t="s">
        <v>1139</v>
      </c>
      <c r="D556" s="14" t="s">
        <v>392</v>
      </c>
      <c r="E556" s="103" t="s">
        <v>57</v>
      </c>
      <c r="F556" s="103" t="s">
        <v>18</v>
      </c>
      <c r="G556" s="471">
        <v>75</v>
      </c>
      <c r="H556" s="258">
        <v>10000000</v>
      </c>
      <c r="I556" s="258">
        <f>List34[[#This Row],[Pengajuan Donasi]]</f>
        <v>10000000</v>
      </c>
      <c r="J556" s="213" t="str">
        <f>IF(List34[[#This Row],[Tanggal Trf]]&gt;0,"Done","-")</f>
        <v>Done</v>
      </c>
      <c r="K556" s="445" t="s">
        <v>1162</v>
      </c>
      <c r="L556" s="224">
        <v>44771</v>
      </c>
      <c r="M556" s="100" t="s">
        <v>540</v>
      </c>
      <c r="N556" s="100">
        <f>MONTH(List34[[#This Row],[Tanggal Pengajuan]])</f>
        <v>7</v>
      </c>
      <c r="O556" s="183">
        <v>44883</v>
      </c>
      <c r="P556" s="105" t="s">
        <v>1180</v>
      </c>
      <c r="Q556" s="111"/>
      <c r="R556" s="229"/>
    </row>
    <row r="557" spans="2:18" ht="29.25" x14ac:dyDescent="0.2">
      <c r="B557" s="13">
        <v>44746</v>
      </c>
      <c r="C557" s="67" t="s">
        <v>1140</v>
      </c>
      <c r="D557" s="14" t="s">
        <v>429</v>
      </c>
      <c r="E557" s="103" t="s">
        <v>57</v>
      </c>
      <c r="F557" s="103" t="s">
        <v>18</v>
      </c>
      <c r="G557" s="471">
        <v>38</v>
      </c>
      <c r="H557" s="258">
        <v>10000000</v>
      </c>
      <c r="I557" s="258">
        <f>List34[[#This Row],[Pengajuan Donasi]]</f>
        <v>10000000</v>
      </c>
      <c r="J557" s="213" t="str">
        <f>IF(List34[[#This Row],[Tanggal Trf]]&gt;0,"Done","-")</f>
        <v>Done</v>
      </c>
      <c r="K557" s="445" t="s">
        <v>1163</v>
      </c>
      <c r="L557" s="224">
        <v>44764</v>
      </c>
      <c r="M557" s="105" t="s">
        <v>537</v>
      </c>
      <c r="N557" s="100">
        <f>MONTH(List34[[#This Row],[Tanggal Pengajuan]])</f>
        <v>7</v>
      </c>
      <c r="O557" s="183">
        <v>44883</v>
      </c>
      <c r="P557" s="105" t="s">
        <v>1180</v>
      </c>
      <c r="Q557" s="111"/>
      <c r="R557" s="229"/>
    </row>
    <row r="558" spans="2:18" ht="29.25" x14ac:dyDescent="0.2">
      <c r="B558" s="13">
        <v>44746</v>
      </c>
      <c r="C558" s="67" t="s">
        <v>1141</v>
      </c>
      <c r="D558" s="14" t="s">
        <v>420</v>
      </c>
      <c r="E558" s="103" t="s">
        <v>57</v>
      </c>
      <c r="F558" s="103" t="s">
        <v>18</v>
      </c>
      <c r="G558" s="471">
        <v>29</v>
      </c>
      <c r="H558" s="258">
        <v>10000000</v>
      </c>
      <c r="I558" s="258">
        <f>List34[[#This Row],[Pengajuan Donasi]]</f>
        <v>10000000</v>
      </c>
      <c r="J558" s="213" t="str">
        <f>IF(List34[[#This Row],[Tanggal Trf]]&gt;0,"Done","-")</f>
        <v>Done</v>
      </c>
      <c r="K558" s="445" t="s">
        <v>1164</v>
      </c>
      <c r="L558" s="224">
        <v>44764</v>
      </c>
      <c r="M558" s="100" t="s">
        <v>534</v>
      </c>
      <c r="N558" s="100">
        <f>MONTH(List34[[#This Row],[Tanggal Pengajuan]])</f>
        <v>7</v>
      </c>
      <c r="O558" s="183">
        <v>44883</v>
      </c>
      <c r="P558" s="105" t="s">
        <v>1180</v>
      </c>
      <c r="Q558" s="111"/>
      <c r="R558" s="229"/>
    </row>
    <row r="559" spans="2:18" ht="29.25" x14ac:dyDescent="0.2">
      <c r="B559" s="13">
        <v>44746</v>
      </c>
      <c r="C559" s="67" t="s">
        <v>1142</v>
      </c>
      <c r="D559" s="14" t="s">
        <v>426</v>
      </c>
      <c r="E559" s="103" t="s">
        <v>57</v>
      </c>
      <c r="F559" s="103" t="s">
        <v>18</v>
      </c>
      <c r="G559" s="471">
        <v>31</v>
      </c>
      <c r="H559" s="258">
        <v>10000000</v>
      </c>
      <c r="I559" s="258">
        <f>List34[[#This Row],[Pengajuan Donasi]]</f>
        <v>10000000</v>
      </c>
      <c r="J559" s="213" t="str">
        <f>IF(List34[[#This Row],[Tanggal Trf]]&gt;0,"Done","-")</f>
        <v>Done</v>
      </c>
      <c r="K559" s="445" t="s">
        <v>1165</v>
      </c>
      <c r="L559" s="224">
        <v>44764</v>
      </c>
      <c r="M559" s="100" t="s">
        <v>655</v>
      </c>
      <c r="N559" s="100">
        <f>MONTH(List34[[#This Row],[Tanggal Pengajuan]])</f>
        <v>7</v>
      </c>
      <c r="O559" s="183">
        <v>44883</v>
      </c>
      <c r="P559" s="105" t="s">
        <v>1180</v>
      </c>
      <c r="Q559" s="111"/>
      <c r="R559" s="229"/>
    </row>
    <row r="560" spans="2:18" ht="29.25" x14ac:dyDescent="0.2">
      <c r="B560" s="13">
        <v>44746</v>
      </c>
      <c r="C560" s="67" t="s">
        <v>1143</v>
      </c>
      <c r="D560" s="14" t="s">
        <v>413</v>
      </c>
      <c r="E560" s="103" t="s">
        <v>57</v>
      </c>
      <c r="F560" s="103" t="s">
        <v>18</v>
      </c>
      <c r="G560" s="471">
        <v>16</v>
      </c>
      <c r="H560" s="258">
        <v>10000000</v>
      </c>
      <c r="I560" s="258">
        <f>List34[[#This Row],[Pengajuan Donasi]]</f>
        <v>10000000</v>
      </c>
      <c r="J560" s="213" t="str">
        <f>IF(List34[[#This Row],[Tanggal Trf]]&gt;0,"Done","-")</f>
        <v>Done</v>
      </c>
      <c r="K560" s="445" t="s">
        <v>1166</v>
      </c>
      <c r="L560" s="224">
        <v>44764</v>
      </c>
      <c r="M560" s="100" t="s">
        <v>544</v>
      </c>
      <c r="N560" s="100">
        <f>MONTH(List34[[#This Row],[Tanggal Pengajuan]])</f>
        <v>7</v>
      </c>
      <c r="O560" s="183">
        <v>44883</v>
      </c>
      <c r="P560" s="105" t="s">
        <v>1180</v>
      </c>
      <c r="Q560" s="111"/>
      <c r="R560" s="229"/>
    </row>
    <row r="561" spans="2:18" ht="29.25" x14ac:dyDescent="0.2">
      <c r="B561" s="13">
        <v>44746</v>
      </c>
      <c r="C561" s="67" t="s">
        <v>1144</v>
      </c>
      <c r="D561" s="14" t="s">
        <v>407</v>
      </c>
      <c r="E561" s="103" t="s">
        <v>57</v>
      </c>
      <c r="F561" s="103" t="s">
        <v>18</v>
      </c>
      <c r="G561" s="471">
        <v>64</v>
      </c>
      <c r="H561" s="258">
        <v>10000000</v>
      </c>
      <c r="I561" s="258">
        <f>List34[[#This Row],[Pengajuan Donasi]]</f>
        <v>10000000</v>
      </c>
      <c r="J561" s="213" t="str">
        <f>IF(List34[[#This Row],[Tanggal Trf]]&gt;0,"Done","-")</f>
        <v>Done</v>
      </c>
      <c r="K561" s="445" t="s">
        <v>1167</v>
      </c>
      <c r="L561" s="224">
        <v>44771</v>
      </c>
      <c r="M561" s="100" t="s">
        <v>661</v>
      </c>
      <c r="N561" s="100">
        <f>MONTH(List34[[#This Row],[Tanggal Pengajuan]])</f>
        <v>7</v>
      </c>
      <c r="O561" s="183">
        <v>44883</v>
      </c>
      <c r="P561" s="105" t="s">
        <v>1180</v>
      </c>
      <c r="Q561" s="111"/>
      <c r="R561" s="229"/>
    </row>
    <row r="562" spans="2:18" ht="24.75" x14ac:dyDescent="0.2">
      <c r="B562" s="13">
        <v>44746</v>
      </c>
      <c r="C562" s="67" t="s">
        <v>1145</v>
      </c>
      <c r="D562" s="14" t="s">
        <v>916</v>
      </c>
      <c r="E562" s="14" t="s">
        <v>26</v>
      </c>
      <c r="F562" s="103" t="s">
        <v>18</v>
      </c>
      <c r="G562" s="471">
        <v>1</v>
      </c>
      <c r="H562" s="258">
        <v>500000</v>
      </c>
      <c r="I562" s="258">
        <f>List34[[#This Row],[Pengajuan Donasi]]</f>
        <v>500000</v>
      </c>
      <c r="J562" s="213" t="str">
        <f>IF(List34[[#This Row],[Tanggal Trf]]&gt;0,"Done","-")</f>
        <v>Done</v>
      </c>
      <c r="K562" s="445" t="s">
        <v>1168</v>
      </c>
      <c r="L562" s="224">
        <v>44764</v>
      </c>
      <c r="M562" s="100" t="s">
        <v>895</v>
      </c>
      <c r="N562" s="100">
        <f>MONTH(List34[[#This Row],[Tanggal Pengajuan]])</f>
        <v>7</v>
      </c>
      <c r="O562" s="183">
        <v>44781</v>
      </c>
      <c r="P562" s="105" t="s">
        <v>1180</v>
      </c>
      <c r="Q562" s="111"/>
      <c r="R562" s="229"/>
    </row>
    <row r="563" spans="2:18" ht="24.75" x14ac:dyDescent="0.2">
      <c r="B563" s="13">
        <v>44746</v>
      </c>
      <c r="C563" s="67"/>
      <c r="D563" s="14" t="s">
        <v>917</v>
      </c>
      <c r="E563" s="14" t="s">
        <v>26</v>
      </c>
      <c r="F563" s="103" t="s">
        <v>18</v>
      </c>
      <c r="G563" s="471">
        <v>1</v>
      </c>
      <c r="H563" s="258">
        <v>500000</v>
      </c>
      <c r="I563" s="258">
        <f>List34[[#This Row],[Pengajuan Donasi]]</f>
        <v>500000</v>
      </c>
      <c r="J563" s="213" t="str">
        <f>IF(List34[[#This Row],[Tanggal Trf]]&gt;0,"Done","-")</f>
        <v>Done</v>
      </c>
      <c r="K563" s="445" t="s">
        <v>1168</v>
      </c>
      <c r="L563" s="224">
        <v>44764</v>
      </c>
      <c r="M563" s="100" t="s">
        <v>894</v>
      </c>
      <c r="N563" s="100">
        <f>MONTH(List34[[#This Row],[Tanggal Pengajuan]])</f>
        <v>7</v>
      </c>
      <c r="O563" s="183">
        <v>44781</v>
      </c>
      <c r="P563" s="105" t="s">
        <v>1180</v>
      </c>
      <c r="Q563" s="111"/>
      <c r="R563" s="229"/>
    </row>
    <row r="564" spans="2:18" ht="24.75" x14ac:dyDescent="0.2">
      <c r="B564" s="13">
        <v>44746</v>
      </c>
      <c r="C564" s="67"/>
      <c r="D564" s="14" t="s">
        <v>918</v>
      </c>
      <c r="E564" s="14" t="s">
        <v>26</v>
      </c>
      <c r="F564" s="103" t="s">
        <v>18</v>
      </c>
      <c r="G564" s="471">
        <v>1</v>
      </c>
      <c r="H564" s="258">
        <v>500000</v>
      </c>
      <c r="I564" s="258">
        <f>List34[[#This Row],[Pengajuan Donasi]]</f>
        <v>500000</v>
      </c>
      <c r="J564" s="213" t="str">
        <f>IF(List34[[#This Row],[Tanggal Trf]]&gt;0,"Done","-")</f>
        <v>Done</v>
      </c>
      <c r="K564" s="445" t="s">
        <v>1168</v>
      </c>
      <c r="L564" s="224">
        <v>44764</v>
      </c>
      <c r="M564" s="100" t="s">
        <v>896</v>
      </c>
      <c r="N564" s="100">
        <f>MONTH(List34[[#This Row],[Tanggal Pengajuan]])</f>
        <v>7</v>
      </c>
      <c r="O564" s="183">
        <v>44781</v>
      </c>
      <c r="P564" s="105" t="s">
        <v>1180</v>
      </c>
      <c r="Q564" s="111"/>
      <c r="R564" s="229"/>
    </row>
    <row r="565" spans="2:18" ht="24.75" x14ac:dyDescent="0.2">
      <c r="B565" s="13">
        <v>44746</v>
      </c>
      <c r="C565" s="67"/>
      <c r="D565" s="14" t="s">
        <v>919</v>
      </c>
      <c r="E565" s="14" t="s">
        <v>26</v>
      </c>
      <c r="F565" s="103" t="s">
        <v>18</v>
      </c>
      <c r="G565" s="471">
        <v>1</v>
      </c>
      <c r="H565" s="258">
        <v>500000</v>
      </c>
      <c r="I565" s="258">
        <f>List34[[#This Row],[Pengajuan Donasi]]</f>
        <v>500000</v>
      </c>
      <c r="J565" s="213" t="str">
        <f>IF(List34[[#This Row],[Tanggal Trf]]&gt;0,"Done","-")</f>
        <v>Done</v>
      </c>
      <c r="K565" s="445" t="s">
        <v>1168</v>
      </c>
      <c r="L565" s="224">
        <v>44764</v>
      </c>
      <c r="M565" s="100" t="s">
        <v>897</v>
      </c>
      <c r="N565" s="100">
        <f>MONTH(List34[[#This Row],[Tanggal Pengajuan]])</f>
        <v>7</v>
      </c>
      <c r="O565" s="183">
        <v>44781</v>
      </c>
      <c r="P565" s="105" t="s">
        <v>1180</v>
      </c>
      <c r="Q565" s="111"/>
      <c r="R565" s="229"/>
    </row>
    <row r="566" spans="2:18" ht="24.75" x14ac:dyDescent="0.2">
      <c r="B566" s="13">
        <v>44746</v>
      </c>
      <c r="C566" s="67"/>
      <c r="D566" s="14" t="s">
        <v>920</v>
      </c>
      <c r="E566" s="14" t="s">
        <v>26</v>
      </c>
      <c r="F566" s="103" t="s">
        <v>18</v>
      </c>
      <c r="G566" s="471">
        <v>1</v>
      </c>
      <c r="H566" s="258">
        <v>500000</v>
      </c>
      <c r="I566" s="258">
        <f>List34[[#This Row],[Pengajuan Donasi]]</f>
        <v>500000</v>
      </c>
      <c r="J566" s="213" t="str">
        <f>IF(List34[[#This Row],[Tanggal Trf]]&gt;0,"Done","-")</f>
        <v>Done</v>
      </c>
      <c r="K566" s="445" t="s">
        <v>1168</v>
      </c>
      <c r="L566" s="224">
        <v>44764</v>
      </c>
      <c r="M566" s="100" t="s">
        <v>915</v>
      </c>
      <c r="N566" s="100">
        <f>MONTH(List34[[#This Row],[Tanggal Pengajuan]])</f>
        <v>7</v>
      </c>
      <c r="O566" s="183">
        <v>44781</v>
      </c>
      <c r="P566" s="105" t="s">
        <v>1180</v>
      </c>
      <c r="Q566" s="111"/>
      <c r="R566" s="229"/>
    </row>
    <row r="567" spans="2:18" ht="24.75" x14ac:dyDescent="0.2">
      <c r="B567" s="13">
        <v>44746</v>
      </c>
      <c r="C567" s="67"/>
      <c r="D567" s="14" t="s">
        <v>921</v>
      </c>
      <c r="E567" s="14" t="s">
        <v>26</v>
      </c>
      <c r="F567" s="103" t="s">
        <v>18</v>
      </c>
      <c r="G567" s="471">
        <v>1</v>
      </c>
      <c r="H567" s="258">
        <v>500000</v>
      </c>
      <c r="I567" s="258">
        <f>List34[[#This Row],[Pengajuan Donasi]]</f>
        <v>500000</v>
      </c>
      <c r="J567" s="213" t="str">
        <f>IF(List34[[#This Row],[Tanggal Trf]]&gt;0,"Done","-")</f>
        <v>Done</v>
      </c>
      <c r="K567" s="445" t="s">
        <v>1168</v>
      </c>
      <c r="L567" s="224">
        <v>44764</v>
      </c>
      <c r="M567" s="100" t="s">
        <v>1014</v>
      </c>
      <c r="N567" s="100">
        <f>MONTH(List34[[#This Row],[Tanggal Pengajuan]])</f>
        <v>7</v>
      </c>
      <c r="O567" s="183">
        <v>44781</v>
      </c>
      <c r="P567" s="105" t="s">
        <v>1180</v>
      </c>
      <c r="Q567" s="111"/>
      <c r="R567" s="229"/>
    </row>
    <row r="568" spans="2:18" ht="24.75" x14ac:dyDescent="0.2">
      <c r="B568" s="13">
        <v>44746</v>
      </c>
      <c r="C568" s="67"/>
      <c r="D568" s="14" t="s">
        <v>922</v>
      </c>
      <c r="E568" s="14" t="s">
        <v>26</v>
      </c>
      <c r="F568" s="103" t="s">
        <v>18</v>
      </c>
      <c r="G568" s="471">
        <v>1</v>
      </c>
      <c r="H568" s="258">
        <v>500000</v>
      </c>
      <c r="I568" s="258">
        <f>List34[[#This Row],[Pengajuan Donasi]]</f>
        <v>500000</v>
      </c>
      <c r="J568" s="213" t="str">
        <f>IF(List34[[#This Row],[Tanggal Trf]]&gt;0,"Done","-")</f>
        <v>Done</v>
      </c>
      <c r="K568" s="445" t="s">
        <v>1168</v>
      </c>
      <c r="L568" s="224">
        <v>44764</v>
      </c>
      <c r="M568" s="100" t="s">
        <v>899</v>
      </c>
      <c r="N568" s="100">
        <f>MONTH(List34[[#This Row],[Tanggal Pengajuan]])</f>
        <v>7</v>
      </c>
      <c r="O568" s="183">
        <v>44781</v>
      </c>
      <c r="P568" s="105" t="s">
        <v>1180</v>
      </c>
      <c r="Q568" s="111"/>
      <c r="R568" s="229"/>
    </row>
    <row r="569" spans="2:18" ht="24.75" x14ac:dyDescent="0.2">
      <c r="B569" s="13">
        <v>44746</v>
      </c>
      <c r="C569" s="67"/>
      <c r="D569" s="14" t="s">
        <v>923</v>
      </c>
      <c r="E569" s="14" t="s">
        <v>26</v>
      </c>
      <c r="F569" s="103" t="s">
        <v>18</v>
      </c>
      <c r="G569" s="471">
        <v>1</v>
      </c>
      <c r="H569" s="258">
        <v>500000</v>
      </c>
      <c r="I569" s="258">
        <f>List34[[#This Row],[Pengajuan Donasi]]</f>
        <v>500000</v>
      </c>
      <c r="J569" s="213" t="str">
        <f>IF(List34[[#This Row],[Tanggal Trf]]&gt;0,"Done","-")</f>
        <v>Done</v>
      </c>
      <c r="K569" s="445" t="s">
        <v>1168</v>
      </c>
      <c r="L569" s="224">
        <v>44764</v>
      </c>
      <c r="M569" s="100" t="s">
        <v>900</v>
      </c>
      <c r="N569" s="100">
        <f>MONTH(List34[[#This Row],[Tanggal Pengajuan]])</f>
        <v>7</v>
      </c>
      <c r="O569" s="183">
        <v>44781</v>
      </c>
      <c r="P569" s="105" t="s">
        <v>1180</v>
      </c>
      <c r="Q569" s="111"/>
      <c r="R569" s="229"/>
    </row>
    <row r="570" spans="2:18" ht="24.75" x14ac:dyDescent="0.2">
      <c r="B570" s="13">
        <v>44746</v>
      </c>
      <c r="C570" s="67"/>
      <c r="D570" s="14" t="s">
        <v>924</v>
      </c>
      <c r="E570" s="14" t="s">
        <v>26</v>
      </c>
      <c r="F570" s="103" t="s">
        <v>18</v>
      </c>
      <c r="G570" s="471">
        <v>1</v>
      </c>
      <c r="H570" s="258">
        <v>500000</v>
      </c>
      <c r="I570" s="258">
        <f>List34[[#This Row],[Pengajuan Donasi]]</f>
        <v>500000</v>
      </c>
      <c r="J570" s="213" t="str">
        <f>IF(List34[[#This Row],[Tanggal Trf]]&gt;0,"Done","-")</f>
        <v>Done</v>
      </c>
      <c r="K570" s="445" t="s">
        <v>1168</v>
      </c>
      <c r="L570" s="224">
        <v>44764</v>
      </c>
      <c r="M570" s="100" t="s">
        <v>901</v>
      </c>
      <c r="N570" s="100">
        <f>MONTH(List34[[#This Row],[Tanggal Pengajuan]])</f>
        <v>7</v>
      </c>
      <c r="O570" s="183">
        <v>44781</v>
      </c>
      <c r="P570" s="105" t="s">
        <v>1180</v>
      </c>
      <c r="Q570" s="111"/>
      <c r="R570" s="229"/>
    </row>
    <row r="571" spans="2:18" ht="24.75" x14ac:dyDescent="0.2">
      <c r="B571" s="13">
        <v>44746</v>
      </c>
      <c r="C571" s="67"/>
      <c r="D571" s="14" t="s">
        <v>925</v>
      </c>
      <c r="E571" s="14" t="s">
        <v>26</v>
      </c>
      <c r="F571" s="103" t="s">
        <v>18</v>
      </c>
      <c r="G571" s="471">
        <v>1</v>
      </c>
      <c r="H571" s="258">
        <v>500000</v>
      </c>
      <c r="I571" s="258">
        <f>List34[[#This Row],[Pengajuan Donasi]]</f>
        <v>500000</v>
      </c>
      <c r="J571" s="213" t="str">
        <f>IF(List34[[#This Row],[Tanggal Trf]]&gt;0,"Done","-")</f>
        <v>Done</v>
      </c>
      <c r="K571" s="445" t="s">
        <v>1168</v>
      </c>
      <c r="L571" s="224">
        <v>44764</v>
      </c>
      <c r="M571" s="100" t="s">
        <v>1014</v>
      </c>
      <c r="N571" s="100">
        <f>MONTH(List34[[#This Row],[Tanggal Pengajuan]])</f>
        <v>7</v>
      </c>
      <c r="O571" s="183">
        <v>44781</v>
      </c>
      <c r="P571" s="105" t="s">
        <v>1180</v>
      </c>
      <c r="Q571" s="111"/>
      <c r="R571" s="229"/>
    </row>
    <row r="572" spans="2:18" ht="24.75" x14ac:dyDescent="0.2">
      <c r="B572" s="13">
        <v>44746</v>
      </c>
      <c r="C572" s="67"/>
      <c r="D572" s="14" t="s">
        <v>926</v>
      </c>
      <c r="E572" s="14" t="s">
        <v>26</v>
      </c>
      <c r="F572" s="103" t="s">
        <v>18</v>
      </c>
      <c r="G572" s="471">
        <v>1</v>
      </c>
      <c r="H572" s="258">
        <v>500000</v>
      </c>
      <c r="I572" s="258">
        <f>List34[[#This Row],[Pengajuan Donasi]]</f>
        <v>500000</v>
      </c>
      <c r="J572" s="213" t="str">
        <f>IF(List34[[#This Row],[Tanggal Trf]]&gt;0,"Done","-")</f>
        <v>Done</v>
      </c>
      <c r="K572" s="445" t="s">
        <v>1168</v>
      </c>
      <c r="L572" s="224">
        <v>44764</v>
      </c>
      <c r="M572" s="100" t="s">
        <v>1014</v>
      </c>
      <c r="N572" s="100">
        <f>MONTH(List34[[#This Row],[Tanggal Pengajuan]])</f>
        <v>7</v>
      </c>
      <c r="O572" s="183">
        <v>44781</v>
      </c>
      <c r="P572" s="105" t="s">
        <v>1180</v>
      </c>
      <c r="Q572" s="111"/>
      <c r="R572" s="229"/>
    </row>
    <row r="573" spans="2:18" ht="24.75" x14ac:dyDescent="0.2">
      <c r="B573" s="13">
        <v>44746</v>
      </c>
      <c r="C573" s="67"/>
      <c r="D573" s="14" t="s">
        <v>927</v>
      </c>
      <c r="E573" s="14" t="s">
        <v>26</v>
      </c>
      <c r="F573" s="103" t="s">
        <v>18</v>
      </c>
      <c r="G573" s="471">
        <v>1</v>
      </c>
      <c r="H573" s="258">
        <v>500000</v>
      </c>
      <c r="I573" s="258">
        <f>List34[[#This Row],[Pengajuan Donasi]]</f>
        <v>500000</v>
      </c>
      <c r="J573" s="213" t="str">
        <f>IF(List34[[#This Row],[Tanggal Trf]]&gt;0,"Done","-")</f>
        <v>Done</v>
      </c>
      <c r="K573" s="445" t="s">
        <v>1168</v>
      </c>
      <c r="L573" s="224">
        <v>44764</v>
      </c>
      <c r="M573" s="100" t="s">
        <v>1014</v>
      </c>
      <c r="N573" s="100">
        <f>MONTH(List34[[#This Row],[Tanggal Pengajuan]])</f>
        <v>7</v>
      </c>
      <c r="O573" s="183">
        <v>44781</v>
      </c>
      <c r="P573" s="105" t="s">
        <v>1180</v>
      </c>
      <c r="Q573" s="111"/>
      <c r="R573" s="229"/>
    </row>
    <row r="574" spans="2:18" ht="24.75" x14ac:dyDescent="0.2">
      <c r="B574" s="13">
        <v>44746</v>
      </c>
      <c r="C574" s="67"/>
      <c r="D574" s="14" t="s">
        <v>928</v>
      </c>
      <c r="E574" s="14" t="s">
        <v>26</v>
      </c>
      <c r="F574" s="103" t="s">
        <v>18</v>
      </c>
      <c r="G574" s="471">
        <v>1</v>
      </c>
      <c r="H574" s="258">
        <v>500000</v>
      </c>
      <c r="I574" s="258">
        <f>List34[[#This Row],[Pengajuan Donasi]]</f>
        <v>500000</v>
      </c>
      <c r="J574" s="213" t="str">
        <f>IF(List34[[#This Row],[Tanggal Trf]]&gt;0,"Done","-")</f>
        <v>Done</v>
      </c>
      <c r="K574" s="445" t="s">
        <v>1168</v>
      </c>
      <c r="L574" s="224">
        <v>44764</v>
      </c>
      <c r="M574" s="100" t="s">
        <v>1014</v>
      </c>
      <c r="N574" s="100">
        <f>MONTH(List34[[#This Row],[Tanggal Pengajuan]])</f>
        <v>7</v>
      </c>
      <c r="O574" s="183">
        <v>44781</v>
      </c>
      <c r="P574" s="105" t="s">
        <v>1180</v>
      </c>
      <c r="Q574" s="111"/>
      <c r="R574" s="229"/>
    </row>
    <row r="575" spans="2:18" ht="24.75" x14ac:dyDescent="0.2">
      <c r="B575" s="13">
        <v>44746</v>
      </c>
      <c r="C575" s="67"/>
      <c r="D575" s="14" t="s">
        <v>929</v>
      </c>
      <c r="E575" s="14" t="s">
        <v>26</v>
      </c>
      <c r="F575" s="103" t="s">
        <v>18</v>
      </c>
      <c r="G575" s="471">
        <v>1</v>
      </c>
      <c r="H575" s="258">
        <v>500000</v>
      </c>
      <c r="I575" s="258">
        <f>List34[[#This Row],[Pengajuan Donasi]]</f>
        <v>500000</v>
      </c>
      <c r="J575" s="213" t="str">
        <f>IF(List34[[#This Row],[Tanggal Trf]]&gt;0,"Done","-")</f>
        <v>Done</v>
      </c>
      <c r="K575" s="445" t="s">
        <v>1168</v>
      </c>
      <c r="L575" s="224">
        <v>44764</v>
      </c>
      <c r="M575" s="100" t="s">
        <v>902</v>
      </c>
      <c r="N575" s="100">
        <f>MONTH(List34[[#This Row],[Tanggal Pengajuan]])</f>
        <v>7</v>
      </c>
      <c r="O575" s="183">
        <v>44781</v>
      </c>
      <c r="P575" s="105" t="s">
        <v>1180</v>
      </c>
      <c r="Q575" s="111"/>
      <c r="R575" s="229"/>
    </row>
    <row r="576" spans="2:18" ht="24.75" x14ac:dyDescent="0.2">
      <c r="B576" s="13">
        <v>44746</v>
      </c>
      <c r="C576" s="67"/>
      <c r="D576" s="14" t="s">
        <v>930</v>
      </c>
      <c r="E576" s="14" t="s">
        <v>26</v>
      </c>
      <c r="F576" s="103" t="s">
        <v>18</v>
      </c>
      <c r="G576" s="471">
        <v>1</v>
      </c>
      <c r="H576" s="258">
        <v>500000</v>
      </c>
      <c r="I576" s="258">
        <f>List34[[#This Row],[Pengajuan Donasi]]</f>
        <v>500000</v>
      </c>
      <c r="J576" s="213" t="str">
        <f>IF(List34[[#This Row],[Tanggal Trf]]&gt;0,"Done","-")</f>
        <v>Done</v>
      </c>
      <c r="K576" s="445" t="s">
        <v>1168</v>
      </c>
      <c r="L576" s="224">
        <v>44764</v>
      </c>
      <c r="M576" s="100" t="s">
        <v>903</v>
      </c>
      <c r="N576" s="100">
        <f>MONTH(List34[[#This Row],[Tanggal Pengajuan]])</f>
        <v>7</v>
      </c>
      <c r="O576" s="183">
        <v>44781</v>
      </c>
      <c r="P576" s="105" t="s">
        <v>1180</v>
      </c>
      <c r="Q576" s="111"/>
      <c r="R576" s="229"/>
    </row>
    <row r="577" spans="2:18" ht="15.75" x14ac:dyDescent="0.2">
      <c r="B577" s="210">
        <v>44746</v>
      </c>
      <c r="C577" s="163" t="s">
        <v>1146</v>
      </c>
      <c r="D577" s="164" t="s">
        <v>25</v>
      </c>
      <c r="E577" s="164" t="s">
        <v>179</v>
      </c>
      <c r="F577" s="168" t="s">
        <v>18</v>
      </c>
      <c r="G577" s="470"/>
      <c r="H577" s="261">
        <v>0</v>
      </c>
      <c r="I577" s="261">
        <f>List34[[#This Row],[Pengajuan Donasi]]</f>
        <v>0</v>
      </c>
      <c r="J577" s="253" t="str">
        <f>IF(List34[[#This Row],[Tanggal Trf]]&gt;0,"Done","-")</f>
        <v>-</v>
      </c>
      <c r="K577" s="447" t="s">
        <v>1169</v>
      </c>
      <c r="L577" s="449"/>
      <c r="M577" s="450" t="s">
        <v>667</v>
      </c>
      <c r="N577" s="193">
        <f>MONTH(List34[[#This Row],[Tanggal Pengajuan]])</f>
        <v>7</v>
      </c>
      <c r="O577" s="194"/>
      <c r="P577" s="193" t="s">
        <v>1189</v>
      </c>
      <c r="Q577" s="111"/>
      <c r="R577" s="229"/>
    </row>
    <row r="578" spans="2:18" ht="29.25" x14ac:dyDescent="0.2">
      <c r="B578" s="13">
        <v>44746</v>
      </c>
      <c r="C578" s="67" t="s">
        <v>1147</v>
      </c>
      <c r="D578" s="14" t="s">
        <v>256</v>
      </c>
      <c r="E578" s="14" t="s">
        <v>17</v>
      </c>
      <c r="F578" s="103" t="s">
        <v>18</v>
      </c>
      <c r="G578" s="471">
        <v>86</v>
      </c>
      <c r="H578" s="258">
        <v>8500000</v>
      </c>
      <c r="I578" s="258">
        <f>List34[[#This Row],[Pengajuan Donasi]]</f>
        <v>8500000</v>
      </c>
      <c r="J578" s="213" t="str">
        <f>IF(List34[[#This Row],[Tanggal Trf]]&gt;0,"Done","-")</f>
        <v>Done</v>
      </c>
      <c r="K578" s="445" t="s">
        <v>960</v>
      </c>
      <c r="L578" s="224">
        <v>44776</v>
      </c>
      <c r="M578" s="100" t="s">
        <v>136</v>
      </c>
      <c r="N578" s="100">
        <f>MONTH(List34[[#This Row],[Tanggal Pengajuan]])</f>
        <v>7</v>
      </c>
      <c r="O578" s="183">
        <v>44781</v>
      </c>
      <c r="P578" s="105" t="s">
        <v>1180</v>
      </c>
      <c r="Q578" s="111"/>
      <c r="R578" s="229"/>
    </row>
    <row r="579" spans="2:18" ht="29.25" x14ac:dyDescent="0.2">
      <c r="B579" s="13">
        <v>44746</v>
      </c>
      <c r="C579" s="67"/>
      <c r="D579" s="14" t="s">
        <v>257</v>
      </c>
      <c r="E579" s="14" t="s">
        <v>17</v>
      </c>
      <c r="F579" s="103" t="s">
        <v>18</v>
      </c>
      <c r="G579" s="471">
        <v>134</v>
      </c>
      <c r="H579" s="258">
        <v>5500000</v>
      </c>
      <c r="I579" s="258">
        <f>List34[[#This Row],[Pengajuan Donasi]]</f>
        <v>5500000</v>
      </c>
      <c r="J579" s="213" t="str">
        <f>IF(List34[[#This Row],[Tanggal Trf]]&gt;0,"Done","-")</f>
        <v>Done</v>
      </c>
      <c r="K579" s="445" t="s">
        <v>960</v>
      </c>
      <c r="L579" s="224">
        <v>44776</v>
      </c>
      <c r="M579" s="100" t="s">
        <v>136</v>
      </c>
      <c r="N579" s="100">
        <f>MONTH(List34[[#This Row],[Tanggal Pengajuan]])</f>
        <v>7</v>
      </c>
      <c r="O579" s="183">
        <v>44781</v>
      </c>
      <c r="P579" s="105" t="s">
        <v>1180</v>
      </c>
      <c r="Q579" s="111"/>
      <c r="R579" s="229"/>
    </row>
    <row r="580" spans="2:18" ht="29.25" x14ac:dyDescent="0.2">
      <c r="B580" s="13">
        <v>44746</v>
      </c>
      <c r="C580" s="67"/>
      <c r="D580" s="14" t="s">
        <v>222</v>
      </c>
      <c r="E580" s="14" t="s">
        <v>17</v>
      </c>
      <c r="F580" s="103" t="s">
        <v>18</v>
      </c>
      <c r="G580" s="471">
        <v>34</v>
      </c>
      <c r="H580" s="258">
        <v>5500000</v>
      </c>
      <c r="I580" s="258">
        <f>List34[[#This Row],[Pengajuan Donasi]]</f>
        <v>5500000</v>
      </c>
      <c r="J580" s="213" t="str">
        <f>IF(List34[[#This Row],[Tanggal Trf]]&gt;0,"Done","-")</f>
        <v>Done</v>
      </c>
      <c r="K580" s="445" t="s">
        <v>960</v>
      </c>
      <c r="L580" s="224">
        <v>44776</v>
      </c>
      <c r="M580" s="100" t="s">
        <v>136</v>
      </c>
      <c r="N580" s="100">
        <f>MONTH(List34[[#This Row],[Tanggal Pengajuan]])</f>
        <v>7</v>
      </c>
      <c r="O580" s="183">
        <v>44781</v>
      </c>
      <c r="P580" s="105" t="s">
        <v>1180</v>
      </c>
      <c r="Q580" s="111"/>
      <c r="R580" s="229"/>
    </row>
    <row r="581" spans="2:18" ht="29.25" x14ac:dyDescent="0.2">
      <c r="B581" s="210">
        <v>44746</v>
      </c>
      <c r="C581" s="163" t="s">
        <v>1148</v>
      </c>
      <c r="D581" s="164" t="s">
        <v>1170</v>
      </c>
      <c r="E581" s="164" t="s">
        <v>179</v>
      </c>
      <c r="F581" s="168" t="s">
        <v>18</v>
      </c>
      <c r="G581" s="470"/>
      <c r="H581" s="261">
        <v>0</v>
      </c>
      <c r="I581" s="261">
        <f>List34[[#This Row],[Pengajuan Donasi]]</f>
        <v>0</v>
      </c>
      <c r="J581" s="253" t="str">
        <f>IF(List34[[#This Row],[Tanggal Trf]]&gt;0,"Done","-")</f>
        <v>-</v>
      </c>
      <c r="K581" s="447" t="s">
        <v>960</v>
      </c>
      <c r="L581" s="449"/>
      <c r="M581" s="193" t="s">
        <v>493</v>
      </c>
      <c r="N581" s="193">
        <f>MONTH(List34[[#This Row],[Tanggal Pengajuan]])</f>
        <v>7</v>
      </c>
      <c r="O581" s="194"/>
      <c r="P581" s="193" t="s">
        <v>1179</v>
      </c>
      <c r="Q581" s="111"/>
      <c r="R581" s="229"/>
    </row>
    <row r="582" spans="2:18" ht="15.75" x14ac:dyDescent="0.2">
      <c r="B582" s="210">
        <v>44746</v>
      </c>
      <c r="C582" s="163" t="s">
        <v>1149</v>
      </c>
      <c r="D582" s="164" t="s">
        <v>1171</v>
      </c>
      <c r="E582" s="164" t="s">
        <v>179</v>
      </c>
      <c r="F582" s="168" t="s">
        <v>18</v>
      </c>
      <c r="G582" s="470"/>
      <c r="H582" s="261">
        <v>0</v>
      </c>
      <c r="I582" s="261">
        <f>List34[[#This Row],[Pengajuan Donasi]]</f>
        <v>0</v>
      </c>
      <c r="J582" s="253" t="str">
        <f>IF(List34[[#This Row],[Tanggal Trf]]&gt;0,"Done","-")</f>
        <v>-</v>
      </c>
      <c r="K582" s="447" t="s">
        <v>960</v>
      </c>
      <c r="L582" s="449"/>
      <c r="M582" s="193" t="s">
        <v>893</v>
      </c>
      <c r="N582" s="193">
        <f>MONTH(List34[[#This Row],[Tanggal Pengajuan]])</f>
        <v>7</v>
      </c>
      <c r="O582" s="194"/>
      <c r="P582" s="193" t="s">
        <v>1179</v>
      </c>
      <c r="Q582" s="111"/>
      <c r="R582" s="229"/>
    </row>
    <row r="583" spans="2:18" ht="15.75" x14ac:dyDescent="0.2">
      <c r="B583" s="210">
        <v>44746</v>
      </c>
      <c r="C583" s="163" t="s">
        <v>1150</v>
      </c>
      <c r="D583" s="164" t="s">
        <v>114</v>
      </c>
      <c r="E583" s="164" t="s">
        <v>179</v>
      </c>
      <c r="F583" s="168" t="s">
        <v>18</v>
      </c>
      <c r="G583" s="470"/>
      <c r="H583" s="261">
        <v>0</v>
      </c>
      <c r="I583" s="261">
        <f>List34[[#This Row],[Pengajuan Donasi]]</f>
        <v>0</v>
      </c>
      <c r="J583" s="253" t="str">
        <f>IF(List34[[#This Row],[Tanggal Trf]]&gt;0,"Done","-")</f>
        <v>-</v>
      </c>
      <c r="K583" s="447" t="s">
        <v>1172</v>
      </c>
      <c r="L583" s="449"/>
      <c r="M583" s="193" t="s">
        <v>733</v>
      </c>
      <c r="N583" s="193">
        <f>MONTH(List34[[#This Row],[Tanggal Pengajuan]])</f>
        <v>7</v>
      </c>
      <c r="O583" s="194"/>
      <c r="P583" s="193" t="s">
        <v>1189</v>
      </c>
      <c r="Q583" s="111"/>
      <c r="R583" s="229"/>
    </row>
    <row r="584" spans="2:18" ht="15.75" x14ac:dyDescent="0.2">
      <c r="B584" s="210">
        <v>44746</v>
      </c>
      <c r="C584" s="163" t="s">
        <v>1151</v>
      </c>
      <c r="D584" s="164" t="s">
        <v>60</v>
      </c>
      <c r="E584" s="164" t="s">
        <v>179</v>
      </c>
      <c r="F584" s="168" t="s">
        <v>18</v>
      </c>
      <c r="G584" s="470"/>
      <c r="H584" s="261">
        <v>0</v>
      </c>
      <c r="I584" s="261">
        <f>List34[[#This Row],[Pengajuan Donasi]]</f>
        <v>0</v>
      </c>
      <c r="J584" s="253" t="str">
        <f>IF(List34[[#This Row],[Tanggal Trf]]&gt;0,"Done","-")</f>
        <v>-</v>
      </c>
      <c r="K584" s="447" t="s">
        <v>1173</v>
      </c>
      <c r="L584" s="449"/>
      <c r="M584" s="193" t="s">
        <v>674</v>
      </c>
      <c r="N584" s="193">
        <f>MONTH(List34[[#This Row],[Tanggal Pengajuan]])</f>
        <v>7</v>
      </c>
      <c r="O584" s="194"/>
      <c r="P584" s="193" t="s">
        <v>1189</v>
      </c>
      <c r="Q584" s="111"/>
      <c r="R584" s="229"/>
    </row>
    <row r="585" spans="2:18" ht="15.75" x14ac:dyDescent="0.2">
      <c r="B585" s="210">
        <v>44746</v>
      </c>
      <c r="C585" s="163" t="s">
        <v>1152</v>
      </c>
      <c r="D585" s="164" t="s">
        <v>129</v>
      </c>
      <c r="E585" s="164" t="s">
        <v>179</v>
      </c>
      <c r="F585" s="168" t="s">
        <v>18</v>
      </c>
      <c r="G585" s="470"/>
      <c r="H585" s="261">
        <v>0</v>
      </c>
      <c r="I585" s="261">
        <f>List34[[#This Row],[Pengajuan Donasi]]</f>
        <v>0</v>
      </c>
      <c r="J585" s="253" t="str">
        <f>IF(List34[[#This Row],[Tanggal Trf]]&gt;0,"Done","-")</f>
        <v>-</v>
      </c>
      <c r="K585" s="447" t="s">
        <v>1174</v>
      </c>
      <c r="L585" s="449"/>
      <c r="M585" s="193" t="s">
        <v>675</v>
      </c>
      <c r="N585" s="193">
        <f>MONTH(List34[[#This Row],[Tanggal Pengajuan]])</f>
        <v>7</v>
      </c>
      <c r="O585" s="194"/>
      <c r="P585" s="193" t="s">
        <v>1189</v>
      </c>
      <c r="Q585" s="111"/>
      <c r="R585" s="229"/>
    </row>
    <row r="586" spans="2:18" ht="29.25" x14ac:dyDescent="0.2">
      <c r="B586" s="13">
        <v>44753</v>
      </c>
      <c r="C586" s="67" t="s">
        <v>1153</v>
      </c>
      <c r="D586" s="14" t="s">
        <v>1175</v>
      </c>
      <c r="E586" s="14" t="s">
        <v>1054</v>
      </c>
      <c r="F586" s="103" t="s">
        <v>18</v>
      </c>
      <c r="G586" s="471"/>
      <c r="H586" s="258">
        <v>2400000</v>
      </c>
      <c r="I586" s="258">
        <f>List34[[#This Row],[Pengajuan Donasi]]</f>
        <v>2400000</v>
      </c>
      <c r="J586" s="213" t="str">
        <f>IF(List34[[#This Row],[Tanggal Trf]]&gt;0,"Done","-")</f>
        <v>Done</v>
      </c>
      <c r="K586" s="445" t="s">
        <v>960</v>
      </c>
      <c r="L586" s="224">
        <v>44757</v>
      </c>
      <c r="M586" s="100" t="s">
        <v>683</v>
      </c>
      <c r="N586" s="100">
        <f>MONTH(List34[[#This Row],[Tanggal Pengajuan]])</f>
        <v>7</v>
      </c>
      <c r="O586" s="183">
        <v>44761</v>
      </c>
      <c r="P586" s="105" t="s">
        <v>1180</v>
      </c>
      <c r="Q586" s="111"/>
      <c r="R586" s="229"/>
    </row>
    <row r="587" spans="2:18" ht="29.25" x14ac:dyDescent="0.2">
      <c r="B587" s="13">
        <v>44754</v>
      </c>
      <c r="C587" s="67" t="s">
        <v>1154</v>
      </c>
      <c r="D587" s="14" t="s">
        <v>872</v>
      </c>
      <c r="E587" s="14" t="s">
        <v>17</v>
      </c>
      <c r="F587" s="103" t="s">
        <v>18</v>
      </c>
      <c r="G587" s="471">
        <v>59</v>
      </c>
      <c r="H587" s="258">
        <v>6000000</v>
      </c>
      <c r="I587" s="258">
        <f>List34[[#This Row],[Pengajuan Donasi]]</f>
        <v>6000000</v>
      </c>
      <c r="J587" s="213" t="str">
        <f>IF(List34[[#This Row],[Tanggal Trf]]&gt;0,"Done","-")</f>
        <v>Done</v>
      </c>
      <c r="K587" s="445" t="s">
        <v>1176</v>
      </c>
      <c r="L587" s="224">
        <v>44764</v>
      </c>
      <c r="M587" s="100" t="s">
        <v>1213</v>
      </c>
      <c r="N587" s="100">
        <f>MONTH(List34[[#This Row],[Tanggal Pengajuan]])</f>
        <v>7</v>
      </c>
      <c r="O587" s="183">
        <v>44775</v>
      </c>
      <c r="P587" s="105" t="s">
        <v>1180</v>
      </c>
      <c r="Q587" s="111"/>
      <c r="R587" s="229"/>
    </row>
    <row r="588" spans="2:18" ht="29.25" x14ac:dyDescent="0.2">
      <c r="B588" s="13">
        <v>44754</v>
      </c>
      <c r="C588" s="67"/>
      <c r="D588" s="14" t="s">
        <v>871</v>
      </c>
      <c r="E588" s="14" t="s">
        <v>17</v>
      </c>
      <c r="F588" s="103" t="s">
        <v>18</v>
      </c>
      <c r="G588" s="471">
        <v>68</v>
      </c>
      <c r="H588" s="258">
        <v>6000000</v>
      </c>
      <c r="I588" s="258">
        <f>List34[[#This Row],[Pengajuan Donasi]]</f>
        <v>6000000</v>
      </c>
      <c r="J588" s="213" t="str">
        <f>IF(List34[[#This Row],[Tanggal Trf]]&gt;0,"Done","-")</f>
        <v>Done</v>
      </c>
      <c r="K588" s="445" t="s">
        <v>1176</v>
      </c>
      <c r="L588" s="224">
        <v>44764</v>
      </c>
      <c r="M588" s="100" t="s">
        <v>1213</v>
      </c>
      <c r="N588" s="100">
        <f>MONTH(List34[[#This Row],[Tanggal Pengajuan]])</f>
        <v>7</v>
      </c>
      <c r="O588" s="183">
        <v>44775</v>
      </c>
      <c r="P588" s="105" t="s">
        <v>1180</v>
      </c>
      <c r="Q588" s="111"/>
      <c r="R588" s="229"/>
    </row>
    <row r="589" spans="2:18" ht="29.25" x14ac:dyDescent="0.2">
      <c r="B589" s="13">
        <v>44754</v>
      </c>
      <c r="C589" s="67"/>
      <c r="D589" s="14" t="s">
        <v>870</v>
      </c>
      <c r="E589" s="14" t="s">
        <v>17</v>
      </c>
      <c r="F589" s="103" t="s">
        <v>18</v>
      </c>
      <c r="G589" s="471">
        <v>19</v>
      </c>
      <c r="H589" s="258">
        <v>6000000</v>
      </c>
      <c r="I589" s="258">
        <f>List34[[#This Row],[Pengajuan Donasi]]</f>
        <v>6000000</v>
      </c>
      <c r="J589" s="213" t="str">
        <f>IF(List34[[#This Row],[Tanggal Trf]]&gt;0,"Done","-")</f>
        <v>Done</v>
      </c>
      <c r="K589" s="445" t="s">
        <v>1176</v>
      </c>
      <c r="L589" s="224">
        <v>44764</v>
      </c>
      <c r="M589" s="100" t="s">
        <v>1213</v>
      </c>
      <c r="N589" s="100">
        <f>MONTH(List34[[#This Row],[Tanggal Pengajuan]])</f>
        <v>7</v>
      </c>
      <c r="O589" s="183">
        <v>44775</v>
      </c>
      <c r="P589" s="105" t="s">
        <v>1180</v>
      </c>
      <c r="Q589" s="111"/>
      <c r="R589" s="229"/>
    </row>
    <row r="590" spans="2:18" ht="29.25" x14ac:dyDescent="0.2">
      <c r="B590" s="13">
        <v>44754</v>
      </c>
      <c r="C590" s="67"/>
      <c r="D590" s="14" t="s">
        <v>124</v>
      </c>
      <c r="E590" s="14" t="s">
        <v>17</v>
      </c>
      <c r="F590" s="103" t="s">
        <v>18</v>
      </c>
      <c r="G590" s="471">
        <v>119</v>
      </c>
      <c r="H590" s="258">
        <v>6000000</v>
      </c>
      <c r="I590" s="258">
        <f>List34[[#This Row],[Pengajuan Donasi]]</f>
        <v>6000000</v>
      </c>
      <c r="J590" s="213" t="str">
        <f>IF(List34[[#This Row],[Tanggal Trf]]&gt;0,"Done","-")</f>
        <v>Done</v>
      </c>
      <c r="K590" s="445" t="s">
        <v>1176</v>
      </c>
      <c r="L590" s="224">
        <v>44764</v>
      </c>
      <c r="M590" s="100" t="s">
        <v>1213</v>
      </c>
      <c r="N590" s="100">
        <f>MONTH(List34[[#This Row],[Tanggal Pengajuan]])</f>
        <v>7</v>
      </c>
      <c r="O590" s="183">
        <v>44775</v>
      </c>
      <c r="P590" s="105" t="s">
        <v>1180</v>
      </c>
      <c r="Q590" s="111"/>
      <c r="R590" s="229"/>
    </row>
    <row r="591" spans="2:18" ht="29.25" x14ac:dyDescent="0.2">
      <c r="B591" s="13">
        <v>44754</v>
      </c>
      <c r="C591" s="67"/>
      <c r="D591" s="14" t="s">
        <v>228</v>
      </c>
      <c r="E591" s="14" t="s">
        <v>17</v>
      </c>
      <c r="F591" s="103" t="s">
        <v>18</v>
      </c>
      <c r="G591" s="471">
        <v>64</v>
      </c>
      <c r="H591" s="258">
        <v>6000000</v>
      </c>
      <c r="I591" s="258">
        <f>List34[[#This Row],[Pengajuan Donasi]]</f>
        <v>6000000</v>
      </c>
      <c r="J591" s="213" t="str">
        <f>IF(List34[[#This Row],[Tanggal Trf]]&gt;0,"Done","-")</f>
        <v>Done</v>
      </c>
      <c r="K591" s="445" t="s">
        <v>1176</v>
      </c>
      <c r="L591" s="224">
        <v>44764</v>
      </c>
      <c r="M591" s="100" t="s">
        <v>1213</v>
      </c>
      <c r="N591" s="100">
        <f>MONTH(List34[[#This Row],[Tanggal Pengajuan]])</f>
        <v>7</v>
      </c>
      <c r="O591" s="183">
        <v>44775</v>
      </c>
      <c r="P591" s="105" t="s">
        <v>1180</v>
      </c>
      <c r="Q591" s="111"/>
      <c r="R591" s="229"/>
    </row>
    <row r="592" spans="2:18" ht="29.25" x14ac:dyDescent="0.2">
      <c r="B592" s="13">
        <v>44754</v>
      </c>
      <c r="C592" s="67"/>
      <c r="D592" s="14" t="s">
        <v>869</v>
      </c>
      <c r="E592" s="14" t="s">
        <v>17</v>
      </c>
      <c r="F592" s="103" t="s">
        <v>18</v>
      </c>
      <c r="G592" s="471">
        <v>98</v>
      </c>
      <c r="H592" s="258">
        <v>6000000</v>
      </c>
      <c r="I592" s="258">
        <f>List34[[#This Row],[Pengajuan Donasi]]</f>
        <v>6000000</v>
      </c>
      <c r="J592" s="213" t="str">
        <f>IF(List34[[#This Row],[Tanggal Trf]]&gt;0,"Done","-")</f>
        <v>Done</v>
      </c>
      <c r="K592" s="445" t="s">
        <v>1176</v>
      </c>
      <c r="L592" s="224">
        <v>44764</v>
      </c>
      <c r="M592" s="100" t="s">
        <v>1213</v>
      </c>
      <c r="N592" s="100">
        <f>MONTH(List34[[#This Row],[Tanggal Pengajuan]])</f>
        <v>7</v>
      </c>
      <c r="O592" s="183">
        <v>44775</v>
      </c>
      <c r="P592" s="105" t="s">
        <v>1180</v>
      </c>
      <c r="Q592" s="111"/>
      <c r="R592" s="229"/>
    </row>
    <row r="593" spans="2:18" ht="29.25" x14ac:dyDescent="0.2">
      <c r="B593" s="13">
        <v>44754</v>
      </c>
      <c r="C593" s="67"/>
      <c r="D593" s="14" t="s">
        <v>868</v>
      </c>
      <c r="E593" s="14" t="s">
        <v>17</v>
      </c>
      <c r="F593" s="103" t="s">
        <v>18</v>
      </c>
      <c r="G593" s="471">
        <v>27</v>
      </c>
      <c r="H593" s="258">
        <v>6000000</v>
      </c>
      <c r="I593" s="258">
        <f>List34[[#This Row],[Pengajuan Donasi]]</f>
        <v>6000000</v>
      </c>
      <c r="J593" s="213" t="str">
        <f>IF(List34[[#This Row],[Tanggal Trf]]&gt;0,"Done","-")</f>
        <v>Done</v>
      </c>
      <c r="K593" s="445" t="s">
        <v>1176</v>
      </c>
      <c r="L593" s="224">
        <v>44764</v>
      </c>
      <c r="M593" s="100" t="s">
        <v>1213</v>
      </c>
      <c r="N593" s="100">
        <f>MONTH(List34[[#This Row],[Tanggal Pengajuan]])</f>
        <v>7</v>
      </c>
      <c r="O593" s="183">
        <v>44775</v>
      </c>
      <c r="P593" s="105" t="s">
        <v>1180</v>
      </c>
      <c r="Q593" s="111"/>
      <c r="R593" s="229"/>
    </row>
    <row r="594" spans="2:18" ht="29.25" x14ac:dyDescent="0.2">
      <c r="B594" s="13">
        <v>44754</v>
      </c>
      <c r="C594" s="67"/>
      <c r="D594" s="14" t="s">
        <v>229</v>
      </c>
      <c r="E594" s="14" t="s">
        <v>17</v>
      </c>
      <c r="F594" s="103" t="s">
        <v>18</v>
      </c>
      <c r="G594" s="471">
        <v>40</v>
      </c>
      <c r="H594" s="258">
        <v>6000000</v>
      </c>
      <c r="I594" s="258">
        <f>List34[[#This Row],[Pengajuan Donasi]]</f>
        <v>6000000</v>
      </c>
      <c r="J594" s="213" t="str">
        <f>IF(List34[[#This Row],[Tanggal Trf]]&gt;0,"Done","-")</f>
        <v>Done</v>
      </c>
      <c r="K594" s="445" t="s">
        <v>1176</v>
      </c>
      <c r="L594" s="224">
        <v>44764</v>
      </c>
      <c r="M594" s="100" t="s">
        <v>1213</v>
      </c>
      <c r="N594" s="100">
        <f>MONTH(List34[[#This Row],[Tanggal Pengajuan]])</f>
        <v>7</v>
      </c>
      <c r="O594" s="183">
        <v>44775</v>
      </c>
      <c r="P594" s="105" t="s">
        <v>1180</v>
      </c>
      <c r="Q594" s="111"/>
      <c r="R594" s="229"/>
    </row>
    <row r="595" spans="2:18" ht="29.25" x14ac:dyDescent="0.2">
      <c r="B595" s="13">
        <v>44754</v>
      </c>
      <c r="C595" s="67"/>
      <c r="D595" s="14" t="s">
        <v>867</v>
      </c>
      <c r="E595" s="14" t="s">
        <v>17</v>
      </c>
      <c r="F595" s="103" t="s">
        <v>18</v>
      </c>
      <c r="G595" s="471">
        <v>129</v>
      </c>
      <c r="H595" s="258">
        <v>6000000</v>
      </c>
      <c r="I595" s="258">
        <f>List34[[#This Row],[Pengajuan Donasi]]</f>
        <v>6000000</v>
      </c>
      <c r="J595" s="213" t="str">
        <f>IF(List34[[#This Row],[Tanggal Trf]]&gt;0,"Done","-")</f>
        <v>Done</v>
      </c>
      <c r="K595" s="445" t="s">
        <v>1176</v>
      </c>
      <c r="L595" s="224">
        <v>44764</v>
      </c>
      <c r="M595" s="100" t="s">
        <v>1213</v>
      </c>
      <c r="N595" s="100">
        <f>MONTH(List34[[#This Row],[Tanggal Pengajuan]])</f>
        <v>7</v>
      </c>
      <c r="O595" s="183">
        <v>44775</v>
      </c>
      <c r="P595" s="105" t="s">
        <v>1180</v>
      </c>
      <c r="Q595" s="111"/>
      <c r="R595" s="229"/>
    </row>
    <row r="596" spans="2:18" ht="29.25" x14ac:dyDescent="0.2">
      <c r="B596" s="13">
        <v>44754</v>
      </c>
      <c r="C596" s="67"/>
      <c r="D596" s="14" t="s">
        <v>238</v>
      </c>
      <c r="E596" s="14" t="s">
        <v>17</v>
      </c>
      <c r="F596" s="103" t="s">
        <v>18</v>
      </c>
      <c r="G596" s="471">
        <v>42</v>
      </c>
      <c r="H596" s="258">
        <v>6000000</v>
      </c>
      <c r="I596" s="258">
        <f>List34[[#This Row],[Pengajuan Donasi]]</f>
        <v>6000000</v>
      </c>
      <c r="J596" s="213" t="str">
        <f>IF(List34[[#This Row],[Tanggal Trf]]&gt;0,"Done","-")</f>
        <v>Done</v>
      </c>
      <c r="K596" s="445" t="s">
        <v>1176</v>
      </c>
      <c r="L596" s="224">
        <v>44764</v>
      </c>
      <c r="M596" s="100" t="s">
        <v>1213</v>
      </c>
      <c r="N596" s="100">
        <f>MONTH(List34[[#This Row],[Tanggal Pengajuan]])</f>
        <v>7</v>
      </c>
      <c r="O596" s="183">
        <v>44775</v>
      </c>
      <c r="P596" s="105" t="s">
        <v>1180</v>
      </c>
      <c r="Q596" s="111"/>
      <c r="R596" s="229"/>
    </row>
    <row r="597" spans="2:18" ht="29.25" x14ac:dyDescent="0.2">
      <c r="B597" s="13">
        <v>44754</v>
      </c>
      <c r="C597" s="67"/>
      <c r="D597" s="14" t="s">
        <v>849</v>
      </c>
      <c r="E597" s="14" t="s">
        <v>17</v>
      </c>
      <c r="F597" s="103" t="s">
        <v>18</v>
      </c>
      <c r="G597" s="471">
        <v>63</v>
      </c>
      <c r="H597" s="258">
        <v>6000000</v>
      </c>
      <c r="I597" s="258">
        <f>List34[[#This Row],[Pengajuan Donasi]]</f>
        <v>6000000</v>
      </c>
      <c r="J597" s="213" t="str">
        <f>IF(List34[[#This Row],[Tanggal Trf]]&gt;0,"Done","-")</f>
        <v>Done</v>
      </c>
      <c r="K597" s="445" t="s">
        <v>1176</v>
      </c>
      <c r="L597" s="224">
        <v>44764</v>
      </c>
      <c r="M597" s="100" t="s">
        <v>1213</v>
      </c>
      <c r="N597" s="100">
        <f>MONTH(List34[[#This Row],[Tanggal Pengajuan]])</f>
        <v>7</v>
      </c>
      <c r="O597" s="183">
        <v>44775</v>
      </c>
      <c r="P597" s="105" t="s">
        <v>1180</v>
      </c>
      <c r="Q597" s="111"/>
      <c r="R597" s="229"/>
    </row>
    <row r="598" spans="2:18" ht="29.25" x14ac:dyDescent="0.2">
      <c r="B598" s="13">
        <v>44754</v>
      </c>
      <c r="C598" s="67"/>
      <c r="D598" s="14" t="s">
        <v>850</v>
      </c>
      <c r="E598" s="14" t="s">
        <v>17</v>
      </c>
      <c r="F598" s="103" t="s">
        <v>18</v>
      </c>
      <c r="G598" s="471">
        <v>61</v>
      </c>
      <c r="H598" s="258">
        <v>6000000</v>
      </c>
      <c r="I598" s="258">
        <f>List34[[#This Row],[Pengajuan Donasi]]</f>
        <v>6000000</v>
      </c>
      <c r="J598" s="213" t="str">
        <f>IF(List34[[#This Row],[Tanggal Trf]]&gt;0,"Done","-")</f>
        <v>Done</v>
      </c>
      <c r="K598" s="445" t="s">
        <v>1176</v>
      </c>
      <c r="L598" s="224">
        <v>44764</v>
      </c>
      <c r="M598" s="100" t="s">
        <v>1213</v>
      </c>
      <c r="N598" s="100">
        <f>MONTH(List34[[#This Row],[Tanggal Pengajuan]])</f>
        <v>7</v>
      </c>
      <c r="O598" s="183">
        <v>44775</v>
      </c>
      <c r="P598" s="105" t="s">
        <v>1180</v>
      </c>
      <c r="Q598" s="111"/>
      <c r="R598" s="229"/>
    </row>
    <row r="599" spans="2:18" ht="29.25" x14ac:dyDescent="0.2">
      <c r="B599" s="13">
        <v>44754</v>
      </c>
      <c r="C599" s="67"/>
      <c r="D599" s="14" t="s">
        <v>851</v>
      </c>
      <c r="E599" s="14" t="s">
        <v>17</v>
      </c>
      <c r="F599" s="103" t="s">
        <v>18</v>
      </c>
      <c r="G599" s="471">
        <v>22</v>
      </c>
      <c r="H599" s="258">
        <v>6000000</v>
      </c>
      <c r="I599" s="258">
        <f>List34[[#This Row],[Pengajuan Donasi]]</f>
        <v>6000000</v>
      </c>
      <c r="J599" s="213" t="str">
        <f>IF(List34[[#This Row],[Tanggal Trf]]&gt;0,"Done","-")</f>
        <v>Done</v>
      </c>
      <c r="K599" s="445" t="s">
        <v>1176</v>
      </c>
      <c r="L599" s="224">
        <v>44764</v>
      </c>
      <c r="M599" s="100" t="s">
        <v>1213</v>
      </c>
      <c r="N599" s="100">
        <f>MONTH(List34[[#This Row],[Tanggal Pengajuan]])</f>
        <v>7</v>
      </c>
      <c r="O599" s="183">
        <v>44775</v>
      </c>
      <c r="P599" s="105" t="s">
        <v>1180</v>
      </c>
      <c r="Q599" s="111"/>
      <c r="R599" s="229"/>
    </row>
    <row r="600" spans="2:18" ht="29.25" x14ac:dyDescent="0.2">
      <c r="B600" s="13">
        <v>44754</v>
      </c>
      <c r="C600" s="67"/>
      <c r="D600" s="14" t="s">
        <v>852</v>
      </c>
      <c r="E600" s="14" t="s">
        <v>17</v>
      </c>
      <c r="F600" s="103" t="s">
        <v>18</v>
      </c>
      <c r="G600" s="471">
        <v>42</v>
      </c>
      <c r="H600" s="258">
        <v>6000000</v>
      </c>
      <c r="I600" s="258">
        <f>List34[[#This Row],[Pengajuan Donasi]]</f>
        <v>6000000</v>
      </c>
      <c r="J600" s="213" t="str">
        <f>IF(List34[[#This Row],[Tanggal Trf]]&gt;0,"Done","-")</f>
        <v>Done</v>
      </c>
      <c r="K600" s="445" t="s">
        <v>1176</v>
      </c>
      <c r="L600" s="224">
        <v>44764</v>
      </c>
      <c r="M600" s="100" t="s">
        <v>1213</v>
      </c>
      <c r="N600" s="100">
        <f>MONTH(List34[[#This Row],[Tanggal Pengajuan]])</f>
        <v>7</v>
      </c>
      <c r="O600" s="183">
        <v>44775</v>
      </c>
      <c r="P600" s="105" t="s">
        <v>1180</v>
      </c>
      <c r="Q600" s="111"/>
      <c r="R600" s="229"/>
    </row>
    <row r="601" spans="2:18" ht="29.25" x14ac:dyDescent="0.2">
      <c r="B601" s="13">
        <v>44754</v>
      </c>
      <c r="C601" s="67"/>
      <c r="D601" s="14" t="s">
        <v>853</v>
      </c>
      <c r="E601" s="14" t="s">
        <v>17</v>
      </c>
      <c r="F601" s="103" t="s">
        <v>18</v>
      </c>
      <c r="G601" s="471">
        <v>25</v>
      </c>
      <c r="H601" s="258">
        <v>6000000</v>
      </c>
      <c r="I601" s="258">
        <f>List34[[#This Row],[Pengajuan Donasi]]</f>
        <v>6000000</v>
      </c>
      <c r="J601" s="213" t="str">
        <f>IF(List34[[#This Row],[Tanggal Trf]]&gt;0,"Done","-")</f>
        <v>Done</v>
      </c>
      <c r="K601" s="445" t="s">
        <v>1176</v>
      </c>
      <c r="L601" s="224">
        <v>44764</v>
      </c>
      <c r="M601" s="100" t="s">
        <v>1213</v>
      </c>
      <c r="N601" s="100">
        <f>MONTH(List34[[#This Row],[Tanggal Pengajuan]])</f>
        <v>7</v>
      </c>
      <c r="O601" s="183">
        <v>44775</v>
      </c>
      <c r="P601" s="105" t="s">
        <v>1180</v>
      </c>
      <c r="Q601" s="111"/>
      <c r="R601" s="229"/>
    </row>
    <row r="602" spans="2:18" ht="29.25" x14ac:dyDescent="0.2">
      <c r="B602" s="13">
        <v>44754</v>
      </c>
      <c r="C602" s="67"/>
      <c r="D602" s="14" t="s">
        <v>854</v>
      </c>
      <c r="E602" s="14" t="s">
        <v>17</v>
      </c>
      <c r="F602" s="103" t="s">
        <v>18</v>
      </c>
      <c r="G602" s="471">
        <v>118</v>
      </c>
      <c r="H602" s="258">
        <v>6000000</v>
      </c>
      <c r="I602" s="258">
        <f>List34[[#This Row],[Pengajuan Donasi]]</f>
        <v>6000000</v>
      </c>
      <c r="J602" s="213" t="str">
        <f>IF(List34[[#This Row],[Tanggal Trf]]&gt;0,"Done","-")</f>
        <v>Done</v>
      </c>
      <c r="K602" s="445" t="s">
        <v>1176</v>
      </c>
      <c r="L602" s="224">
        <v>44764</v>
      </c>
      <c r="M602" s="100" t="s">
        <v>1213</v>
      </c>
      <c r="N602" s="100">
        <f>MONTH(List34[[#This Row],[Tanggal Pengajuan]])</f>
        <v>7</v>
      </c>
      <c r="O602" s="183">
        <v>44775</v>
      </c>
      <c r="P602" s="105" t="s">
        <v>1180</v>
      </c>
      <c r="Q602" s="111"/>
      <c r="R602" s="229"/>
    </row>
    <row r="603" spans="2:18" ht="29.25" x14ac:dyDescent="0.2">
      <c r="B603" s="13">
        <v>44754</v>
      </c>
      <c r="C603" s="67"/>
      <c r="D603" s="14" t="s">
        <v>855</v>
      </c>
      <c r="E603" s="14" t="s">
        <v>17</v>
      </c>
      <c r="F603" s="103" t="s">
        <v>18</v>
      </c>
      <c r="G603" s="471">
        <v>91</v>
      </c>
      <c r="H603" s="258">
        <v>6000000</v>
      </c>
      <c r="I603" s="258">
        <f>List34[[#This Row],[Pengajuan Donasi]]</f>
        <v>6000000</v>
      </c>
      <c r="J603" s="213" t="str">
        <f>IF(List34[[#This Row],[Tanggal Trf]]&gt;0,"Done","-")</f>
        <v>Done</v>
      </c>
      <c r="K603" s="445" t="s">
        <v>1176</v>
      </c>
      <c r="L603" s="224">
        <v>44764</v>
      </c>
      <c r="M603" s="100" t="s">
        <v>1213</v>
      </c>
      <c r="N603" s="100">
        <f>MONTH(List34[[#This Row],[Tanggal Pengajuan]])</f>
        <v>7</v>
      </c>
      <c r="O603" s="183">
        <v>44775</v>
      </c>
      <c r="P603" s="105" t="s">
        <v>1180</v>
      </c>
      <c r="Q603" s="111"/>
      <c r="R603" s="229"/>
    </row>
    <row r="604" spans="2:18" ht="29.25" x14ac:dyDescent="0.2">
      <c r="B604" s="13">
        <v>44754</v>
      </c>
      <c r="C604" s="67"/>
      <c r="D604" s="14" t="s">
        <v>856</v>
      </c>
      <c r="E604" s="14" t="s">
        <v>17</v>
      </c>
      <c r="F604" s="103" t="s">
        <v>18</v>
      </c>
      <c r="G604" s="471">
        <v>32</v>
      </c>
      <c r="H604" s="258">
        <v>6000000</v>
      </c>
      <c r="I604" s="258">
        <f>List34[[#This Row],[Pengajuan Donasi]]</f>
        <v>6000000</v>
      </c>
      <c r="J604" s="213" t="str">
        <f>IF(List34[[#This Row],[Tanggal Trf]]&gt;0,"Done","-")</f>
        <v>Done</v>
      </c>
      <c r="K604" s="445" t="s">
        <v>1176</v>
      </c>
      <c r="L604" s="224">
        <v>44764</v>
      </c>
      <c r="M604" s="100" t="s">
        <v>1213</v>
      </c>
      <c r="N604" s="100">
        <f>MONTH(List34[[#This Row],[Tanggal Pengajuan]])</f>
        <v>7</v>
      </c>
      <c r="O604" s="183">
        <v>44775</v>
      </c>
      <c r="P604" s="105" t="s">
        <v>1180</v>
      </c>
      <c r="Q604" s="111"/>
      <c r="R604" s="229"/>
    </row>
    <row r="605" spans="2:18" ht="29.25" x14ac:dyDescent="0.2">
      <c r="B605" s="13">
        <v>44754</v>
      </c>
      <c r="C605" s="67"/>
      <c r="D605" s="14" t="s">
        <v>857</v>
      </c>
      <c r="E605" s="14" t="s">
        <v>17</v>
      </c>
      <c r="F605" s="103" t="s">
        <v>18</v>
      </c>
      <c r="G605" s="471">
        <v>78</v>
      </c>
      <c r="H605" s="258">
        <v>6000000</v>
      </c>
      <c r="I605" s="258">
        <f>List34[[#This Row],[Pengajuan Donasi]]</f>
        <v>6000000</v>
      </c>
      <c r="J605" s="213" t="str">
        <f>IF(List34[[#This Row],[Tanggal Trf]]&gt;0,"Done","-")</f>
        <v>Done</v>
      </c>
      <c r="K605" s="445" t="s">
        <v>1176</v>
      </c>
      <c r="L605" s="224">
        <v>44764</v>
      </c>
      <c r="M605" s="100" t="s">
        <v>1213</v>
      </c>
      <c r="N605" s="100">
        <f>MONTH(List34[[#This Row],[Tanggal Pengajuan]])</f>
        <v>7</v>
      </c>
      <c r="O605" s="183">
        <v>44775</v>
      </c>
      <c r="P605" s="105" t="s">
        <v>1180</v>
      </c>
      <c r="Q605" s="111"/>
      <c r="R605" s="229"/>
    </row>
    <row r="606" spans="2:18" ht="29.25" x14ac:dyDescent="0.2">
      <c r="B606" s="13">
        <v>44754</v>
      </c>
      <c r="C606" s="67"/>
      <c r="D606" s="14" t="s">
        <v>328</v>
      </c>
      <c r="E606" s="14" t="s">
        <v>17</v>
      </c>
      <c r="F606" s="103" t="s">
        <v>18</v>
      </c>
      <c r="G606" s="471">
        <v>98</v>
      </c>
      <c r="H606" s="258">
        <v>6000000</v>
      </c>
      <c r="I606" s="258">
        <f>List34[[#This Row],[Pengajuan Donasi]]</f>
        <v>6000000</v>
      </c>
      <c r="J606" s="213" t="str">
        <f>IF(List34[[#This Row],[Tanggal Trf]]&gt;0,"Done","-")</f>
        <v>Done</v>
      </c>
      <c r="K606" s="445" t="s">
        <v>1176</v>
      </c>
      <c r="L606" s="224">
        <v>44764</v>
      </c>
      <c r="M606" s="100" t="s">
        <v>1213</v>
      </c>
      <c r="N606" s="100">
        <f>MONTH(List34[[#This Row],[Tanggal Pengajuan]])</f>
        <v>7</v>
      </c>
      <c r="O606" s="183">
        <v>44775</v>
      </c>
      <c r="P606" s="105" t="s">
        <v>1180</v>
      </c>
      <c r="Q606" s="111"/>
      <c r="R606" s="229"/>
    </row>
    <row r="607" spans="2:18" ht="29.25" x14ac:dyDescent="0.2">
      <c r="B607" s="13">
        <v>44754</v>
      </c>
      <c r="C607" s="67"/>
      <c r="D607" s="14" t="s">
        <v>858</v>
      </c>
      <c r="E607" s="14" t="s">
        <v>17</v>
      </c>
      <c r="F607" s="103" t="s">
        <v>18</v>
      </c>
      <c r="G607" s="471">
        <v>12</v>
      </c>
      <c r="H607" s="258">
        <v>6000000</v>
      </c>
      <c r="I607" s="258">
        <f>List34[[#This Row],[Pengajuan Donasi]]</f>
        <v>6000000</v>
      </c>
      <c r="J607" s="213" t="str">
        <f>IF(List34[[#This Row],[Tanggal Trf]]&gt;0,"Done","-")</f>
        <v>Done</v>
      </c>
      <c r="K607" s="445" t="s">
        <v>1176</v>
      </c>
      <c r="L607" s="224">
        <v>44764</v>
      </c>
      <c r="M607" s="100" t="s">
        <v>1213</v>
      </c>
      <c r="N607" s="100">
        <f>MONTH(List34[[#This Row],[Tanggal Pengajuan]])</f>
        <v>7</v>
      </c>
      <c r="O607" s="183">
        <v>44775</v>
      </c>
      <c r="P607" s="105" t="s">
        <v>1180</v>
      </c>
      <c r="Q607" s="111"/>
      <c r="R607" s="229"/>
    </row>
    <row r="608" spans="2:18" ht="29.25" x14ac:dyDescent="0.2">
      <c r="B608" s="13">
        <v>44754</v>
      </c>
      <c r="C608" s="67"/>
      <c r="D608" s="14" t="s">
        <v>860</v>
      </c>
      <c r="E608" s="14" t="s">
        <v>17</v>
      </c>
      <c r="F608" s="103" t="s">
        <v>18</v>
      </c>
      <c r="G608" s="471">
        <v>45</v>
      </c>
      <c r="H608" s="258">
        <v>6000000</v>
      </c>
      <c r="I608" s="258">
        <f>List34[[#This Row],[Pengajuan Donasi]]</f>
        <v>6000000</v>
      </c>
      <c r="J608" s="213" t="str">
        <f>IF(List34[[#This Row],[Tanggal Trf]]&gt;0,"Done","-")</f>
        <v>Done</v>
      </c>
      <c r="K608" s="445" t="s">
        <v>1176</v>
      </c>
      <c r="L608" s="224">
        <v>44764</v>
      </c>
      <c r="M608" s="100" t="s">
        <v>1213</v>
      </c>
      <c r="N608" s="100">
        <f>MONTH(List34[[#This Row],[Tanggal Pengajuan]])</f>
        <v>7</v>
      </c>
      <c r="O608" s="183">
        <v>44775</v>
      </c>
      <c r="P608" s="105" t="s">
        <v>1180</v>
      </c>
      <c r="Q608" s="111"/>
      <c r="R608" s="229"/>
    </row>
    <row r="609" spans="2:18" ht="29.25" x14ac:dyDescent="0.2">
      <c r="B609" s="13">
        <v>44754</v>
      </c>
      <c r="C609" s="67"/>
      <c r="D609" s="14" t="s">
        <v>861</v>
      </c>
      <c r="E609" s="14" t="s">
        <v>17</v>
      </c>
      <c r="F609" s="103" t="s">
        <v>18</v>
      </c>
      <c r="G609" s="471">
        <v>65</v>
      </c>
      <c r="H609" s="258">
        <v>6000000</v>
      </c>
      <c r="I609" s="258">
        <f>List34[[#This Row],[Pengajuan Donasi]]</f>
        <v>6000000</v>
      </c>
      <c r="J609" s="213" t="str">
        <f>IF(List34[[#This Row],[Tanggal Trf]]&gt;0,"Done","-")</f>
        <v>Done</v>
      </c>
      <c r="K609" s="445" t="s">
        <v>1176</v>
      </c>
      <c r="L609" s="224">
        <v>44764</v>
      </c>
      <c r="M609" s="100" t="s">
        <v>1213</v>
      </c>
      <c r="N609" s="100">
        <f>MONTH(List34[[#This Row],[Tanggal Pengajuan]])</f>
        <v>7</v>
      </c>
      <c r="O609" s="183">
        <v>44775</v>
      </c>
      <c r="P609" s="105" t="s">
        <v>1180</v>
      </c>
      <c r="Q609" s="111"/>
      <c r="R609" s="229"/>
    </row>
    <row r="610" spans="2:18" ht="29.25" x14ac:dyDescent="0.2">
      <c r="B610" s="13">
        <v>44754</v>
      </c>
      <c r="C610" s="67"/>
      <c r="D610" s="14" t="s">
        <v>862</v>
      </c>
      <c r="E610" s="14" t="s">
        <v>17</v>
      </c>
      <c r="F610" s="103" t="s">
        <v>18</v>
      </c>
      <c r="G610" s="471">
        <v>40</v>
      </c>
      <c r="H610" s="258">
        <v>6000000</v>
      </c>
      <c r="I610" s="258">
        <f>List34[[#This Row],[Pengajuan Donasi]]</f>
        <v>6000000</v>
      </c>
      <c r="J610" s="213" t="str">
        <f>IF(List34[[#This Row],[Tanggal Trf]]&gt;0,"Done","-")</f>
        <v>Done</v>
      </c>
      <c r="K610" s="445" t="s">
        <v>1176</v>
      </c>
      <c r="L610" s="224">
        <v>44764</v>
      </c>
      <c r="M610" s="100" t="s">
        <v>1213</v>
      </c>
      <c r="N610" s="100">
        <f>MONTH(List34[[#This Row],[Tanggal Pengajuan]])</f>
        <v>7</v>
      </c>
      <c r="O610" s="183">
        <v>44775</v>
      </c>
      <c r="P610" s="105" t="s">
        <v>1180</v>
      </c>
      <c r="Q610" s="111"/>
      <c r="R610" s="229"/>
    </row>
    <row r="611" spans="2:18" ht="29.25" x14ac:dyDescent="0.2">
      <c r="B611" s="13">
        <v>44754</v>
      </c>
      <c r="C611" s="67"/>
      <c r="D611" s="14" t="s">
        <v>865</v>
      </c>
      <c r="E611" s="14" t="s">
        <v>17</v>
      </c>
      <c r="F611" s="103" t="s">
        <v>18</v>
      </c>
      <c r="G611" s="471">
        <v>96</v>
      </c>
      <c r="H611" s="258">
        <v>6000000</v>
      </c>
      <c r="I611" s="258">
        <f>List34[[#This Row],[Pengajuan Donasi]]</f>
        <v>6000000</v>
      </c>
      <c r="J611" s="213" t="str">
        <f>IF(List34[[#This Row],[Tanggal Trf]]&gt;0,"Done","-")</f>
        <v>Done</v>
      </c>
      <c r="K611" s="445" t="s">
        <v>1176</v>
      </c>
      <c r="L611" s="224">
        <v>44764</v>
      </c>
      <c r="M611" s="100" t="s">
        <v>1213</v>
      </c>
      <c r="N611" s="100">
        <f>MONTH(List34[[#This Row],[Tanggal Pengajuan]])</f>
        <v>7</v>
      </c>
      <c r="O611" s="183">
        <v>44775</v>
      </c>
      <c r="P611" s="105" t="s">
        <v>1180</v>
      </c>
      <c r="Q611" s="111"/>
      <c r="R611" s="229"/>
    </row>
    <row r="612" spans="2:18" ht="29.25" x14ac:dyDescent="0.2">
      <c r="B612" s="13">
        <v>44754</v>
      </c>
      <c r="C612" s="67"/>
      <c r="D612" s="14" t="s">
        <v>866</v>
      </c>
      <c r="E612" s="14" t="s">
        <v>17</v>
      </c>
      <c r="F612" s="103" t="s">
        <v>18</v>
      </c>
      <c r="G612" s="471">
        <v>56</v>
      </c>
      <c r="H612" s="258">
        <v>6000000</v>
      </c>
      <c r="I612" s="258">
        <f>List34[[#This Row],[Pengajuan Donasi]]</f>
        <v>6000000</v>
      </c>
      <c r="J612" s="213" t="str">
        <f>IF(List34[[#This Row],[Tanggal Trf]]&gt;0,"Done","-")</f>
        <v>Done</v>
      </c>
      <c r="K612" s="445" t="s">
        <v>1176</v>
      </c>
      <c r="L612" s="224">
        <v>44764</v>
      </c>
      <c r="M612" s="100" t="s">
        <v>1213</v>
      </c>
      <c r="N612" s="100">
        <f>MONTH(List34[[#This Row],[Tanggal Pengajuan]])</f>
        <v>7</v>
      </c>
      <c r="O612" s="183">
        <v>44775</v>
      </c>
      <c r="P612" s="105" t="s">
        <v>1180</v>
      </c>
      <c r="Q612" s="111"/>
      <c r="R612" s="229"/>
    </row>
    <row r="613" spans="2:18" ht="29.25" x14ac:dyDescent="0.2">
      <c r="B613" s="13">
        <v>44754</v>
      </c>
      <c r="C613" s="67"/>
      <c r="D613" s="14" t="s">
        <v>1099</v>
      </c>
      <c r="E613" s="14" t="s">
        <v>17</v>
      </c>
      <c r="F613" s="103" t="s">
        <v>18</v>
      </c>
      <c r="G613" s="471">
        <v>65</v>
      </c>
      <c r="H613" s="258">
        <v>6000000</v>
      </c>
      <c r="I613" s="258">
        <f>List34[[#This Row],[Pengajuan Donasi]]</f>
        <v>6000000</v>
      </c>
      <c r="J613" s="213" t="str">
        <f>IF(List34[[#This Row],[Tanggal Trf]]&gt;0,"Done","-")</f>
        <v>Done</v>
      </c>
      <c r="K613" s="445" t="s">
        <v>1176</v>
      </c>
      <c r="L613" s="224">
        <v>44764</v>
      </c>
      <c r="M613" s="100" t="s">
        <v>1213</v>
      </c>
      <c r="N613" s="100">
        <f>MONTH(List34[[#This Row],[Tanggal Pengajuan]])</f>
        <v>7</v>
      </c>
      <c r="O613" s="183">
        <v>44775</v>
      </c>
      <c r="P613" s="105" t="s">
        <v>1180</v>
      </c>
      <c r="Q613" s="111"/>
      <c r="R613" s="229"/>
    </row>
    <row r="614" spans="2:18" ht="29.25" x14ac:dyDescent="0.2">
      <c r="B614" s="13">
        <v>44760</v>
      </c>
      <c r="C614" s="67" t="s">
        <v>1155</v>
      </c>
      <c r="D614" s="14" t="s">
        <v>864</v>
      </c>
      <c r="E614" s="14" t="s">
        <v>17</v>
      </c>
      <c r="F614" s="103" t="s">
        <v>18</v>
      </c>
      <c r="G614" s="471">
        <v>141</v>
      </c>
      <c r="H614" s="258">
        <v>6002460</v>
      </c>
      <c r="I614" s="258">
        <f>List34[[#This Row],[Pengajuan Donasi]]</f>
        <v>6002460</v>
      </c>
      <c r="J614" s="213" t="str">
        <f>IF(List34[[#This Row],[Tanggal Trf]]&gt;0,"Done","-")</f>
        <v>Done</v>
      </c>
      <c r="K614" s="445" t="s">
        <v>1177</v>
      </c>
      <c r="L614" s="224">
        <v>44764</v>
      </c>
      <c r="M614" s="100" t="s">
        <v>683</v>
      </c>
      <c r="N614" s="100">
        <f>MONTH(List34[[#This Row],[Tanggal Pengajuan]])</f>
        <v>7</v>
      </c>
      <c r="O614" s="183">
        <v>44763</v>
      </c>
      <c r="P614" s="100" t="s">
        <v>1180</v>
      </c>
      <c r="Q614" s="111"/>
      <c r="R614" s="229"/>
    </row>
    <row r="615" spans="2:18" ht="29.25" x14ac:dyDescent="0.2">
      <c r="B615" s="13">
        <v>44760</v>
      </c>
      <c r="C615" s="67"/>
      <c r="D615" s="14" t="s">
        <v>848</v>
      </c>
      <c r="E615" s="14" t="s">
        <v>17</v>
      </c>
      <c r="F615" s="103" t="s">
        <v>18</v>
      </c>
      <c r="G615" s="471">
        <v>36</v>
      </c>
      <c r="H615" s="258">
        <v>6400000</v>
      </c>
      <c r="I615" s="258">
        <f>List34[[#This Row],[Pengajuan Donasi]]</f>
        <v>6400000</v>
      </c>
      <c r="J615" s="213" t="str">
        <f>IF(List34[[#This Row],[Tanggal Trf]]&gt;0,"Done","-")</f>
        <v>Done</v>
      </c>
      <c r="K615" s="445" t="s">
        <v>1177</v>
      </c>
      <c r="L615" s="224">
        <v>44764</v>
      </c>
      <c r="M615" s="100" t="s">
        <v>683</v>
      </c>
      <c r="N615" s="100">
        <f>MONTH(List34[[#This Row],[Tanggal Pengajuan]])</f>
        <v>7</v>
      </c>
      <c r="O615" s="183">
        <v>44763</v>
      </c>
      <c r="P615" s="100" t="s">
        <v>1180</v>
      </c>
      <c r="Q615" s="111"/>
      <c r="R615" s="229"/>
    </row>
    <row r="616" spans="2:18" ht="15.75" x14ac:dyDescent="0.2">
      <c r="B616" s="13">
        <v>44764</v>
      </c>
      <c r="C616" s="67" t="s">
        <v>1183</v>
      </c>
      <c r="D616" s="14" t="s">
        <v>1057</v>
      </c>
      <c r="E616" s="14" t="s">
        <v>1054</v>
      </c>
      <c r="F616" s="103" t="s">
        <v>18</v>
      </c>
      <c r="G616" s="471">
        <v>1</v>
      </c>
      <c r="H616" s="258">
        <v>0</v>
      </c>
      <c r="I616" s="258">
        <f>List34[[#This Row],[Pengajuan Donasi]]</f>
        <v>0</v>
      </c>
      <c r="J616" s="213" t="str">
        <f>IF(List34[[#This Row],[Tanggal Trf]]&gt;0,"Done","-")</f>
        <v>Done</v>
      </c>
      <c r="K616" s="445" t="s">
        <v>960</v>
      </c>
      <c r="L616" s="224">
        <v>44771</v>
      </c>
      <c r="M616" s="100" t="s">
        <v>683</v>
      </c>
      <c r="N616" s="100">
        <f>MONTH(List34[[#This Row],[Tanggal Pengajuan]])</f>
        <v>7</v>
      </c>
      <c r="O616" s="183" t="s">
        <v>960</v>
      </c>
      <c r="P616" s="100" t="s">
        <v>1180</v>
      </c>
      <c r="Q616" s="111"/>
      <c r="R616" s="229"/>
    </row>
    <row r="617" spans="2:18" ht="15.75" x14ac:dyDescent="0.2">
      <c r="B617" s="13">
        <v>44764</v>
      </c>
      <c r="C617" s="67" t="s">
        <v>1184</v>
      </c>
      <c r="D617" s="14" t="s">
        <v>1057</v>
      </c>
      <c r="E617" s="14" t="s">
        <v>1054</v>
      </c>
      <c r="F617" s="103" t="s">
        <v>18</v>
      </c>
      <c r="G617" s="471">
        <v>1</v>
      </c>
      <c r="H617" s="258">
        <v>0</v>
      </c>
      <c r="I617" s="258">
        <f>List34[[#This Row],[Pengajuan Donasi]]</f>
        <v>0</v>
      </c>
      <c r="J617" s="213" t="str">
        <f>IF(List34[[#This Row],[Tanggal Trf]]&gt;0,"Done","-")</f>
        <v>Done</v>
      </c>
      <c r="K617" s="445" t="s">
        <v>960</v>
      </c>
      <c r="L617" s="224">
        <v>44776</v>
      </c>
      <c r="M617" s="100" t="s">
        <v>778</v>
      </c>
      <c r="N617" s="100">
        <f>MONTH(List34[[#This Row],[Tanggal Pengajuan]])</f>
        <v>7</v>
      </c>
      <c r="O617" s="183" t="s">
        <v>960</v>
      </c>
      <c r="P617" s="100" t="s">
        <v>1180</v>
      </c>
      <c r="Q617" s="111"/>
      <c r="R617" s="229"/>
    </row>
    <row r="618" spans="2:18" ht="42.75" x14ac:dyDescent="0.2">
      <c r="B618" s="13">
        <v>44774</v>
      </c>
      <c r="C618" s="67" t="s">
        <v>1190</v>
      </c>
      <c r="D618" s="14" t="s">
        <v>860</v>
      </c>
      <c r="E618" s="14" t="s">
        <v>17</v>
      </c>
      <c r="F618" s="14" t="s">
        <v>17</v>
      </c>
      <c r="G618" s="471">
        <v>45</v>
      </c>
      <c r="H618" s="258">
        <v>6250560</v>
      </c>
      <c r="I618" s="258">
        <f>List34[[#This Row],[Pengajuan Donasi]]</f>
        <v>6250560</v>
      </c>
      <c r="J618" s="213" t="str">
        <f>IF(List34[[#This Row],[Tanggal Trf]]&gt;0,"Done","-")</f>
        <v>Done</v>
      </c>
      <c r="K618" s="14" t="s">
        <v>1205</v>
      </c>
      <c r="L618" s="484">
        <v>44783</v>
      </c>
      <c r="M618" s="100"/>
      <c r="N618" s="100">
        <f>MONTH(List34[[#This Row],[Tanggal Pengajuan]])</f>
        <v>8</v>
      </c>
      <c r="O618" s="183">
        <v>44788</v>
      </c>
      <c r="P618" s="100" t="s">
        <v>1224</v>
      </c>
      <c r="Q618" s="111"/>
      <c r="R618" s="229"/>
    </row>
    <row r="619" spans="2:18" ht="42.75" x14ac:dyDescent="0.2">
      <c r="B619" s="13">
        <v>44774</v>
      </c>
      <c r="C619" s="67"/>
      <c r="D619" s="14" t="s">
        <v>865</v>
      </c>
      <c r="E619" s="14" t="s">
        <v>17</v>
      </c>
      <c r="F619" s="14" t="s">
        <v>17</v>
      </c>
      <c r="G619" s="471">
        <v>96</v>
      </c>
      <c r="H619" s="258">
        <v>6249860</v>
      </c>
      <c r="I619" s="258">
        <f>List34[[#This Row],[Pengajuan Donasi]]</f>
        <v>6249860</v>
      </c>
      <c r="J619" s="213" t="str">
        <f>IF(List34[[#This Row],[Tanggal Trf]]&gt;0,"Done","-")</f>
        <v>Done</v>
      </c>
      <c r="K619" s="14" t="s">
        <v>1205</v>
      </c>
      <c r="L619" s="224">
        <v>44783</v>
      </c>
      <c r="M619" s="100"/>
      <c r="N619" s="100">
        <f>MONTH(List34[[#This Row],[Tanggal Pengajuan]])</f>
        <v>8</v>
      </c>
      <c r="O619" s="183">
        <v>44788</v>
      </c>
      <c r="P619" s="100" t="s">
        <v>1224</v>
      </c>
      <c r="Q619" s="111"/>
      <c r="R619" s="229"/>
    </row>
    <row r="620" spans="2:18" ht="42.75" x14ac:dyDescent="0.2">
      <c r="B620" s="13">
        <v>44775</v>
      </c>
      <c r="C620" s="163" t="s">
        <v>1191</v>
      </c>
      <c r="D620" s="164" t="s">
        <v>1206</v>
      </c>
      <c r="E620" s="164" t="s">
        <v>17</v>
      </c>
      <c r="F620" s="164" t="s">
        <v>17</v>
      </c>
      <c r="G620" s="470"/>
      <c r="H620" s="261"/>
      <c r="I620" s="261">
        <f>List34[[#This Row],[Pengajuan Donasi]]</f>
        <v>0</v>
      </c>
      <c r="J620" s="253" t="str">
        <f>IF(List34[[#This Row],[Tanggal Trf]]&gt;0,"Done","-")</f>
        <v>-</v>
      </c>
      <c r="K620" s="164" t="s">
        <v>1206</v>
      </c>
      <c r="L620" s="449"/>
      <c r="M620" s="193"/>
      <c r="N620" s="193">
        <f>MONTH(List34[[#This Row],[Tanggal Pengajuan]])</f>
        <v>8</v>
      </c>
      <c r="O620" s="194" t="s">
        <v>960</v>
      </c>
      <c r="P620" s="193" t="s">
        <v>1266</v>
      </c>
      <c r="Q620" s="111"/>
      <c r="R620" s="229"/>
    </row>
    <row r="621" spans="2:18" ht="29.25" x14ac:dyDescent="0.2">
      <c r="B621" s="13">
        <v>44775</v>
      </c>
      <c r="C621" s="67" t="s">
        <v>1192</v>
      </c>
      <c r="D621" s="14" t="s">
        <v>48</v>
      </c>
      <c r="E621" s="14" t="s">
        <v>179</v>
      </c>
      <c r="F621" s="103" t="s">
        <v>18</v>
      </c>
      <c r="G621" s="471">
        <v>47</v>
      </c>
      <c r="H621" s="258">
        <v>3820000</v>
      </c>
      <c r="I621" s="258">
        <f>List34[[#This Row],[Pengajuan Donasi]]</f>
        <v>3820000</v>
      </c>
      <c r="J621" s="213" t="str">
        <f>IF(List34[[#This Row],[Tanggal Trf]]&gt;0,"Done","-")</f>
        <v>Done</v>
      </c>
      <c r="K621" s="14" t="s">
        <v>1207</v>
      </c>
      <c r="L621" s="224">
        <v>44792</v>
      </c>
      <c r="M621" s="403" t="s">
        <v>445</v>
      </c>
      <c r="N621" s="100">
        <f>MONTH(List34[[#This Row],[Tanggal Pengajuan]])</f>
        <v>8</v>
      </c>
      <c r="O621" s="183">
        <v>44861</v>
      </c>
      <c r="P621" s="100" t="s">
        <v>1268</v>
      </c>
      <c r="Q621" s="111"/>
      <c r="R621" s="229"/>
    </row>
    <row r="622" spans="2:18" ht="29.25" x14ac:dyDescent="0.2">
      <c r="B622" s="13">
        <v>44775</v>
      </c>
      <c r="C622" s="67" t="s">
        <v>1193</v>
      </c>
      <c r="D622" s="14" t="s">
        <v>859</v>
      </c>
      <c r="E622" s="14" t="s">
        <v>17</v>
      </c>
      <c r="F622" s="103" t="s">
        <v>18</v>
      </c>
      <c r="G622" s="471">
        <v>23</v>
      </c>
      <c r="H622" s="258">
        <v>6000000</v>
      </c>
      <c r="I622" s="258">
        <f>List34[[#This Row],[Pengajuan Donasi]]</f>
        <v>6000000</v>
      </c>
      <c r="J622" s="213" t="str">
        <f>IF(List34[[#This Row],[Tanggal Trf]]&gt;0,"Done","-")</f>
        <v>Done</v>
      </c>
      <c r="K622" s="14" t="s">
        <v>1208</v>
      </c>
      <c r="L622" s="224">
        <v>44792</v>
      </c>
      <c r="M622" s="105" t="s">
        <v>650</v>
      </c>
      <c r="N622" s="100">
        <f>MONTH(List34[[#This Row],[Tanggal Pengajuan]])</f>
        <v>8</v>
      </c>
      <c r="O622" s="183">
        <v>44865</v>
      </c>
      <c r="P622" s="100" t="s">
        <v>1268</v>
      </c>
      <c r="Q622" s="111"/>
      <c r="R622" s="229"/>
    </row>
    <row r="623" spans="2:18" ht="29.25" x14ac:dyDescent="0.2">
      <c r="B623" s="13">
        <v>44775</v>
      </c>
      <c r="C623" s="67" t="s">
        <v>1194</v>
      </c>
      <c r="D623" s="14" t="s">
        <v>950</v>
      </c>
      <c r="E623" s="14" t="s">
        <v>26</v>
      </c>
      <c r="F623" s="103" t="s">
        <v>18</v>
      </c>
      <c r="G623" s="471">
        <v>1</v>
      </c>
      <c r="H623" s="258">
        <v>5000000</v>
      </c>
      <c r="I623" s="258">
        <f>List34[[#This Row],[Pengajuan Donasi]]</f>
        <v>5000000</v>
      </c>
      <c r="J623" s="213" t="str">
        <f>IF(List34[[#This Row],[Tanggal Trf]]&gt;0,"Done","-")</f>
        <v>Done</v>
      </c>
      <c r="K623" s="14" t="s">
        <v>1209</v>
      </c>
      <c r="L623" s="224">
        <v>44792</v>
      </c>
      <c r="M623" s="100" t="s">
        <v>448</v>
      </c>
      <c r="N623" s="100">
        <f>MONTH(List34[[#This Row],[Tanggal Pengajuan]])</f>
        <v>8</v>
      </c>
      <c r="O623" s="183">
        <v>44883</v>
      </c>
      <c r="P623" s="100" t="s">
        <v>1268</v>
      </c>
      <c r="Q623" s="111"/>
      <c r="R623" s="229"/>
    </row>
    <row r="624" spans="2:18" ht="29.25" x14ac:dyDescent="0.2">
      <c r="B624" s="13">
        <v>44775</v>
      </c>
      <c r="C624" s="67"/>
      <c r="D624" s="14" t="s">
        <v>875</v>
      </c>
      <c r="E624" s="103" t="s">
        <v>26</v>
      </c>
      <c r="F624" s="103" t="s">
        <v>18</v>
      </c>
      <c r="G624" s="471">
        <v>1</v>
      </c>
      <c r="H624" s="258">
        <v>1000000</v>
      </c>
      <c r="I624" s="258">
        <f>List34[[#This Row],[Pengajuan Donasi]]</f>
        <v>1000000</v>
      </c>
      <c r="J624" s="213" t="str">
        <f>IF(List34[[#This Row],[Tanggal Trf]]&gt;0,"Done","-")</f>
        <v>Done</v>
      </c>
      <c r="K624" s="14" t="s">
        <v>1209</v>
      </c>
      <c r="L624" s="224">
        <v>44792</v>
      </c>
      <c r="M624" s="100" t="s">
        <v>453</v>
      </c>
      <c r="N624" s="100">
        <f>MONTH(List34[[#This Row],[Tanggal Pengajuan]])</f>
        <v>8</v>
      </c>
      <c r="O624" s="183">
        <v>44883</v>
      </c>
      <c r="P624" s="100" t="s">
        <v>1268</v>
      </c>
      <c r="Q624" s="111"/>
      <c r="R624" s="229"/>
    </row>
    <row r="625" spans="2:18" ht="29.25" x14ac:dyDescent="0.2">
      <c r="B625" s="13">
        <v>44775</v>
      </c>
      <c r="C625" s="67"/>
      <c r="D625" s="14" t="s">
        <v>877</v>
      </c>
      <c r="E625" s="103" t="s">
        <v>26</v>
      </c>
      <c r="F625" s="103" t="s">
        <v>18</v>
      </c>
      <c r="G625" s="471">
        <v>1</v>
      </c>
      <c r="H625" s="258">
        <v>1000000</v>
      </c>
      <c r="I625" s="258">
        <f>List34[[#This Row],[Pengajuan Donasi]]</f>
        <v>1000000</v>
      </c>
      <c r="J625" s="213" t="str">
        <f>IF(List34[[#This Row],[Tanggal Trf]]&gt;0,"Done","-")</f>
        <v>Done</v>
      </c>
      <c r="K625" s="14" t="s">
        <v>1209</v>
      </c>
      <c r="L625" s="224">
        <v>44792</v>
      </c>
      <c r="M625" s="100" t="s">
        <v>458</v>
      </c>
      <c r="N625" s="100">
        <f>MONTH(List34[[#This Row],[Tanggal Pengajuan]])</f>
        <v>8</v>
      </c>
      <c r="O625" s="183">
        <v>44883</v>
      </c>
      <c r="P625" s="100" t="s">
        <v>1268</v>
      </c>
      <c r="Q625" s="111"/>
      <c r="R625" s="229"/>
    </row>
    <row r="626" spans="2:18" ht="29.25" x14ac:dyDescent="0.2">
      <c r="B626" s="13">
        <v>44775</v>
      </c>
      <c r="C626" s="67"/>
      <c r="D626" s="14" t="s">
        <v>878</v>
      </c>
      <c r="E626" s="103" t="s">
        <v>26</v>
      </c>
      <c r="F626" s="103" t="s">
        <v>18</v>
      </c>
      <c r="G626" s="471">
        <v>1</v>
      </c>
      <c r="H626" s="258">
        <v>1000000</v>
      </c>
      <c r="I626" s="258">
        <f>List34[[#This Row],[Pengajuan Donasi]]</f>
        <v>1000000</v>
      </c>
      <c r="J626" s="213" t="str">
        <f>IF(List34[[#This Row],[Tanggal Trf]]&gt;0,"Done","-")</f>
        <v>Done</v>
      </c>
      <c r="K626" s="14" t="s">
        <v>1209</v>
      </c>
      <c r="L626" s="224">
        <v>44792</v>
      </c>
      <c r="M626" s="100" t="s">
        <v>460</v>
      </c>
      <c r="N626" s="100">
        <f>MONTH(List34[[#This Row],[Tanggal Pengajuan]])</f>
        <v>8</v>
      </c>
      <c r="O626" s="183">
        <v>44883</v>
      </c>
      <c r="P626" s="100" t="s">
        <v>1268</v>
      </c>
      <c r="Q626" s="111"/>
      <c r="R626" s="229"/>
    </row>
    <row r="627" spans="2:18" ht="29.25" x14ac:dyDescent="0.2">
      <c r="B627" s="13">
        <v>44775</v>
      </c>
      <c r="C627" s="67"/>
      <c r="D627" s="14" t="s">
        <v>879</v>
      </c>
      <c r="E627" s="103" t="s">
        <v>26</v>
      </c>
      <c r="F627" s="103" t="s">
        <v>18</v>
      </c>
      <c r="G627" s="471">
        <v>1</v>
      </c>
      <c r="H627" s="258">
        <v>1000000</v>
      </c>
      <c r="I627" s="258">
        <f>List34[[#This Row],[Pengajuan Donasi]]</f>
        <v>1000000</v>
      </c>
      <c r="J627" s="213" t="str">
        <f>IF(List34[[#This Row],[Tanggal Trf]]&gt;0,"Done","-")</f>
        <v>Done</v>
      </c>
      <c r="K627" s="14" t="s">
        <v>1209</v>
      </c>
      <c r="L627" s="224">
        <v>44792</v>
      </c>
      <c r="M627" s="100" t="s">
        <v>462</v>
      </c>
      <c r="N627" s="100">
        <f>MONTH(List34[[#This Row],[Tanggal Pengajuan]])</f>
        <v>8</v>
      </c>
      <c r="O627" s="183">
        <v>44883</v>
      </c>
      <c r="P627" s="100" t="s">
        <v>1268</v>
      </c>
      <c r="Q627" s="111"/>
      <c r="R627" s="229"/>
    </row>
    <row r="628" spans="2:18" ht="29.25" x14ac:dyDescent="0.2">
      <c r="B628" s="13">
        <v>44775</v>
      </c>
      <c r="C628" s="67"/>
      <c r="D628" s="14" t="s">
        <v>951</v>
      </c>
      <c r="E628" s="103" t="s">
        <v>26</v>
      </c>
      <c r="F628" s="103" t="s">
        <v>18</v>
      </c>
      <c r="G628" s="471">
        <v>1</v>
      </c>
      <c r="H628" s="258">
        <v>1000000</v>
      </c>
      <c r="I628" s="258">
        <f>List34[[#This Row],[Pengajuan Donasi]]</f>
        <v>1000000</v>
      </c>
      <c r="J628" s="213" t="str">
        <f>IF(List34[[#This Row],[Tanggal Trf]]&gt;0,"Done","-")</f>
        <v>Done</v>
      </c>
      <c r="K628" s="14" t="s">
        <v>1209</v>
      </c>
      <c r="L628" s="224">
        <v>44792</v>
      </c>
      <c r="M628" s="100" t="s">
        <v>466</v>
      </c>
      <c r="N628" s="100">
        <f>MONTH(List34[[#This Row],[Tanggal Pengajuan]])</f>
        <v>8</v>
      </c>
      <c r="O628" s="183">
        <v>44883</v>
      </c>
      <c r="P628" s="100" t="s">
        <v>1268</v>
      </c>
      <c r="Q628" s="111"/>
      <c r="R628" s="229"/>
    </row>
    <row r="629" spans="2:18" ht="29.25" x14ac:dyDescent="0.2">
      <c r="B629" s="13">
        <v>44775</v>
      </c>
      <c r="C629" s="67"/>
      <c r="D629" s="14" t="s">
        <v>880</v>
      </c>
      <c r="E629" s="103" t="s">
        <v>26</v>
      </c>
      <c r="F629" s="103" t="s">
        <v>18</v>
      </c>
      <c r="G629" s="471">
        <v>1</v>
      </c>
      <c r="H629" s="258">
        <v>1000000</v>
      </c>
      <c r="I629" s="258">
        <f>List34[[#This Row],[Pengajuan Donasi]]</f>
        <v>1000000</v>
      </c>
      <c r="J629" s="213" t="str">
        <f>IF(List34[[#This Row],[Tanggal Trf]]&gt;0,"Done","-")</f>
        <v>Done</v>
      </c>
      <c r="K629" s="14" t="s">
        <v>1209</v>
      </c>
      <c r="L629" s="224">
        <v>44792</v>
      </c>
      <c r="M629" s="100" t="s">
        <v>470</v>
      </c>
      <c r="N629" s="100">
        <f>MONTH(List34[[#This Row],[Tanggal Pengajuan]])</f>
        <v>8</v>
      </c>
      <c r="O629" s="183">
        <v>44883</v>
      </c>
      <c r="P629" s="100" t="s">
        <v>1268</v>
      </c>
      <c r="Q629" s="111"/>
      <c r="R629" s="229"/>
    </row>
    <row r="630" spans="2:18" ht="29.25" x14ac:dyDescent="0.2">
      <c r="B630" s="13">
        <v>44775</v>
      </c>
      <c r="C630" s="67"/>
      <c r="D630" s="14" t="s">
        <v>952</v>
      </c>
      <c r="E630" s="103" t="s">
        <v>26</v>
      </c>
      <c r="F630" s="103" t="s">
        <v>18</v>
      </c>
      <c r="G630" s="471">
        <v>1</v>
      </c>
      <c r="H630" s="258">
        <v>1000000</v>
      </c>
      <c r="I630" s="258">
        <f>List34[[#This Row],[Pengajuan Donasi]]</f>
        <v>1000000</v>
      </c>
      <c r="J630" s="213" t="str">
        <f>IF(List34[[#This Row],[Tanggal Trf]]&gt;0,"Done","-")</f>
        <v>Done</v>
      </c>
      <c r="K630" s="14" t="s">
        <v>1209</v>
      </c>
      <c r="L630" s="224">
        <v>44792</v>
      </c>
      <c r="M630" s="100" t="s">
        <v>519</v>
      </c>
      <c r="N630" s="100">
        <f>MONTH(List34[[#This Row],[Tanggal Pengajuan]])</f>
        <v>8</v>
      </c>
      <c r="O630" s="183">
        <v>44883</v>
      </c>
      <c r="P630" s="100" t="s">
        <v>1268</v>
      </c>
      <c r="Q630" s="111"/>
      <c r="R630" s="229"/>
    </row>
    <row r="631" spans="2:18" ht="29.25" x14ac:dyDescent="0.2">
      <c r="B631" s="13">
        <v>44775</v>
      </c>
      <c r="C631" s="67"/>
      <c r="D631" s="14" t="s">
        <v>881</v>
      </c>
      <c r="E631" s="103" t="s">
        <v>26</v>
      </c>
      <c r="F631" s="103" t="s">
        <v>18</v>
      </c>
      <c r="G631" s="471">
        <v>1</v>
      </c>
      <c r="H631" s="258">
        <v>1000000</v>
      </c>
      <c r="I631" s="258">
        <f>List34[[#This Row],[Pengajuan Donasi]]</f>
        <v>1000000</v>
      </c>
      <c r="J631" s="213" t="str">
        <f>IF(List34[[#This Row],[Tanggal Trf]]&gt;0,"Done","-")</f>
        <v>Done</v>
      </c>
      <c r="K631" s="14" t="s">
        <v>1209</v>
      </c>
      <c r="L631" s="224">
        <v>44792</v>
      </c>
      <c r="M631" s="100" t="s">
        <v>476</v>
      </c>
      <c r="N631" s="100">
        <f>MONTH(List34[[#This Row],[Tanggal Pengajuan]])</f>
        <v>8</v>
      </c>
      <c r="O631" s="183">
        <v>44883</v>
      </c>
      <c r="P631" s="100" t="s">
        <v>1268</v>
      </c>
      <c r="Q631" s="111"/>
      <c r="R631" s="229"/>
    </row>
    <row r="632" spans="2:18" ht="29.25" x14ac:dyDescent="0.2">
      <c r="B632" s="13">
        <v>44775</v>
      </c>
      <c r="C632" s="67"/>
      <c r="D632" s="14" t="s">
        <v>953</v>
      </c>
      <c r="E632" s="103" t="s">
        <v>26</v>
      </c>
      <c r="F632" s="103" t="s">
        <v>18</v>
      </c>
      <c r="G632" s="471">
        <v>1</v>
      </c>
      <c r="H632" s="258">
        <v>1000000</v>
      </c>
      <c r="I632" s="258">
        <f>List34[[#This Row],[Pengajuan Donasi]]</f>
        <v>1000000</v>
      </c>
      <c r="J632" s="213" t="str">
        <f>IF(List34[[#This Row],[Tanggal Trf]]&gt;0,"Done","-")</f>
        <v>Done</v>
      </c>
      <c r="K632" s="14" t="s">
        <v>1209</v>
      </c>
      <c r="L632" s="224">
        <v>44792</v>
      </c>
      <c r="M632" s="100" t="s">
        <v>873</v>
      </c>
      <c r="N632" s="100">
        <f>MONTH(List34[[#This Row],[Tanggal Pengajuan]])</f>
        <v>8</v>
      </c>
      <c r="O632" s="183">
        <v>44883</v>
      </c>
      <c r="P632" s="100" t="s">
        <v>1268</v>
      </c>
      <c r="Q632" s="111"/>
      <c r="R632" s="229"/>
    </row>
    <row r="633" spans="2:18" ht="29.25" x14ac:dyDescent="0.2">
      <c r="B633" s="13">
        <v>44775</v>
      </c>
      <c r="C633" s="67"/>
      <c r="D633" s="14" t="s">
        <v>954</v>
      </c>
      <c r="E633" s="103" t="s">
        <v>26</v>
      </c>
      <c r="F633" s="103" t="s">
        <v>18</v>
      </c>
      <c r="G633" s="471">
        <v>1</v>
      </c>
      <c r="H633" s="258">
        <v>1000000</v>
      </c>
      <c r="I633" s="258">
        <f>List34[[#This Row],[Pengajuan Donasi]]</f>
        <v>1000000</v>
      </c>
      <c r="J633" s="213" t="str">
        <f>IF(List34[[#This Row],[Tanggal Trf]]&gt;0,"Done","-")</f>
        <v>Done</v>
      </c>
      <c r="K633" s="14" t="s">
        <v>1209</v>
      </c>
      <c r="L633" s="224">
        <v>44792</v>
      </c>
      <c r="M633" s="100" t="s">
        <v>874</v>
      </c>
      <c r="N633" s="100">
        <f>MONTH(List34[[#This Row],[Tanggal Pengajuan]])</f>
        <v>8</v>
      </c>
      <c r="O633" s="183">
        <v>44883</v>
      </c>
      <c r="P633" s="100" t="s">
        <v>1268</v>
      </c>
      <c r="Q633" s="111"/>
      <c r="R633" s="229"/>
    </row>
    <row r="634" spans="2:18" ht="29.25" x14ac:dyDescent="0.2">
      <c r="B634" s="13">
        <v>44775</v>
      </c>
      <c r="C634" s="67"/>
      <c r="D634" s="14" t="s">
        <v>955</v>
      </c>
      <c r="E634" s="103" t="s">
        <v>26</v>
      </c>
      <c r="F634" s="103" t="s">
        <v>18</v>
      </c>
      <c r="G634" s="471">
        <v>1</v>
      </c>
      <c r="H634" s="258">
        <v>1000000</v>
      </c>
      <c r="I634" s="258">
        <f>List34[[#This Row],[Pengajuan Donasi]]</f>
        <v>1000000</v>
      </c>
      <c r="J634" s="213" t="str">
        <f>IF(List34[[#This Row],[Tanggal Trf]]&gt;0,"Done","-")</f>
        <v>Done</v>
      </c>
      <c r="K634" s="14" t="s">
        <v>1209</v>
      </c>
      <c r="L634" s="224">
        <v>44792</v>
      </c>
      <c r="M634" s="100" t="s">
        <v>762</v>
      </c>
      <c r="N634" s="100">
        <f>MONTH(List34[[#This Row],[Tanggal Pengajuan]])</f>
        <v>8</v>
      </c>
      <c r="O634" s="183">
        <v>44883</v>
      </c>
      <c r="P634" s="100" t="s">
        <v>1268</v>
      </c>
      <c r="Q634" s="111"/>
      <c r="R634" s="229"/>
    </row>
    <row r="635" spans="2:18" ht="29.25" x14ac:dyDescent="0.2">
      <c r="B635" s="13">
        <v>44775</v>
      </c>
      <c r="C635" s="67"/>
      <c r="D635" s="14" t="s">
        <v>1214</v>
      </c>
      <c r="E635" s="103" t="s">
        <v>26</v>
      </c>
      <c r="F635" s="103" t="s">
        <v>18</v>
      </c>
      <c r="G635" s="471">
        <v>1</v>
      </c>
      <c r="H635" s="258">
        <v>750000</v>
      </c>
      <c r="I635" s="258">
        <f>List34[[#This Row],[Pengajuan Donasi]]</f>
        <v>750000</v>
      </c>
      <c r="J635" s="213" t="str">
        <f>IF(List34[[#This Row],[Tanggal Trf]]&gt;0,"Done","-")</f>
        <v>Done</v>
      </c>
      <c r="K635" s="14" t="s">
        <v>1209</v>
      </c>
      <c r="L635" s="224">
        <v>44792</v>
      </c>
      <c r="M635" s="100" t="s">
        <v>1217</v>
      </c>
      <c r="N635" s="100">
        <f>MONTH(List34[[#This Row],[Tanggal Pengajuan]])</f>
        <v>8</v>
      </c>
      <c r="O635" s="183">
        <v>44883</v>
      </c>
      <c r="P635" s="100" t="s">
        <v>1268</v>
      </c>
      <c r="Q635" s="111"/>
      <c r="R635" s="229"/>
    </row>
    <row r="636" spans="2:18" ht="29.25" x14ac:dyDescent="0.2">
      <c r="B636" s="13">
        <v>44775</v>
      </c>
      <c r="C636" s="67"/>
      <c r="D636" s="14" t="s">
        <v>1215</v>
      </c>
      <c r="E636" s="103" t="s">
        <v>26</v>
      </c>
      <c r="F636" s="103" t="s">
        <v>18</v>
      </c>
      <c r="G636" s="471">
        <v>1</v>
      </c>
      <c r="H636" s="258">
        <v>750000</v>
      </c>
      <c r="I636" s="258">
        <f>List34[[#This Row],[Pengajuan Donasi]]</f>
        <v>750000</v>
      </c>
      <c r="J636" s="213" t="str">
        <f>IF(List34[[#This Row],[Tanggal Trf]]&gt;0,"Done","-")</f>
        <v>Done</v>
      </c>
      <c r="K636" s="14" t="s">
        <v>1209</v>
      </c>
      <c r="L636" s="224">
        <v>44792</v>
      </c>
      <c r="M636" s="100" t="s">
        <v>1218</v>
      </c>
      <c r="N636" s="100">
        <f>MONTH(List34[[#This Row],[Tanggal Pengajuan]])</f>
        <v>8</v>
      </c>
      <c r="O636" s="183">
        <v>44883</v>
      </c>
      <c r="P636" s="100" t="s">
        <v>1268</v>
      </c>
      <c r="Q636" s="111"/>
      <c r="R636" s="229"/>
    </row>
    <row r="637" spans="2:18" ht="29.25" x14ac:dyDescent="0.2">
      <c r="B637" s="13">
        <v>44775</v>
      </c>
      <c r="C637" s="67"/>
      <c r="D637" s="14" t="s">
        <v>1216</v>
      </c>
      <c r="E637" s="103" t="s">
        <v>26</v>
      </c>
      <c r="F637" s="103" t="s">
        <v>18</v>
      </c>
      <c r="G637" s="471">
        <v>1</v>
      </c>
      <c r="H637" s="258">
        <v>750000</v>
      </c>
      <c r="I637" s="258">
        <f>List34[[#This Row],[Pengajuan Donasi]]</f>
        <v>750000</v>
      </c>
      <c r="J637" s="213" t="str">
        <f>IF(List34[[#This Row],[Tanggal Trf]]&gt;0,"Done","-")</f>
        <v>Done</v>
      </c>
      <c r="K637" s="14" t="s">
        <v>1209</v>
      </c>
      <c r="L637" s="224">
        <v>44792</v>
      </c>
      <c r="M637" s="100" t="s">
        <v>1219</v>
      </c>
      <c r="N637" s="100">
        <f>MONTH(List34[[#This Row],[Tanggal Pengajuan]])</f>
        <v>8</v>
      </c>
      <c r="O637" s="183">
        <v>44883</v>
      </c>
      <c r="P637" s="100" t="s">
        <v>1268</v>
      </c>
      <c r="Q637" s="111"/>
      <c r="R637" s="229"/>
    </row>
    <row r="638" spans="2:18" ht="29.25" x14ac:dyDescent="0.2">
      <c r="B638" s="13">
        <v>44775</v>
      </c>
      <c r="C638" s="67" t="s">
        <v>1195</v>
      </c>
      <c r="D638" s="164" t="s">
        <v>486</v>
      </c>
      <c r="E638" s="168" t="s">
        <v>57</v>
      </c>
      <c r="F638" s="168" t="s">
        <v>18</v>
      </c>
      <c r="G638" s="470">
        <v>44</v>
      </c>
      <c r="H638" s="261">
        <v>0</v>
      </c>
      <c r="I638" s="261">
        <f>List34[[#This Row],[Pengajuan Donasi]]</f>
        <v>0</v>
      </c>
      <c r="J638" s="253" t="str">
        <f>IF(List34[[#This Row],[Tanggal Trf]]&gt;0,"Done","-")</f>
        <v>-</v>
      </c>
      <c r="K638" s="447" t="s">
        <v>1210</v>
      </c>
      <c r="L638" s="449"/>
      <c r="M638" s="193" t="s">
        <v>709</v>
      </c>
      <c r="N638" s="193">
        <f>MONTH(List34[[#This Row],[Tanggal Pengajuan]])</f>
        <v>8</v>
      </c>
      <c r="O638" s="194" t="s">
        <v>960</v>
      </c>
      <c r="P638" s="166" t="s">
        <v>960</v>
      </c>
      <c r="Q638" s="111"/>
      <c r="R638" s="229"/>
    </row>
    <row r="639" spans="2:18" ht="29.25" x14ac:dyDescent="0.2">
      <c r="B639" s="13">
        <v>44775</v>
      </c>
      <c r="C639" s="67" t="s">
        <v>1196</v>
      </c>
      <c r="D639" s="14" t="s">
        <v>392</v>
      </c>
      <c r="E639" s="14" t="s">
        <v>57</v>
      </c>
      <c r="F639" s="103" t="s">
        <v>18</v>
      </c>
      <c r="G639" s="471">
        <v>75</v>
      </c>
      <c r="H639" s="258">
        <v>10000000</v>
      </c>
      <c r="I639" s="258">
        <f>List34[[#This Row],[Pengajuan Donasi]]</f>
        <v>10000000</v>
      </c>
      <c r="J639" s="213" t="str">
        <f>IF(List34[[#This Row],[Tanggal Trf]]&gt;0,"Done","-")</f>
        <v>Done</v>
      </c>
      <c r="K639" s="445"/>
      <c r="L639" s="225">
        <v>44803</v>
      </c>
      <c r="M639" s="100" t="s">
        <v>540</v>
      </c>
      <c r="N639" s="100">
        <f>MONTH(List34[[#This Row],[Tanggal Pengajuan]])</f>
        <v>8</v>
      </c>
      <c r="O639" s="183">
        <v>44883</v>
      </c>
      <c r="P639" s="100" t="s">
        <v>1268</v>
      </c>
      <c r="Q639" s="111"/>
      <c r="R639" s="229"/>
    </row>
    <row r="640" spans="2:18" ht="29.25" x14ac:dyDescent="0.2">
      <c r="B640" s="13">
        <v>44775</v>
      </c>
      <c r="C640" s="66" t="s">
        <v>1197</v>
      </c>
      <c r="D640" s="14" t="s">
        <v>429</v>
      </c>
      <c r="E640" s="14" t="s">
        <v>57</v>
      </c>
      <c r="F640" s="103" t="s">
        <v>18</v>
      </c>
      <c r="G640" s="471">
        <v>38</v>
      </c>
      <c r="H640" s="258">
        <v>10000000</v>
      </c>
      <c r="I640" s="258">
        <f>List34[[#This Row],[Pengajuan Donasi]]</f>
        <v>10000000</v>
      </c>
      <c r="J640" s="213" t="str">
        <f>IF(List34[[#This Row],[Tanggal Trf]]&gt;0,"Done","-")</f>
        <v>Done</v>
      </c>
      <c r="K640" s="445"/>
      <c r="L640" s="224">
        <v>44792</v>
      </c>
      <c r="M640" s="100" t="s">
        <v>537</v>
      </c>
      <c r="N640" s="100">
        <f>MONTH(List34[[#This Row],[Tanggal Pengajuan]])</f>
        <v>8</v>
      </c>
      <c r="O640" s="183">
        <v>44886</v>
      </c>
      <c r="P640" s="100" t="s">
        <v>1268</v>
      </c>
      <c r="Q640" s="111"/>
      <c r="R640" s="229"/>
    </row>
    <row r="641" spans="2:18" ht="29.25" x14ac:dyDescent="0.2">
      <c r="B641" s="13">
        <v>44775</v>
      </c>
      <c r="C641" s="66" t="s">
        <v>1198</v>
      </c>
      <c r="D641" s="14" t="s">
        <v>420</v>
      </c>
      <c r="E641" s="14" t="s">
        <v>57</v>
      </c>
      <c r="F641" s="103" t="s">
        <v>18</v>
      </c>
      <c r="G641" s="471">
        <v>29</v>
      </c>
      <c r="H641" s="258">
        <v>10000000</v>
      </c>
      <c r="I641" s="258">
        <f>List34[[#This Row],[Pengajuan Donasi]]</f>
        <v>10000000</v>
      </c>
      <c r="J641" s="213" t="str">
        <f>IF(List34[[#This Row],[Tanggal Trf]]&gt;0,"Done","-")</f>
        <v>Done</v>
      </c>
      <c r="K641" s="445"/>
      <c r="L641" s="224">
        <v>44792</v>
      </c>
      <c r="M641" s="100" t="s">
        <v>534</v>
      </c>
      <c r="N641" s="100">
        <f>MONTH(List34[[#This Row],[Tanggal Pengajuan]])</f>
        <v>8</v>
      </c>
      <c r="O641" s="183">
        <v>44886</v>
      </c>
      <c r="P641" s="100" t="s">
        <v>1268</v>
      </c>
      <c r="Q641" s="111"/>
      <c r="R641" s="229"/>
    </row>
    <row r="642" spans="2:18" ht="29.25" x14ac:dyDescent="0.2">
      <c r="B642" s="13">
        <v>44775</v>
      </c>
      <c r="C642" s="66" t="s">
        <v>1199</v>
      </c>
      <c r="D642" s="14" t="s">
        <v>426</v>
      </c>
      <c r="E642" s="14" t="s">
        <v>57</v>
      </c>
      <c r="F642" s="103" t="s">
        <v>18</v>
      </c>
      <c r="G642" s="471">
        <v>31</v>
      </c>
      <c r="H642" s="258">
        <v>10000000</v>
      </c>
      <c r="I642" s="258">
        <f>List34[[#This Row],[Pengajuan Donasi]]</f>
        <v>10000000</v>
      </c>
      <c r="J642" s="213" t="str">
        <f>IF(List34[[#This Row],[Tanggal Trf]]&gt;0,"Done","-")</f>
        <v>Done</v>
      </c>
      <c r="K642" s="445"/>
      <c r="L642" s="224">
        <v>44792</v>
      </c>
      <c r="M642" s="100" t="s">
        <v>655</v>
      </c>
      <c r="N642" s="100">
        <f>MONTH(List34[[#This Row],[Tanggal Pengajuan]])</f>
        <v>8</v>
      </c>
      <c r="O642" s="183">
        <v>44886</v>
      </c>
      <c r="P642" s="100" t="s">
        <v>1268</v>
      </c>
      <c r="Q642" s="111"/>
      <c r="R642" s="229"/>
    </row>
    <row r="643" spans="2:18" ht="29.25" x14ac:dyDescent="0.2">
      <c r="B643" s="13">
        <v>44775</v>
      </c>
      <c r="C643" s="66" t="s">
        <v>1200</v>
      </c>
      <c r="D643" s="14" t="s">
        <v>413</v>
      </c>
      <c r="E643" s="14" t="s">
        <v>57</v>
      </c>
      <c r="F643" s="103" t="s">
        <v>18</v>
      </c>
      <c r="G643" s="471">
        <v>16</v>
      </c>
      <c r="H643" s="258">
        <v>10000000</v>
      </c>
      <c r="I643" s="258">
        <f>List34[[#This Row],[Pengajuan Donasi]]</f>
        <v>10000000</v>
      </c>
      <c r="J643" s="213" t="str">
        <f>IF(List34[[#This Row],[Tanggal Trf]]&gt;0,"Done","-")</f>
        <v>Done</v>
      </c>
      <c r="K643" s="445"/>
      <c r="L643" s="224">
        <v>44792</v>
      </c>
      <c r="M643" s="100" t="s">
        <v>544</v>
      </c>
      <c r="N643" s="100">
        <f>MONTH(List34[[#This Row],[Tanggal Pengajuan]])</f>
        <v>8</v>
      </c>
      <c r="O643" s="183">
        <v>44886</v>
      </c>
      <c r="P643" s="100" t="s">
        <v>1268</v>
      </c>
      <c r="Q643" s="111"/>
      <c r="R643" s="229"/>
    </row>
    <row r="644" spans="2:18" ht="29.25" x14ac:dyDescent="0.2">
      <c r="B644" s="13">
        <v>44775</v>
      </c>
      <c r="C644" s="66" t="s">
        <v>1201</v>
      </c>
      <c r="D644" s="14" t="s">
        <v>407</v>
      </c>
      <c r="E644" s="14" t="s">
        <v>57</v>
      </c>
      <c r="F644" s="103" t="s">
        <v>18</v>
      </c>
      <c r="G644" s="471">
        <v>64</v>
      </c>
      <c r="H644" s="258">
        <v>10000000</v>
      </c>
      <c r="I644" s="258">
        <f>List34[[#This Row],[Pengajuan Donasi]]</f>
        <v>10000000</v>
      </c>
      <c r="J644" s="213" t="str">
        <f>IF(List34[[#This Row],[Tanggal Trf]]&gt;0,"Done","-")</f>
        <v>Done</v>
      </c>
      <c r="K644" s="445"/>
      <c r="L644" s="224">
        <v>44792</v>
      </c>
      <c r="M644" s="100" t="s">
        <v>661</v>
      </c>
      <c r="N644" s="100">
        <f>MONTH(List34[[#This Row],[Tanggal Pengajuan]])</f>
        <v>8</v>
      </c>
      <c r="O644" s="183">
        <v>44886</v>
      </c>
      <c r="P644" s="100" t="s">
        <v>1268</v>
      </c>
      <c r="Q644" s="111"/>
      <c r="R644" s="229"/>
    </row>
    <row r="645" spans="2:18" ht="29.25" x14ac:dyDescent="0.2">
      <c r="B645" s="13">
        <v>44775</v>
      </c>
      <c r="C645" s="66" t="s">
        <v>1202</v>
      </c>
      <c r="D645" s="14" t="s">
        <v>916</v>
      </c>
      <c r="E645" s="14" t="s">
        <v>26</v>
      </c>
      <c r="F645" s="103" t="s">
        <v>18</v>
      </c>
      <c r="G645" s="471">
        <v>1</v>
      </c>
      <c r="H645" s="258">
        <v>500000</v>
      </c>
      <c r="I645" s="258">
        <f>List34[[#This Row],[Pengajuan Donasi]]</f>
        <v>500000</v>
      </c>
      <c r="J645" s="213" t="str">
        <f>IF(List34[[#This Row],[Tanggal Trf]]&gt;0,"Done","-")</f>
        <v>Done</v>
      </c>
      <c r="K645" s="445" t="s">
        <v>1211</v>
      </c>
      <c r="L645" s="224">
        <v>44799</v>
      </c>
      <c r="M645" s="100" t="s">
        <v>895</v>
      </c>
      <c r="N645" s="100">
        <f>MONTH(List34[[#This Row],[Tanggal Pengajuan]])</f>
        <v>8</v>
      </c>
      <c r="O645" s="183">
        <v>44886</v>
      </c>
      <c r="P645" s="100" t="s">
        <v>1223</v>
      </c>
      <c r="Q645" s="111"/>
      <c r="R645" s="229"/>
    </row>
    <row r="646" spans="2:18" ht="29.25" x14ac:dyDescent="0.2">
      <c r="B646" s="13">
        <v>44775</v>
      </c>
      <c r="C646" s="66"/>
      <c r="D646" s="14" t="s">
        <v>917</v>
      </c>
      <c r="E646" s="14" t="s">
        <v>26</v>
      </c>
      <c r="F646" s="103" t="s">
        <v>18</v>
      </c>
      <c r="G646" s="471">
        <v>1</v>
      </c>
      <c r="H646" s="258">
        <v>500000</v>
      </c>
      <c r="I646" s="258">
        <f>List34[[#This Row],[Pengajuan Donasi]]</f>
        <v>500000</v>
      </c>
      <c r="J646" s="213" t="str">
        <f>IF(List34[[#This Row],[Tanggal Trf]]&gt;0,"Done","-")</f>
        <v>Done</v>
      </c>
      <c r="K646" s="445" t="s">
        <v>1211</v>
      </c>
      <c r="L646" s="224">
        <v>44799</v>
      </c>
      <c r="M646" s="100" t="s">
        <v>894</v>
      </c>
      <c r="N646" s="100">
        <f>MONTH(List34[[#This Row],[Tanggal Pengajuan]])</f>
        <v>8</v>
      </c>
      <c r="O646" s="183">
        <v>44886</v>
      </c>
      <c r="P646" s="100" t="s">
        <v>1223</v>
      </c>
      <c r="Q646" s="111"/>
      <c r="R646" s="229"/>
    </row>
    <row r="647" spans="2:18" ht="29.25" x14ac:dyDescent="0.2">
      <c r="B647" s="13">
        <v>44775</v>
      </c>
      <c r="C647" s="66"/>
      <c r="D647" s="14" t="s">
        <v>918</v>
      </c>
      <c r="E647" s="14" t="s">
        <v>26</v>
      </c>
      <c r="F647" s="103" t="s">
        <v>18</v>
      </c>
      <c r="G647" s="471">
        <v>1</v>
      </c>
      <c r="H647" s="258">
        <v>500000</v>
      </c>
      <c r="I647" s="258">
        <f>List34[[#This Row],[Pengajuan Donasi]]</f>
        <v>500000</v>
      </c>
      <c r="J647" s="213" t="str">
        <f>IF(List34[[#This Row],[Tanggal Trf]]&gt;0,"Done","-")</f>
        <v>Done</v>
      </c>
      <c r="K647" s="445" t="s">
        <v>1211</v>
      </c>
      <c r="L647" s="224">
        <v>44799</v>
      </c>
      <c r="M647" s="100" t="s">
        <v>896</v>
      </c>
      <c r="N647" s="100">
        <f>MONTH(List34[[#This Row],[Tanggal Pengajuan]])</f>
        <v>8</v>
      </c>
      <c r="O647" s="183">
        <v>44886</v>
      </c>
      <c r="P647" s="100" t="s">
        <v>1223</v>
      </c>
      <c r="Q647" s="111"/>
      <c r="R647" s="229"/>
    </row>
    <row r="648" spans="2:18" ht="29.25" x14ac:dyDescent="0.2">
      <c r="B648" s="13">
        <v>44775</v>
      </c>
      <c r="C648" s="66"/>
      <c r="D648" s="14" t="s">
        <v>919</v>
      </c>
      <c r="E648" s="14" t="s">
        <v>26</v>
      </c>
      <c r="F648" s="103" t="s">
        <v>18</v>
      </c>
      <c r="G648" s="471">
        <v>1</v>
      </c>
      <c r="H648" s="258">
        <v>500000</v>
      </c>
      <c r="I648" s="258">
        <f>List34[[#This Row],[Pengajuan Donasi]]</f>
        <v>500000</v>
      </c>
      <c r="J648" s="213" t="str">
        <f>IF(List34[[#This Row],[Tanggal Trf]]&gt;0,"Done","-")</f>
        <v>Done</v>
      </c>
      <c r="K648" s="445" t="s">
        <v>1211</v>
      </c>
      <c r="L648" s="224">
        <v>44799</v>
      </c>
      <c r="M648" s="100" t="s">
        <v>897</v>
      </c>
      <c r="N648" s="100">
        <f>MONTH(List34[[#This Row],[Tanggal Pengajuan]])</f>
        <v>8</v>
      </c>
      <c r="O648" s="183">
        <v>44886</v>
      </c>
      <c r="P648" s="100" t="s">
        <v>1223</v>
      </c>
      <c r="Q648" s="111"/>
      <c r="R648" s="229"/>
    </row>
    <row r="649" spans="2:18" ht="29.25" x14ac:dyDescent="0.2">
      <c r="B649" s="13">
        <v>44775</v>
      </c>
      <c r="C649" s="66"/>
      <c r="D649" s="14" t="s">
        <v>920</v>
      </c>
      <c r="E649" s="14" t="s">
        <v>26</v>
      </c>
      <c r="F649" s="103" t="s">
        <v>18</v>
      </c>
      <c r="G649" s="471">
        <v>1</v>
      </c>
      <c r="H649" s="258">
        <v>500000</v>
      </c>
      <c r="I649" s="258">
        <f>List34[[#This Row],[Pengajuan Donasi]]</f>
        <v>500000</v>
      </c>
      <c r="J649" s="213" t="str">
        <f>IF(List34[[#This Row],[Tanggal Trf]]&gt;0,"Done","-")</f>
        <v>Done</v>
      </c>
      <c r="K649" s="445" t="s">
        <v>1211</v>
      </c>
      <c r="L649" s="224">
        <v>44799</v>
      </c>
      <c r="M649" s="100" t="s">
        <v>915</v>
      </c>
      <c r="N649" s="100">
        <f>MONTH(List34[[#This Row],[Tanggal Pengajuan]])</f>
        <v>8</v>
      </c>
      <c r="O649" s="183">
        <v>44886</v>
      </c>
      <c r="P649" s="100" t="s">
        <v>1223</v>
      </c>
      <c r="Q649" s="111"/>
      <c r="R649" s="229"/>
    </row>
    <row r="650" spans="2:18" ht="29.25" x14ac:dyDescent="0.2">
      <c r="B650" s="13">
        <v>44775</v>
      </c>
      <c r="C650" s="66"/>
      <c r="D650" s="14" t="s">
        <v>921</v>
      </c>
      <c r="E650" s="14" t="s">
        <v>26</v>
      </c>
      <c r="F650" s="103" t="s">
        <v>18</v>
      </c>
      <c r="G650" s="471">
        <v>1</v>
      </c>
      <c r="H650" s="258">
        <v>500000</v>
      </c>
      <c r="I650" s="258">
        <f>List34[[#This Row],[Pengajuan Donasi]]</f>
        <v>500000</v>
      </c>
      <c r="J650" s="213" t="str">
        <f>IF(List34[[#This Row],[Tanggal Trf]]&gt;0,"Done","-")</f>
        <v>Done</v>
      </c>
      <c r="K650" s="445" t="s">
        <v>1211</v>
      </c>
      <c r="L650" s="224">
        <v>44799</v>
      </c>
      <c r="M650" s="100" t="s">
        <v>1014</v>
      </c>
      <c r="N650" s="100">
        <f>MONTH(List34[[#This Row],[Tanggal Pengajuan]])</f>
        <v>8</v>
      </c>
      <c r="O650" s="183">
        <v>44886</v>
      </c>
      <c r="P650" s="100" t="s">
        <v>1223</v>
      </c>
      <c r="Q650" s="111"/>
      <c r="R650" s="229"/>
    </row>
    <row r="651" spans="2:18" ht="29.25" x14ac:dyDescent="0.2">
      <c r="B651" s="13">
        <v>44775</v>
      </c>
      <c r="C651" s="66"/>
      <c r="D651" s="14" t="s">
        <v>922</v>
      </c>
      <c r="E651" s="14" t="s">
        <v>26</v>
      </c>
      <c r="F651" s="103" t="s">
        <v>18</v>
      </c>
      <c r="G651" s="471">
        <v>1</v>
      </c>
      <c r="H651" s="258">
        <v>500000</v>
      </c>
      <c r="I651" s="258">
        <f>List34[[#This Row],[Pengajuan Donasi]]</f>
        <v>500000</v>
      </c>
      <c r="J651" s="213" t="str">
        <f>IF(List34[[#This Row],[Tanggal Trf]]&gt;0,"Done","-")</f>
        <v>Done</v>
      </c>
      <c r="K651" s="445" t="s">
        <v>1211</v>
      </c>
      <c r="L651" s="224">
        <v>44799</v>
      </c>
      <c r="M651" s="100" t="s">
        <v>899</v>
      </c>
      <c r="N651" s="100">
        <f>MONTH(List34[[#This Row],[Tanggal Pengajuan]])</f>
        <v>8</v>
      </c>
      <c r="O651" s="183">
        <v>44886</v>
      </c>
      <c r="P651" s="100" t="s">
        <v>1223</v>
      </c>
      <c r="Q651" s="111"/>
      <c r="R651" s="229"/>
    </row>
    <row r="652" spans="2:18" ht="29.25" x14ac:dyDescent="0.2">
      <c r="B652" s="13">
        <v>44775</v>
      </c>
      <c r="C652" s="66"/>
      <c r="D652" s="14" t="s">
        <v>923</v>
      </c>
      <c r="E652" s="14" t="s">
        <v>26</v>
      </c>
      <c r="F652" s="103" t="s">
        <v>18</v>
      </c>
      <c r="G652" s="471">
        <v>1</v>
      </c>
      <c r="H652" s="258">
        <v>500000</v>
      </c>
      <c r="I652" s="258">
        <f>List34[[#This Row],[Pengajuan Donasi]]</f>
        <v>500000</v>
      </c>
      <c r="J652" s="213" t="str">
        <f>IF(List34[[#This Row],[Tanggal Trf]]&gt;0,"Done","-")</f>
        <v>Done</v>
      </c>
      <c r="K652" s="445" t="s">
        <v>1211</v>
      </c>
      <c r="L652" s="224">
        <v>44799</v>
      </c>
      <c r="M652" s="100" t="s">
        <v>900</v>
      </c>
      <c r="N652" s="100">
        <f>MONTH(List34[[#This Row],[Tanggal Pengajuan]])</f>
        <v>8</v>
      </c>
      <c r="O652" s="183">
        <v>44886</v>
      </c>
      <c r="P652" s="100" t="s">
        <v>1223</v>
      </c>
      <c r="Q652" s="111"/>
      <c r="R652" s="229"/>
    </row>
    <row r="653" spans="2:18" ht="29.25" x14ac:dyDescent="0.2">
      <c r="B653" s="13">
        <v>44775</v>
      </c>
      <c r="C653" s="66"/>
      <c r="D653" s="14" t="s">
        <v>924</v>
      </c>
      <c r="E653" s="14" t="s">
        <v>26</v>
      </c>
      <c r="F653" s="103" t="s">
        <v>18</v>
      </c>
      <c r="G653" s="471">
        <v>1</v>
      </c>
      <c r="H653" s="258">
        <v>500000</v>
      </c>
      <c r="I653" s="258">
        <f>List34[[#This Row],[Pengajuan Donasi]]</f>
        <v>500000</v>
      </c>
      <c r="J653" s="213" t="str">
        <f>IF(List34[[#This Row],[Tanggal Trf]]&gt;0,"Done","-")</f>
        <v>Done</v>
      </c>
      <c r="K653" s="445" t="s">
        <v>1211</v>
      </c>
      <c r="L653" s="224">
        <v>44799</v>
      </c>
      <c r="M653" s="100" t="s">
        <v>901</v>
      </c>
      <c r="N653" s="100">
        <f>MONTH(List34[[#This Row],[Tanggal Pengajuan]])</f>
        <v>8</v>
      </c>
      <c r="O653" s="183">
        <v>44886</v>
      </c>
      <c r="P653" s="100" t="s">
        <v>1223</v>
      </c>
      <c r="Q653" s="111"/>
      <c r="R653" s="229"/>
    </row>
    <row r="654" spans="2:18" ht="29.25" x14ac:dyDescent="0.2">
      <c r="B654" s="13">
        <v>44775</v>
      </c>
      <c r="C654" s="66"/>
      <c r="D654" s="14" t="s">
        <v>925</v>
      </c>
      <c r="E654" s="14" t="s">
        <v>26</v>
      </c>
      <c r="F654" s="103" t="s">
        <v>18</v>
      </c>
      <c r="G654" s="471">
        <v>1</v>
      </c>
      <c r="H654" s="258">
        <v>500000</v>
      </c>
      <c r="I654" s="258">
        <f>List34[[#This Row],[Pengajuan Donasi]]</f>
        <v>500000</v>
      </c>
      <c r="J654" s="213" t="str">
        <f>IF(List34[[#This Row],[Tanggal Trf]]&gt;0,"Done","-")</f>
        <v>Done</v>
      </c>
      <c r="K654" s="445" t="s">
        <v>1211</v>
      </c>
      <c r="L654" s="224">
        <v>44799</v>
      </c>
      <c r="M654" s="100" t="s">
        <v>1014</v>
      </c>
      <c r="N654" s="100">
        <f>MONTH(List34[[#This Row],[Tanggal Pengajuan]])</f>
        <v>8</v>
      </c>
      <c r="O654" s="183">
        <v>44886</v>
      </c>
      <c r="P654" s="100" t="s">
        <v>1223</v>
      </c>
      <c r="Q654" s="111"/>
      <c r="R654" s="229"/>
    </row>
    <row r="655" spans="2:18" ht="29.25" x14ac:dyDescent="0.2">
      <c r="B655" s="13">
        <v>44775</v>
      </c>
      <c r="C655" s="66"/>
      <c r="D655" s="14" t="s">
        <v>926</v>
      </c>
      <c r="E655" s="14" t="s">
        <v>26</v>
      </c>
      <c r="F655" s="103" t="s">
        <v>18</v>
      </c>
      <c r="G655" s="471">
        <v>1</v>
      </c>
      <c r="H655" s="258">
        <v>500000</v>
      </c>
      <c r="I655" s="258">
        <f>List34[[#This Row],[Pengajuan Donasi]]</f>
        <v>500000</v>
      </c>
      <c r="J655" s="213" t="str">
        <f>IF(List34[[#This Row],[Tanggal Trf]]&gt;0,"Done","-")</f>
        <v>Done</v>
      </c>
      <c r="K655" s="445" t="s">
        <v>1211</v>
      </c>
      <c r="L655" s="224">
        <v>44799</v>
      </c>
      <c r="M655" s="100" t="s">
        <v>1014</v>
      </c>
      <c r="N655" s="100">
        <f>MONTH(List34[[#This Row],[Tanggal Pengajuan]])</f>
        <v>8</v>
      </c>
      <c r="O655" s="183">
        <v>44886</v>
      </c>
      <c r="P655" s="100" t="s">
        <v>1223</v>
      </c>
      <c r="Q655" s="111"/>
      <c r="R655" s="229"/>
    </row>
    <row r="656" spans="2:18" ht="29.25" x14ac:dyDescent="0.2">
      <c r="B656" s="13">
        <v>44775</v>
      </c>
      <c r="C656" s="66"/>
      <c r="D656" s="14" t="s">
        <v>927</v>
      </c>
      <c r="E656" s="14" t="s">
        <v>26</v>
      </c>
      <c r="F656" s="103" t="s">
        <v>18</v>
      </c>
      <c r="G656" s="471">
        <v>1</v>
      </c>
      <c r="H656" s="258">
        <v>500000</v>
      </c>
      <c r="I656" s="258">
        <f>List34[[#This Row],[Pengajuan Donasi]]</f>
        <v>500000</v>
      </c>
      <c r="J656" s="213" t="str">
        <f>IF(List34[[#This Row],[Tanggal Trf]]&gt;0,"Done","-")</f>
        <v>Done</v>
      </c>
      <c r="K656" s="445" t="s">
        <v>1211</v>
      </c>
      <c r="L656" s="224">
        <v>44799</v>
      </c>
      <c r="M656" s="100" t="s">
        <v>1014</v>
      </c>
      <c r="N656" s="100">
        <f>MONTH(List34[[#This Row],[Tanggal Pengajuan]])</f>
        <v>8</v>
      </c>
      <c r="O656" s="183">
        <v>44886</v>
      </c>
      <c r="P656" s="100" t="s">
        <v>1223</v>
      </c>
      <c r="Q656" s="111"/>
      <c r="R656" s="229"/>
    </row>
    <row r="657" spans="2:18" ht="29.25" x14ac:dyDescent="0.2">
      <c r="B657" s="13">
        <v>44775</v>
      </c>
      <c r="C657" s="66"/>
      <c r="D657" s="14" t="s">
        <v>928</v>
      </c>
      <c r="E657" s="14" t="s">
        <v>26</v>
      </c>
      <c r="F657" s="103" t="s">
        <v>18</v>
      </c>
      <c r="G657" s="471">
        <v>1</v>
      </c>
      <c r="H657" s="258">
        <v>500000</v>
      </c>
      <c r="I657" s="258">
        <f>List34[[#This Row],[Pengajuan Donasi]]</f>
        <v>500000</v>
      </c>
      <c r="J657" s="213" t="str">
        <f>IF(List34[[#This Row],[Tanggal Trf]]&gt;0,"Done","-")</f>
        <v>Done</v>
      </c>
      <c r="K657" s="445" t="s">
        <v>1211</v>
      </c>
      <c r="L657" s="224">
        <v>44799</v>
      </c>
      <c r="M657" s="100" t="s">
        <v>1014</v>
      </c>
      <c r="N657" s="100">
        <f>MONTH(List34[[#This Row],[Tanggal Pengajuan]])</f>
        <v>8</v>
      </c>
      <c r="O657" s="183">
        <v>44886</v>
      </c>
      <c r="P657" s="100" t="s">
        <v>1223</v>
      </c>
      <c r="Q657" s="111"/>
      <c r="R657" s="229"/>
    </row>
    <row r="658" spans="2:18" ht="29.25" x14ac:dyDescent="0.2">
      <c r="B658" s="13">
        <v>44775</v>
      </c>
      <c r="C658" s="66"/>
      <c r="D658" s="14" t="s">
        <v>929</v>
      </c>
      <c r="E658" s="14" t="s">
        <v>26</v>
      </c>
      <c r="F658" s="103" t="s">
        <v>18</v>
      </c>
      <c r="G658" s="471">
        <v>1</v>
      </c>
      <c r="H658" s="258">
        <v>500000</v>
      </c>
      <c r="I658" s="258">
        <f>List34[[#This Row],[Pengajuan Donasi]]</f>
        <v>500000</v>
      </c>
      <c r="J658" s="213" t="str">
        <f>IF(List34[[#This Row],[Tanggal Trf]]&gt;0,"Done","-")</f>
        <v>Done</v>
      </c>
      <c r="K658" s="445" t="s">
        <v>1211</v>
      </c>
      <c r="L658" s="224">
        <v>44799</v>
      </c>
      <c r="M658" s="100" t="s">
        <v>902</v>
      </c>
      <c r="N658" s="100">
        <f>MONTH(List34[[#This Row],[Tanggal Pengajuan]])</f>
        <v>8</v>
      </c>
      <c r="O658" s="183">
        <v>44886</v>
      </c>
      <c r="P658" s="100" t="s">
        <v>1223</v>
      </c>
      <c r="Q658" s="111"/>
      <c r="R658" s="229"/>
    </row>
    <row r="659" spans="2:18" ht="29.25" x14ac:dyDescent="0.2">
      <c r="B659" s="13">
        <v>44775</v>
      </c>
      <c r="C659" s="66"/>
      <c r="D659" s="14" t="s">
        <v>930</v>
      </c>
      <c r="E659" s="14" t="s">
        <v>26</v>
      </c>
      <c r="F659" s="103" t="s">
        <v>18</v>
      </c>
      <c r="G659" s="471">
        <v>1</v>
      </c>
      <c r="H659" s="258">
        <v>500000</v>
      </c>
      <c r="I659" s="258">
        <f>List34[[#This Row],[Pengajuan Donasi]]</f>
        <v>500000</v>
      </c>
      <c r="J659" s="213" t="str">
        <f>IF(List34[[#This Row],[Tanggal Trf]]&gt;0,"Done","-")</f>
        <v>Done</v>
      </c>
      <c r="K659" s="445" t="s">
        <v>1211</v>
      </c>
      <c r="L659" s="224">
        <v>44799</v>
      </c>
      <c r="M659" s="100" t="s">
        <v>903</v>
      </c>
      <c r="N659" s="100">
        <f>MONTH(List34[[#This Row],[Tanggal Pengajuan]])</f>
        <v>8</v>
      </c>
      <c r="O659" s="183">
        <v>44886</v>
      </c>
      <c r="P659" s="100" t="s">
        <v>1223</v>
      </c>
      <c r="Q659" s="111"/>
      <c r="R659" s="229"/>
    </row>
    <row r="660" spans="2:18" ht="29.25" x14ac:dyDescent="0.2">
      <c r="B660" s="13">
        <v>44775</v>
      </c>
      <c r="C660" s="66" t="s">
        <v>1203</v>
      </c>
      <c r="D660" s="14" t="s">
        <v>256</v>
      </c>
      <c r="E660" s="14" t="s">
        <v>17</v>
      </c>
      <c r="F660" s="103" t="s">
        <v>18</v>
      </c>
      <c r="G660" s="471">
        <v>86</v>
      </c>
      <c r="H660" s="258">
        <v>5500000</v>
      </c>
      <c r="I660" s="258">
        <f>List34[[#This Row],[Pengajuan Donasi]]</f>
        <v>5500000</v>
      </c>
      <c r="J660" s="213" t="str">
        <f>IF(List34[[#This Row],[Tanggal Trf]]&gt;0,"Done","-")</f>
        <v>Done</v>
      </c>
      <c r="K660" s="445"/>
      <c r="L660" s="224">
        <v>44792</v>
      </c>
      <c r="M660" s="100" t="s">
        <v>136</v>
      </c>
      <c r="N660" s="100">
        <f>MONTH(List34[[#This Row],[Tanggal Pengajuan]])</f>
        <v>8</v>
      </c>
      <c r="O660" s="183">
        <v>44889</v>
      </c>
      <c r="P660" s="100" t="s">
        <v>888</v>
      </c>
      <c r="Q660" s="111"/>
      <c r="R660" s="229"/>
    </row>
    <row r="661" spans="2:18" ht="29.25" x14ac:dyDescent="0.2">
      <c r="B661" s="13">
        <v>44775</v>
      </c>
      <c r="C661" s="66"/>
      <c r="D661" s="14" t="s">
        <v>257</v>
      </c>
      <c r="E661" s="14" t="s">
        <v>17</v>
      </c>
      <c r="F661" s="103" t="s">
        <v>18</v>
      </c>
      <c r="G661" s="471">
        <v>128</v>
      </c>
      <c r="H661" s="258">
        <v>5500000</v>
      </c>
      <c r="I661" s="258">
        <f>List34[[#This Row],[Pengajuan Donasi]]</f>
        <v>5500000</v>
      </c>
      <c r="J661" s="213" t="str">
        <f>IF(List34[[#This Row],[Tanggal Trf]]&gt;0,"Done","-")</f>
        <v>Done</v>
      </c>
      <c r="K661" s="445"/>
      <c r="L661" s="224">
        <v>44792</v>
      </c>
      <c r="M661" s="100" t="s">
        <v>136</v>
      </c>
      <c r="N661" s="100">
        <f>MONTH(List34[[#This Row],[Tanggal Pengajuan]])</f>
        <v>8</v>
      </c>
      <c r="O661" s="183">
        <v>44889</v>
      </c>
      <c r="P661" s="100" t="s">
        <v>888</v>
      </c>
      <c r="Q661" s="111"/>
      <c r="R661" s="229"/>
    </row>
    <row r="662" spans="2:18" ht="29.25" x14ac:dyDescent="0.2">
      <c r="B662" s="13">
        <v>44775</v>
      </c>
      <c r="C662" s="66"/>
      <c r="D662" s="14" t="s">
        <v>222</v>
      </c>
      <c r="E662" s="14" t="s">
        <v>17</v>
      </c>
      <c r="F662" s="103" t="s">
        <v>18</v>
      </c>
      <c r="G662" s="471">
        <v>26</v>
      </c>
      <c r="H662" s="258">
        <v>5500000</v>
      </c>
      <c r="I662" s="258">
        <f>List34[[#This Row],[Pengajuan Donasi]]</f>
        <v>5500000</v>
      </c>
      <c r="J662" s="213" t="str">
        <f>IF(List34[[#This Row],[Tanggal Trf]]&gt;0,"Done","-")</f>
        <v>Done</v>
      </c>
      <c r="K662" s="445"/>
      <c r="L662" s="224">
        <v>44792</v>
      </c>
      <c r="M662" s="100" t="s">
        <v>136</v>
      </c>
      <c r="N662" s="100">
        <f>MONTH(List34[[#This Row],[Tanggal Pengajuan]])</f>
        <v>8</v>
      </c>
      <c r="O662" s="183">
        <v>44889</v>
      </c>
      <c r="P662" s="100" t="s">
        <v>888</v>
      </c>
      <c r="Q662" s="111"/>
      <c r="R662" s="229"/>
    </row>
    <row r="663" spans="2:18" ht="24.75" x14ac:dyDescent="0.2">
      <c r="B663" s="13">
        <v>44776</v>
      </c>
      <c r="C663" s="66" t="s">
        <v>1204</v>
      </c>
      <c r="D663" s="103" t="s">
        <v>1059</v>
      </c>
      <c r="E663" s="103" t="s">
        <v>1055</v>
      </c>
      <c r="F663" s="103" t="s">
        <v>18</v>
      </c>
      <c r="G663" s="471"/>
      <c r="H663" s="258">
        <v>4100900</v>
      </c>
      <c r="I663" s="258">
        <f>List34[[#This Row],[Pengajuan Donasi]]</f>
        <v>4100900</v>
      </c>
      <c r="J663" s="213" t="str">
        <f>IF(List34[[#This Row],[Tanggal Trf]]&gt;0,"Done","-")</f>
        <v>Done</v>
      </c>
      <c r="K663" s="445" t="s">
        <v>1212</v>
      </c>
      <c r="L663" s="224">
        <v>44792</v>
      </c>
      <c r="M663" s="105" t="s">
        <v>1000</v>
      </c>
      <c r="N663" s="100">
        <f>MONTH(List34[[#This Row],[Tanggal Pengajuan]])</f>
        <v>8</v>
      </c>
      <c r="O663" s="183">
        <v>44889</v>
      </c>
      <c r="P663" s="100" t="s">
        <v>1116</v>
      </c>
      <c r="Q663" s="111"/>
      <c r="R663" s="229"/>
    </row>
    <row r="664" spans="2:18" ht="42.75" x14ac:dyDescent="0.2">
      <c r="B664" s="13">
        <v>44781</v>
      </c>
      <c r="C664" s="66" t="s">
        <v>1260</v>
      </c>
      <c r="D664" s="14" t="s">
        <v>872</v>
      </c>
      <c r="E664" s="14" t="s">
        <v>17</v>
      </c>
      <c r="F664" s="103" t="s">
        <v>18</v>
      </c>
      <c r="G664" s="471">
        <v>59</v>
      </c>
      <c r="H664" s="258">
        <v>6250360</v>
      </c>
      <c r="I664" s="258">
        <f>List34[[#This Row],[Pengajuan Donasi]]</f>
        <v>6250360</v>
      </c>
      <c r="J664" s="213" t="str">
        <f>IF(List34[[#This Row],[Tanggal Trf]]&gt;0,"Done","-")</f>
        <v>Done</v>
      </c>
      <c r="K664" s="14" t="s">
        <v>1261</v>
      </c>
      <c r="L664" s="225">
        <v>44783</v>
      </c>
      <c r="M664" s="100" t="s">
        <v>683</v>
      </c>
      <c r="N664" s="100">
        <f>MONTH(List34[[#This Row],[Tanggal Pengajuan]])</f>
        <v>8</v>
      </c>
      <c r="O664" s="183">
        <v>44791</v>
      </c>
      <c r="P664" s="100" t="s">
        <v>888</v>
      </c>
      <c r="Q664" s="111"/>
      <c r="R664" s="229"/>
    </row>
    <row r="665" spans="2:18" ht="42.75" x14ac:dyDescent="0.2">
      <c r="B665" s="13">
        <v>44781</v>
      </c>
      <c r="C665" s="66"/>
      <c r="D665" s="14" t="s">
        <v>857</v>
      </c>
      <c r="E665" s="14" t="s">
        <v>17</v>
      </c>
      <c r="F665" s="103" t="s">
        <v>18</v>
      </c>
      <c r="G665" s="471">
        <v>83</v>
      </c>
      <c r="H665" s="258">
        <v>6251860</v>
      </c>
      <c r="I665" s="258">
        <f>List34[[#This Row],[Pengajuan Donasi]]</f>
        <v>6251860</v>
      </c>
      <c r="J665" s="213" t="str">
        <f>IF(List34[[#This Row],[Tanggal Trf]]&gt;0,"Done","-")</f>
        <v>Done</v>
      </c>
      <c r="K665" s="14" t="s">
        <v>1261</v>
      </c>
      <c r="L665" s="225">
        <v>44783</v>
      </c>
      <c r="M665" s="100" t="s">
        <v>683</v>
      </c>
      <c r="N665" s="100">
        <f>MONTH(List34[[#This Row],[Tanggal Pengajuan]])</f>
        <v>8</v>
      </c>
      <c r="O665" s="183">
        <v>44791</v>
      </c>
      <c r="P665" s="100" t="s">
        <v>1224</v>
      </c>
      <c r="Q665" s="111"/>
      <c r="R665" s="229"/>
    </row>
    <row r="666" spans="2:18" ht="42.75" x14ac:dyDescent="0.2">
      <c r="B666" s="13">
        <v>44781</v>
      </c>
      <c r="C666" s="66" t="s">
        <v>1263</v>
      </c>
      <c r="D666" s="14" t="s">
        <v>871</v>
      </c>
      <c r="E666" s="14" t="s">
        <v>17</v>
      </c>
      <c r="F666" s="14" t="s">
        <v>17</v>
      </c>
      <c r="G666" s="471">
        <v>68</v>
      </c>
      <c r="H666" s="258">
        <v>6000000</v>
      </c>
      <c r="I666" s="258">
        <f>List34[[#This Row],[Pengajuan Donasi]]</f>
        <v>6000000</v>
      </c>
      <c r="J666" s="213" t="str">
        <f>IF(List34[[#This Row],[Tanggal Trf]]&gt;0,"Done","-")</f>
        <v>Done</v>
      </c>
      <c r="K666" s="14" t="s">
        <v>1206</v>
      </c>
      <c r="L666" s="225">
        <v>44792</v>
      </c>
      <c r="M666" s="100" t="s">
        <v>1213</v>
      </c>
      <c r="N666" s="100">
        <f>MONTH(List34[[#This Row],[Tanggal Pengajuan]])</f>
        <v>8</v>
      </c>
      <c r="O666" s="183">
        <v>44887</v>
      </c>
      <c r="P666" s="100" t="s">
        <v>888</v>
      </c>
      <c r="Q666" s="111"/>
      <c r="R666" s="229"/>
    </row>
    <row r="667" spans="2:18" ht="29.25" x14ac:dyDescent="0.2">
      <c r="B667" s="13">
        <v>44781</v>
      </c>
      <c r="C667" s="66"/>
      <c r="D667" s="14" t="s">
        <v>870</v>
      </c>
      <c r="E667" s="14" t="s">
        <v>17</v>
      </c>
      <c r="F667" s="103" t="s">
        <v>18</v>
      </c>
      <c r="G667" s="471">
        <v>0</v>
      </c>
      <c r="H667" s="258">
        <v>6000000</v>
      </c>
      <c r="I667" s="258">
        <f>List34[[#This Row],[Pengajuan Donasi]]</f>
        <v>6000000</v>
      </c>
      <c r="J667" s="213" t="str">
        <f>IF(List34[[#This Row],[Tanggal Trf]]&gt;0,"Done","-")</f>
        <v>Done</v>
      </c>
      <c r="K667" s="14" t="s">
        <v>1206</v>
      </c>
      <c r="L667" s="225">
        <v>44792</v>
      </c>
      <c r="M667" s="100" t="s">
        <v>1213</v>
      </c>
      <c r="N667" s="100">
        <f>MONTH(List34[[#This Row],[Tanggal Pengajuan]])</f>
        <v>8</v>
      </c>
      <c r="O667" s="183">
        <v>44887</v>
      </c>
      <c r="P667" s="100" t="s">
        <v>888</v>
      </c>
      <c r="Q667" s="111"/>
      <c r="R667" s="229"/>
    </row>
    <row r="668" spans="2:18" ht="29.25" x14ac:dyDescent="0.2">
      <c r="B668" s="13">
        <v>44781</v>
      </c>
      <c r="C668" s="66"/>
      <c r="D668" s="14" t="s">
        <v>124</v>
      </c>
      <c r="E668" s="14" t="s">
        <v>17</v>
      </c>
      <c r="F668" s="103" t="s">
        <v>18</v>
      </c>
      <c r="G668" s="471">
        <v>0</v>
      </c>
      <c r="H668" s="258">
        <v>6000000</v>
      </c>
      <c r="I668" s="258">
        <f>List34[[#This Row],[Pengajuan Donasi]]</f>
        <v>6000000</v>
      </c>
      <c r="J668" s="213" t="str">
        <f>IF(List34[[#This Row],[Tanggal Trf]]&gt;0,"Done","-")</f>
        <v>Done</v>
      </c>
      <c r="K668" s="14" t="s">
        <v>1206</v>
      </c>
      <c r="L668" s="225">
        <v>44792</v>
      </c>
      <c r="M668" s="100" t="s">
        <v>1213</v>
      </c>
      <c r="N668" s="100">
        <f>MONTH(List34[[#This Row],[Tanggal Pengajuan]])</f>
        <v>8</v>
      </c>
      <c r="O668" s="183">
        <v>44887</v>
      </c>
      <c r="P668" s="100" t="s">
        <v>888</v>
      </c>
      <c r="Q668" s="111"/>
      <c r="R668" s="229"/>
    </row>
    <row r="669" spans="2:18" ht="29.25" x14ac:dyDescent="0.2">
      <c r="B669" s="13">
        <v>44781</v>
      </c>
      <c r="C669" s="66"/>
      <c r="D669" s="14" t="s">
        <v>228</v>
      </c>
      <c r="E669" s="14" t="s">
        <v>17</v>
      </c>
      <c r="F669" s="103" t="s">
        <v>18</v>
      </c>
      <c r="G669" s="471">
        <v>0</v>
      </c>
      <c r="H669" s="258">
        <v>6000000</v>
      </c>
      <c r="I669" s="258">
        <f>List34[[#This Row],[Pengajuan Donasi]]</f>
        <v>6000000</v>
      </c>
      <c r="J669" s="213" t="str">
        <f>IF(List34[[#This Row],[Tanggal Trf]]&gt;0,"Done","-")</f>
        <v>Done</v>
      </c>
      <c r="K669" s="14" t="s">
        <v>1206</v>
      </c>
      <c r="L669" s="225">
        <v>44792</v>
      </c>
      <c r="M669" s="100" t="s">
        <v>1213</v>
      </c>
      <c r="N669" s="100">
        <f>MONTH(List34[[#This Row],[Tanggal Pengajuan]])</f>
        <v>8</v>
      </c>
      <c r="O669" s="183">
        <v>44887</v>
      </c>
      <c r="P669" s="100" t="s">
        <v>888</v>
      </c>
      <c r="Q669" s="111"/>
      <c r="R669" s="229"/>
    </row>
    <row r="670" spans="2:18" ht="29.25" x14ac:dyDescent="0.2">
      <c r="B670" s="13">
        <v>44781</v>
      </c>
      <c r="C670" s="66"/>
      <c r="D670" s="14" t="s">
        <v>869</v>
      </c>
      <c r="E670" s="14" t="s">
        <v>17</v>
      </c>
      <c r="F670" s="103" t="s">
        <v>18</v>
      </c>
      <c r="G670" s="471">
        <v>96</v>
      </c>
      <c r="H670" s="258">
        <v>6000000</v>
      </c>
      <c r="I670" s="258">
        <f>List34[[#This Row],[Pengajuan Donasi]]</f>
        <v>6000000</v>
      </c>
      <c r="J670" s="213" t="str">
        <f>IF(List34[[#This Row],[Tanggal Trf]]&gt;0,"Done","-")</f>
        <v>Done</v>
      </c>
      <c r="K670" s="14" t="s">
        <v>1206</v>
      </c>
      <c r="L670" s="225">
        <v>44792</v>
      </c>
      <c r="M670" s="100" t="s">
        <v>1213</v>
      </c>
      <c r="N670" s="100">
        <f>MONTH(List34[[#This Row],[Tanggal Pengajuan]])</f>
        <v>8</v>
      </c>
      <c r="O670" s="183">
        <v>44887</v>
      </c>
      <c r="P670" s="100" t="s">
        <v>888</v>
      </c>
      <c r="Q670" s="111"/>
      <c r="R670" s="229"/>
    </row>
    <row r="671" spans="2:18" ht="29.25" x14ac:dyDescent="0.2">
      <c r="B671" s="13">
        <v>44781</v>
      </c>
      <c r="C671" s="66"/>
      <c r="D671" s="14" t="s">
        <v>229</v>
      </c>
      <c r="E671" s="14" t="s">
        <v>17</v>
      </c>
      <c r="F671" s="103" t="s">
        <v>18</v>
      </c>
      <c r="G671" s="471">
        <v>40</v>
      </c>
      <c r="H671" s="258">
        <v>6000000</v>
      </c>
      <c r="I671" s="258">
        <f>List34[[#This Row],[Pengajuan Donasi]]</f>
        <v>6000000</v>
      </c>
      <c r="J671" s="213" t="str">
        <f>IF(List34[[#This Row],[Tanggal Trf]]&gt;0,"Done","-")</f>
        <v>Done</v>
      </c>
      <c r="K671" s="14" t="s">
        <v>1206</v>
      </c>
      <c r="L671" s="225">
        <v>44792</v>
      </c>
      <c r="M671" s="100" t="s">
        <v>1213</v>
      </c>
      <c r="N671" s="100">
        <f>MONTH(List34[[#This Row],[Tanggal Pengajuan]])</f>
        <v>8</v>
      </c>
      <c r="O671" s="183">
        <v>44887</v>
      </c>
      <c r="P671" s="100" t="s">
        <v>888</v>
      </c>
      <c r="Q671" s="111"/>
      <c r="R671" s="229"/>
    </row>
    <row r="672" spans="2:18" ht="29.25" x14ac:dyDescent="0.2">
      <c r="B672" s="13">
        <v>44781</v>
      </c>
      <c r="C672" s="66"/>
      <c r="D672" s="14" t="s">
        <v>848</v>
      </c>
      <c r="E672" s="14" t="s">
        <v>17</v>
      </c>
      <c r="F672" s="103" t="s">
        <v>18</v>
      </c>
      <c r="G672" s="471">
        <v>40</v>
      </c>
      <c r="H672" s="258">
        <v>6000000</v>
      </c>
      <c r="I672" s="258">
        <f>List34[[#This Row],[Pengajuan Donasi]]</f>
        <v>6000000</v>
      </c>
      <c r="J672" s="213" t="str">
        <f>IF(List34[[#This Row],[Tanggal Trf]]&gt;0,"Done","-")</f>
        <v>Done</v>
      </c>
      <c r="K672" s="14" t="s">
        <v>1206</v>
      </c>
      <c r="L672" s="225">
        <v>44792</v>
      </c>
      <c r="M672" s="100" t="s">
        <v>1213</v>
      </c>
      <c r="N672" s="100">
        <f>MONTH(List34[[#This Row],[Tanggal Pengajuan]])</f>
        <v>8</v>
      </c>
      <c r="O672" s="183">
        <v>44887</v>
      </c>
      <c r="P672" s="100" t="s">
        <v>888</v>
      </c>
      <c r="Q672" s="111"/>
      <c r="R672" s="229"/>
    </row>
    <row r="673" spans="2:18" ht="29.25" x14ac:dyDescent="0.2">
      <c r="B673" s="13">
        <v>44781</v>
      </c>
      <c r="C673" s="66"/>
      <c r="D673" s="14" t="s">
        <v>238</v>
      </c>
      <c r="E673" s="14" t="s">
        <v>17</v>
      </c>
      <c r="F673" s="103" t="s">
        <v>18</v>
      </c>
      <c r="G673" s="471">
        <v>36</v>
      </c>
      <c r="H673" s="258">
        <v>6000000</v>
      </c>
      <c r="I673" s="258">
        <f>List34[[#This Row],[Pengajuan Donasi]]</f>
        <v>6000000</v>
      </c>
      <c r="J673" s="213" t="str">
        <f>IF(List34[[#This Row],[Tanggal Trf]]&gt;0,"Done","-")</f>
        <v>Done</v>
      </c>
      <c r="K673" s="14" t="s">
        <v>1206</v>
      </c>
      <c r="L673" s="225">
        <v>44792</v>
      </c>
      <c r="M673" s="100" t="s">
        <v>1213</v>
      </c>
      <c r="N673" s="100">
        <f>MONTH(List34[[#This Row],[Tanggal Pengajuan]])</f>
        <v>8</v>
      </c>
      <c r="O673" s="183">
        <v>44887</v>
      </c>
      <c r="P673" s="100" t="s">
        <v>888</v>
      </c>
      <c r="Q673" s="111"/>
      <c r="R673" s="229"/>
    </row>
    <row r="674" spans="2:18" ht="29.25" x14ac:dyDescent="0.2">
      <c r="B674" s="13">
        <v>44781</v>
      </c>
      <c r="C674" s="66"/>
      <c r="D674" s="14" t="s">
        <v>849</v>
      </c>
      <c r="E674" s="14" t="s">
        <v>17</v>
      </c>
      <c r="F674" s="103" t="s">
        <v>18</v>
      </c>
      <c r="G674" s="471">
        <v>63</v>
      </c>
      <c r="H674" s="258">
        <v>6000000</v>
      </c>
      <c r="I674" s="258">
        <f>List34[[#This Row],[Pengajuan Donasi]]</f>
        <v>6000000</v>
      </c>
      <c r="J674" s="213" t="str">
        <f>IF(List34[[#This Row],[Tanggal Trf]]&gt;0,"Done","-")</f>
        <v>Done</v>
      </c>
      <c r="K674" s="14" t="s">
        <v>1206</v>
      </c>
      <c r="L674" s="225">
        <v>44792</v>
      </c>
      <c r="M674" s="100" t="s">
        <v>1213</v>
      </c>
      <c r="N674" s="100">
        <f>MONTH(List34[[#This Row],[Tanggal Pengajuan]])</f>
        <v>8</v>
      </c>
      <c r="O674" s="183">
        <v>44887</v>
      </c>
      <c r="P674" s="100" t="s">
        <v>888</v>
      </c>
      <c r="Q674" s="111"/>
      <c r="R674" s="229"/>
    </row>
    <row r="675" spans="2:18" ht="29.25" x14ac:dyDescent="0.2">
      <c r="B675" s="13">
        <v>44781</v>
      </c>
      <c r="C675" s="66"/>
      <c r="D675" s="14" t="s">
        <v>850</v>
      </c>
      <c r="E675" s="14" t="s">
        <v>17</v>
      </c>
      <c r="F675" s="103" t="s">
        <v>18</v>
      </c>
      <c r="G675" s="471">
        <v>61</v>
      </c>
      <c r="H675" s="258">
        <v>6000000</v>
      </c>
      <c r="I675" s="258">
        <f>List34[[#This Row],[Pengajuan Donasi]]</f>
        <v>6000000</v>
      </c>
      <c r="J675" s="213" t="str">
        <f>IF(List34[[#This Row],[Tanggal Trf]]&gt;0,"Done","-")</f>
        <v>Done</v>
      </c>
      <c r="K675" s="14" t="s">
        <v>1206</v>
      </c>
      <c r="L675" s="225">
        <v>44792</v>
      </c>
      <c r="M675" s="100" t="s">
        <v>1213</v>
      </c>
      <c r="N675" s="100">
        <f>MONTH(List34[[#This Row],[Tanggal Pengajuan]])</f>
        <v>8</v>
      </c>
      <c r="O675" s="183">
        <v>44887</v>
      </c>
      <c r="P675" s="100" t="s">
        <v>888</v>
      </c>
      <c r="Q675" s="111"/>
      <c r="R675" s="229"/>
    </row>
    <row r="676" spans="2:18" ht="29.25" x14ac:dyDescent="0.2">
      <c r="B676" s="13">
        <v>44781</v>
      </c>
      <c r="C676" s="66"/>
      <c r="D676" s="14" t="s">
        <v>851</v>
      </c>
      <c r="E676" s="14" t="s">
        <v>17</v>
      </c>
      <c r="F676" s="103" t="s">
        <v>18</v>
      </c>
      <c r="G676" s="471">
        <v>22</v>
      </c>
      <c r="H676" s="258">
        <v>6000000</v>
      </c>
      <c r="I676" s="258">
        <f>List34[[#This Row],[Pengajuan Donasi]]</f>
        <v>6000000</v>
      </c>
      <c r="J676" s="213" t="str">
        <f>IF(List34[[#This Row],[Tanggal Trf]]&gt;0,"Done","-")</f>
        <v>Done</v>
      </c>
      <c r="K676" s="14" t="s">
        <v>1206</v>
      </c>
      <c r="L676" s="225">
        <v>44792</v>
      </c>
      <c r="M676" s="100" t="s">
        <v>1213</v>
      </c>
      <c r="N676" s="100">
        <f>MONTH(List34[[#This Row],[Tanggal Pengajuan]])</f>
        <v>8</v>
      </c>
      <c r="O676" s="183">
        <v>44887</v>
      </c>
      <c r="P676" s="100" t="s">
        <v>888</v>
      </c>
      <c r="Q676" s="111"/>
      <c r="R676" s="229"/>
    </row>
    <row r="677" spans="2:18" ht="29.25" x14ac:dyDescent="0.2">
      <c r="B677" s="13">
        <v>44781</v>
      </c>
      <c r="C677" s="66"/>
      <c r="D677" s="14" t="s">
        <v>852</v>
      </c>
      <c r="E677" s="14" t="s">
        <v>17</v>
      </c>
      <c r="F677" s="103" t="s">
        <v>18</v>
      </c>
      <c r="G677" s="471">
        <v>42</v>
      </c>
      <c r="H677" s="258">
        <v>6000000</v>
      </c>
      <c r="I677" s="258">
        <f>List34[[#This Row],[Pengajuan Donasi]]</f>
        <v>6000000</v>
      </c>
      <c r="J677" s="213" t="str">
        <f>IF(List34[[#This Row],[Tanggal Trf]]&gt;0,"Done","-")</f>
        <v>Done</v>
      </c>
      <c r="K677" s="14" t="s">
        <v>1206</v>
      </c>
      <c r="L677" s="225">
        <v>44792</v>
      </c>
      <c r="M677" s="100" t="s">
        <v>1213</v>
      </c>
      <c r="N677" s="100">
        <f>MONTH(List34[[#This Row],[Tanggal Pengajuan]])</f>
        <v>8</v>
      </c>
      <c r="O677" s="183">
        <v>44887</v>
      </c>
      <c r="P677" s="100" t="s">
        <v>888</v>
      </c>
      <c r="Q677" s="111"/>
      <c r="R677" s="229"/>
    </row>
    <row r="678" spans="2:18" ht="29.25" x14ac:dyDescent="0.2">
      <c r="B678" s="13">
        <v>44781</v>
      </c>
      <c r="C678" s="66"/>
      <c r="D678" s="14" t="s">
        <v>853</v>
      </c>
      <c r="E678" s="14" t="s">
        <v>17</v>
      </c>
      <c r="F678" s="103" t="s">
        <v>18</v>
      </c>
      <c r="G678" s="471">
        <v>25</v>
      </c>
      <c r="H678" s="258">
        <v>6000000</v>
      </c>
      <c r="I678" s="258">
        <f>List34[[#This Row],[Pengajuan Donasi]]</f>
        <v>6000000</v>
      </c>
      <c r="J678" s="213" t="str">
        <f>IF(List34[[#This Row],[Tanggal Trf]]&gt;0,"Done","-")</f>
        <v>Done</v>
      </c>
      <c r="K678" s="14" t="s">
        <v>1206</v>
      </c>
      <c r="L678" s="225">
        <v>44792</v>
      </c>
      <c r="M678" s="100" t="s">
        <v>1213</v>
      </c>
      <c r="N678" s="100">
        <f>MONTH(List34[[#This Row],[Tanggal Pengajuan]])</f>
        <v>8</v>
      </c>
      <c r="O678" s="183">
        <v>44887</v>
      </c>
      <c r="P678" s="100" t="s">
        <v>888</v>
      </c>
      <c r="Q678" s="111"/>
      <c r="R678" s="229"/>
    </row>
    <row r="679" spans="2:18" ht="29.25" x14ac:dyDescent="0.2">
      <c r="B679" s="13">
        <v>44781</v>
      </c>
      <c r="C679" s="66"/>
      <c r="D679" s="14" t="s">
        <v>854</v>
      </c>
      <c r="E679" s="14" t="s">
        <v>17</v>
      </c>
      <c r="F679" s="103" t="s">
        <v>18</v>
      </c>
      <c r="G679" s="471">
        <v>118</v>
      </c>
      <c r="H679" s="258">
        <v>6000000</v>
      </c>
      <c r="I679" s="258">
        <f>List34[[#This Row],[Pengajuan Donasi]]</f>
        <v>6000000</v>
      </c>
      <c r="J679" s="213" t="str">
        <f>IF(List34[[#This Row],[Tanggal Trf]]&gt;0,"Done","-")</f>
        <v>Done</v>
      </c>
      <c r="K679" s="14" t="s">
        <v>1206</v>
      </c>
      <c r="L679" s="225">
        <v>44792</v>
      </c>
      <c r="M679" s="100" t="s">
        <v>1213</v>
      </c>
      <c r="N679" s="100">
        <f>MONTH(List34[[#This Row],[Tanggal Pengajuan]])</f>
        <v>8</v>
      </c>
      <c r="O679" s="183">
        <v>44887</v>
      </c>
      <c r="P679" s="100" t="s">
        <v>888</v>
      </c>
      <c r="Q679" s="111"/>
      <c r="R679" s="229"/>
    </row>
    <row r="680" spans="2:18" ht="29.25" x14ac:dyDescent="0.2">
      <c r="B680" s="13">
        <v>44781</v>
      </c>
      <c r="C680" s="66"/>
      <c r="D680" s="14" t="s">
        <v>855</v>
      </c>
      <c r="E680" s="14" t="s">
        <v>17</v>
      </c>
      <c r="F680" s="103" t="s">
        <v>18</v>
      </c>
      <c r="G680" s="471">
        <v>91</v>
      </c>
      <c r="H680" s="258">
        <v>6000000</v>
      </c>
      <c r="I680" s="258">
        <f>List34[[#This Row],[Pengajuan Donasi]]</f>
        <v>6000000</v>
      </c>
      <c r="J680" s="213" t="str">
        <f>IF(List34[[#This Row],[Tanggal Trf]]&gt;0,"Done","-")</f>
        <v>Done</v>
      </c>
      <c r="K680" s="14" t="s">
        <v>1206</v>
      </c>
      <c r="L680" s="225">
        <v>44792</v>
      </c>
      <c r="M680" s="100" t="s">
        <v>1213</v>
      </c>
      <c r="N680" s="100">
        <f>MONTH(List34[[#This Row],[Tanggal Pengajuan]])</f>
        <v>8</v>
      </c>
      <c r="O680" s="183">
        <v>44887</v>
      </c>
      <c r="P680" s="100" t="s">
        <v>888</v>
      </c>
      <c r="Q680" s="111"/>
      <c r="R680" s="229"/>
    </row>
    <row r="681" spans="2:18" ht="29.25" x14ac:dyDescent="0.2">
      <c r="B681" s="13">
        <v>44781</v>
      </c>
      <c r="C681" s="66"/>
      <c r="D681" s="14" t="s">
        <v>856</v>
      </c>
      <c r="E681" s="14" t="s">
        <v>17</v>
      </c>
      <c r="F681" s="103" t="s">
        <v>18</v>
      </c>
      <c r="G681" s="471">
        <v>28</v>
      </c>
      <c r="H681" s="258">
        <v>6000000</v>
      </c>
      <c r="I681" s="258">
        <f>List34[[#This Row],[Pengajuan Donasi]]</f>
        <v>6000000</v>
      </c>
      <c r="J681" s="213" t="str">
        <f>IF(List34[[#This Row],[Tanggal Trf]]&gt;0,"Done","-")</f>
        <v>Done</v>
      </c>
      <c r="K681" s="14" t="s">
        <v>1206</v>
      </c>
      <c r="L681" s="225">
        <v>44792</v>
      </c>
      <c r="M681" s="100" t="s">
        <v>1213</v>
      </c>
      <c r="N681" s="100">
        <f>MONTH(List34[[#This Row],[Tanggal Pengajuan]])</f>
        <v>8</v>
      </c>
      <c r="O681" s="183">
        <v>44887</v>
      </c>
      <c r="P681" s="100" t="s">
        <v>888</v>
      </c>
      <c r="Q681" s="111"/>
      <c r="R681" s="229"/>
    </row>
    <row r="682" spans="2:18" ht="29.25" x14ac:dyDescent="0.2">
      <c r="B682" s="13">
        <v>44781</v>
      </c>
      <c r="C682" s="66"/>
      <c r="D682" s="14" t="s">
        <v>328</v>
      </c>
      <c r="E682" s="14" t="s">
        <v>17</v>
      </c>
      <c r="F682" s="103" t="s">
        <v>18</v>
      </c>
      <c r="G682" s="471">
        <v>14</v>
      </c>
      <c r="H682" s="258">
        <v>6000000</v>
      </c>
      <c r="I682" s="258">
        <f>List34[[#This Row],[Pengajuan Donasi]]</f>
        <v>6000000</v>
      </c>
      <c r="J682" s="213" t="str">
        <f>IF(List34[[#This Row],[Tanggal Trf]]&gt;0,"Done","-")</f>
        <v>Done</v>
      </c>
      <c r="K682" s="14" t="s">
        <v>1206</v>
      </c>
      <c r="L682" s="225">
        <v>44792</v>
      </c>
      <c r="M682" s="100" t="s">
        <v>1213</v>
      </c>
      <c r="N682" s="100">
        <f>MONTH(List34[[#This Row],[Tanggal Pengajuan]])</f>
        <v>8</v>
      </c>
      <c r="O682" s="183">
        <v>44887</v>
      </c>
      <c r="P682" s="100" t="s">
        <v>888</v>
      </c>
      <c r="Q682" s="111"/>
      <c r="R682" s="229"/>
    </row>
    <row r="683" spans="2:18" ht="29.25" x14ac:dyDescent="0.2">
      <c r="B683" s="13">
        <v>44781</v>
      </c>
      <c r="C683" s="66"/>
      <c r="D683" s="14" t="s">
        <v>362</v>
      </c>
      <c r="E683" s="14" t="s">
        <v>17</v>
      </c>
      <c r="F683" s="103" t="s">
        <v>18</v>
      </c>
      <c r="G683" s="471">
        <v>217</v>
      </c>
      <c r="H683" s="258">
        <v>6000000</v>
      </c>
      <c r="I683" s="258">
        <f>List34[[#This Row],[Pengajuan Donasi]]</f>
        <v>6000000</v>
      </c>
      <c r="J683" s="213" t="str">
        <f>IF(List34[[#This Row],[Tanggal Trf]]&gt;0,"Done","-")</f>
        <v>Done</v>
      </c>
      <c r="K683" s="14" t="s">
        <v>1206</v>
      </c>
      <c r="L683" s="225">
        <v>44792</v>
      </c>
      <c r="M683" s="100" t="s">
        <v>1213</v>
      </c>
      <c r="N683" s="100">
        <f>MONTH(List34[[#This Row],[Tanggal Pengajuan]])</f>
        <v>8</v>
      </c>
      <c r="O683" s="183">
        <v>44887</v>
      </c>
      <c r="P683" s="100" t="s">
        <v>888</v>
      </c>
      <c r="Q683" s="111"/>
      <c r="R683" s="229"/>
    </row>
    <row r="684" spans="2:18" ht="29.25" x14ac:dyDescent="0.2">
      <c r="B684" s="13">
        <v>44781</v>
      </c>
      <c r="C684" s="66"/>
      <c r="D684" s="14" t="s">
        <v>858</v>
      </c>
      <c r="E684" s="14" t="s">
        <v>17</v>
      </c>
      <c r="F684" s="103" t="s">
        <v>18</v>
      </c>
      <c r="G684" s="471">
        <v>12</v>
      </c>
      <c r="H684" s="258">
        <v>6000000</v>
      </c>
      <c r="I684" s="258">
        <f>List34[[#This Row],[Pengajuan Donasi]]</f>
        <v>6000000</v>
      </c>
      <c r="J684" s="213" t="str">
        <f>IF(List34[[#This Row],[Tanggal Trf]]&gt;0,"Done","-")</f>
        <v>Done</v>
      </c>
      <c r="K684" s="14" t="s">
        <v>1206</v>
      </c>
      <c r="L684" s="225">
        <v>44792</v>
      </c>
      <c r="M684" s="100" t="s">
        <v>1213</v>
      </c>
      <c r="N684" s="100">
        <f>MONTH(List34[[#This Row],[Tanggal Pengajuan]])</f>
        <v>8</v>
      </c>
      <c r="O684" s="183">
        <v>44887</v>
      </c>
      <c r="P684" s="100" t="s">
        <v>888</v>
      </c>
      <c r="Q684" s="111"/>
      <c r="R684" s="229"/>
    </row>
    <row r="685" spans="2:18" ht="29.25" x14ac:dyDescent="0.2">
      <c r="B685" s="13">
        <v>44781</v>
      </c>
      <c r="C685" s="66"/>
      <c r="D685" s="14" t="s">
        <v>391</v>
      </c>
      <c r="E685" s="14" t="s">
        <v>17</v>
      </c>
      <c r="F685" s="103" t="s">
        <v>18</v>
      </c>
      <c r="G685" s="471">
        <v>40</v>
      </c>
      <c r="H685" s="258">
        <v>6000000</v>
      </c>
      <c r="I685" s="258">
        <f>List34[[#This Row],[Pengajuan Donasi]]</f>
        <v>6000000</v>
      </c>
      <c r="J685" s="213" t="str">
        <f>IF(List34[[#This Row],[Tanggal Trf]]&gt;0,"Done","-")</f>
        <v>Done</v>
      </c>
      <c r="K685" s="14" t="s">
        <v>1206</v>
      </c>
      <c r="L685" s="225">
        <v>44792</v>
      </c>
      <c r="M685" s="100" t="s">
        <v>1213</v>
      </c>
      <c r="N685" s="100">
        <f>MONTH(List34[[#This Row],[Tanggal Pengajuan]])</f>
        <v>8</v>
      </c>
      <c r="O685" s="183">
        <v>44887</v>
      </c>
      <c r="P685" s="100" t="s">
        <v>888</v>
      </c>
      <c r="Q685" s="111"/>
      <c r="R685" s="229"/>
    </row>
    <row r="686" spans="2:18" ht="29.25" x14ac:dyDescent="0.2">
      <c r="B686" s="13">
        <v>44781</v>
      </c>
      <c r="C686" s="66"/>
      <c r="D686" s="14" t="s">
        <v>861</v>
      </c>
      <c r="E686" s="14" t="s">
        <v>17</v>
      </c>
      <c r="F686" s="103" t="s">
        <v>18</v>
      </c>
      <c r="G686" s="471">
        <v>65</v>
      </c>
      <c r="H686" s="258">
        <v>6000000</v>
      </c>
      <c r="I686" s="258">
        <f>List34[[#This Row],[Pengajuan Donasi]]</f>
        <v>6000000</v>
      </c>
      <c r="J686" s="213" t="str">
        <f>IF(List34[[#This Row],[Tanggal Trf]]&gt;0,"Done","-")</f>
        <v>Done</v>
      </c>
      <c r="K686" s="14" t="s">
        <v>1206</v>
      </c>
      <c r="L686" s="225">
        <v>44792</v>
      </c>
      <c r="M686" s="100" t="s">
        <v>1213</v>
      </c>
      <c r="N686" s="100">
        <f>MONTH(List34[[#This Row],[Tanggal Pengajuan]])</f>
        <v>8</v>
      </c>
      <c r="O686" s="183">
        <v>44887</v>
      </c>
      <c r="P686" s="100" t="s">
        <v>888</v>
      </c>
      <c r="Q686" s="111"/>
      <c r="R686" s="229"/>
    </row>
    <row r="687" spans="2:18" ht="29.25" x14ac:dyDescent="0.2">
      <c r="B687" s="13">
        <v>44781</v>
      </c>
      <c r="C687" s="66"/>
      <c r="D687" s="14" t="s">
        <v>862</v>
      </c>
      <c r="E687" s="14" t="s">
        <v>17</v>
      </c>
      <c r="F687" s="103" t="s">
        <v>18</v>
      </c>
      <c r="G687" s="471">
        <v>40</v>
      </c>
      <c r="H687" s="258">
        <v>6000000</v>
      </c>
      <c r="I687" s="258">
        <f>List34[[#This Row],[Pengajuan Donasi]]</f>
        <v>6000000</v>
      </c>
      <c r="J687" s="213" t="str">
        <f>IF(List34[[#This Row],[Tanggal Trf]]&gt;0,"Done","-")</f>
        <v>Done</v>
      </c>
      <c r="K687" s="14" t="s">
        <v>1206</v>
      </c>
      <c r="L687" s="225">
        <v>44792</v>
      </c>
      <c r="M687" s="100" t="s">
        <v>1213</v>
      </c>
      <c r="N687" s="100">
        <f>MONTH(List34[[#This Row],[Tanggal Pengajuan]])</f>
        <v>8</v>
      </c>
      <c r="O687" s="183">
        <v>44887</v>
      </c>
      <c r="P687" s="100" t="s">
        <v>888</v>
      </c>
      <c r="Q687" s="111"/>
      <c r="R687" s="229"/>
    </row>
    <row r="688" spans="2:18" ht="29.25" x14ac:dyDescent="0.2">
      <c r="B688" s="13">
        <v>44781</v>
      </c>
      <c r="C688" s="66"/>
      <c r="D688" s="14" t="s">
        <v>863</v>
      </c>
      <c r="E688" s="14" t="s">
        <v>17</v>
      </c>
      <c r="F688" s="103" t="s">
        <v>18</v>
      </c>
      <c r="G688" s="471">
        <v>142</v>
      </c>
      <c r="H688" s="258">
        <v>6000000</v>
      </c>
      <c r="I688" s="258">
        <f>List34[[#This Row],[Pengajuan Donasi]]</f>
        <v>6000000</v>
      </c>
      <c r="J688" s="213" t="str">
        <f>IF(List34[[#This Row],[Tanggal Trf]]&gt;0,"Done","-")</f>
        <v>Done</v>
      </c>
      <c r="K688" s="14" t="s">
        <v>1206</v>
      </c>
      <c r="L688" s="225">
        <v>44792</v>
      </c>
      <c r="M688" s="100" t="s">
        <v>1213</v>
      </c>
      <c r="N688" s="100">
        <f>MONTH(List34[[#This Row],[Tanggal Pengajuan]])</f>
        <v>8</v>
      </c>
      <c r="O688" s="183">
        <v>44887</v>
      </c>
      <c r="P688" s="100" t="s">
        <v>888</v>
      </c>
      <c r="Q688" s="111"/>
      <c r="R688" s="229"/>
    </row>
    <row r="689" spans="2:18" ht="29.25" x14ac:dyDescent="0.2">
      <c r="B689" s="13">
        <v>44781</v>
      </c>
      <c r="C689" s="66"/>
      <c r="D689" s="14" t="s">
        <v>864</v>
      </c>
      <c r="E689" s="14" t="s">
        <v>17</v>
      </c>
      <c r="F689" s="103" t="s">
        <v>18</v>
      </c>
      <c r="G689" s="471">
        <v>144</v>
      </c>
      <c r="H689" s="258">
        <v>6000000</v>
      </c>
      <c r="I689" s="258">
        <f>List34[[#This Row],[Pengajuan Donasi]]</f>
        <v>6000000</v>
      </c>
      <c r="J689" s="213" t="str">
        <f>IF(List34[[#This Row],[Tanggal Trf]]&gt;0,"Done","-")</f>
        <v>Done</v>
      </c>
      <c r="K689" s="14" t="s">
        <v>1206</v>
      </c>
      <c r="L689" s="225">
        <v>44792</v>
      </c>
      <c r="M689" s="100" t="s">
        <v>1213</v>
      </c>
      <c r="N689" s="100">
        <f>MONTH(List34[[#This Row],[Tanggal Pengajuan]])</f>
        <v>8</v>
      </c>
      <c r="O689" s="183">
        <v>44887</v>
      </c>
      <c r="P689" s="100" t="s">
        <v>888</v>
      </c>
      <c r="Q689" s="111"/>
      <c r="R689" s="229"/>
    </row>
    <row r="690" spans="2:18" ht="29.25" x14ac:dyDescent="0.2">
      <c r="B690" s="13">
        <v>44781</v>
      </c>
      <c r="C690" s="66"/>
      <c r="D690" s="14" t="s">
        <v>866</v>
      </c>
      <c r="E690" s="14" t="s">
        <v>17</v>
      </c>
      <c r="F690" s="103" t="s">
        <v>18</v>
      </c>
      <c r="G690" s="471">
        <v>56</v>
      </c>
      <c r="H690" s="258">
        <v>6000000</v>
      </c>
      <c r="I690" s="258">
        <f>List34[[#This Row],[Pengajuan Donasi]]</f>
        <v>6000000</v>
      </c>
      <c r="J690" s="213" t="str">
        <f>IF(List34[[#This Row],[Tanggal Trf]]&gt;0,"Done","-")</f>
        <v>Done</v>
      </c>
      <c r="K690" s="14" t="s">
        <v>1206</v>
      </c>
      <c r="L690" s="225">
        <v>44792</v>
      </c>
      <c r="M690" s="100" t="s">
        <v>1213</v>
      </c>
      <c r="N690" s="100">
        <f>MONTH(List34[[#This Row],[Tanggal Pengajuan]])</f>
        <v>8</v>
      </c>
      <c r="O690" s="183">
        <v>44887</v>
      </c>
      <c r="P690" s="100" t="s">
        <v>888</v>
      </c>
      <c r="Q690" s="111"/>
      <c r="R690" s="229"/>
    </row>
    <row r="691" spans="2:18" ht="29.25" x14ac:dyDescent="0.2">
      <c r="B691" s="13">
        <v>44781</v>
      </c>
      <c r="C691" s="66"/>
      <c r="D691" s="14" t="s">
        <v>1099</v>
      </c>
      <c r="E691" s="14" t="s">
        <v>17</v>
      </c>
      <c r="F691" s="103" t="s">
        <v>18</v>
      </c>
      <c r="G691" s="471">
        <v>65</v>
      </c>
      <c r="H691" s="258">
        <v>6000000</v>
      </c>
      <c r="I691" s="258">
        <f>List34[[#This Row],[Pengajuan Donasi]]</f>
        <v>6000000</v>
      </c>
      <c r="J691" s="213" t="str">
        <f>IF(List34[[#This Row],[Tanggal Trf]]&gt;0,"Done","-")</f>
        <v>Done</v>
      </c>
      <c r="K691" s="14" t="s">
        <v>1206</v>
      </c>
      <c r="L691" s="225">
        <v>44792</v>
      </c>
      <c r="M691" s="100" t="s">
        <v>1213</v>
      </c>
      <c r="N691" s="100">
        <f>MONTH(List34[[#This Row],[Tanggal Pengajuan]])</f>
        <v>8</v>
      </c>
      <c r="O691" s="183">
        <v>44887</v>
      </c>
      <c r="P691" s="100" t="s">
        <v>888</v>
      </c>
      <c r="Q691" s="111"/>
      <c r="R691" s="229"/>
    </row>
    <row r="692" spans="2:18" ht="29.25" x14ac:dyDescent="0.2">
      <c r="B692" s="13">
        <v>44781</v>
      </c>
      <c r="C692" s="66"/>
      <c r="D692" s="14" t="s">
        <v>1115</v>
      </c>
      <c r="E692" s="14" t="s">
        <v>17</v>
      </c>
      <c r="F692" s="103" t="s">
        <v>18</v>
      </c>
      <c r="G692" s="471">
        <v>35</v>
      </c>
      <c r="H692" s="258">
        <v>6000000</v>
      </c>
      <c r="I692" s="258">
        <f>List34[[#This Row],[Pengajuan Donasi]]</f>
        <v>6000000</v>
      </c>
      <c r="J692" s="213" t="str">
        <f>IF(List34[[#This Row],[Tanggal Trf]]&gt;0,"Done","-")</f>
        <v>Done</v>
      </c>
      <c r="K692" s="14" t="s">
        <v>1206</v>
      </c>
      <c r="L692" s="225">
        <v>44792</v>
      </c>
      <c r="M692" s="100" t="s">
        <v>1213</v>
      </c>
      <c r="N692" s="100">
        <f>MONTH(List34[[#This Row],[Tanggal Pengajuan]])</f>
        <v>8</v>
      </c>
      <c r="O692" s="183">
        <v>44887</v>
      </c>
      <c r="P692" s="100" t="s">
        <v>888</v>
      </c>
      <c r="Q692" s="111"/>
      <c r="R692" s="229"/>
    </row>
    <row r="693" spans="2:18" ht="36.75" x14ac:dyDescent="0.2">
      <c r="B693" s="13">
        <v>44782</v>
      </c>
      <c r="C693" s="66" t="s">
        <v>1264</v>
      </c>
      <c r="D693" s="14" t="s">
        <v>868</v>
      </c>
      <c r="E693" s="14" t="s">
        <v>17</v>
      </c>
      <c r="F693" s="103" t="s">
        <v>18</v>
      </c>
      <c r="G693" s="471">
        <v>28</v>
      </c>
      <c r="H693" s="258">
        <v>6250060</v>
      </c>
      <c r="I693" s="258">
        <f>List34[[#This Row],[Pengajuan Donasi]]</f>
        <v>6250060</v>
      </c>
      <c r="J693" s="213" t="str">
        <f>IF(List34[[#This Row],[Tanggal Trf]]&gt;0,"Done","-")</f>
        <v>Done</v>
      </c>
      <c r="K693" s="445" t="s">
        <v>1265</v>
      </c>
      <c r="L693" s="225">
        <v>44792</v>
      </c>
      <c r="M693" s="100" t="s">
        <v>1267</v>
      </c>
      <c r="N693" s="100">
        <f>MONTH(List34[[#This Row],[Tanggal Pengajuan]])</f>
        <v>8</v>
      </c>
      <c r="O693" s="183">
        <v>44796</v>
      </c>
      <c r="P693" s="100" t="s">
        <v>888</v>
      </c>
      <c r="Q693" s="111"/>
      <c r="R693" s="229"/>
    </row>
    <row r="694" spans="2:18" ht="36.75" x14ac:dyDescent="0.2">
      <c r="B694" s="13">
        <v>44782</v>
      </c>
      <c r="C694" s="66"/>
      <c r="D694" s="14" t="s">
        <v>867</v>
      </c>
      <c r="E694" s="14" t="s">
        <v>17</v>
      </c>
      <c r="F694" s="103" t="s">
        <v>18</v>
      </c>
      <c r="G694" s="471">
        <v>83</v>
      </c>
      <c r="H694" s="258">
        <v>6250560</v>
      </c>
      <c r="I694" s="258">
        <f>List34[[#This Row],[Pengajuan Donasi]]</f>
        <v>6250560</v>
      </c>
      <c r="J694" s="213" t="str">
        <f>IF(List34[[#This Row],[Tanggal Trf]]&gt;0,"Done","-")</f>
        <v>Done</v>
      </c>
      <c r="K694" s="445" t="s">
        <v>1265</v>
      </c>
      <c r="L694" s="225">
        <v>44792</v>
      </c>
      <c r="M694" s="100" t="s">
        <v>1267</v>
      </c>
      <c r="N694" s="100">
        <f>MONTH(List34[[#This Row],[Tanggal Pengajuan]])</f>
        <v>8</v>
      </c>
      <c r="O694" s="183">
        <v>44796</v>
      </c>
      <c r="P694" s="100" t="s">
        <v>888</v>
      </c>
      <c r="Q694" s="111"/>
      <c r="R694" s="229"/>
    </row>
    <row r="695" spans="2:18" ht="42.75" x14ac:dyDescent="0.2">
      <c r="B695" s="13">
        <v>44792</v>
      </c>
      <c r="C695" s="66" t="s">
        <v>1271</v>
      </c>
      <c r="D695" s="14" t="s">
        <v>1276</v>
      </c>
      <c r="E695" s="14" t="s">
        <v>107</v>
      </c>
      <c r="F695" s="103" t="s">
        <v>28</v>
      </c>
      <c r="G695" s="471">
        <v>1</v>
      </c>
      <c r="H695" s="258">
        <v>25000000</v>
      </c>
      <c r="I695" s="258">
        <f>List34[[#This Row],[Pengajuan Donasi]]</f>
        <v>25000000</v>
      </c>
      <c r="J695" s="213" t="str">
        <f>IF(List34[[#This Row],[Tanggal Trf]]&gt;0,"Done","-")</f>
        <v>Done</v>
      </c>
      <c r="K695" s="445"/>
      <c r="L695" s="225">
        <v>44802</v>
      </c>
      <c r="M695" s="100" t="s">
        <v>1067</v>
      </c>
      <c r="N695" s="100">
        <f>MONTH(List34[[#This Row],[Tanggal Pengajuan]])</f>
        <v>8</v>
      </c>
      <c r="O695" s="183">
        <v>44816</v>
      </c>
      <c r="P695" s="100" t="s">
        <v>888</v>
      </c>
      <c r="Q695" s="111"/>
      <c r="R695" s="229"/>
    </row>
    <row r="696" spans="2:18" ht="29.25" x14ac:dyDescent="0.2">
      <c r="B696" s="13">
        <v>44792</v>
      </c>
      <c r="C696" s="66" t="s">
        <v>1272</v>
      </c>
      <c r="D696" s="14" t="s">
        <v>1280</v>
      </c>
      <c r="E696" s="14" t="s">
        <v>107</v>
      </c>
      <c r="F696" s="103" t="s">
        <v>28</v>
      </c>
      <c r="G696" s="471">
        <v>1</v>
      </c>
      <c r="H696" s="258">
        <v>40000000</v>
      </c>
      <c r="I696" s="258">
        <f>List34[[#This Row],[Pengajuan Donasi]]</f>
        <v>40000000</v>
      </c>
      <c r="J696" s="213" t="str">
        <f>IF(List34[[#This Row],[Tanggal Trf]]&gt;0,"Done","-")</f>
        <v>Done</v>
      </c>
      <c r="K696" s="445"/>
      <c r="L696" s="225">
        <v>44802</v>
      </c>
      <c r="M696" s="100" t="s">
        <v>1284</v>
      </c>
      <c r="N696" s="100">
        <f>MONTH(List34[[#This Row],[Tanggal Pengajuan]])</f>
        <v>8</v>
      </c>
      <c r="O696" s="183">
        <v>44812</v>
      </c>
      <c r="P696" s="100" t="s">
        <v>888</v>
      </c>
      <c r="Q696" s="111"/>
      <c r="R696" s="229"/>
    </row>
    <row r="697" spans="2:18" ht="29.25" x14ac:dyDescent="0.2">
      <c r="B697" s="13">
        <v>44792</v>
      </c>
      <c r="C697" s="66" t="s">
        <v>1273</v>
      </c>
      <c r="D697" s="14" t="s">
        <v>1277</v>
      </c>
      <c r="E697" s="14" t="s">
        <v>107</v>
      </c>
      <c r="F697" s="103" t="s">
        <v>28</v>
      </c>
      <c r="G697" s="471">
        <v>1</v>
      </c>
      <c r="H697" s="258">
        <v>25000000</v>
      </c>
      <c r="I697" s="258">
        <f>List34[[#This Row],[Pengajuan Donasi]]</f>
        <v>25000000</v>
      </c>
      <c r="J697" s="213" t="str">
        <f>IF(List34[[#This Row],[Tanggal Trf]]&gt;0,"Done","-")</f>
        <v>Done</v>
      </c>
      <c r="K697" s="445"/>
      <c r="L697" s="225">
        <v>44802</v>
      </c>
      <c r="M697" s="100" t="s">
        <v>1282</v>
      </c>
      <c r="N697" s="100">
        <f>MONTH(List34[[#This Row],[Tanggal Pengajuan]])</f>
        <v>8</v>
      </c>
      <c r="O697" s="183">
        <v>44816</v>
      </c>
      <c r="P697" s="100" t="s">
        <v>888</v>
      </c>
      <c r="Q697" s="111"/>
      <c r="R697" s="229"/>
    </row>
    <row r="698" spans="2:18" ht="42.75" x14ac:dyDescent="0.2">
      <c r="B698" s="13">
        <v>44795</v>
      </c>
      <c r="C698" s="66" t="s">
        <v>1274</v>
      </c>
      <c r="D698" s="14" t="s">
        <v>1278</v>
      </c>
      <c r="E698" s="14" t="s">
        <v>107</v>
      </c>
      <c r="F698" s="103" t="s">
        <v>28</v>
      </c>
      <c r="G698" s="471">
        <v>1</v>
      </c>
      <c r="H698" s="258">
        <v>25000000</v>
      </c>
      <c r="I698" s="258">
        <f>List34[[#This Row],[Pengajuan Donasi]]</f>
        <v>25000000</v>
      </c>
      <c r="J698" s="213" t="str">
        <f>IF(List34[[#This Row],[Tanggal Trf]]&gt;0,"Done","-")</f>
        <v>Done</v>
      </c>
      <c r="K698" s="445"/>
      <c r="L698" s="225">
        <v>44802</v>
      </c>
      <c r="M698" s="100" t="s">
        <v>1281</v>
      </c>
      <c r="N698" s="100">
        <f>MONTH(List34[[#This Row],[Tanggal Pengajuan]])</f>
        <v>8</v>
      </c>
      <c r="O698" s="183">
        <v>44888</v>
      </c>
      <c r="P698" s="100" t="s">
        <v>888</v>
      </c>
      <c r="Q698" s="111"/>
      <c r="R698" s="229"/>
    </row>
    <row r="699" spans="2:18" ht="29.25" x14ac:dyDescent="0.2">
      <c r="B699" s="13">
        <v>44795</v>
      </c>
      <c r="C699" s="66" t="s">
        <v>1275</v>
      </c>
      <c r="D699" s="14" t="s">
        <v>1279</v>
      </c>
      <c r="E699" s="14" t="s">
        <v>26</v>
      </c>
      <c r="F699" s="103" t="s">
        <v>28</v>
      </c>
      <c r="G699" s="471">
        <v>1</v>
      </c>
      <c r="H699" s="258">
        <v>35000000</v>
      </c>
      <c r="I699" s="258">
        <f>List34[[#This Row],[Pengajuan Donasi]]</f>
        <v>35000000</v>
      </c>
      <c r="J699" s="213" t="str">
        <f>IF(List34[[#This Row],[Tanggal Trf]]&gt;0,"Done","-")</f>
        <v>Done</v>
      </c>
      <c r="K699" s="445"/>
      <c r="L699" s="225">
        <v>44806</v>
      </c>
      <c r="M699" s="100" t="s">
        <v>1283</v>
      </c>
      <c r="N699" s="100">
        <f>MONTH(List34[[#This Row],[Tanggal Pengajuan]])</f>
        <v>8</v>
      </c>
      <c r="O699" s="183"/>
      <c r="P699" s="100" t="s">
        <v>888</v>
      </c>
      <c r="Q699" s="111"/>
      <c r="R699" s="229"/>
    </row>
    <row r="700" spans="2:18" ht="29.25" x14ac:dyDescent="0.2">
      <c r="B700" s="13">
        <v>44802</v>
      </c>
      <c r="C700" s="66" t="s">
        <v>1294</v>
      </c>
      <c r="D700" s="14" t="s">
        <v>1289</v>
      </c>
      <c r="E700" s="14" t="s">
        <v>1054</v>
      </c>
      <c r="F700" s="103" t="s">
        <v>28</v>
      </c>
      <c r="G700" s="471"/>
      <c r="H700" s="258">
        <v>392000</v>
      </c>
      <c r="I700" s="258">
        <f>List34[[#This Row],[Pengajuan Donasi]]</f>
        <v>392000</v>
      </c>
      <c r="J700" s="213" t="str">
        <f>IF(List34[[#This Row],[Tanggal Trf]]&gt;0,"Done","-")</f>
        <v>Done</v>
      </c>
      <c r="K700" s="445"/>
      <c r="L700" s="225">
        <v>44831</v>
      </c>
      <c r="M700" s="100" t="s">
        <v>683</v>
      </c>
      <c r="N700" s="100">
        <f>MONTH(List34[[#This Row],[Tanggal Pengajuan]])</f>
        <v>8</v>
      </c>
      <c r="O700" s="183">
        <v>44853</v>
      </c>
      <c r="P700" s="100"/>
      <c r="Q700" s="111"/>
      <c r="R700" s="229"/>
    </row>
    <row r="701" spans="2:18" ht="29.25" x14ac:dyDescent="0.2">
      <c r="B701" s="944">
        <v>44798</v>
      </c>
      <c r="C701" s="945" t="s">
        <v>1295</v>
      </c>
      <c r="D701" s="946" t="s">
        <v>1059</v>
      </c>
      <c r="E701" s="946" t="s">
        <v>1055</v>
      </c>
      <c r="F701" s="947" t="s">
        <v>18</v>
      </c>
      <c r="G701" s="948"/>
      <c r="H701" s="949">
        <v>5325700</v>
      </c>
      <c r="I701" s="949">
        <f>List34[[#This Row],[Pengajuan Donasi]]</f>
        <v>5325700</v>
      </c>
      <c r="J701" s="950" t="str">
        <f>IF(List34[[#This Row],[Tanggal Trf]]&gt;0,"Done","-")</f>
        <v>Done</v>
      </c>
      <c r="K701" s="946" t="s">
        <v>1290</v>
      </c>
      <c r="L701" s="951">
        <v>44805</v>
      </c>
      <c r="M701" s="952" t="s">
        <v>1000</v>
      </c>
      <c r="N701" s="952">
        <f>MONTH(List34[[#This Row],[Tanggal Pengajuan]])</f>
        <v>8</v>
      </c>
      <c r="O701" s="953"/>
      <c r="P701" s="952" t="s">
        <v>1180</v>
      </c>
      <c r="Q701" s="111"/>
      <c r="R701" s="229"/>
    </row>
    <row r="702" spans="2:18" ht="15.75" x14ac:dyDescent="0.2">
      <c r="B702" s="13">
        <v>44803</v>
      </c>
      <c r="C702" s="66" t="s">
        <v>1296</v>
      </c>
      <c r="D702" s="14" t="s">
        <v>1291</v>
      </c>
      <c r="E702" s="14" t="s">
        <v>1054</v>
      </c>
      <c r="F702" s="103" t="s">
        <v>18</v>
      </c>
      <c r="G702" s="471"/>
      <c r="H702" s="258">
        <v>0</v>
      </c>
      <c r="I702" s="258">
        <f>List34[[#This Row],[Pengajuan Donasi]]</f>
        <v>0</v>
      </c>
      <c r="J702" s="213" t="str">
        <f>IF(List34[[#This Row],[Tanggal Trf]]&gt;0,"Done","-")</f>
        <v>Done</v>
      </c>
      <c r="K702" s="445"/>
      <c r="L702" s="225" t="s">
        <v>960</v>
      </c>
      <c r="M702" s="100" t="s">
        <v>683</v>
      </c>
      <c r="N702" s="100">
        <f>MONTH(List34[[#This Row],[Tanggal Pengajuan]])</f>
        <v>8</v>
      </c>
      <c r="O702" s="183"/>
      <c r="P702" s="100" t="s">
        <v>888</v>
      </c>
      <c r="Q702" s="111"/>
      <c r="R702" s="229"/>
    </row>
    <row r="703" spans="2:18" ht="15.75" x14ac:dyDescent="0.2">
      <c r="B703" s="13">
        <v>44803</v>
      </c>
      <c r="C703" s="66" t="s">
        <v>1297</v>
      </c>
      <c r="D703" s="14" t="s">
        <v>1292</v>
      </c>
      <c r="E703" s="14" t="s">
        <v>1054</v>
      </c>
      <c r="F703" s="103" t="s">
        <v>18</v>
      </c>
      <c r="G703" s="471"/>
      <c r="H703" s="258">
        <v>0</v>
      </c>
      <c r="I703" s="258">
        <f>List34[[#This Row],[Pengajuan Donasi]]</f>
        <v>0</v>
      </c>
      <c r="J703" s="213" t="str">
        <f>IF(List34[[#This Row],[Tanggal Trf]]&gt;0,"Done","-")</f>
        <v>Done</v>
      </c>
      <c r="K703" s="445"/>
      <c r="L703" s="225" t="s">
        <v>960</v>
      </c>
      <c r="M703" s="100" t="s">
        <v>778</v>
      </c>
      <c r="N703" s="100">
        <f>MONTH(List34[[#This Row],[Tanggal Pengajuan]])</f>
        <v>8</v>
      </c>
      <c r="O703" s="183"/>
      <c r="P703" s="100" t="s">
        <v>888</v>
      </c>
      <c r="Q703" s="111"/>
      <c r="R703" s="229"/>
    </row>
    <row r="704" spans="2:18" ht="42.75" x14ac:dyDescent="0.2">
      <c r="B704" s="13">
        <v>44803</v>
      </c>
      <c r="C704" s="66" t="s">
        <v>1298</v>
      </c>
      <c r="D704" s="14" t="s">
        <v>1293</v>
      </c>
      <c r="E704" s="14" t="s">
        <v>107</v>
      </c>
      <c r="F704" s="103" t="s">
        <v>28</v>
      </c>
      <c r="G704" s="471">
        <v>1</v>
      </c>
      <c r="H704" s="258">
        <v>25000000</v>
      </c>
      <c r="I704" s="258">
        <f>List34[[#This Row],[Pengajuan Donasi]]</f>
        <v>25000000</v>
      </c>
      <c r="J704" s="213" t="str">
        <f>IF(List34[[#This Row],[Tanggal Trf]]&gt;0,"Done","-")</f>
        <v>Done</v>
      </c>
      <c r="K704" s="445"/>
      <c r="L704" s="225">
        <v>44809</v>
      </c>
      <c r="M704" s="100" t="s">
        <v>1299</v>
      </c>
      <c r="N704" s="100">
        <f>MONTH(List34[[#This Row],[Tanggal Pengajuan]])</f>
        <v>8</v>
      </c>
      <c r="O704" s="183"/>
      <c r="P704" s="100" t="s">
        <v>1308</v>
      </c>
      <c r="Q704" s="111"/>
      <c r="R704" s="229"/>
    </row>
    <row r="705" spans="2:18" ht="36.75" x14ac:dyDescent="0.2">
      <c r="B705" s="13">
        <v>44804</v>
      </c>
      <c r="C705" s="66" t="s">
        <v>1301</v>
      </c>
      <c r="D705" s="14" t="s">
        <v>558</v>
      </c>
      <c r="E705" s="14" t="s">
        <v>57</v>
      </c>
      <c r="F705" s="103" t="s">
        <v>28</v>
      </c>
      <c r="G705" s="471">
        <v>5</v>
      </c>
      <c r="H705" s="258">
        <v>21000000</v>
      </c>
      <c r="I705" s="258">
        <f>List34[[#This Row],[Pengajuan Donasi]]</f>
        <v>21000000</v>
      </c>
      <c r="J705" s="213" t="str">
        <f>IF(List34[[#This Row],[Tanggal Trf]]&gt;0,"Done","-")</f>
        <v>Done</v>
      </c>
      <c r="K705" s="445" t="s">
        <v>1300</v>
      </c>
      <c r="L705" s="225">
        <v>44805</v>
      </c>
      <c r="M705" s="100" t="s">
        <v>556</v>
      </c>
      <c r="N705" s="100">
        <f>MONTH(List34[[#This Row],[Tanggal Pengajuan]])</f>
        <v>8</v>
      </c>
      <c r="O705" s="183"/>
      <c r="P705" s="100" t="s">
        <v>888</v>
      </c>
      <c r="Q705" s="111"/>
      <c r="R705" s="229"/>
    </row>
    <row r="706" spans="2:18" ht="42.75" x14ac:dyDescent="0.2">
      <c r="B706" s="13">
        <v>44804</v>
      </c>
      <c r="C706" s="66" t="s">
        <v>1304</v>
      </c>
      <c r="D706" s="14" t="s">
        <v>1302</v>
      </c>
      <c r="E706" s="14" t="s">
        <v>107</v>
      </c>
      <c r="F706" s="103" t="s">
        <v>28</v>
      </c>
      <c r="G706" s="471">
        <v>1</v>
      </c>
      <c r="H706" s="258">
        <v>50000000</v>
      </c>
      <c r="I706" s="258">
        <f>List34[[#This Row],[Pengajuan Donasi]]</f>
        <v>50000000</v>
      </c>
      <c r="J706" s="213" t="str">
        <f>IF(List34[[#This Row],[Tanggal Trf]]&gt;0,"Done","-")</f>
        <v>Done</v>
      </c>
      <c r="K706" s="445"/>
      <c r="L706" s="225">
        <v>44809</v>
      </c>
      <c r="M706" s="100" t="s">
        <v>1306</v>
      </c>
      <c r="N706" s="100">
        <f>MONTH(List34[[#This Row],[Tanggal Pengajuan]])</f>
        <v>8</v>
      </c>
      <c r="O706" s="183"/>
      <c r="P706" s="100" t="s">
        <v>1308</v>
      </c>
      <c r="Q706" s="111"/>
      <c r="R706" s="229"/>
    </row>
    <row r="707" spans="2:18" ht="29.25" x14ac:dyDescent="0.2">
      <c r="B707" s="13">
        <v>44804</v>
      </c>
      <c r="C707" s="66" t="s">
        <v>1305</v>
      </c>
      <c r="D707" s="14" t="s">
        <v>1303</v>
      </c>
      <c r="E707" s="14" t="s">
        <v>107</v>
      </c>
      <c r="F707" s="103" t="s">
        <v>28</v>
      </c>
      <c r="G707" s="471">
        <v>1</v>
      </c>
      <c r="H707" s="258">
        <v>25000000</v>
      </c>
      <c r="I707" s="258">
        <f>List34[[#This Row],[Pengajuan Donasi]]</f>
        <v>25000000</v>
      </c>
      <c r="J707" s="213" t="str">
        <f>IF(List34[[#This Row],[Tanggal Trf]]&gt;0,"Done","-")</f>
        <v>Done</v>
      </c>
      <c r="K707" s="445"/>
      <c r="L707" s="225">
        <v>44811</v>
      </c>
      <c r="M707" s="100" t="s">
        <v>1307</v>
      </c>
      <c r="N707" s="100">
        <f>MONTH(List34[[#This Row],[Tanggal Pengajuan]])</f>
        <v>8</v>
      </c>
      <c r="O707" s="183">
        <v>44816</v>
      </c>
      <c r="P707" s="100" t="s">
        <v>1308</v>
      </c>
      <c r="Q707" s="111"/>
      <c r="R707" s="229"/>
    </row>
    <row r="708" spans="2:18" ht="24.75" x14ac:dyDescent="0.2">
      <c r="B708" s="13">
        <v>44805</v>
      </c>
      <c r="C708" s="66" t="s">
        <v>1502</v>
      </c>
      <c r="D708" s="14" t="s">
        <v>129</v>
      </c>
      <c r="E708" s="14" t="s">
        <v>179</v>
      </c>
      <c r="F708" s="103" t="s">
        <v>18</v>
      </c>
      <c r="G708" s="471"/>
      <c r="H708" s="258">
        <v>20400000</v>
      </c>
      <c r="I708" s="258">
        <f>List34[[#This Row],[Pengajuan Donasi]]</f>
        <v>20400000</v>
      </c>
      <c r="J708" s="213" t="str">
        <f>IF(List34[[#This Row],[Tanggal Trf]]&gt;0,"Done","-")</f>
        <v>Done</v>
      </c>
      <c r="K708" s="445" t="s">
        <v>1503</v>
      </c>
      <c r="L708" s="225">
        <v>44809</v>
      </c>
      <c r="M708" s="100" t="s">
        <v>503</v>
      </c>
      <c r="N708" s="100">
        <v>9</v>
      </c>
      <c r="O708" s="183"/>
      <c r="P708" s="100" t="s">
        <v>1504</v>
      </c>
      <c r="Q708" s="111"/>
      <c r="R708" s="229"/>
    </row>
    <row r="709" spans="2:18" ht="29.25" x14ac:dyDescent="0.2">
      <c r="B709" s="210">
        <v>44805</v>
      </c>
      <c r="C709" s="189" t="s">
        <v>1505</v>
      </c>
      <c r="D709" s="164" t="s">
        <v>558</v>
      </c>
      <c r="E709" s="164" t="s">
        <v>57</v>
      </c>
      <c r="F709" s="168" t="s">
        <v>18</v>
      </c>
      <c r="G709" s="470">
        <v>55</v>
      </c>
      <c r="H709" s="261">
        <v>0</v>
      </c>
      <c r="I709" s="258">
        <f>List34[[#This Row],[Pengajuan Donasi]]</f>
        <v>0</v>
      </c>
      <c r="J709" s="253" t="str">
        <f>IF(List34[[#This Row],[Tanggal Trf]]&gt;0,"Done","-")</f>
        <v>-</v>
      </c>
      <c r="K709" s="447" t="s">
        <v>1506</v>
      </c>
      <c r="L709" s="943"/>
      <c r="M709" s="193" t="s">
        <v>556</v>
      </c>
      <c r="N709" s="193">
        <v>9</v>
      </c>
      <c r="O709" s="194"/>
      <c r="P709" s="193" t="s">
        <v>1507</v>
      </c>
      <c r="Q709" s="111"/>
      <c r="R709" s="229"/>
    </row>
    <row r="710" spans="2:18" ht="29.25" x14ac:dyDescent="0.2">
      <c r="B710" s="13">
        <v>44805</v>
      </c>
      <c r="C710" s="66" t="s">
        <v>1508</v>
      </c>
      <c r="D710" s="14" t="s">
        <v>558</v>
      </c>
      <c r="E710" s="14" t="s">
        <v>57</v>
      </c>
      <c r="F710" s="103" t="s">
        <v>18</v>
      </c>
      <c r="G710" s="471">
        <v>55</v>
      </c>
      <c r="H710" s="258">
        <v>5481000</v>
      </c>
      <c r="I710" s="258">
        <f>List34[[#This Row],[Pengajuan Donasi]]</f>
        <v>5481000</v>
      </c>
      <c r="J710" s="213" t="str">
        <f>IF(List34[[#This Row],[Tanggal Trf]]&gt;0,"Done","-")</f>
        <v>Done</v>
      </c>
      <c r="K710" s="445" t="s">
        <v>1509</v>
      </c>
      <c r="L710" s="225">
        <v>44732</v>
      </c>
      <c r="M710" s="100" t="s">
        <v>556</v>
      </c>
      <c r="N710" s="100">
        <v>9</v>
      </c>
      <c r="O710" s="183"/>
      <c r="P710" s="100" t="s">
        <v>1308</v>
      </c>
      <c r="Q710" s="111"/>
      <c r="R710" s="229"/>
    </row>
    <row r="711" spans="2:18" ht="36.75" x14ac:dyDescent="0.2">
      <c r="B711" s="13">
        <v>44806</v>
      </c>
      <c r="C711" s="66" t="s">
        <v>1510</v>
      </c>
      <c r="D711" s="14" t="s">
        <v>862</v>
      </c>
      <c r="E711" s="14" t="s">
        <v>17</v>
      </c>
      <c r="F711" s="103" t="s">
        <v>18</v>
      </c>
      <c r="G711" s="471"/>
      <c r="H711" s="258">
        <v>6249320</v>
      </c>
      <c r="I711" s="258">
        <f>List34[[#This Row],[Pengajuan Donasi]]</f>
        <v>6249320</v>
      </c>
      <c r="J711" s="213" t="str">
        <f>IF(List34[[#This Row],[Tanggal Trf]]&gt;0,"Done","-")</f>
        <v>Done</v>
      </c>
      <c r="K711" s="445" t="s">
        <v>1511</v>
      </c>
      <c r="L711" s="225">
        <v>44813</v>
      </c>
      <c r="M711" s="100" t="s">
        <v>683</v>
      </c>
      <c r="N711" s="100">
        <v>9</v>
      </c>
      <c r="O711" s="183">
        <v>44816</v>
      </c>
      <c r="P711" s="100" t="s">
        <v>1308</v>
      </c>
      <c r="Q711" s="111"/>
      <c r="R711" s="229"/>
    </row>
    <row r="712" spans="2:18" ht="36.75" x14ac:dyDescent="0.2">
      <c r="B712" s="13">
        <v>44806</v>
      </c>
      <c r="C712" s="66"/>
      <c r="D712" s="14" t="s">
        <v>849</v>
      </c>
      <c r="E712" s="14" t="s">
        <v>17</v>
      </c>
      <c r="F712" s="103" t="s">
        <v>18</v>
      </c>
      <c r="G712" s="471"/>
      <c r="H712" s="258">
        <v>6283440</v>
      </c>
      <c r="I712" s="258">
        <f>List34[[#This Row],[Pengajuan Donasi]]</f>
        <v>6283440</v>
      </c>
      <c r="J712" s="213" t="str">
        <f>IF(List34[[#This Row],[Tanggal Trf]]&gt;0,"Done","-")</f>
        <v>Done</v>
      </c>
      <c r="K712" s="445" t="s">
        <v>1511</v>
      </c>
      <c r="L712" s="225">
        <v>44813</v>
      </c>
      <c r="M712" s="100" t="s">
        <v>683</v>
      </c>
      <c r="N712" s="100">
        <v>9</v>
      </c>
      <c r="O712" s="183">
        <v>44816</v>
      </c>
      <c r="P712" s="100" t="s">
        <v>1308</v>
      </c>
      <c r="Q712" s="111"/>
      <c r="R712" s="229"/>
    </row>
    <row r="713" spans="2:18" ht="42.75" x14ac:dyDescent="0.2">
      <c r="B713" s="13">
        <v>44811</v>
      </c>
      <c r="C713" s="66" t="s">
        <v>1512</v>
      </c>
      <c r="D713" s="14" t="s">
        <v>827</v>
      </c>
      <c r="E713" s="14" t="s">
        <v>17</v>
      </c>
      <c r="F713" s="103" t="s">
        <v>18</v>
      </c>
      <c r="G713" s="471">
        <v>0</v>
      </c>
      <c r="H713" s="258">
        <v>6000000</v>
      </c>
      <c r="I713" s="258">
        <f>List34[[#This Row],[Pengajuan Donasi]]</f>
        <v>6000000</v>
      </c>
      <c r="J713" s="213" t="str">
        <f>IF(List34[[#This Row],[Tanggal Trf]]&gt;0,"Done","-")</f>
        <v>Done</v>
      </c>
      <c r="K713" s="14" t="s">
        <v>1513</v>
      </c>
      <c r="L713" s="221">
        <v>44813</v>
      </c>
      <c r="M713" s="100" t="s">
        <v>1213</v>
      </c>
      <c r="N713" s="100">
        <v>9</v>
      </c>
      <c r="O713" s="183"/>
      <c r="P713" s="100" t="s">
        <v>1514</v>
      </c>
      <c r="Q713" s="111"/>
      <c r="R713" s="229"/>
    </row>
    <row r="714" spans="2:18" ht="42.75" x14ac:dyDescent="0.2">
      <c r="B714" s="13">
        <v>44811</v>
      </c>
      <c r="C714" s="66"/>
      <c r="D714" s="14" t="s">
        <v>124</v>
      </c>
      <c r="E714" s="14" t="s">
        <v>17</v>
      </c>
      <c r="F714" s="103" t="s">
        <v>18</v>
      </c>
      <c r="G714" s="471">
        <f>IFERROR(VLOOKUP(List34[[#This Row],[Site / Lokasi]],[7]Data!B:C,2,0),0)</f>
        <v>0</v>
      </c>
      <c r="H714" s="258">
        <v>6000000</v>
      </c>
      <c r="I714" s="258">
        <f>List34[[#This Row],[Pengajuan Donasi]]</f>
        <v>6000000</v>
      </c>
      <c r="J714" s="213" t="str">
        <f>IF(List34[[#This Row],[Tanggal Trf]]&gt;0,"Done","-")</f>
        <v>Done</v>
      </c>
      <c r="K714" s="14" t="s">
        <v>1513</v>
      </c>
      <c r="L714" s="221">
        <v>44813</v>
      </c>
      <c r="M714" s="100" t="s">
        <v>1213</v>
      </c>
      <c r="N714" s="100">
        <f>MONTH(List34[[#This Row],[Tanggal Pengajuan]])</f>
        <v>9</v>
      </c>
      <c r="O714" s="183"/>
      <c r="P714" s="100" t="s">
        <v>1514</v>
      </c>
      <c r="Q714" s="111"/>
      <c r="R714" s="229"/>
    </row>
    <row r="715" spans="2:18" ht="42.75" x14ac:dyDescent="0.2">
      <c r="B715" s="13">
        <v>44811</v>
      </c>
      <c r="C715" s="66"/>
      <c r="D715" s="14" t="s">
        <v>228</v>
      </c>
      <c r="E715" s="14" t="s">
        <v>17</v>
      </c>
      <c r="F715" s="103" t="s">
        <v>18</v>
      </c>
      <c r="G715" s="471">
        <f>IFERROR(VLOOKUP(List34[[#This Row],[Site / Lokasi]],[7]Data!B:C,2,0),0)</f>
        <v>0</v>
      </c>
      <c r="H715" s="258">
        <v>6000000</v>
      </c>
      <c r="I715" s="258">
        <f>List34[[#This Row],[Pengajuan Donasi]]</f>
        <v>6000000</v>
      </c>
      <c r="J715" s="213" t="str">
        <f>IF(List34[[#This Row],[Tanggal Trf]]&gt;0,"Done","-")</f>
        <v>Done</v>
      </c>
      <c r="K715" s="14" t="s">
        <v>1513</v>
      </c>
      <c r="L715" s="221">
        <v>44813</v>
      </c>
      <c r="M715" s="100" t="s">
        <v>1213</v>
      </c>
      <c r="N715" s="100">
        <f>MONTH(List34[[#This Row],[Tanggal Pengajuan]])</f>
        <v>9</v>
      </c>
      <c r="O715" s="183"/>
      <c r="P715" s="100" t="s">
        <v>1514</v>
      </c>
      <c r="Q715" s="111"/>
      <c r="R715" s="229"/>
    </row>
    <row r="716" spans="2:18" ht="42.75" x14ac:dyDescent="0.2">
      <c r="B716" s="13">
        <v>44811</v>
      </c>
      <c r="C716" s="66"/>
      <c r="D716" s="14" t="s">
        <v>829</v>
      </c>
      <c r="E716" s="14" t="s">
        <v>17</v>
      </c>
      <c r="F716" s="103" t="s">
        <v>18</v>
      </c>
      <c r="G716" s="471">
        <f>IFERROR(VLOOKUP(List34[[#This Row],[Site / Lokasi]],[7]Data!B:C,2,0),0)</f>
        <v>0</v>
      </c>
      <c r="H716" s="258">
        <v>6000000</v>
      </c>
      <c r="I716" s="258">
        <f>List34[[#This Row],[Pengajuan Donasi]]</f>
        <v>6000000</v>
      </c>
      <c r="J716" s="213" t="str">
        <f>IF(List34[[#This Row],[Tanggal Trf]]&gt;0,"Done","-")</f>
        <v>Done</v>
      </c>
      <c r="K716" s="14" t="s">
        <v>1513</v>
      </c>
      <c r="L716" s="221">
        <v>44813</v>
      </c>
      <c r="M716" s="100" t="s">
        <v>1213</v>
      </c>
      <c r="N716" s="100">
        <f>MONTH(List34[[#This Row],[Tanggal Pengajuan]])</f>
        <v>9</v>
      </c>
      <c r="O716" s="183"/>
      <c r="P716" s="100" t="s">
        <v>1514</v>
      </c>
      <c r="Q716" s="111"/>
      <c r="R716" s="229"/>
    </row>
    <row r="717" spans="2:18" ht="42.75" x14ac:dyDescent="0.2">
      <c r="B717" s="13">
        <v>44811</v>
      </c>
      <c r="C717" s="66"/>
      <c r="D717" s="14" t="s">
        <v>831</v>
      </c>
      <c r="E717" s="14" t="s">
        <v>17</v>
      </c>
      <c r="F717" s="103" t="s">
        <v>18</v>
      </c>
      <c r="G717" s="471">
        <f>IFERROR(VLOOKUP(List34[[#This Row],[Site / Lokasi]],[7]Data!B:C,2,0),0)</f>
        <v>0</v>
      </c>
      <c r="H717" s="258">
        <v>6000000</v>
      </c>
      <c r="I717" s="258">
        <f>List34[[#This Row],[Pengajuan Donasi]]</f>
        <v>6000000</v>
      </c>
      <c r="J717" s="213" t="str">
        <f>IF(List34[[#This Row],[Tanggal Trf]]&gt;0,"Done","-")</f>
        <v>Done</v>
      </c>
      <c r="K717" s="14" t="s">
        <v>1513</v>
      </c>
      <c r="L717" s="221">
        <v>44813</v>
      </c>
      <c r="M717" s="100" t="s">
        <v>1213</v>
      </c>
      <c r="N717" s="100">
        <f>MONTH(List34[[#This Row],[Tanggal Pengajuan]])</f>
        <v>9</v>
      </c>
      <c r="O717" s="183"/>
      <c r="P717" s="100" t="s">
        <v>1514</v>
      </c>
      <c r="Q717" s="111"/>
      <c r="R717" s="229"/>
    </row>
    <row r="718" spans="2:18" ht="42.75" x14ac:dyDescent="0.2">
      <c r="B718" s="13">
        <v>44811</v>
      </c>
      <c r="C718" s="66"/>
      <c r="D718" s="14" t="s">
        <v>238</v>
      </c>
      <c r="E718" s="14" t="s">
        <v>17</v>
      </c>
      <c r="F718" s="103" t="s">
        <v>18</v>
      </c>
      <c r="G718" s="471">
        <f>IFERROR(VLOOKUP(List34[[#This Row],[Site / Lokasi]],[7]Data!B:C,2,0),0)</f>
        <v>0</v>
      </c>
      <c r="H718" s="258">
        <v>6000000</v>
      </c>
      <c r="I718" s="258">
        <f>List34[[#This Row],[Pengajuan Donasi]]</f>
        <v>6000000</v>
      </c>
      <c r="J718" s="213" t="str">
        <f>IF(List34[[#This Row],[Tanggal Trf]]&gt;0,"Done","-")</f>
        <v>Done</v>
      </c>
      <c r="K718" s="14" t="s">
        <v>1513</v>
      </c>
      <c r="L718" s="221">
        <v>44813</v>
      </c>
      <c r="M718" s="100" t="s">
        <v>1213</v>
      </c>
      <c r="N718" s="100">
        <f>MONTH(List34[[#This Row],[Tanggal Pengajuan]])</f>
        <v>9</v>
      </c>
      <c r="O718" s="183"/>
      <c r="P718" s="100" t="s">
        <v>1514</v>
      </c>
      <c r="Q718" s="111"/>
      <c r="R718" s="229"/>
    </row>
    <row r="719" spans="2:18" ht="42.75" x14ac:dyDescent="0.2">
      <c r="B719" s="13">
        <v>44811</v>
      </c>
      <c r="C719" s="66"/>
      <c r="D719" s="14" t="s">
        <v>820</v>
      </c>
      <c r="E719" s="14" t="s">
        <v>17</v>
      </c>
      <c r="F719" s="103" t="s">
        <v>18</v>
      </c>
      <c r="G719" s="471">
        <f>IFERROR(VLOOKUP(List34[[#This Row],[Site / Lokasi]],[7]Data!B:C,2,0),0)</f>
        <v>0</v>
      </c>
      <c r="H719" s="258">
        <v>6000000</v>
      </c>
      <c r="I719" s="258">
        <f>List34[[#This Row],[Pengajuan Donasi]]</f>
        <v>6000000</v>
      </c>
      <c r="J719" s="213" t="str">
        <f>IF(List34[[#This Row],[Tanggal Trf]]&gt;0,"Done","-")</f>
        <v>Done</v>
      </c>
      <c r="K719" s="14" t="s">
        <v>1513</v>
      </c>
      <c r="L719" s="221">
        <v>44813</v>
      </c>
      <c r="M719" s="100" t="s">
        <v>1213</v>
      </c>
      <c r="N719" s="100">
        <f>MONTH(List34[[#This Row],[Tanggal Pengajuan]])</f>
        <v>9</v>
      </c>
      <c r="O719" s="183"/>
      <c r="P719" s="100" t="s">
        <v>1514</v>
      </c>
      <c r="Q719" s="111"/>
      <c r="R719" s="229"/>
    </row>
    <row r="720" spans="2:18" ht="42.75" x14ac:dyDescent="0.2">
      <c r="B720" s="13">
        <v>44811</v>
      </c>
      <c r="C720" s="66"/>
      <c r="D720" s="14" t="s">
        <v>828</v>
      </c>
      <c r="E720" s="14" t="s">
        <v>17</v>
      </c>
      <c r="F720" s="103" t="s">
        <v>18</v>
      </c>
      <c r="G720" s="471">
        <f>IFERROR(VLOOKUP(List34[[#This Row],[Site / Lokasi]],[7]Data!B:C,2,0),0)</f>
        <v>0</v>
      </c>
      <c r="H720" s="258">
        <v>6000000</v>
      </c>
      <c r="I720" s="258">
        <f>List34[[#This Row],[Pengajuan Donasi]]</f>
        <v>6000000</v>
      </c>
      <c r="J720" s="213" t="str">
        <f>IF(List34[[#This Row],[Tanggal Trf]]&gt;0,"Done","-")</f>
        <v>Done</v>
      </c>
      <c r="K720" s="14" t="s">
        <v>1513</v>
      </c>
      <c r="L720" s="221">
        <v>44813</v>
      </c>
      <c r="M720" s="100" t="s">
        <v>1213</v>
      </c>
      <c r="N720" s="100">
        <f>MONTH(List34[[#This Row],[Tanggal Pengajuan]])</f>
        <v>9</v>
      </c>
      <c r="O720" s="183"/>
      <c r="P720" s="100" t="s">
        <v>1514</v>
      </c>
      <c r="Q720" s="111"/>
      <c r="R720" s="229"/>
    </row>
    <row r="721" spans="2:18" ht="42.75" x14ac:dyDescent="0.2">
      <c r="B721" s="13">
        <v>44811</v>
      </c>
      <c r="C721" s="66"/>
      <c r="D721" s="14" t="s">
        <v>838</v>
      </c>
      <c r="E721" s="14" t="s">
        <v>17</v>
      </c>
      <c r="F721" s="103" t="s">
        <v>18</v>
      </c>
      <c r="G721" s="471">
        <f>IFERROR(VLOOKUP(List34[[#This Row],[Site / Lokasi]],[7]Data!B:C,2,0),0)</f>
        <v>0</v>
      </c>
      <c r="H721" s="258">
        <v>6000000</v>
      </c>
      <c r="I721" s="258">
        <f>List34[[#This Row],[Pengajuan Donasi]]</f>
        <v>6000000</v>
      </c>
      <c r="J721" s="213" t="str">
        <f>IF(List34[[#This Row],[Tanggal Trf]]&gt;0,"Done","-")</f>
        <v>Done</v>
      </c>
      <c r="K721" s="14" t="s">
        <v>1513</v>
      </c>
      <c r="L721" s="221">
        <v>44813</v>
      </c>
      <c r="M721" s="100" t="s">
        <v>1213</v>
      </c>
      <c r="N721" s="100">
        <f>MONTH(List34[[#This Row],[Tanggal Pengajuan]])</f>
        <v>9</v>
      </c>
      <c r="O721" s="183"/>
      <c r="P721" s="100" t="s">
        <v>1514</v>
      </c>
      <c r="Q721" s="111"/>
      <c r="R721" s="229"/>
    </row>
    <row r="722" spans="2:18" ht="42.75" x14ac:dyDescent="0.2">
      <c r="B722" s="13">
        <v>44811</v>
      </c>
      <c r="C722" s="66"/>
      <c r="D722" s="14" t="s">
        <v>835</v>
      </c>
      <c r="E722" s="14" t="s">
        <v>17</v>
      </c>
      <c r="F722" s="103" t="s">
        <v>18</v>
      </c>
      <c r="G722" s="471">
        <f>IFERROR(VLOOKUP(List34[[#This Row],[Site / Lokasi]],[7]Data!B:C,2,0),0)</f>
        <v>0</v>
      </c>
      <c r="H722" s="258">
        <v>6000000</v>
      </c>
      <c r="I722" s="258">
        <f>List34[[#This Row],[Pengajuan Donasi]]</f>
        <v>6000000</v>
      </c>
      <c r="J722" s="213" t="str">
        <f>IF(List34[[#This Row],[Tanggal Trf]]&gt;0,"Done","-")</f>
        <v>Done</v>
      </c>
      <c r="K722" s="14" t="s">
        <v>1513</v>
      </c>
      <c r="L722" s="221">
        <v>44813</v>
      </c>
      <c r="M722" s="100" t="s">
        <v>1213</v>
      </c>
      <c r="N722" s="100">
        <f>MONTH(List34[[#This Row],[Tanggal Pengajuan]])</f>
        <v>9</v>
      </c>
      <c r="O722" s="183"/>
      <c r="P722" s="100" t="s">
        <v>1514</v>
      </c>
      <c r="Q722" s="111"/>
      <c r="R722" s="229"/>
    </row>
    <row r="723" spans="2:18" ht="42.75" x14ac:dyDescent="0.2">
      <c r="B723" s="13">
        <v>44811</v>
      </c>
      <c r="C723" s="66"/>
      <c r="D723" s="14" t="s">
        <v>826</v>
      </c>
      <c r="E723" s="14" t="s">
        <v>17</v>
      </c>
      <c r="F723" s="103" t="s">
        <v>18</v>
      </c>
      <c r="G723" s="471">
        <f>IFERROR(VLOOKUP(List34[[#This Row],[Site / Lokasi]],[7]Data!B:C,2,0),0)</f>
        <v>0</v>
      </c>
      <c r="H723" s="258">
        <v>6000000</v>
      </c>
      <c r="I723" s="258">
        <f>List34[[#This Row],[Pengajuan Donasi]]</f>
        <v>6000000</v>
      </c>
      <c r="J723" s="213" t="str">
        <f>IF(List34[[#This Row],[Tanggal Trf]]&gt;0,"Done","-")</f>
        <v>Done</v>
      </c>
      <c r="K723" s="14" t="s">
        <v>1513</v>
      </c>
      <c r="L723" s="221">
        <v>44813</v>
      </c>
      <c r="M723" s="100" t="s">
        <v>1213</v>
      </c>
      <c r="N723" s="100">
        <f>MONTH(List34[[#This Row],[Tanggal Pengajuan]])</f>
        <v>9</v>
      </c>
      <c r="O723" s="183"/>
      <c r="P723" s="100" t="s">
        <v>1514</v>
      </c>
      <c r="Q723" s="111"/>
      <c r="R723" s="229"/>
    </row>
    <row r="724" spans="2:18" ht="42.75" x14ac:dyDescent="0.2">
      <c r="B724" s="13">
        <v>44811</v>
      </c>
      <c r="C724" s="66"/>
      <c r="D724" s="14" t="s">
        <v>856</v>
      </c>
      <c r="E724" s="14" t="s">
        <v>17</v>
      </c>
      <c r="F724" s="103" t="s">
        <v>18</v>
      </c>
      <c r="G724" s="471">
        <f>IFERROR(VLOOKUP(List34[[#This Row],[Site / Lokasi]],[7]Data!B:C,2,0),0)</f>
        <v>0</v>
      </c>
      <c r="H724" s="258">
        <v>6000000</v>
      </c>
      <c r="I724" s="258">
        <f>List34[[#This Row],[Pengajuan Donasi]]</f>
        <v>6000000</v>
      </c>
      <c r="J724" s="213" t="str">
        <f>IF(List34[[#This Row],[Tanggal Trf]]&gt;0,"Done","-")</f>
        <v>Done</v>
      </c>
      <c r="K724" s="14" t="s">
        <v>1513</v>
      </c>
      <c r="L724" s="221">
        <v>44813</v>
      </c>
      <c r="M724" s="100" t="s">
        <v>1213</v>
      </c>
      <c r="N724" s="100">
        <f>MONTH(List34[[#This Row],[Tanggal Pengajuan]])</f>
        <v>9</v>
      </c>
      <c r="O724" s="183"/>
      <c r="P724" s="100" t="s">
        <v>1514</v>
      </c>
      <c r="Q724" s="111"/>
      <c r="R724" s="229"/>
    </row>
    <row r="725" spans="2:18" ht="42.75" x14ac:dyDescent="0.2">
      <c r="B725" s="13">
        <v>44811</v>
      </c>
      <c r="C725" s="66"/>
      <c r="D725" s="14" t="s">
        <v>861</v>
      </c>
      <c r="E725" s="14" t="s">
        <v>17</v>
      </c>
      <c r="F725" s="103" t="s">
        <v>18</v>
      </c>
      <c r="G725" s="471">
        <f>IFERROR(VLOOKUP(List34[[#This Row],[Site / Lokasi]],[7]Data!B:C,2,0),0)</f>
        <v>0</v>
      </c>
      <c r="H725" s="258">
        <v>6000000</v>
      </c>
      <c r="I725" s="258">
        <f>List34[[#This Row],[Pengajuan Donasi]]</f>
        <v>6000000</v>
      </c>
      <c r="J725" s="213" t="str">
        <f>IF(List34[[#This Row],[Tanggal Trf]]&gt;0,"Done","-")</f>
        <v>Done</v>
      </c>
      <c r="K725" s="14" t="s">
        <v>1513</v>
      </c>
      <c r="L725" s="221">
        <v>44813</v>
      </c>
      <c r="M725" s="100" t="s">
        <v>1213</v>
      </c>
      <c r="N725" s="100">
        <f>MONTH(List34[[#This Row],[Tanggal Pengajuan]])</f>
        <v>9</v>
      </c>
      <c r="O725" s="183"/>
      <c r="P725" s="100" t="s">
        <v>1514</v>
      </c>
      <c r="Q725" s="111"/>
      <c r="R725" s="229"/>
    </row>
    <row r="726" spans="2:18" ht="42.75" x14ac:dyDescent="0.2">
      <c r="B726" s="13">
        <v>44811</v>
      </c>
      <c r="C726" s="66"/>
      <c r="D726" s="14" t="s">
        <v>847</v>
      </c>
      <c r="E726" s="14" t="s">
        <v>17</v>
      </c>
      <c r="F726" s="103" t="s">
        <v>18</v>
      </c>
      <c r="G726" s="471">
        <f>IFERROR(VLOOKUP(List34[[#This Row],[Site / Lokasi]],[7]Data!B:C,2,0),0)</f>
        <v>0</v>
      </c>
      <c r="H726" s="258">
        <v>6000000</v>
      </c>
      <c r="I726" s="258">
        <f>List34[[#This Row],[Pengajuan Donasi]]</f>
        <v>6000000</v>
      </c>
      <c r="J726" s="213" t="str">
        <f>IF(List34[[#This Row],[Tanggal Trf]]&gt;0,"Done","-")</f>
        <v>Done</v>
      </c>
      <c r="K726" s="14" t="s">
        <v>1513</v>
      </c>
      <c r="L726" s="221">
        <v>44813</v>
      </c>
      <c r="M726" s="100" t="s">
        <v>1213</v>
      </c>
      <c r="N726" s="100">
        <f>MONTH(List34[[#This Row],[Tanggal Pengajuan]])</f>
        <v>9</v>
      </c>
      <c r="O726" s="183"/>
      <c r="P726" s="100" t="s">
        <v>1514</v>
      </c>
      <c r="Q726" s="111"/>
      <c r="R726" s="229"/>
    </row>
    <row r="727" spans="2:18" ht="42.75" x14ac:dyDescent="0.2">
      <c r="B727" s="13">
        <v>44811</v>
      </c>
      <c r="C727" s="66"/>
      <c r="D727" s="14" t="s">
        <v>1572</v>
      </c>
      <c r="E727" s="14" t="s">
        <v>17</v>
      </c>
      <c r="F727" s="103" t="s">
        <v>18</v>
      </c>
      <c r="G727" s="471">
        <f>IFERROR(VLOOKUP(List34[[#This Row],[Site / Lokasi]],[7]Data!B:C,2,0),0)</f>
        <v>0</v>
      </c>
      <c r="H727" s="258">
        <v>6000000</v>
      </c>
      <c r="I727" s="258">
        <f>List34[[#This Row],[Pengajuan Donasi]]</f>
        <v>6000000</v>
      </c>
      <c r="J727" s="213" t="str">
        <f>IF(List34[[#This Row],[Tanggal Trf]]&gt;0,"Done","-")</f>
        <v>Done</v>
      </c>
      <c r="K727" s="14" t="s">
        <v>1513</v>
      </c>
      <c r="L727" s="221">
        <v>44813</v>
      </c>
      <c r="M727" s="100" t="s">
        <v>1213</v>
      </c>
      <c r="N727" s="100">
        <f>MONTH(List34[[#This Row],[Tanggal Pengajuan]])</f>
        <v>9</v>
      </c>
      <c r="O727" s="183"/>
      <c r="P727" s="100" t="s">
        <v>1514</v>
      </c>
      <c r="Q727" s="111"/>
      <c r="R727" s="229"/>
    </row>
    <row r="728" spans="2:18" ht="42.75" x14ac:dyDescent="0.2">
      <c r="B728" s="13">
        <v>44811</v>
      </c>
      <c r="C728" s="66"/>
      <c r="D728" s="14" t="s">
        <v>1573</v>
      </c>
      <c r="E728" s="14" t="s">
        <v>17</v>
      </c>
      <c r="F728" s="103" t="s">
        <v>18</v>
      </c>
      <c r="G728" s="471">
        <f>IFERROR(VLOOKUP(List34[[#This Row],[Site / Lokasi]],[7]Data!B:C,2,0),0)</f>
        <v>0</v>
      </c>
      <c r="H728" s="258">
        <v>6000000</v>
      </c>
      <c r="I728" s="258">
        <f>List34[[#This Row],[Pengajuan Donasi]]</f>
        <v>6000000</v>
      </c>
      <c r="J728" s="213" t="str">
        <f>IF(List34[[#This Row],[Tanggal Trf]]&gt;0,"Done","-")</f>
        <v>Done</v>
      </c>
      <c r="K728" s="14" t="s">
        <v>1513</v>
      </c>
      <c r="L728" s="221">
        <v>44813</v>
      </c>
      <c r="M728" s="100" t="s">
        <v>1213</v>
      </c>
      <c r="N728" s="100">
        <f>MONTH(List34[[#This Row],[Tanggal Pengajuan]])</f>
        <v>9</v>
      </c>
      <c r="O728" s="183"/>
      <c r="P728" s="100" t="s">
        <v>1514</v>
      </c>
      <c r="Q728" s="111"/>
      <c r="R728" s="229"/>
    </row>
    <row r="729" spans="2:18" ht="42.75" x14ac:dyDescent="0.2">
      <c r="B729" s="13">
        <v>44811</v>
      </c>
      <c r="C729" s="66"/>
      <c r="D729" s="14" t="s">
        <v>844</v>
      </c>
      <c r="E729" s="14" t="s">
        <v>17</v>
      </c>
      <c r="F729" s="103" t="s">
        <v>18</v>
      </c>
      <c r="G729" s="471">
        <f>IFERROR(VLOOKUP(List34[[#This Row],[Site / Lokasi]],[7]Data!B:C,2,0),0)</f>
        <v>0</v>
      </c>
      <c r="H729" s="258">
        <v>6000000</v>
      </c>
      <c r="I729" s="258">
        <f>List34[[#This Row],[Pengajuan Donasi]]</f>
        <v>6000000</v>
      </c>
      <c r="J729" s="213" t="str">
        <f>IF(List34[[#This Row],[Tanggal Trf]]&gt;0,"Done","-")</f>
        <v>Done</v>
      </c>
      <c r="K729" s="14" t="s">
        <v>1513</v>
      </c>
      <c r="L729" s="221">
        <v>44813</v>
      </c>
      <c r="M729" s="100" t="s">
        <v>1213</v>
      </c>
      <c r="N729" s="100">
        <f>MONTH(List34[[#This Row],[Tanggal Pengajuan]])</f>
        <v>9</v>
      </c>
      <c r="O729" s="183"/>
      <c r="P729" s="100" t="s">
        <v>1514</v>
      </c>
      <c r="Q729" s="111"/>
      <c r="R729" s="229"/>
    </row>
    <row r="730" spans="2:18" ht="42.75" x14ac:dyDescent="0.2">
      <c r="B730" s="13">
        <v>44811</v>
      </c>
      <c r="C730" s="66"/>
      <c r="D730" s="14" t="s">
        <v>840</v>
      </c>
      <c r="E730" s="14" t="s">
        <v>17</v>
      </c>
      <c r="F730" s="103" t="s">
        <v>18</v>
      </c>
      <c r="G730" s="471">
        <f>IFERROR(VLOOKUP(List34[[#This Row],[Site / Lokasi]],[7]Data!B:C,2,0),0)</f>
        <v>0</v>
      </c>
      <c r="H730" s="258">
        <v>6000000</v>
      </c>
      <c r="I730" s="258">
        <f>List34[[#This Row],[Pengajuan Donasi]]</f>
        <v>6000000</v>
      </c>
      <c r="J730" s="213" t="str">
        <f>IF(List34[[#This Row],[Tanggal Trf]]&gt;0,"Done","-")</f>
        <v>Done</v>
      </c>
      <c r="K730" s="14" t="s">
        <v>1513</v>
      </c>
      <c r="L730" s="221">
        <v>44813</v>
      </c>
      <c r="M730" s="100" t="s">
        <v>1213</v>
      </c>
      <c r="N730" s="100">
        <f>MONTH(List34[[#This Row],[Tanggal Pengajuan]])</f>
        <v>9</v>
      </c>
      <c r="O730" s="183"/>
      <c r="P730" s="100" t="s">
        <v>1514</v>
      </c>
      <c r="Q730" s="111"/>
      <c r="R730" s="229"/>
    </row>
    <row r="731" spans="2:18" ht="42.75" x14ac:dyDescent="0.2">
      <c r="B731" s="13">
        <v>44811</v>
      </c>
      <c r="C731" s="66"/>
      <c r="D731" s="14" t="s">
        <v>362</v>
      </c>
      <c r="E731" s="14" t="s">
        <v>17</v>
      </c>
      <c r="F731" s="103" t="s">
        <v>18</v>
      </c>
      <c r="G731" s="471">
        <f>IFERROR(VLOOKUP(List34[[#This Row],[Site / Lokasi]],[7]Data!B:C,2,0),0)</f>
        <v>0</v>
      </c>
      <c r="H731" s="258">
        <v>6000000</v>
      </c>
      <c r="I731" s="258">
        <f>List34[[#This Row],[Pengajuan Donasi]]</f>
        <v>6000000</v>
      </c>
      <c r="J731" s="213" t="str">
        <f>IF(List34[[#This Row],[Tanggal Trf]]&gt;0,"Done","-")</f>
        <v>Done</v>
      </c>
      <c r="K731" s="14" t="s">
        <v>1513</v>
      </c>
      <c r="L731" s="221">
        <v>44813</v>
      </c>
      <c r="M731" s="100" t="s">
        <v>1213</v>
      </c>
      <c r="N731" s="100">
        <f>MONTH(List34[[#This Row],[Tanggal Pengajuan]])</f>
        <v>9</v>
      </c>
      <c r="O731" s="183"/>
      <c r="P731" s="100" t="s">
        <v>1514</v>
      </c>
      <c r="Q731" s="111"/>
      <c r="R731" s="229"/>
    </row>
    <row r="732" spans="2:18" ht="42.75" x14ac:dyDescent="0.2">
      <c r="B732" s="13">
        <v>44811</v>
      </c>
      <c r="C732" s="66"/>
      <c r="D732" s="14" t="s">
        <v>845</v>
      </c>
      <c r="E732" s="14" t="s">
        <v>17</v>
      </c>
      <c r="F732" s="103" t="s">
        <v>18</v>
      </c>
      <c r="G732" s="471">
        <f>IFERROR(VLOOKUP(List34[[#This Row],[Site / Lokasi]],[7]Data!B:C,2,0),0)</f>
        <v>0</v>
      </c>
      <c r="H732" s="258">
        <v>6000000</v>
      </c>
      <c r="I732" s="258">
        <f>List34[[#This Row],[Pengajuan Donasi]]</f>
        <v>6000000</v>
      </c>
      <c r="J732" s="213" t="str">
        <f>IF(List34[[#This Row],[Tanggal Trf]]&gt;0,"Done","-")</f>
        <v>Done</v>
      </c>
      <c r="K732" s="14" t="s">
        <v>1513</v>
      </c>
      <c r="L732" s="221">
        <v>44813</v>
      </c>
      <c r="M732" s="100" t="s">
        <v>1213</v>
      </c>
      <c r="N732" s="100">
        <f>MONTH(List34[[#This Row],[Tanggal Pengajuan]])</f>
        <v>9</v>
      </c>
      <c r="O732" s="183"/>
      <c r="P732" s="100" t="s">
        <v>1514</v>
      </c>
      <c r="Q732" s="111"/>
      <c r="R732" s="229"/>
    </row>
    <row r="733" spans="2:18" ht="42.75" x14ac:dyDescent="0.2">
      <c r="B733" s="13">
        <v>44811</v>
      </c>
      <c r="C733" s="66"/>
      <c r="D733" s="14" t="s">
        <v>830</v>
      </c>
      <c r="E733" s="14" t="s">
        <v>17</v>
      </c>
      <c r="F733" s="103" t="s">
        <v>18</v>
      </c>
      <c r="G733" s="471">
        <f>IFERROR(VLOOKUP(List34[[#This Row],[Site / Lokasi]],[7]Data!B:C,2,0),0)</f>
        <v>0</v>
      </c>
      <c r="H733" s="258">
        <v>6000000</v>
      </c>
      <c r="I733" s="258">
        <f>List34[[#This Row],[Pengajuan Donasi]]</f>
        <v>6000000</v>
      </c>
      <c r="J733" s="213" t="str">
        <f>IF(List34[[#This Row],[Tanggal Trf]]&gt;0,"Done","-")</f>
        <v>Done</v>
      </c>
      <c r="K733" s="14" t="s">
        <v>1513</v>
      </c>
      <c r="L733" s="221">
        <v>44813</v>
      </c>
      <c r="M733" s="100" t="s">
        <v>1213</v>
      </c>
      <c r="N733" s="100">
        <f>MONTH(List34[[#This Row],[Tanggal Pengajuan]])</f>
        <v>9</v>
      </c>
      <c r="O733" s="183"/>
      <c r="P733" s="100" t="s">
        <v>1514</v>
      </c>
      <c r="Q733" s="111"/>
      <c r="R733" s="229"/>
    </row>
    <row r="734" spans="2:18" ht="42.75" x14ac:dyDescent="0.2">
      <c r="B734" s="13">
        <v>44811</v>
      </c>
      <c r="C734" s="66"/>
      <c r="D734" s="14" t="s">
        <v>841</v>
      </c>
      <c r="E734" s="14" t="s">
        <v>17</v>
      </c>
      <c r="F734" s="103" t="s">
        <v>18</v>
      </c>
      <c r="G734" s="471">
        <f>IFERROR(VLOOKUP(List34[[#This Row],[Site / Lokasi]],[7]Data!B:C,2,0),0)</f>
        <v>0</v>
      </c>
      <c r="H734" s="258">
        <v>6000000</v>
      </c>
      <c r="I734" s="258">
        <f>List34[[#This Row],[Pengajuan Donasi]]</f>
        <v>6000000</v>
      </c>
      <c r="J734" s="213" t="str">
        <f>IF(List34[[#This Row],[Tanggal Trf]]&gt;0,"Done","-")</f>
        <v>Done</v>
      </c>
      <c r="K734" s="14" t="s">
        <v>1513</v>
      </c>
      <c r="L734" s="221">
        <v>44813</v>
      </c>
      <c r="M734" s="100" t="s">
        <v>1213</v>
      </c>
      <c r="N734" s="100">
        <f>MONTH(List34[[#This Row],[Tanggal Pengajuan]])</f>
        <v>9</v>
      </c>
      <c r="O734" s="183"/>
      <c r="P734" s="100" t="s">
        <v>1514</v>
      </c>
      <c r="Q734" s="111"/>
      <c r="R734" s="229"/>
    </row>
    <row r="735" spans="2:18" ht="42.75" x14ac:dyDescent="0.2">
      <c r="B735" s="13">
        <v>44811</v>
      </c>
      <c r="C735" s="66"/>
      <c r="D735" s="14" t="s">
        <v>865</v>
      </c>
      <c r="E735" s="14" t="s">
        <v>17</v>
      </c>
      <c r="F735" s="103" t="s">
        <v>18</v>
      </c>
      <c r="G735" s="471">
        <f>IFERROR(VLOOKUP(List34[[#This Row],[Site / Lokasi]],[7]Data!B:C,2,0),0)</f>
        <v>0</v>
      </c>
      <c r="H735" s="258">
        <v>6000000</v>
      </c>
      <c r="I735" s="258">
        <f>List34[[#This Row],[Pengajuan Donasi]]</f>
        <v>6000000</v>
      </c>
      <c r="J735" s="213" t="str">
        <f>IF(List34[[#This Row],[Tanggal Trf]]&gt;0,"Done","-")</f>
        <v>Done</v>
      </c>
      <c r="K735" s="14" t="s">
        <v>1513</v>
      </c>
      <c r="L735" s="221">
        <v>44813</v>
      </c>
      <c r="M735" s="100" t="s">
        <v>1213</v>
      </c>
      <c r="N735" s="100">
        <f>MONTH(List34[[#This Row],[Tanggal Pengajuan]])</f>
        <v>9</v>
      </c>
      <c r="O735" s="183"/>
      <c r="P735" s="100" t="s">
        <v>1514</v>
      </c>
      <c r="Q735" s="111"/>
      <c r="R735" s="229"/>
    </row>
    <row r="736" spans="2:18" ht="42.75" x14ac:dyDescent="0.2">
      <c r="B736" s="13">
        <v>44811</v>
      </c>
      <c r="C736" s="66"/>
      <c r="D736" s="14" t="s">
        <v>857</v>
      </c>
      <c r="E736" s="14" t="s">
        <v>17</v>
      </c>
      <c r="F736" s="103" t="s">
        <v>18</v>
      </c>
      <c r="G736" s="471">
        <f>IFERROR(VLOOKUP(List34[[#This Row],[Site / Lokasi]],[7]Data!B:C,2,0),0)</f>
        <v>0</v>
      </c>
      <c r="H736" s="258">
        <v>6000000</v>
      </c>
      <c r="I736" s="258">
        <f>List34[[#This Row],[Pengajuan Donasi]]</f>
        <v>6000000</v>
      </c>
      <c r="J736" s="213" t="str">
        <f>IF(List34[[#This Row],[Tanggal Trf]]&gt;0,"Done","-")</f>
        <v>Done</v>
      </c>
      <c r="K736" s="14" t="s">
        <v>1513</v>
      </c>
      <c r="L736" s="221">
        <v>44813</v>
      </c>
      <c r="M736" s="100" t="s">
        <v>1213</v>
      </c>
      <c r="N736" s="100">
        <f>MONTH(List34[[#This Row],[Tanggal Pengajuan]])</f>
        <v>9</v>
      </c>
      <c r="O736" s="183"/>
      <c r="P736" s="100" t="s">
        <v>1514</v>
      </c>
      <c r="Q736" s="111"/>
      <c r="R736" s="229"/>
    </row>
    <row r="737" spans="2:18" ht="42.75" x14ac:dyDescent="0.2">
      <c r="B737" s="13">
        <v>44811</v>
      </c>
      <c r="C737" s="66"/>
      <c r="D737" s="14" t="s">
        <v>872</v>
      </c>
      <c r="E737" s="14" t="s">
        <v>17</v>
      </c>
      <c r="F737" s="103" t="s">
        <v>18</v>
      </c>
      <c r="G737" s="471">
        <f>IFERROR(VLOOKUP(List34[[#This Row],[Site / Lokasi]],[7]Data!B:C,2,0),0)</f>
        <v>0</v>
      </c>
      <c r="H737" s="258">
        <v>6000000</v>
      </c>
      <c r="I737" s="258">
        <f>List34[[#This Row],[Pengajuan Donasi]]</f>
        <v>6000000</v>
      </c>
      <c r="J737" s="213" t="str">
        <f>IF(List34[[#This Row],[Tanggal Trf]]&gt;0,"Done","-")</f>
        <v>Done</v>
      </c>
      <c r="K737" s="14" t="s">
        <v>1513</v>
      </c>
      <c r="L737" s="221">
        <v>44813</v>
      </c>
      <c r="M737" s="100" t="s">
        <v>1213</v>
      </c>
      <c r="N737" s="100">
        <f>MONTH(List34[[#This Row],[Tanggal Pengajuan]])</f>
        <v>9</v>
      </c>
      <c r="O737" s="183"/>
      <c r="P737" s="100" t="s">
        <v>1514</v>
      </c>
      <c r="Q737" s="111"/>
      <c r="R737" s="229"/>
    </row>
    <row r="738" spans="2:18" ht="42.75" x14ac:dyDescent="0.2">
      <c r="B738" s="13">
        <v>44811</v>
      </c>
      <c r="C738" s="66"/>
      <c r="D738" s="14" t="s">
        <v>823</v>
      </c>
      <c r="E738" s="14" t="s">
        <v>17</v>
      </c>
      <c r="F738" s="103" t="s">
        <v>18</v>
      </c>
      <c r="G738" s="471">
        <f>IFERROR(VLOOKUP(List34[[#This Row],[Site / Lokasi]],[7]Data!B:C,2,0),0)</f>
        <v>0</v>
      </c>
      <c r="H738" s="258">
        <v>6000000</v>
      </c>
      <c r="I738" s="258">
        <f>List34[[#This Row],[Pengajuan Donasi]]</f>
        <v>6000000</v>
      </c>
      <c r="J738" s="213" t="str">
        <f>IF(List34[[#This Row],[Tanggal Trf]]&gt;0,"Done","-")</f>
        <v>Done</v>
      </c>
      <c r="K738" s="14" t="s">
        <v>1513</v>
      </c>
      <c r="L738" s="221">
        <v>44813</v>
      </c>
      <c r="M738" s="100" t="s">
        <v>1213</v>
      </c>
      <c r="N738" s="100">
        <f>MONTH(List34[[#This Row],[Tanggal Pengajuan]])</f>
        <v>9</v>
      </c>
      <c r="O738" s="183"/>
      <c r="P738" s="100" t="s">
        <v>1514</v>
      </c>
      <c r="Q738" s="111"/>
      <c r="R738" s="229"/>
    </row>
    <row r="739" spans="2:18" ht="42.75" x14ac:dyDescent="0.2">
      <c r="B739" s="13">
        <v>44811</v>
      </c>
      <c r="C739" s="66"/>
      <c r="D739" s="14" t="s">
        <v>868</v>
      </c>
      <c r="E739" s="14" t="s">
        <v>17</v>
      </c>
      <c r="F739" s="103" t="s">
        <v>18</v>
      </c>
      <c r="G739" s="471">
        <f>IFERROR(VLOOKUP(List34[[#This Row],[Site / Lokasi]],[7]Data!B:C,2,0),0)</f>
        <v>0</v>
      </c>
      <c r="H739" s="258">
        <v>6000000</v>
      </c>
      <c r="I739" s="258">
        <f>List34[[#This Row],[Pengajuan Donasi]]</f>
        <v>6000000</v>
      </c>
      <c r="J739" s="213" t="str">
        <f>IF(List34[[#This Row],[Tanggal Trf]]&gt;0,"Done","-")</f>
        <v>Done</v>
      </c>
      <c r="K739" s="14" t="s">
        <v>1513</v>
      </c>
      <c r="L739" s="221">
        <v>44813</v>
      </c>
      <c r="M739" s="100" t="s">
        <v>1213</v>
      </c>
      <c r="N739" s="100">
        <f>MONTH(List34[[#This Row],[Tanggal Pengajuan]])</f>
        <v>9</v>
      </c>
      <c r="O739" s="183"/>
      <c r="P739" s="100" t="s">
        <v>1514</v>
      </c>
      <c r="Q739" s="111"/>
      <c r="R739" s="229"/>
    </row>
    <row r="740" spans="2:18" ht="29.25" x14ac:dyDescent="0.2">
      <c r="B740" s="13">
        <v>44812</v>
      </c>
      <c r="C740" s="66" t="s">
        <v>1515</v>
      </c>
      <c r="D740" s="14" t="s">
        <v>48</v>
      </c>
      <c r="E740" s="14" t="s">
        <v>179</v>
      </c>
      <c r="F740" s="103" t="s">
        <v>18</v>
      </c>
      <c r="G740" s="471">
        <v>0</v>
      </c>
      <c r="H740" s="258">
        <v>3820000</v>
      </c>
      <c r="I740" s="258">
        <f>List34[[#This Row],[Pengajuan Donasi]]</f>
        <v>3820000</v>
      </c>
      <c r="J740" s="213" t="str">
        <f>IF(List34[[#This Row],[Tanggal Trf]]&gt;0,"Done","-")</f>
        <v>Done</v>
      </c>
      <c r="K740" s="14" t="s">
        <v>1516</v>
      </c>
      <c r="L740" s="221">
        <v>44824</v>
      </c>
      <c r="M740" s="100" t="s">
        <v>445</v>
      </c>
      <c r="N740" s="100">
        <v>9</v>
      </c>
      <c r="O740" s="183"/>
      <c r="P740" s="100" t="s">
        <v>1514</v>
      </c>
      <c r="Q740" s="111"/>
      <c r="R740" s="229"/>
    </row>
    <row r="741" spans="2:18" ht="29.25" x14ac:dyDescent="0.2">
      <c r="B741" s="13">
        <v>44812</v>
      </c>
      <c r="C741" s="66" t="s">
        <v>1517</v>
      </c>
      <c r="D741" s="14" t="s">
        <v>859</v>
      </c>
      <c r="E741" s="14" t="s">
        <v>17</v>
      </c>
      <c r="F741" s="103" t="s">
        <v>18</v>
      </c>
      <c r="G741" s="471">
        <v>0</v>
      </c>
      <c r="H741" s="258">
        <v>6000000</v>
      </c>
      <c r="I741" s="258">
        <f>List34[[#This Row],[Pengajuan Donasi]]</f>
        <v>6000000</v>
      </c>
      <c r="J741" s="213" t="str">
        <f>IF(List34[[#This Row],[Tanggal Trf]]&gt;0,"Done","-")</f>
        <v>Done</v>
      </c>
      <c r="K741" s="14" t="s">
        <v>1518</v>
      </c>
      <c r="L741" s="221">
        <v>44824</v>
      </c>
      <c r="M741" s="100" t="s">
        <v>650</v>
      </c>
      <c r="N741" s="100">
        <v>9</v>
      </c>
      <c r="O741" s="183"/>
      <c r="P741" s="100" t="s">
        <v>1514</v>
      </c>
      <c r="Q741" s="111"/>
      <c r="R741" s="229"/>
    </row>
    <row r="742" spans="2:18" ht="29.25" x14ac:dyDescent="0.2">
      <c r="B742" s="13">
        <v>44812</v>
      </c>
      <c r="C742" s="66" t="s">
        <v>1519</v>
      </c>
      <c r="D742" s="14" t="s">
        <v>950</v>
      </c>
      <c r="E742" s="14" t="s">
        <v>26</v>
      </c>
      <c r="F742" s="103" t="s">
        <v>18</v>
      </c>
      <c r="G742" s="471">
        <v>1</v>
      </c>
      <c r="H742" s="258">
        <v>5000000</v>
      </c>
      <c r="I742" s="258">
        <f>List34[[#This Row],[Pengajuan Donasi]]</f>
        <v>5000000</v>
      </c>
      <c r="J742" s="213" t="str">
        <f>IF(List34[[#This Row],[Tanggal Trf]]&gt;0,"Done","-")</f>
        <v>Done</v>
      </c>
      <c r="K742" s="445" t="s">
        <v>1520</v>
      </c>
      <c r="L742" s="225">
        <v>44824</v>
      </c>
      <c r="M742" s="100" t="s">
        <v>448</v>
      </c>
      <c r="N742" s="100">
        <v>9</v>
      </c>
      <c r="O742" s="183"/>
      <c r="P742" s="100" t="s">
        <v>1514</v>
      </c>
      <c r="Q742" s="111"/>
      <c r="R742" s="229"/>
    </row>
    <row r="743" spans="2:18" ht="24.75" x14ac:dyDescent="0.2">
      <c r="B743" s="13">
        <v>44812</v>
      </c>
      <c r="C743" s="66"/>
      <c r="D743" s="14" t="s">
        <v>875</v>
      </c>
      <c r="E743" s="14" t="s">
        <v>26</v>
      </c>
      <c r="F743" s="103" t="s">
        <v>18</v>
      </c>
      <c r="G743" s="471">
        <v>1</v>
      </c>
      <c r="H743" s="258">
        <v>1000000</v>
      </c>
      <c r="I743" s="258">
        <f>List34[[#This Row],[Pengajuan Donasi]]</f>
        <v>1000000</v>
      </c>
      <c r="J743" s="213" t="str">
        <f>IF(List34[[#This Row],[Tanggal Trf]]&gt;0,"Done","-")</f>
        <v>Done</v>
      </c>
      <c r="K743" s="445" t="s">
        <v>1520</v>
      </c>
      <c r="L743" s="225">
        <v>44824</v>
      </c>
      <c r="M743" s="100" t="s">
        <v>453</v>
      </c>
      <c r="N743" s="100">
        <v>9</v>
      </c>
      <c r="O743" s="183"/>
      <c r="P743" s="100" t="s">
        <v>1514</v>
      </c>
      <c r="Q743" s="111"/>
      <c r="R743" s="229"/>
    </row>
    <row r="744" spans="2:18" ht="29.25" x14ac:dyDescent="0.2">
      <c r="B744" s="13">
        <v>44812</v>
      </c>
      <c r="C744" s="66"/>
      <c r="D744" s="14" t="s">
        <v>877</v>
      </c>
      <c r="E744" s="14" t="s">
        <v>26</v>
      </c>
      <c r="F744" s="103" t="s">
        <v>18</v>
      </c>
      <c r="G744" s="471">
        <v>1</v>
      </c>
      <c r="H744" s="258">
        <v>1000000</v>
      </c>
      <c r="I744" s="258">
        <f>List34[[#This Row],[Pengajuan Donasi]]</f>
        <v>1000000</v>
      </c>
      <c r="J744" s="213" t="str">
        <f>IF(List34[[#This Row],[Tanggal Trf]]&gt;0,"Done","-")</f>
        <v>Done</v>
      </c>
      <c r="K744" s="445" t="s">
        <v>1520</v>
      </c>
      <c r="L744" s="225">
        <v>44824</v>
      </c>
      <c r="M744" s="100" t="s">
        <v>458</v>
      </c>
      <c r="N744" s="100">
        <v>9</v>
      </c>
      <c r="O744" s="183"/>
      <c r="P744" s="100" t="s">
        <v>1514</v>
      </c>
      <c r="Q744" s="111"/>
      <c r="R744" s="229"/>
    </row>
    <row r="745" spans="2:18" ht="24.75" x14ac:dyDescent="0.2">
      <c r="B745" s="13">
        <v>44812</v>
      </c>
      <c r="C745" s="66"/>
      <c r="D745" s="14" t="s">
        <v>878</v>
      </c>
      <c r="E745" s="14" t="s">
        <v>26</v>
      </c>
      <c r="F745" s="103" t="s">
        <v>18</v>
      </c>
      <c r="G745" s="471">
        <v>1</v>
      </c>
      <c r="H745" s="258">
        <v>1000000</v>
      </c>
      <c r="I745" s="258">
        <f>List34[[#This Row],[Pengajuan Donasi]]</f>
        <v>1000000</v>
      </c>
      <c r="J745" s="213" t="str">
        <f>IF(List34[[#This Row],[Tanggal Trf]]&gt;0,"Done","-")</f>
        <v>Done</v>
      </c>
      <c r="K745" s="445" t="s">
        <v>1520</v>
      </c>
      <c r="L745" s="225">
        <v>44824</v>
      </c>
      <c r="M745" s="100" t="s">
        <v>460</v>
      </c>
      <c r="N745" s="100">
        <v>9</v>
      </c>
      <c r="O745" s="183"/>
      <c r="P745" s="100" t="s">
        <v>1514</v>
      </c>
      <c r="Q745" s="111"/>
      <c r="R745" s="229"/>
    </row>
    <row r="746" spans="2:18" ht="30" customHeight="1" x14ac:dyDescent="0.2">
      <c r="B746" s="13">
        <v>44812</v>
      </c>
      <c r="C746" s="66"/>
      <c r="D746" s="14" t="s">
        <v>879</v>
      </c>
      <c r="E746" s="14" t="s">
        <v>26</v>
      </c>
      <c r="F746" s="103" t="s">
        <v>18</v>
      </c>
      <c r="G746" s="471">
        <v>1</v>
      </c>
      <c r="H746" s="258">
        <v>1000000</v>
      </c>
      <c r="I746" s="258">
        <f>List34[[#This Row],[Pengajuan Donasi]]</f>
        <v>1000000</v>
      </c>
      <c r="J746" s="213" t="str">
        <f>IF(List34[[#This Row],[Tanggal Trf]]&gt;0,"Done","-")</f>
        <v>Done</v>
      </c>
      <c r="K746" s="445" t="s">
        <v>1520</v>
      </c>
      <c r="L746" s="225">
        <v>44824</v>
      </c>
      <c r="M746" s="100" t="s">
        <v>462</v>
      </c>
      <c r="N746" s="100">
        <v>9</v>
      </c>
      <c r="O746" s="183"/>
      <c r="P746" s="100" t="s">
        <v>1514</v>
      </c>
      <c r="Q746" s="111"/>
      <c r="R746" s="229"/>
    </row>
    <row r="747" spans="2:18" ht="30" customHeight="1" x14ac:dyDescent="0.2">
      <c r="B747" s="13">
        <v>44812</v>
      </c>
      <c r="C747" s="66"/>
      <c r="D747" s="14" t="s">
        <v>951</v>
      </c>
      <c r="E747" s="14" t="s">
        <v>26</v>
      </c>
      <c r="F747" s="103" t="s">
        <v>18</v>
      </c>
      <c r="G747" s="471">
        <v>1</v>
      </c>
      <c r="H747" s="258">
        <v>1000000</v>
      </c>
      <c r="I747" s="258">
        <f>List34[[#This Row],[Pengajuan Donasi]]</f>
        <v>1000000</v>
      </c>
      <c r="J747" s="213" t="str">
        <f>IF(List34[[#This Row],[Tanggal Trf]]&gt;0,"Done","-")</f>
        <v>Done</v>
      </c>
      <c r="K747" s="445" t="s">
        <v>1520</v>
      </c>
      <c r="L747" s="225">
        <v>44824</v>
      </c>
      <c r="M747" s="100" t="s">
        <v>466</v>
      </c>
      <c r="N747" s="100">
        <v>9</v>
      </c>
      <c r="O747" s="183"/>
      <c r="P747" s="100" t="s">
        <v>1514</v>
      </c>
      <c r="Q747" s="111"/>
      <c r="R747" s="229"/>
    </row>
    <row r="748" spans="2:18" ht="30" customHeight="1" x14ac:dyDescent="0.2">
      <c r="B748" s="13">
        <v>44812</v>
      </c>
      <c r="C748" s="66"/>
      <c r="D748" s="14" t="s">
        <v>880</v>
      </c>
      <c r="E748" s="14" t="s">
        <v>26</v>
      </c>
      <c r="F748" s="103" t="s">
        <v>18</v>
      </c>
      <c r="G748" s="471">
        <v>1</v>
      </c>
      <c r="H748" s="258">
        <v>1000000</v>
      </c>
      <c r="I748" s="258">
        <f>List34[[#This Row],[Pengajuan Donasi]]</f>
        <v>1000000</v>
      </c>
      <c r="J748" s="213" t="str">
        <f>IF(List34[[#This Row],[Tanggal Trf]]&gt;0,"Done","-")</f>
        <v>Done</v>
      </c>
      <c r="K748" s="445" t="s">
        <v>1520</v>
      </c>
      <c r="L748" s="225">
        <v>44824</v>
      </c>
      <c r="M748" s="100" t="s">
        <v>470</v>
      </c>
      <c r="N748" s="100">
        <v>9</v>
      </c>
      <c r="O748" s="183"/>
      <c r="P748" s="100" t="s">
        <v>1514</v>
      </c>
      <c r="Q748" s="111"/>
      <c r="R748" s="229"/>
    </row>
    <row r="749" spans="2:18" ht="30" customHeight="1" x14ac:dyDescent="0.2">
      <c r="B749" s="13">
        <v>44812</v>
      </c>
      <c r="C749" s="66"/>
      <c r="D749" s="14" t="s">
        <v>952</v>
      </c>
      <c r="E749" s="14" t="s">
        <v>26</v>
      </c>
      <c r="F749" s="103" t="s">
        <v>18</v>
      </c>
      <c r="G749" s="471">
        <v>1</v>
      </c>
      <c r="H749" s="258">
        <v>1000000</v>
      </c>
      <c r="I749" s="258">
        <f>List34[[#This Row],[Pengajuan Donasi]]</f>
        <v>1000000</v>
      </c>
      <c r="J749" s="213" t="str">
        <f>IF(List34[[#This Row],[Tanggal Trf]]&gt;0,"Done","-")</f>
        <v>Done</v>
      </c>
      <c r="K749" s="445" t="s">
        <v>1520</v>
      </c>
      <c r="L749" s="225">
        <v>44824</v>
      </c>
      <c r="M749" s="100" t="s">
        <v>519</v>
      </c>
      <c r="N749" s="100">
        <v>9</v>
      </c>
      <c r="O749" s="183"/>
      <c r="P749" s="100" t="s">
        <v>1514</v>
      </c>
      <c r="Q749" s="111"/>
      <c r="R749" s="229"/>
    </row>
    <row r="750" spans="2:18" ht="30" customHeight="1" x14ac:dyDescent="0.2">
      <c r="B750" s="13">
        <v>44812</v>
      </c>
      <c r="C750" s="66"/>
      <c r="D750" s="14" t="s">
        <v>881</v>
      </c>
      <c r="E750" s="14" t="s">
        <v>26</v>
      </c>
      <c r="F750" s="103" t="s">
        <v>18</v>
      </c>
      <c r="G750" s="471">
        <v>1</v>
      </c>
      <c r="H750" s="258">
        <v>1000000</v>
      </c>
      <c r="I750" s="258">
        <f>List34[[#This Row],[Pengajuan Donasi]]</f>
        <v>1000000</v>
      </c>
      <c r="J750" s="213" t="str">
        <f>IF(List34[[#This Row],[Tanggal Trf]]&gt;0,"Done","-")</f>
        <v>Done</v>
      </c>
      <c r="K750" s="445" t="s">
        <v>1520</v>
      </c>
      <c r="L750" s="221">
        <v>44824</v>
      </c>
      <c r="M750" s="100" t="s">
        <v>476</v>
      </c>
      <c r="N750" s="100">
        <v>9</v>
      </c>
      <c r="O750" s="183"/>
      <c r="P750" s="100" t="s">
        <v>1514</v>
      </c>
      <c r="Q750" s="111"/>
      <c r="R750" s="229"/>
    </row>
    <row r="751" spans="2:18" ht="30" customHeight="1" x14ac:dyDescent="0.2">
      <c r="B751" s="13">
        <v>44812</v>
      </c>
      <c r="C751" s="66"/>
      <c r="D751" s="14" t="s">
        <v>953</v>
      </c>
      <c r="E751" s="14" t="s">
        <v>26</v>
      </c>
      <c r="F751" s="103" t="s">
        <v>18</v>
      </c>
      <c r="G751" s="471">
        <v>1</v>
      </c>
      <c r="H751" s="258">
        <v>1000000</v>
      </c>
      <c r="I751" s="258">
        <f>List34[[#This Row],[Pengajuan Donasi]]</f>
        <v>1000000</v>
      </c>
      <c r="J751" s="213" t="str">
        <f>IF(List34[[#This Row],[Tanggal Trf]]&gt;0,"Done","-")</f>
        <v>Done</v>
      </c>
      <c r="K751" s="445" t="s">
        <v>1520</v>
      </c>
      <c r="L751" s="221">
        <v>44824</v>
      </c>
      <c r="M751" s="100" t="s">
        <v>873</v>
      </c>
      <c r="N751" s="100">
        <v>9</v>
      </c>
      <c r="O751" s="183"/>
      <c r="P751" s="100" t="s">
        <v>1514</v>
      </c>
      <c r="Q751" s="111"/>
      <c r="R751" s="229"/>
    </row>
    <row r="752" spans="2:18" ht="29.25" x14ac:dyDescent="0.2">
      <c r="B752" s="13">
        <v>44812</v>
      </c>
      <c r="C752" s="66"/>
      <c r="D752" s="14" t="s">
        <v>954</v>
      </c>
      <c r="E752" s="14" t="s">
        <v>26</v>
      </c>
      <c r="F752" s="103" t="s">
        <v>18</v>
      </c>
      <c r="G752" s="471">
        <v>1</v>
      </c>
      <c r="H752" s="258">
        <v>1000000</v>
      </c>
      <c r="I752" s="258">
        <f>List34[[#This Row],[Pengajuan Donasi]]</f>
        <v>1000000</v>
      </c>
      <c r="J752" s="213" t="str">
        <f>IF(List34[[#This Row],[Tanggal Trf]]&gt;0,"Done","-")</f>
        <v>Done</v>
      </c>
      <c r="K752" s="445" t="s">
        <v>1520</v>
      </c>
      <c r="L752" s="221">
        <v>44824</v>
      </c>
      <c r="M752" s="100" t="s">
        <v>874</v>
      </c>
      <c r="N752" s="100">
        <v>9</v>
      </c>
      <c r="O752" s="183"/>
      <c r="P752" s="100" t="s">
        <v>1514</v>
      </c>
      <c r="Q752" s="111"/>
      <c r="R752" s="229"/>
    </row>
    <row r="753" spans="2:18" ht="29.25" x14ac:dyDescent="0.2">
      <c r="B753" s="13">
        <v>44812</v>
      </c>
      <c r="C753" s="66"/>
      <c r="D753" s="14" t="s">
        <v>955</v>
      </c>
      <c r="E753" s="14" t="s">
        <v>26</v>
      </c>
      <c r="F753" s="103" t="s">
        <v>18</v>
      </c>
      <c r="G753" s="471">
        <v>1</v>
      </c>
      <c r="H753" s="258">
        <v>1000000</v>
      </c>
      <c r="I753" s="258">
        <f>List34[[#This Row],[Pengajuan Donasi]]</f>
        <v>1000000</v>
      </c>
      <c r="J753" s="213" t="str">
        <f>IF(List34[[#This Row],[Tanggal Trf]]&gt;0,"Done","-")</f>
        <v>Done</v>
      </c>
      <c r="K753" s="445" t="s">
        <v>1520</v>
      </c>
      <c r="L753" s="221">
        <v>44824</v>
      </c>
      <c r="M753" s="100" t="s">
        <v>762</v>
      </c>
      <c r="N753" s="100">
        <v>9</v>
      </c>
      <c r="O753" s="183"/>
      <c r="P753" s="100" t="s">
        <v>1514</v>
      </c>
      <c r="Q753" s="111"/>
      <c r="R753" s="229"/>
    </row>
    <row r="754" spans="2:18" ht="30" customHeight="1" x14ac:dyDescent="0.2">
      <c r="B754" s="13">
        <v>44812</v>
      </c>
      <c r="C754" s="66"/>
      <c r="D754" s="14" t="s">
        <v>1214</v>
      </c>
      <c r="E754" s="14" t="s">
        <v>26</v>
      </c>
      <c r="F754" s="103" t="s">
        <v>18</v>
      </c>
      <c r="G754" s="471">
        <v>1</v>
      </c>
      <c r="H754" s="258">
        <v>750000</v>
      </c>
      <c r="I754" s="258">
        <f>List34[[#This Row],[Pengajuan Donasi]]</f>
        <v>750000</v>
      </c>
      <c r="J754" s="213" t="str">
        <f>IF(List34[[#This Row],[Tanggal Trf]]&gt;0,"Done","-")</f>
        <v>Done</v>
      </c>
      <c r="K754" s="445" t="s">
        <v>1520</v>
      </c>
      <c r="L754" s="221">
        <v>44824</v>
      </c>
      <c r="M754" s="100" t="s">
        <v>1217</v>
      </c>
      <c r="N754" s="100">
        <v>9</v>
      </c>
      <c r="O754" s="183"/>
      <c r="P754" s="100" t="s">
        <v>1514</v>
      </c>
      <c r="Q754" s="111"/>
      <c r="R754" s="229"/>
    </row>
    <row r="755" spans="2:18" ht="29.25" x14ac:dyDescent="0.2">
      <c r="B755" s="13">
        <v>44812</v>
      </c>
      <c r="C755" s="66"/>
      <c r="D755" s="14" t="s">
        <v>1215</v>
      </c>
      <c r="E755" s="14" t="s">
        <v>26</v>
      </c>
      <c r="F755" s="103" t="s">
        <v>18</v>
      </c>
      <c r="G755" s="471">
        <v>1</v>
      </c>
      <c r="H755" s="258">
        <v>750000</v>
      </c>
      <c r="I755" s="258">
        <f>List34[[#This Row],[Pengajuan Donasi]]</f>
        <v>750000</v>
      </c>
      <c r="J755" s="213" t="str">
        <f>IF(List34[[#This Row],[Tanggal Trf]]&gt;0,"Done","-")</f>
        <v>Done</v>
      </c>
      <c r="K755" s="445" t="s">
        <v>1520</v>
      </c>
      <c r="L755" s="221">
        <v>44824</v>
      </c>
      <c r="M755" s="100" t="s">
        <v>1218</v>
      </c>
      <c r="N755" s="100">
        <v>9</v>
      </c>
      <c r="O755" s="183"/>
      <c r="P755" s="100" t="s">
        <v>1514</v>
      </c>
      <c r="Q755" s="111"/>
      <c r="R755" s="229"/>
    </row>
    <row r="756" spans="2:18" ht="29.25" x14ac:dyDescent="0.2">
      <c r="B756" s="13">
        <v>44812</v>
      </c>
      <c r="C756" s="66"/>
      <c r="D756" s="14" t="s">
        <v>1216</v>
      </c>
      <c r="E756" s="14" t="s">
        <v>26</v>
      </c>
      <c r="F756" s="103" t="s">
        <v>18</v>
      </c>
      <c r="G756" s="471">
        <v>1</v>
      </c>
      <c r="H756" s="258">
        <v>750000</v>
      </c>
      <c r="I756" s="258">
        <f>List34[[#This Row],[Pengajuan Donasi]]</f>
        <v>750000</v>
      </c>
      <c r="J756" s="213" t="str">
        <f>IF(List34[[#This Row],[Tanggal Trf]]&gt;0,"Done","-")</f>
        <v>Done</v>
      </c>
      <c r="K756" s="445" t="s">
        <v>1520</v>
      </c>
      <c r="L756" s="221">
        <v>44824</v>
      </c>
      <c r="M756" s="100" t="s">
        <v>1219</v>
      </c>
      <c r="N756" s="100">
        <v>9</v>
      </c>
      <c r="O756" s="183"/>
      <c r="P756" s="100" t="s">
        <v>1514</v>
      </c>
      <c r="Q756" s="111"/>
      <c r="R756" s="229"/>
    </row>
    <row r="757" spans="2:18" ht="42.75" x14ac:dyDescent="0.2">
      <c r="B757" s="13">
        <v>44812</v>
      </c>
      <c r="C757" s="66" t="s">
        <v>1521</v>
      </c>
      <c r="D757" s="14" t="s">
        <v>392</v>
      </c>
      <c r="E757" s="14" t="s">
        <v>57</v>
      </c>
      <c r="F757" s="103" t="s">
        <v>18</v>
      </c>
      <c r="G757" s="471">
        <v>0</v>
      </c>
      <c r="H757" s="258">
        <v>10000000</v>
      </c>
      <c r="I757" s="258">
        <f>List34[[#This Row],[Pengajuan Donasi]]</f>
        <v>10000000</v>
      </c>
      <c r="J757" s="213" t="str">
        <f>IF(List34[[#This Row],[Tanggal Trf]]&gt;0,"Done","-")</f>
        <v>Done</v>
      </c>
      <c r="K757" s="14" t="s">
        <v>1522</v>
      </c>
      <c r="L757" s="221">
        <v>44824</v>
      </c>
      <c r="M757" s="100" t="s">
        <v>540</v>
      </c>
      <c r="N757" s="100">
        <v>9</v>
      </c>
      <c r="O757" s="183"/>
      <c r="P757" s="100" t="s">
        <v>1514</v>
      </c>
      <c r="Q757" s="111"/>
      <c r="R757" s="229"/>
    </row>
    <row r="758" spans="2:18" ht="30" customHeight="1" x14ac:dyDescent="0.2">
      <c r="B758" s="13">
        <v>44812</v>
      </c>
      <c r="C758" s="66" t="s">
        <v>1523</v>
      </c>
      <c r="D758" s="14" t="s">
        <v>429</v>
      </c>
      <c r="E758" s="14" t="s">
        <v>57</v>
      </c>
      <c r="F758" s="103" t="s">
        <v>18</v>
      </c>
      <c r="G758" s="471">
        <v>0</v>
      </c>
      <c r="H758" s="258">
        <v>10000000</v>
      </c>
      <c r="I758" s="258">
        <f>List34[[#This Row],[Pengajuan Donasi]]</f>
        <v>10000000</v>
      </c>
      <c r="J758" s="213" t="str">
        <f>IF(List34[[#This Row],[Tanggal Trf]]&gt;0,"Done","-")</f>
        <v>Done</v>
      </c>
      <c r="K758" s="14" t="s">
        <v>1524</v>
      </c>
      <c r="L758" s="221">
        <v>44824</v>
      </c>
      <c r="M758" s="100" t="s">
        <v>537</v>
      </c>
      <c r="N758" s="100">
        <v>9</v>
      </c>
      <c r="O758" s="183"/>
      <c r="P758" s="100" t="s">
        <v>1514</v>
      </c>
      <c r="Q758" s="111"/>
      <c r="R758" s="229"/>
    </row>
    <row r="759" spans="2:18" ht="30" customHeight="1" x14ac:dyDescent="0.2">
      <c r="B759" s="13">
        <v>44812</v>
      </c>
      <c r="C759" s="66" t="s">
        <v>1525</v>
      </c>
      <c r="D759" s="14" t="s">
        <v>420</v>
      </c>
      <c r="E759" s="14" t="s">
        <v>57</v>
      </c>
      <c r="F759" s="103" t="s">
        <v>18</v>
      </c>
      <c r="G759" s="471">
        <v>0</v>
      </c>
      <c r="H759" s="258">
        <v>10000000</v>
      </c>
      <c r="I759" s="258">
        <f>List34[[#This Row],[Pengajuan Donasi]]</f>
        <v>10000000</v>
      </c>
      <c r="J759" s="213" t="str">
        <f>IF(List34[[#This Row],[Tanggal Trf]]&gt;0,"Done","-")</f>
        <v>Done</v>
      </c>
      <c r="K759" s="14" t="s">
        <v>1526</v>
      </c>
      <c r="L759" s="221">
        <v>44824</v>
      </c>
      <c r="M759" s="100" t="s">
        <v>534</v>
      </c>
      <c r="N759" s="100">
        <v>9</v>
      </c>
      <c r="O759" s="183"/>
      <c r="P759" s="100" t="s">
        <v>1514</v>
      </c>
      <c r="Q759" s="111"/>
      <c r="R759" s="229"/>
    </row>
    <row r="760" spans="2:18" ht="30" customHeight="1" x14ac:dyDescent="0.2">
      <c r="B760" s="13">
        <v>44812</v>
      </c>
      <c r="C760" s="66" t="s">
        <v>1527</v>
      </c>
      <c r="D760" s="14" t="s">
        <v>426</v>
      </c>
      <c r="E760" s="14" t="s">
        <v>57</v>
      </c>
      <c r="F760" s="103" t="s">
        <v>18</v>
      </c>
      <c r="G760" s="471">
        <v>0</v>
      </c>
      <c r="H760" s="258">
        <v>10000000</v>
      </c>
      <c r="I760" s="258">
        <f>List34[[#This Row],[Pengajuan Donasi]]</f>
        <v>10000000</v>
      </c>
      <c r="J760" s="213" t="str">
        <f>IF(List34[[#This Row],[Tanggal Trf]]&gt;0,"Done","-")</f>
        <v>Done</v>
      </c>
      <c r="K760" s="14" t="s">
        <v>1528</v>
      </c>
      <c r="L760" s="221">
        <v>44824</v>
      </c>
      <c r="M760" s="100" t="s">
        <v>655</v>
      </c>
      <c r="N760" s="100">
        <v>9</v>
      </c>
      <c r="O760" s="183"/>
      <c r="P760" s="100" t="s">
        <v>1514</v>
      </c>
      <c r="Q760" s="111"/>
      <c r="R760" s="229"/>
    </row>
    <row r="761" spans="2:18" ht="30" customHeight="1" x14ac:dyDescent="0.2">
      <c r="B761" s="13">
        <v>44812</v>
      </c>
      <c r="C761" s="66" t="s">
        <v>1529</v>
      </c>
      <c r="D761" s="14" t="s">
        <v>413</v>
      </c>
      <c r="E761" s="14" t="s">
        <v>57</v>
      </c>
      <c r="F761" s="103" t="s">
        <v>18</v>
      </c>
      <c r="G761" s="471">
        <v>0</v>
      </c>
      <c r="H761" s="258">
        <v>10000000</v>
      </c>
      <c r="I761" s="258">
        <f>List34[[#This Row],[Pengajuan Donasi]]</f>
        <v>10000000</v>
      </c>
      <c r="J761" s="213" t="str">
        <f>IF(List34[[#This Row],[Tanggal Trf]]&gt;0,"Done","-")</f>
        <v>Done</v>
      </c>
      <c r="K761" s="14" t="s">
        <v>1530</v>
      </c>
      <c r="L761" s="221">
        <v>44824</v>
      </c>
      <c r="M761" s="100" t="s">
        <v>544</v>
      </c>
      <c r="N761" s="100">
        <v>9</v>
      </c>
      <c r="O761" s="183"/>
      <c r="P761" s="100" t="s">
        <v>1514</v>
      </c>
      <c r="Q761" s="111"/>
      <c r="R761" s="229"/>
    </row>
    <row r="762" spans="2:18" ht="30" customHeight="1" x14ac:dyDescent="0.2">
      <c r="B762" s="13">
        <v>44812</v>
      </c>
      <c r="C762" s="66" t="s">
        <v>1531</v>
      </c>
      <c r="D762" s="14" t="s">
        <v>407</v>
      </c>
      <c r="E762" s="14" t="s">
        <v>57</v>
      </c>
      <c r="F762" s="103" t="s">
        <v>18</v>
      </c>
      <c r="G762" s="471">
        <v>0</v>
      </c>
      <c r="H762" s="258">
        <v>10000000</v>
      </c>
      <c r="I762" s="258">
        <f>List34[[#This Row],[Pengajuan Donasi]]</f>
        <v>10000000</v>
      </c>
      <c r="J762" s="213" t="str">
        <f>IF(List34[[#This Row],[Tanggal Trf]]&gt;0,"Done","-")</f>
        <v>Done</v>
      </c>
      <c r="K762" s="14" t="s">
        <v>1532</v>
      </c>
      <c r="L762" s="221">
        <v>44824</v>
      </c>
      <c r="M762" s="100" t="s">
        <v>661</v>
      </c>
      <c r="N762" s="100">
        <v>9</v>
      </c>
      <c r="O762" s="183"/>
      <c r="P762" s="100" t="s">
        <v>1514</v>
      </c>
      <c r="Q762" s="111"/>
      <c r="R762" s="229"/>
    </row>
    <row r="763" spans="2:18" ht="30" customHeight="1" x14ac:dyDescent="0.2">
      <c r="B763" s="13">
        <v>44812</v>
      </c>
      <c r="C763" s="66" t="s">
        <v>1533</v>
      </c>
      <c r="D763" s="14" t="s">
        <v>916</v>
      </c>
      <c r="E763" s="14" t="s">
        <v>26</v>
      </c>
      <c r="F763" s="103" t="s">
        <v>18</v>
      </c>
      <c r="G763" s="471">
        <v>1</v>
      </c>
      <c r="H763" s="258">
        <v>500000</v>
      </c>
      <c r="I763" s="258">
        <f>List34[[#This Row],[Pengajuan Donasi]]</f>
        <v>500000</v>
      </c>
      <c r="J763" s="213" t="str">
        <f>IF(List34[[#This Row],[Tanggal Trf]]&gt;0,"Done","-")</f>
        <v>Done</v>
      </c>
      <c r="K763" s="445" t="s">
        <v>1534</v>
      </c>
      <c r="L763" s="221">
        <v>44853</v>
      </c>
      <c r="M763" s="100" t="s">
        <v>895</v>
      </c>
      <c r="N763" s="100">
        <v>9</v>
      </c>
      <c r="O763" s="183"/>
      <c r="P763" s="100" t="s">
        <v>1514</v>
      </c>
      <c r="Q763" s="111"/>
      <c r="R763" s="229"/>
    </row>
    <row r="764" spans="2:18" ht="24.75" x14ac:dyDescent="0.2">
      <c r="B764" s="13">
        <v>44812</v>
      </c>
      <c r="C764" s="66"/>
      <c r="D764" s="14" t="s">
        <v>1535</v>
      </c>
      <c r="E764" s="14" t="s">
        <v>26</v>
      </c>
      <c r="F764" s="103" t="s">
        <v>18</v>
      </c>
      <c r="G764" s="471">
        <v>1</v>
      </c>
      <c r="H764" s="258">
        <v>500000</v>
      </c>
      <c r="I764" s="258">
        <f>List34[[#This Row],[Pengajuan Donasi]]</f>
        <v>500000</v>
      </c>
      <c r="J764" s="213" t="str">
        <f>IF(List34[[#This Row],[Tanggal Trf]]&gt;0,"Done","-")</f>
        <v>Done</v>
      </c>
      <c r="K764" s="445" t="s">
        <v>1534</v>
      </c>
      <c r="L764" s="221">
        <v>44853</v>
      </c>
      <c r="M764" s="100" t="s">
        <v>1536</v>
      </c>
      <c r="N764" s="100">
        <v>9</v>
      </c>
      <c r="O764" s="183"/>
      <c r="P764" s="100" t="s">
        <v>1514</v>
      </c>
      <c r="Q764" s="111"/>
      <c r="R764" s="229"/>
    </row>
    <row r="765" spans="2:18" ht="24.75" x14ac:dyDescent="0.2">
      <c r="B765" s="13">
        <v>44812</v>
      </c>
      <c r="C765" s="66"/>
      <c r="D765" s="14" t="s">
        <v>1537</v>
      </c>
      <c r="E765" s="14" t="s">
        <v>26</v>
      </c>
      <c r="F765" s="103" t="s">
        <v>18</v>
      </c>
      <c r="G765" s="471">
        <v>1</v>
      </c>
      <c r="H765" s="258">
        <v>500000</v>
      </c>
      <c r="I765" s="258">
        <f>List34[[#This Row],[Pengajuan Donasi]]</f>
        <v>500000</v>
      </c>
      <c r="J765" s="213" t="str">
        <f>IF(List34[[#This Row],[Tanggal Trf]]&gt;0,"Done","-")</f>
        <v>Done</v>
      </c>
      <c r="K765" s="445" t="s">
        <v>1534</v>
      </c>
      <c r="L765" s="221">
        <v>44853</v>
      </c>
      <c r="M765" s="100" t="s">
        <v>1538</v>
      </c>
      <c r="N765" s="100">
        <v>9</v>
      </c>
      <c r="O765" s="183"/>
      <c r="P765" s="100" t="s">
        <v>1514</v>
      </c>
      <c r="Q765" s="111"/>
      <c r="R765" s="229"/>
    </row>
    <row r="766" spans="2:18" ht="24.75" x14ac:dyDescent="0.2">
      <c r="B766" s="13">
        <v>44812</v>
      </c>
      <c r="C766" s="66"/>
      <c r="D766" s="14" t="s">
        <v>919</v>
      </c>
      <c r="E766" s="14" t="s">
        <v>26</v>
      </c>
      <c r="F766" s="103" t="s">
        <v>18</v>
      </c>
      <c r="G766" s="471">
        <v>1</v>
      </c>
      <c r="H766" s="258">
        <v>500000</v>
      </c>
      <c r="I766" s="258">
        <f>List34[[#This Row],[Pengajuan Donasi]]</f>
        <v>500000</v>
      </c>
      <c r="J766" s="213" t="str">
        <f>IF(List34[[#This Row],[Tanggal Trf]]&gt;0,"Done","-")</f>
        <v>Done</v>
      </c>
      <c r="K766" s="445" t="s">
        <v>1534</v>
      </c>
      <c r="L766" s="221">
        <v>44853</v>
      </c>
      <c r="M766" s="100" t="s">
        <v>897</v>
      </c>
      <c r="N766" s="100">
        <v>9</v>
      </c>
      <c r="O766" s="183"/>
      <c r="P766" s="100" t="s">
        <v>1514</v>
      </c>
      <c r="Q766" s="111"/>
      <c r="R766" s="229"/>
    </row>
    <row r="767" spans="2:18" ht="24.75" x14ac:dyDescent="0.2">
      <c r="B767" s="13">
        <v>44812</v>
      </c>
      <c r="C767" s="66"/>
      <c r="D767" s="14" t="s">
        <v>920</v>
      </c>
      <c r="E767" s="14" t="s">
        <v>26</v>
      </c>
      <c r="F767" s="103" t="s">
        <v>18</v>
      </c>
      <c r="G767" s="471">
        <v>1</v>
      </c>
      <c r="H767" s="258">
        <v>500000</v>
      </c>
      <c r="I767" s="258">
        <f>List34[[#This Row],[Pengajuan Donasi]]</f>
        <v>500000</v>
      </c>
      <c r="J767" s="213" t="str">
        <f>IF(List34[[#This Row],[Tanggal Trf]]&gt;0,"Done","-")</f>
        <v>Done</v>
      </c>
      <c r="K767" s="445" t="s">
        <v>1534</v>
      </c>
      <c r="L767" s="221">
        <v>44853</v>
      </c>
      <c r="M767" s="100" t="s">
        <v>915</v>
      </c>
      <c r="N767" s="100">
        <v>9</v>
      </c>
      <c r="O767" s="183"/>
      <c r="P767" s="100" t="s">
        <v>1514</v>
      </c>
      <c r="Q767" s="111"/>
      <c r="R767" s="229"/>
    </row>
    <row r="768" spans="2:18" ht="24.75" x14ac:dyDescent="0.2">
      <c r="B768" s="13">
        <v>44812</v>
      </c>
      <c r="C768" s="66"/>
      <c r="D768" s="14" t="s">
        <v>921</v>
      </c>
      <c r="E768" s="14" t="s">
        <v>26</v>
      </c>
      <c r="F768" s="103" t="s">
        <v>18</v>
      </c>
      <c r="G768" s="471">
        <v>1</v>
      </c>
      <c r="H768" s="258">
        <v>500000</v>
      </c>
      <c r="I768" s="258">
        <f>List34[[#This Row],[Pengajuan Donasi]]</f>
        <v>500000</v>
      </c>
      <c r="J768" s="213" t="str">
        <f>IF(List34[[#This Row],[Tanggal Trf]]&gt;0,"Done","-")</f>
        <v>Done</v>
      </c>
      <c r="K768" s="445" t="s">
        <v>1534</v>
      </c>
      <c r="L768" s="221">
        <v>44853</v>
      </c>
      <c r="M768" s="100" t="s">
        <v>1539</v>
      </c>
      <c r="N768" s="100">
        <v>9</v>
      </c>
      <c r="O768" s="183"/>
      <c r="P768" s="100" t="s">
        <v>1514</v>
      </c>
      <c r="Q768" s="111"/>
      <c r="R768" s="229"/>
    </row>
    <row r="769" spans="2:18" ht="24.75" x14ac:dyDescent="0.2">
      <c r="B769" s="13">
        <v>44812</v>
      </c>
      <c r="C769" s="66"/>
      <c r="D769" s="14" t="s">
        <v>922</v>
      </c>
      <c r="E769" s="14" t="s">
        <v>26</v>
      </c>
      <c r="F769" s="103" t="s">
        <v>18</v>
      </c>
      <c r="G769" s="471">
        <v>1</v>
      </c>
      <c r="H769" s="258">
        <v>500000</v>
      </c>
      <c r="I769" s="258">
        <f>List34[[#This Row],[Pengajuan Donasi]]</f>
        <v>500000</v>
      </c>
      <c r="J769" s="213" t="str">
        <f>IF(List34[[#This Row],[Tanggal Trf]]&gt;0,"Done","-")</f>
        <v>Done</v>
      </c>
      <c r="K769" s="445" t="s">
        <v>1534</v>
      </c>
      <c r="L769" s="221">
        <v>44853</v>
      </c>
      <c r="M769" s="100" t="s">
        <v>899</v>
      </c>
      <c r="N769" s="100">
        <v>9</v>
      </c>
      <c r="O769" s="183"/>
      <c r="P769" s="100" t="s">
        <v>1514</v>
      </c>
      <c r="Q769" s="111"/>
      <c r="R769" s="229"/>
    </row>
    <row r="770" spans="2:18" ht="24.75" x14ac:dyDescent="0.2">
      <c r="B770" s="13">
        <v>44812</v>
      </c>
      <c r="C770" s="66"/>
      <c r="D770" s="14" t="s">
        <v>923</v>
      </c>
      <c r="E770" s="14" t="s">
        <v>26</v>
      </c>
      <c r="F770" s="103" t="s">
        <v>18</v>
      </c>
      <c r="G770" s="471">
        <v>1</v>
      </c>
      <c r="H770" s="258">
        <v>500000</v>
      </c>
      <c r="I770" s="258">
        <f>List34[[#This Row],[Pengajuan Donasi]]</f>
        <v>500000</v>
      </c>
      <c r="J770" s="213" t="str">
        <f>IF(List34[[#This Row],[Tanggal Trf]]&gt;0,"Done","-")</f>
        <v>Done</v>
      </c>
      <c r="K770" s="445" t="s">
        <v>1534</v>
      </c>
      <c r="L770" s="221">
        <v>44853</v>
      </c>
      <c r="M770" s="100" t="s">
        <v>900</v>
      </c>
      <c r="N770" s="100">
        <v>9</v>
      </c>
      <c r="O770" s="183"/>
      <c r="P770" s="100" t="s">
        <v>1514</v>
      </c>
      <c r="Q770" s="111"/>
      <c r="R770" s="229"/>
    </row>
    <row r="771" spans="2:18" ht="24.75" x14ac:dyDescent="0.2">
      <c r="B771" s="13">
        <v>44812</v>
      </c>
      <c r="C771" s="66"/>
      <c r="D771" s="14" t="s">
        <v>924</v>
      </c>
      <c r="E771" s="14" t="s">
        <v>26</v>
      </c>
      <c r="F771" s="103" t="s">
        <v>18</v>
      </c>
      <c r="G771" s="471">
        <v>1</v>
      </c>
      <c r="H771" s="258">
        <v>500000</v>
      </c>
      <c r="I771" s="258">
        <f>List34[[#This Row],[Pengajuan Donasi]]</f>
        <v>500000</v>
      </c>
      <c r="J771" s="213" t="str">
        <f>IF(List34[[#This Row],[Tanggal Trf]]&gt;0,"Done","-")</f>
        <v>Done</v>
      </c>
      <c r="K771" s="445" t="s">
        <v>1534</v>
      </c>
      <c r="L771" s="221">
        <v>44853</v>
      </c>
      <c r="M771" s="100" t="s">
        <v>901</v>
      </c>
      <c r="N771" s="100">
        <v>9</v>
      </c>
      <c r="O771" s="183"/>
      <c r="P771" s="100" t="s">
        <v>1514</v>
      </c>
      <c r="Q771" s="111"/>
      <c r="R771" s="229"/>
    </row>
    <row r="772" spans="2:18" ht="30" customHeight="1" x14ac:dyDescent="0.2">
      <c r="B772" s="13">
        <v>44812</v>
      </c>
      <c r="C772" s="66"/>
      <c r="D772" s="14" t="s">
        <v>925</v>
      </c>
      <c r="E772" s="14" t="s">
        <v>26</v>
      </c>
      <c r="F772" s="103" t="s">
        <v>18</v>
      </c>
      <c r="G772" s="471">
        <v>1</v>
      </c>
      <c r="H772" s="258">
        <v>500000</v>
      </c>
      <c r="I772" s="258">
        <f>List34[[#This Row],[Pengajuan Donasi]]</f>
        <v>500000</v>
      </c>
      <c r="J772" s="213" t="str">
        <f>IF(List34[[#This Row],[Tanggal Trf]]&gt;0,"Done","-")</f>
        <v>Done</v>
      </c>
      <c r="K772" s="445" t="s">
        <v>1534</v>
      </c>
      <c r="L772" s="221">
        <v>44853</v>
      </c>
      <c r="M772" s="100" t="s">
        <v>1014</v>
      </c>
      <c r="N772" s="100">
        <v>9</v>
      </c>
      <c r="O772" s="183"/>
      <c r="P772" s="100" t="s">
        <v>1514</v>
      </c>
      <c r="Q772" s="111"/>
      <c r="R772" s="229"/>
    </row>
    <row r="773" spans="2:18" ht="24.75" x14ac:dyDescent="0.2">
      <c r="B773" s="13">
        <v>44812</v>
      </c>
      <c r="C773" s="66"/>
      <c r="D773" s="14" t="s">
        <v>926</v>
      </c>
      <c r="E773" s="14" t="s">
        <v>26</v>
      </c>
      <c r="F773" s="103" t="s">
        <v>18</v>
      </c>
      <c r="G773" s="471">
        <v>1</v>
      </c>
      <c r="H773" s="258">
        <v>500000</v>
      </c>
      <c r="I773" s="258">
        <f>List34[[#This Row],[Pengajuan Donasi]]</f>
        <v>500000</v>
      </c>
      <c r="J773" s="213" t="str">
        <f>IF(List34[[#This Row],[Tanggal Trf]]&gt;0,"Done","-")</f>
        <v>Done</v>
      </c>
      <c r="K773" s="445" t="s">
        <v>1534</v>
      </c>
      <c r="L773" s="221">
        <v>44853</v>
      </c>
      <c r="M773" s="100" t="s">
        <v>1540</v>
      </c>
      <c r="N773" s="100">
        <v>9</v>
      </c>
      <c r="O773" s="183"/>
      <c r="P773" s="100" t="s">
        <v>1514</v>
      </c>
      <c r="Q773" s="111"/>
      <c r="R773" s="229"/>
    </row>
    <row r="774" spans="2:18" ht="24.75" x14ac:dyDescent="0.2">
      <c r="B774" s="13">
        <v>44812</v>
      </c>
      <c r="C774" s="66"/>
      <c r="D774" s="14" t="s">
        <v>927</v>
      </c>
      <c r="E774" s="14" t="s">
        <v>26</v>
      </c>
      <c r="F774" s="103" t="s">
        <v>18</v>
      </c>
      <c r="G774" s="471">
        <v>1</v>
      </c>
      <c r="H774" s="258">
        <v>500000</v>
      </c>
      <c r="I774" s="258">
        <f>List34[[#This Row],[Pengajuan Donasi]]</f>
        <v>500000</v>
      </c>
      <c r="J774" s="213" t="str">
        <f>IF(List34[[#This Row],[Tanggal Trf]]&gt;0,"Done","-")</f>
        <v>Done</v>
      </c>
      <c r="K774" s="445" t="s">
        <v>1534</v>
      </c>
      <c r="L774" s="221">
        <v>44853</v>
      </c>
      <c r="M774" s="100" t="s">
        <v>1541</v>
      </c>
      <c r="N774" s="100">
        <v>9</v>
      </c>
      <c r="O774" s="183"/>
      <c r="P774" s="100" t="s">
        <v>1514</v>
      </c>
      <c r="Q774" s="111"/>
      <c r="R774" s="229"/>
    </row>
    <row r="775" spans="2:18" ht="24.75" x14ac:dyDescent="0.2">
      <c r="B775" s="13">
        <v>44812</v>
      </c>
      <c r="C775" s="66"/>
      <c r="D775" s="14" t="s">
        <v>928</v>
      </c>
      <c r="E775" s="14" t="s">
        <v>26</v>
      </c>
      <c r="F775" s="103" t="s">
        <v>18</v>
      </c>
      <c r="G775" s="471">
        <v>1</v>
      </c>
      <c r="H775" s="258">
        <v>500000</v>
      </c>
      <c r="I775" s="258">
        <f>List34[[#This Row],[Pengajuan Donasi]]</f>
        <v>500000</v>
      </c>
      <c r="J775" s="213" t="str">
        <f>IF(List34[[#This Row],[Tanggal Trf]]&gt;0,"Done","-")</f>
        <v>Done</v>
      </c>
      <c r="K775" s="445" t="s">
        <v>1534</v>
      </c>
      <c r="L775" s="221">
        <v>44853</v>
      </c>
      <c r="M775" s="100" t="s">
        <v>1542</v>
      </c>
      <c r="N775" s="100">
        <v>9</v>
      </c>
      <c r="O775" s="183"/>
      <c r="P775" s="100" t="s">
        <v>1514</v>
      </c>
      <c r="Q775" s="111"/>
      <c r="R775" s="229"/>
    </row>
    <row r="776" spans="2:18" ht="24.75" x14ac:dyDescent="0.2">
      <c r="B776" s="13">
        <v>44812</v>
      </c>
      <c r="C776" s="66"/>
      <c r="D776" s="14" t="s">
        <v>929</v>
      </c>
      <c r="E776" s="14" t="s">
        <v>26</v>
      </c>
      <c r="F776" s="103" t="s">
        <v>18</v>
      </c>
      <c r="G776" s="471">
        <v>1</v>
      </c>
      <c r="H776" s="258">
        <v>500000</v>
      </c>
      <c r="I776" s="258">
        <f>List34[[#This Row],[Pengajuan Donasi]]</f>
        <v>500000</v>
      </c>
      <c r="J776" s="213" t="str">
        <f>IF(List34[[#This Row],[Tanggal Trf]]&gt;0,"Done","-")</f>
        <v>Done</v>
      </c>
      <c r="K776" s="445" t="s">
        <v>1534</v>
      </c>
      <c r="L776" s="221">
        <v>44853</v>
      </c>
      <c r="M776" s="100" t="s">
        <v>902</v>
      </c>
      <c r="N776" s="100">
        <v>9</v>
      </c>
      <c r="O776" s="183"/>
      <c r="P776" s="100" t="s">
        <v>1514</v>
      </c>
      <c r="Q776" s="111"/>
      <c r="R776" s="229"/>
    </row>
    <row r="777" spans="2:18" ht="24.75" x14ac:dyDescent="0.2">
      <c r="B777" s="13">
        <v>44812</v>
      </c>
      <c r="C777" s="66"/>
      <c r="D777" s="14" t="s">
        <v>930</v>
      </c>
      <c r="E777" s="14" t="s">
        <v>26</v>
      </c>
      <c r="F777" s="103" t="s">
        <v>18</v>
      </c>
      <c r="G777" s="471">
        <v>1</v>
      </c>
      <c r="H777" s="258">
        <v>500000</v>
      </c>
      <c r="I777" s="258">
        <f>List34[[#This Row],[Pengajuan Donasi]]</f>
        <v>500000</v>
      </c>
      <c r="J777" s="213" t="str">
        <f>IF(List34[[#This Row],[Tanggal Trf]]&gt;0,"Done","-")</f>
        <v>Done</v>
      </c>
      <c r="K777" s="445" t="s">
        <v>1534</v>
      </c>
      <c r="L777" s="221">
        <v>44853</v>
      </c>
      <c r="M777" s="100" t="s">
        <v>903</v>
      </c>
      <c r="N777" s="100">
        <v>9</v>
      </c>
      <c r="O777" s="183"/>
      <c r="P777" s="100" t="s">
        <v>1514</v>
      </c>
      <c r="Q777" s="111"/>
      <c r="R777" s="229"/>
    </row>
    <row r="778" spans="2:18" ht="24.75" x14ac:dyDescent="0.2">
      <c r="B778" s="13">
        <v>44812</v>
      </c>
      <c r="C778" s="66"/>
      <c r="D778" s="14" t="s">
        <v>1543</v>
      </c>
      <c r="E778" s="14" t="s">
        <v>26</v>
      </c>
      <c r="F778" s="103" t="s">
        <v>18</v>
      </c>
      <c r="G778" s="471">
        <v>0</v>
      </c>
      <c r="H778" s="258">
        <v>500000</v>
      </c>
      <c r="I778" s="258">
        <f>List34[[#This Row],[Pengajuan Donasi]]</f>
        <v>500000</v>
      </c>
      <c r="J778" s="213" t="str">
        <f>IF(List34[[#This Row],[Tanggal Trf]]&gt;0,"Done","-")</f>
        <v>Done</v>
      </c>
      <c r="K778" s="445" t="s">
        <v>1534</v>
      </c>
      <c r="L778" s="221">
        <v>44853</v>
      </c>
      <c r="M778" s="100" t="s">
        <v>1544</v>
      </c>
      <c r="N778" s="100">
        <v>9</v>
      </c>
      <c r="O778" s="183"/>
      <c r="P778" s="100" t="s">
        <v>1514</v>
      </c>
      <c r="Q778" s="111"/>
      <c r="R778" s="229"/>
    </row>
    <row r="779" spans="2:18" ht="24.75" x14ac:dyDescent="0.2">
      <c r="B779" s="13">
        <v>44812</v>
      </c>
      <c r="C779" s="66"/>
      <c r="D779" s="14" t="s">
        <v>1545</v>
      </c>
      <c r="E779" s="14" t="s">
        <v>26</v>
      </c>
      <c r="F779" s="103" t="s">
        <v>18</v>
      </c>
      <c r="G779" s="471">
        <v>0</v>
      </c>
      <c r="H779" s="258">
        <v>500000</v>
      </c>
      <c r="I779" s="258">
        <f>List34[[#This Row],[Pengajuan Donasi]]</f>
        <v>500000</v>
      </c>
      <c r="J779" s="213" t="str">
        <f>IF(List34[[#This Row],[Tanggal Trf]]&gt;0,"Done","-")</f>
        <v>Done</v>
      </c>
      <c r="K779" s="445" t="s">
        <v>1534</v>
      </c>
      <c r="L779" s="221">
        <v>44853</v>
      </c>
      <c r="M779" s="100" t="s">
        <v>1546</v>
      </c>
      <c r="N779" s="100">
        <v>9</v>
      </c>
      <c r="O779" s="183"/>
      <c r="P779" s="100" t="s">
        <v>1514</v>
      </c>
      <c r="Q779" s="111"/>
      <c r="R779" s="229"/>
    </row>
    <row r="780" spans="2:18" ht="30" customHeight="1" x14ac:dyDescent="0.2">
      <c r="B780" s="13">
        <v>44812</v>
      </c>
      <c r="C780" s="66" t="s">
        <v>1547</v>
      </c>
      <c r="D780" s="14" t="s">
        <v>256</v>
      </c>
      <c r="E780" s="14" t="s">
        <v>17</v>
      </c>
      <c r="F780" s="103" t="s">
        <v>18</v>
      </c>
      <c r="G780" s="471">
        <v>86</v>
      </c>
      <c r="H780" s="258">
        <v>5500000</v>
      </c>
      <c r="I780" s="258">
        <f>List34[[#This Row],[Pengajuan Donasi]]</f>
        <v>5500000</v>
      </c>
      <c r="J780" s="213" t="str">
        <f>IF(List34[[#This Row],[Tanggal Trf]]&gt;0,"Done","-")</f>
        <v>Done</v>
      </c>
      <c r="K780" s="14" t="s">
        <v>1548</v>
      </c>
      <c r="L780" s="221">
        <v>44824</v>
      </c>
      <c r="M780" s="100" t="s">
        <v>136</v>
      </c>
      <c r="N780" s="100">
        <v>9</v>
      </c>
      <c r="O780" s="183"/>
      <c r="P780" s="100" t="s">
        <v>1514</v>
      </c>
      <c r="Q780" s="111"/>
      <c r="R780" s="229"/>
    </row>
    <row r="781" spans="2:18" ht="30" customHeight="1" x14ac:dyDescent="0.2">
      <c r="B781" s="13">
        <v>44812</v>
      </c>
      <c r="C781" s="66"/>
      <c r="D781" s="14" t="s">
        <v>257</v>
      </c>
      <c r="E781" s="14" t="s">
        <v>17</v>
      </c>
      <c r="F781" s="103" t="s">
        <v>18</v>
      </c>
      <c r="G781" s="471">
        <v>128</v>
      </c>
      <c r="H781" s="258">
        <v>5500000</v>
      </c>
      <c r="I781" s="258">
        <f>List34[[#This Row],[Pengajuan Donasi]]</f>
        <v>5500000</v>
      </c>
      <c r="J781" s="213" t="str">
        <f>IF(List34[[#This Row],[Tanggal Trf]]&gt;0,"Done","-")</f>
        <v>Done</v>
      </c>
      <c r="K781" s="14" t="s">
        <v>1548</v>
      </c>
      <c r="L781" s="221">
        <v>44824</v>
      </c>
      <c r="M781" s="100" t="s">
        <v>136</v>
      </c>
      <c r="N781" s="100">
        <f>MONTH(List34[[#This Row],[Tanggal Pengajuan]])</f>
        <v>9</v>
      </c>
      <c r="O781" s="183"/>
      <c r="P781" s="100"/>
      <c r="Q781" s="111"/>
      <c r="R781" s="229"/>
    </row>
    <row r="782" spans="2:18" ht="30" customHeight="1" x14ac:dyDescent="0.2">
      <c r="B782" s="13">
        <v>44812</v>
      </c>
      <c r="C782" s="66"/>
      <c r="D782" s="14" t="s">
        <v>222</v>
      </c>
      <c r="E782" s="14" t="s">
        <v>17</v>
      </c>
      <c r="F782" s="103" t="s">
        <v>18</v>
      </c>
      <c r="G782" s="471">
        <v>26</v>
      </c>
      <c r="H782" s="258">
        <v>5500000</v>
      </c>
      <c r="I782" s="258">
        <f>List34[[#This Row],[Pengajuan Donasi]]</f>
        <v>5500000</v>
      </c>
      <c r="J782" s="213" t="str">
        <f>IF(List34[[#This Row],[Tanggal Trf]]&gt;0,"Done","-")</f>
        <v>Done</v>
      </c>
      <c r="K782" s="14" t="s">
        <v>1548</v>
      </c>
      <c r="L782" s="221">
        <v>44824</v>
      </c>
      <c r="M782" s="100" t="s">
        <v>136</v>
      </c>
      <c r="N782" s="100">
        <f>MONTH(List34[[#This Row],[Tanggal Pengajuan]])</f>
        <v>9</v>
      </c>
      <c r="O782" s="183"/>
      <c r="P782" s="100"/>
      <c r="Q782" s="111"/>
      <c r="R782" s="229"/>
    </row>
    <row r="783" spans="2:18" ht="46.5" customHeight="1" x14ac:dyDescent="0.2">
      <c r="B783" s="210">
        <v>44813</v>
      </c>
      <c r="C783" s="189" t="s">
        <v>1549</v>
      </c>
      <c r="D783" s="164" t="s">
        <v>1059</v>
      </c>
      <c r="E783" s="164" t="s">
        <v>1055</v>
      </c>
      <c r="F783" s="168" t="s">
        <v>18</v>
      </c>
      <c r="G783" s="470"/>
      <c r="H783" s="261"/>
      <c r="I783" s="261">
        <f>List34[[#This Row],[Pengajuan Donasi]]</f>
        <v>0</v>
      </c>
      <c r="J783" s="253" t="str">
        <f>IF(List34[[#This Row],[Tanggal Trf]]&gt;0,"Done","-")</f>
        <v>-</v>
      </c>
      <c r="K783" s="447" t="s">
        <v>1550</v>
      </c>
      <c r="L783" s="222"/>
      <c r="M783" s="193" t="s">
        <v>1000</v>
      </c>
      <c r="N783" s="193">
        <v>9</v>
      </c>
      <c r="O783" s="183"/>
      <c r="P783" s="100" t="s">
        <v>888</v>
      </c>
      <c r="Q783" s="111"/>
      <c r="R783" s="229"/>
    </row>
    <row r="784" spans="2:18" ht="30" customHeight="1" x14ac:dyDescent="0.2">
      <c r="B784" s="13">
        <v>44816</v>
      </c>
      <c r="C784" s="66" t="s">
        <v>1551</v>
      </c>
      <c r="D784" s="14" t="s">
        <v>852</v>
      </c>
      <c r="E784" s="14" t="s">
        <v>17</v>
      </c>
      <c r="F784" s="103" t="s">
        <v>18</v>
      </c>
      <c r="G784" s="471"/>
      <c r="H784" s="258">
        <v>6249770</v>
      </c>
      <c r="I784" s="258">
        <f>List34[[#This Row],[Pengajuan Donasi]]</f>
        <v>6249770</v>
      </c>
      <c r="J784" s="213" t="str">
        <f>IF(List34[[#This Row],[Tanggal Trf]]&gt;0,"Done","-")</f>
        <v>Done</v>
      </c>
      <c r="K784" s="14" t="s">
        <v>1552</v>
      </c>
      <c r="L784" s="221">
        <v>44821</v>
      </c>
      <c r="M784" s="14" t="s">
        <v>852</v>
      </c>
      <c r="N784" s="100">
        <v>9</v>
      </c>
      <c r="O784" s="183">
        <v>44854</v>
      </c>
      <c r="P784" s="100" t="s">
        <v>888</v>
      </c>
      <c r="Q784" s="111"/>
      <c r="R784" s="229"/>
    </row>
    <row r="785" spans="2:20" ht="30" customHeight="1" x14ac:dyDescent="0.2">
      <c r="B785" s="13">
        <v>44816</v>
      </c>
      <c r="C785" s="66"/>
      <c r="D785" s="14" t="s">
        <v>858</v>
      </c>
      <c r="E785" s="14" t="s">
        <v>17</v>
      </c>
      <c r="F785" s="103" t="s">
        <v>18</v>
      </c>
      <c r="G785" s="471">
        <f>IFERROR(VLOOKUP(List34[[#This Row],[Site / Lokasi]],[7]Data!B:C,2,0),0)</f>
        <v>0</v>
      </c>
      <c r="H785" s="258">
        <v>6531860</v>
      </c>
      <c r="I785" s="258">
        <f>List34[[#This Row],[Pengajuan Donasi]]</f>
        <v>6531860</v>
      </c>
      <c r="J785" s="213" t="str">
        <f>IF(List34[[#This Row],[Tanggal Trf]]&gt;0,"Done","-")</f>
        <v>Done</v>
      </c>
      <c r="K785" s="14" t="s">
        <v>1552</v>
      </c>
      <c r="L785" s="221">
        <v>44821</v>
      </c>
      <c r="M785" s="14" t="s">
        <v>858</v>
      </c>
      <c r="N785" s="100">
        <f>MONTH(List34[[#This Row],[Tanggal Pengajuan]])</f>
        <v>9</v>
      </c>
      <c r="O785" s="183">
        <v>44854</v>
      </c>
      <c r="P785" s="100" t="s">
        <v>888</v>
      </c>
      <c r="Q785" s="111"/>
      <c r="R785" s="229"/>
    </row>
    <row r="786" spans="2:20" ht="30" customHeight="1" x14ac:dyDescent="0.2">
      <c r="B786" s="13">
        <v>44817</v>
      </c>
      <c r="C786" s="66" t="s">
        <v>1553</v>
      </c>
      <c r="D786" s="14" t="s">
        <v>1554</v>
      </c>
      <c r="E786" s="14" t="s">
        <v>1054</v>
      </c>
      <c r="F786" s="103" t="s">
        <v>28</v>
      </c>
      <c r="G786" s="471"/>
      <c r="H786" s="258">
        <v>33300000</v>
      </c>
      <c r="I786" s="258">
        <f>List34[[#This Row],[Pengajuan Donasi]]</f>
        <v>33300000</v>
      </c>
      <c r="J786" s="213" t="str">
        <f>IF(List34[[#This Row],[Tanggal Trf]]&gt;0,"Done","-")</f>
        <v>Done</v>
      </c>
      <c r="K786" s="445"/>
      <c r="L786" s="221">
        <v>44824</v>
      </c>
      <c r="M786" s="100"/>
      <c r="N786" s="100">
        <v>9</v>
      </c>
      <c r="O786" s="183"/>
      <c r="P786" s="100" t="s">
        <v>1514</v>
      </c>
      <c r="Q786" s="111"/>
      <c r="R786" s="229"/>
    </row>
    <row r="787" spans="2:20" ht="30" customHeight="1" x14ac:dyDescent="0.2">
      <c r="B787" s="13">
        <v>44817</v>
      </c>
      <c r="C787" s="66" t="s">
        <v>1555</v>
      </c>
      <c r="D787" s="14" t="s">
        <v>1556</v>
      </c>
      <c r="E787" s="14" t="s">
        <v>107</v>
      </c>
      <c r="F787" s="103" t="s">
        <v>28</v>
      </c>
      <c r="G787" s="471"/>
      <c r="H787" s="258">
        <v>15000000</v>
      </c>
      <c r="I787" s="258">
        <f>List34[[#This Row],[Pengajuan Donasi]]</f>
        <v>15000000</v>
      </c>
      <c r="J787" s="213" t="str">
        <f>IF(List34[[#This Row],[Tanggal Trf]]&gt;0,"Done","-")</f>
        <v>Done</v>
      </c>
      <c r="K787" s="445"/>
      <c r="L787" s="221">
        <v>44844</v>
      </c>
      <c r="M787" s="100"/>
      <c r="N787" s="100">
        <v>9</v>
      </c>
      <c r="O787" s="183"/>
      <c r="P787" s="100" t="s">
        <v>1514</v>
      </c>
      <c r="Q787" s="111"/>
      <c r="R787" s="229"/>
    </row>
    <row r="788" spans="2:20" ht="30" customHeight="1" x14ac:dyDescent="0.2">
      <c r="B788" s="13">
        <v>44823</v>
      </c>
      <c r="C788" s="66" t="s">
        <v>1557</v>
      </c>
      <c r="D788" s="14" t="s">
        <v>1558</v>
      </c>
      <c r="E788" s="14" t="s">
        <v>1054</v>
      </c>
      <c r="F788" s="103" t="s">
        <v>28</v>
      </c>
      <c r="G788" s="471"/>
      <c r="H788" s="258">
        <v>35547750</v>
      </c>
      <c r="I788" s="258">
        <f>List34[[#This Row],[Pengajuan Donasi]]</f>
        <v>35547750</v>
      </c>
      <c r="J788" s="213" t="str">
        <f>IF(List34[[#This Row],[Tanggal Trf]]&gt;0,"Done","-")</f>
        <v>Done</v>
      </c>
      <c r="K788" s="445"/>
      <c r="L788" s="221">
        <v>44825</v>
      </c>
      <c r="M788" s="100"/>
      <c r="N788" s="100">
        <v>9</v>
      </c>
      <c r="O788" s="183"/>
      <c r="P788" s="100"/>
      <c r="Q788" s="111"/>
      <c r="R788" s="229"/>
    </row>
    <row r="789" spans="2:20" ht="30" customHeight="1" x14ac:dyDescent="0.2">
      <c r="B789" s="13">
        <v>44824</v>
      </c>
      <c r="C789" s="66" t="s">
        <v>1559</v>
      </c>
      <c r="D789" s="14" t="s">
        <v>328</v>
      </c>
      <c r="E789" s="14" t="s">
        <v>17</v>
      </c>
      <c r="F789" s="103" t="s">
        <v>18</v>
      </c>
      <c r="G789" s="471"/>
      <c r="H789" s="258">
        <v>6249360</v>
      </c>
      <c r="I789" s="258">
        <f>List34[[#This Row],[Pengajuan Donasi]]</f>
        <v>6249360</v>
      </c>
      <c r="J789" s="213" t="str">
        <f>IF(List34[[#This Row],[Tanggal Trf]]&gt;0,"Done","-")</f>
        <v>Done</v>
      </c>
      <c r="K789" s="14" t="s">
        <v>1560</v>
      </c>
      <c r="L789" s="221">
        <v>44825</v>
      </c>
      <c r="M789" s="100" t="s">
        <v>683</v>
      </c>
      <c r="N789" s="100">
        <v>9</v>
      </c>
      <c r="O789" s="183">
        <v>44854</v>
      </c>
      <c r="P789" s="100" t="s">
        <v>1514</v>
      </c>
      <c r="Q789" s="111"/>
      <c r="R789" s="229"/>
    </row>
    <row r="790" spans="2:20" ht="30" customHeight="1" x14ac:dyDescent="0.2">
      <c r="B790" s="13">
        <v>44824</v>
      </c>
      <c r="C790" s="66"/>
      <c r="D790" s="14" t="s">
        <v>870</v>
      </c>
      <c r="E790" s="14" t="s">
        <v>17</v>
      </c>
      <c r="F790" s="103" t="s">
        <v>18</v>
      </c>
      <c r="G790" s="471">
        <f>IFERROR(VLOOKUP(List34[[#This Row],[Site / Lokasi]],[7]Data!B:C,2,0),0)</f>
        <v>0</v>
      </c>
      <c r="H790" s="258">
        <v>6262540</v>
      </c>
      <c r="I790" s="258">
        <f>List34[[#This Row],[Pengajuan Donasi]]</f>
        <v>6262540</v>
      </c>
      <c r="J790" s="213" t="str">
        <f>IF(List34[[#This Row],[Tanggal Trf]]&gt;0,"Done","-")</f>
        <v>Done</v>
      </c>
      <c r="K790" s="14" t="s">
        <v>1560</v>
      </c>
      <c r="L790" s="221">
        <v>44825</v>
      </c>
      <c r="M790" s="100" t="s">
        <v>683</v>
      </c>
      <c r="N790" s="100">
        <f>MONTH(List34[[#This Row],[Tanggal Pengajuan]])</f>
        <v>9</v>
      </c>
      <c r="O790" s="183">
        <v>44854</v>
      </c>
      <c r="P790" s="100" t="s">
        <v>1514</v>
      </c>
      <c r="Q790" s="111"/>
      <c r="R790" s="229"/>
    </row>
    <row r="791" spans="2:20" ht="30" customHeight="1" x14ac:dyDescent="0.2">
      <c r="B791" s="13">
        <v>44824</v>
      </c>
      <c r="C791" s="66" t="s">
        <v>1561</v>
      </c>
      <c r="D791" s="14" t="s">
        <v>1562</v>
      </c>
      <c r="E791" s="14" t="s">
        <v>107</v>
      </c>
      <c r="F791" s="103" t="s">
        <v>28</v>
      </c>
      <c r="G791" s="471"/>
      <c r="H791" s="258">
        <v>30000000</v>
      </c>
      <c r="I791" s="258">
        <f>List34[[#This Row],[Pengajuan Donasi]]</f>
        <v>30000000</v>
      </c>
      <c r="J791" s="213" t="str">
        <f>IF(List34[[#This Row],[Tanggal Trf]]&gt;0,"Done","-")</f>
        <v>Done</v>
      </c>
      <c r="K791" s="445"/>
      <c r="L791" s="221">
        <v>44825</v>
      </c>
      <c r="M791" s="100"/>
      <c r="N791" s="100">
        <v>9</v>
      </c>
      <c r="O791" s="183"/>
      <c r="P791" s="100"/>
      <c r="Q791" s="111"/>
      <c r="R791" s="229"/>
      <c r="T791" s="275" t="e">
        <v>#VALUE!</v>
      </c>
    </row>
    <row r="792" spans="2:20" ht="30" customHeight="1" x14ac:dyDescent="0.2">
      <c r="B792" s="102">
        <v>44833</v>
      </c>
      <c r="C792" s="67" t="s">
        <v>1563</v>
      </c>
      <c r="D792" s="14" t="s">
        <v>1567</v>
      </c>
      <c r="E792" s="103" t="s">
        <v>1054</v>
      </c>
      <c r="F792" s="105" t="s">
        <v>18</v>
      </c>
      <c r="G792" s="15"/>
      <c r="H792" s="271">
        <v>0</v>
      </c>
      <c r="I792" s="258">
        <f>List34[[#This Row],[Pengajuan Donasi]]</f>
        <v>0</v>
      </c>
      <c r="J792" s="213" t="str">
        <f>IF(List34[[#This Row],[Tanggal Trf]]&gt;0,"Done","-")</f>
        <v>Done</v>
      </c>
      <c r="K792" s="440"/>
      <c r="L792" s="223">
        <v>44834</v>
      </c>
      <c r="M792" s="105" t="s">
        <v>683</v>
      </c>
      <c r="N792" s="100">
        <v>1</v>
      </c>
      <c r="O792" s="183"/>
      <c r="P792" s="100" t="s">
        <v>1514</v>
      </c>
      <c r="Q792" s="111"/>
      <c r="R792" s="229"/>
    </row>
    <row r="793" spans="2:20" ht="30" customHeight="1" x14ac:dyDescent="0.2">
      <c r="B793" s="102">
        <v>44833</v>
      </c>
      <c r="C793" s="67" t="s">
        <v>1564</v>
      </c>
      <c r="D793" s="14" t="s">
        <v>1567</v>
      </c>
      <c r="E793" s="103" t="s">
        <v>1054</v>
      </c>
      <c r="F793" s="105" t="s">
        <v>18</v>
      </c>
      <c r="G793" s="15"/>
      <c r="H793" s="271">
        <v>0</v>
      </c>
      <c r="I793" s="258">
        <f>List34[[#This Row],[Pengajuan Donasi]]</f>
        <v>0</v>
      </c>
      <c r="J793" s="213" t="str">
        <f>IF(List34[[#This Row],[Tanggal Trf]]&gt;0,"Done","-")</f>
        <v>Done</v>
      </c>
      <c r="K793" s="440"/>
      <c r="L793" s="223">
        <v>44834</v>
      </c>
      <c r="M793" s="105" t="s">
        <v>778</v>
      </c>
      <c r="N793" s="100">
        <f>MONTH(List34[[#This Row],[Tanggal Pengajuan]])</f>
        <v>9</v>
      </c>
      <c r="O793" s="183"/>
      <c r="P793" s="100" t="s">
        <v>1514</v>
      </c>
      <c r="Q793" s="111"/>
      <c r="R793" s="229"/>
    </row>
    <row r="794" spans="2:20" ht="30" customHeight="1" x14ac:dyDescent="0.2">
      <c r="B794" s="102">
        <v>44833</v>
      </c>
      <c r="C794" s="67" t="s">
        <v>1565</v>
      </c>
      <c r="D794" s="14" t="s">
        <v>1571</v>
      </c>
      <c r="E794" s="103" t="s">
        <v>1054</v>
      </c>
      <c r="F794" s="105" t="s">
        <v>18</v>
      </c>
      <c r="G794" s="15"/>
      <c r="H794" s="271">
        <v>1215000</v>
      </c>
      <c r="I794" s="258">
        <f>List34[[#This Row],[Pengajuan Donasi]]</f>
        <v>1215000</v>
      </c>
      <c r="J794" s="213" t="str">
        <f>IF(List34[[#This Row],[Tanggal Trf]]&gt;0,"Done","-")</f>
        <v>Done</v>
      </c>
      <c r="K794" s="440"/>
      <c r="L794" s="223">
        <v>44837</v>
      </c>
      <c r="M794" s="105" t="s">
        <v>1720</v>
      </c>
      <c r="N794" s="100">
        <f>MONTH(List34[[#This Row],[Tanggal Pengajuan]])</f>
        <v>9</v>
      </c>
      <c r="O794" s="183"/>
      <c r="P794" s="105"/>
      <c r="Q794" s="111"/>
      <c r="R794" s="229"/>
    </row>
    <row r="795" spans="2:20" ht="30" customHeight="1" x14ac:dyDescent="0.2">
      <c r="B795" s="102">
        <v>44833</v>
      </c>
      <c r="C795" s="67" t="s">
        <v>1566</v>
      </c>
      <c r="D795" s="14" t="s">
        <v>1568</v>
      </c>
      <c r="E795" s="103" t="s">
        <v>1054</v>
      </c>
      <c r="F795" s="105" t="s">
        <v>18</v>
      </c>
      <c r="G795" s="15"/>
      <c r="H795" s="271">
        <v>2800000</v>
      </c>
      <c r="I795" s="258">
        <f>List34[[#This Row],[Pengajuan Donasi]]</f>
        <v>2800000</v>
      </c>
      <c r="J795" s="213" t="str">
        <f>IF(List34[[#This Row],[Tanggal Trf]]&gt;0,"Done","-")</f>
        <v>Done</v>
      </c>
      <c r="K795" s="440"/>
      <c r="L795" s="223">
        <v>44839</v>
      </c>
      <c r="M795" s="105" t="s">
        <v>1720</v>
      </c>
      <c r="N795" s="100">
        <f>MONTH(List34[[#This Row],[Tanggal Pengajuan]])</f>
        <v>9</v>
      </c>
      <c r="O795" s="183"/>
      <c r="P795" s="105"/>
      <c r="Q795" s="111"/>
      <c r="R795" s="229"/>
    </row>
    <row r="796" spans="2:20" ht="30" customHeight="1" x14ac:dyDescent="0.2">
      <c r="B796" s="102">
        <v>44834</v>
      </c>
      <c r="C796" s="67" t="s">
        <v>1624</v>
      </c>
      <c r="D796" s="14" t="s">
        <v>1569</v>
      </c>
      <c r="E796" s="103" t="s">
        <v>1054</v>
      </c>
      <c r="F796" s="105" t="s">
        <v>18</v>
      </c>
      <c r="G796" s="15"/>
      <c r="H796" s="271">
        <v>442900</v>
      </c>
      <c r="I796" s="258">
        <f>List34[[#This Row],[Pengajuan Donasi]]</f>
        <v>442900</v>
      </c>
      <c r="J796" s="213" t="str">
        <f>IF(List34[[#This Row],[Tanggal Trf]]&gt;0,"Done","-")</f>
        <v>Done</v>
      </c>
      <c r="K796" s="440"/>
      <c r="L796" s="223">
        <v>44853</v>
      </c>
      <c r="M796" s="105" t="s">
        <v>1720</v>
      </c>
      <c r="N796" s="100">
        <f>MONTH(List34[[#This Row],[Tanggal Pengajuan]])</f>
        <v>9</v>
      </c>
      <c r="O796" s="183"/>
      <c r="P796" s="105"/>
      <c r="Q796" s="111"/>
      <c r="R796" s="229"/>
    </row>
    <row r="797" spans="2:20" ht="30" customHeight="1" x14ac:dyDescent="0.2">
      <c r="B797" s="102">
        <v>44837</v>
      </c>
      <c r="C797" s="67" t="s">
        <v>1625</v>
      </c>
      <c r="D797" s="14" t="s">
        <v>1570</v>
      </c>
      <c r="E797" s="103" t="s">
        <v>1054</v>
      </c>
      <c r="F797" s="105" t="s">
        <v>18</v>
      </c>
      <c r="G797" s="15"/>
      <c r="H797" s="271">
        <v>930000</v>
      </c>
      <c r="I797" s="258">
        <f>List34[[#This Row],[Pengajuan Donasi]]</f>
        <v>930000</v>
      </c>
      <c r="J797" s="213" t="str">
        <f>IF(List34[[#This Row],[Tanggal Trf]]&gt;0,"Done","-")</f>
        <v>Done</v>
      </c>
      <c r="K797" s="440"/>
      <c r="L797" s="223">
        <v>44876</v>
      </c>
      <c r="M797" s="105" t="s">
        <v>1720</v>
      </c>
      <c r="N797" s="100">
        <f>MONTH(List34[[#This Row],[Tanggal Pengajuan]])</f>
        <v>10</v>
      </c>
      <c r="O797" s="183"/>
      <c r="P797" s="105"/>
      <c r="Q797" s="111"/>
      <c r="R797" s="229"/>
    </row>
    <row r="798" spans="2:20" ht="30" customHeight="1" x14ac:dyDescent="0.2">
      <c r="B798" s="102">
        <v>44837</v>
      </c>
      <c r="C798" s="67" t="s">
        <v>1626</v>
      </c>
      <c r="D798" s="14" t="s">
        <v>228</v>
      </c>
      <c r="E798" s="103" t="s">
        <v>17</v>
      </c>
      <c r="F798" s="105" t="s">
        <v>18</v>
      </c>
      <c r="G798" s="15">
        <v>3</v>
      </c>
      <c r="H798" s="271">
        <v>6251440</v>
      </c>
      <c r="I798" s="258">
        <f>List34[[#This Row],[Pengajuan Donasi]]</f>
        <v>6251440</v>
      </c>
      <c r="J798" s="213" t="str">
        <f>IF(List34[[#This Row],[Tanggal Trf]]&gt;0,"Done","-")</f>
        <v>Done</v>
      </c>
      <c r="K798" s="14" t="s">
        <v>1574</v>
      </c>
      <c r="L798" s="223">
        <v>44844</v>
      </c>
      <c r="M798" s="105" t="s">
        <v>683</v>
      </c>
      <c r="N798" s="100">
        <f>MONTH(List34[[#This Row],[Tanggal Pengajuan]])</f>
        <v>10</v>
      </c>
      <c r="O798" s="183">
        <v>44853</v>
      </c>
      <c r="P798" s="105" t="s">
        <v>1764</v>
      </c>
      <c r="Q798" s="111"/>
      <c r="R798" s="229"/>
    </row>
    <row r="799" spans="2:20" ht="30" customHeight="1" x14ac:dyDescent="0.2">
      <c r="B799" s="102">
        <v>44837</v>
      </c>
      <c r="C799" s="67"/>
      <c r="D799" s="14" t="s">
        <v>1099</v>
      </c>
      <c r="E799" s="103" t="s">
        <v>17</v>
      </c>
      <c r="F799" s="105" t="s">
        <v>18</v>
      </c>
      <c r="G799" s="15">
        <v>60</v>
      </c>
      <c r="H799" s="271">
        <v>6250550</v>
      </c>
      <c r="I799" s="258">
        <f>List34[[#This Row],[Pengajuan Donasi]]</f>
        <v>6250550</v>
      </c>
      <c r="J799" s="213" t="str">
        <f>IF(List34[[#This Row],[Tanggal Trf]]&gt;0,"Done","-")</f>
        <v>Done</v>
      </c>
      <c r="K799" s="105"/>
      <c r="L799" s="223">
        <v>44844</v>
      </c>
      <c r="M799" s="105" t="s">
        <v>683</v>
      </c>
      <c r="N799" s="100">
        <f>MONTH(List34[[#This Row],[Tanggal Pengajuan]])</f>
        <v>10</v>
      </c>
      <c r="O799" s="183">
        <v>44853</v>
      </c>
      <c r="P799" s="105" t="s">
        <v>1764</v>
      </c>
      <c r="Q799" s="111"/>
      <c r="R799" s="229"/>
    </row>
    <row r="800" spans="2:20" ht="30" customHeight="1" x14ac:dyDescent="0.2">
      <c r="B800" s="239">
        <v>44838</v>
      </c>
      <c r="C800" s="163" t="s">
        <v>1627</v>
      </c>
      <c r="D800" s="164" t="s">
        <v>1575</v>
      </c>
      <c r="E800" s="168" t="s">
        <v>71</v>
      </c>
      <c r="F800" s="166" t="s">
        <v>28</v>
      </c>
      <c r="G800" s="178"/>
      <c r="H800" s="972">
        <v>0</v>
      </c>
      <c r="I800" s="258">
        <f>List34[[#This Row],[Pengajuan Donasi]]</f>
        <v>0</v>
      </c>
      <c r="J800" s="213" t="str">
        <f>IF(List34[[#This Row],[Tanggal Trf]]&gt;0,"Done","-")</f>
        <v>Done</v>
      </c>
      <c r="K800" s="440"/>
      <c r="L800" s="223">
        <v>44839</v>
      </c>
      <c r="M800" s="105"/>
      <c r="N800" s="100">
        <f>MONTH(List34[[#This Row],[Tanggal Pengajuan]])</f>
        <v>10</v>
      </c>
      <c r="O800" s="183"/>
      <c r="P800" s="105"/>
      <c r="Q800" s="111"/>
      <c r="R800" s="229"/>
    </row>
    <row r="801" spans="2:18" ht="30" customHeight="1" x14ac:dyDescent="0.2">
      <c r="B801" s="102">
        <v>44839</v>
      </c>
      <c r="C801" s="67" t="s">
        <v>1628</v>
      </c>
      <c r="D801" s="14" t="s">
        <v>48</v>
      </c>
      <c r="E801" s="14" t="s">
        <v>179</v>
      </c>
      <c r="F801" s="103" t="s">
        <v>18</v>
      </c>
      <c r="G801" s="471">
        <v>0</v>
      </c>
      <c r="H801" s="258">
        <v>3820000</v>
      </c>
      <c r="I801" s="258">
        <f>List34[[#This Row],[Pengajuan Donasi]]</f>
        <v>3820000</v>
      </c>
      <c r="J801" s="213" t="str">
        <f>IF(List34[[#This Row],[Tanggal Trf]]&gt;0,"Done","-")</f>
        <v>Done</v>
      </c>
      <c r="K801" s="14" t="s">
        <v>1576</v>
      </c>
      <c r="L801" s="223">
        <v>44844</v>
      </c>
      <c r="M801" s="100" t="s">
        <v>445</v>
      </c>
      <c r="N801" s="100">
        <f>MONTH(List34[[#This Row],[Tanggal Pengajuan]])</f>
        <v>10</v>
      </c>
      <c r="O801" s="183"/>
      <c r="P801" s="105" t="s">
        <v>1764</v>
      </c>
      <c r="Q801" s="111"/>
      <c r="R801" s="229"/>
    </row>
    <row r="802" spans="2:18" ht="30" customHeight="1" x14ac:dyDescent="0.2">
      <c r="B802" s="102">
        <v>44839</v>
      </c>
      <c r="C802" s="67" t="s">
        <v>1629</v>
      </c>
      <c r="D802" s="14" t="s">
        <v>859</v>
      </c>
      <c r="E802" s="103" t="s">
        <v>17</v>
      </c>
      <c r="F802" s="105" t="s">
        <v>18</v>
      </c>
      <c r="G802" s="15">
        <v>23</v>
      </c>
      <c r="H802" s="271">
        <v>6000000</v>
      </c>
      <c r="I802" s="258">
        <f>List34[[#This Row],[Pengajuan Donasi]]</f>
        <v>6000000</v>
      </c>
      <c r="J802" s="213" t="str">
        <f>IF(List34[[#This Row],[Tanggal Trf]]&gt;0,"Done","-")</f>
        <v>Done</v>
      </c>
      <c r="K802" s="14" t="s">
        <v>1577</v>
      </c>
      <c r="L802" s="223">
        <v>44844</v>
      </c>
      <c r="M802" s="100" t="s">
        <v>650</v>
      </c>
      <c r="N802" s="100">
        <f>MONTH(List34[[#This Row],[Tanggal Pengajuan]])</f>
        <v>10</v>
      </c>
      <c r="O802" s="183"/>
      <c r="P802" s="105" t="s">
        <v>1764</v>
      </c>
      <c r="Q802" s="111"/>
      <c r="R802" s="229"/>
    </row>
    <row r="803" spans="2:18" ht="30" customHeight="1" x14ac:dyDescent="0.2">
      <c r="B803" s="102">
        <v>44839</v>
      </c>
      <c r="C803" s="67" t="s">
        <v>1630</v>
      </c>
      <c r="D803" s="14" t="s">
        <v>950</v>
      </c>
      <c r="E803" s="14" t="s">
        <v>26</v>
      </c>
      <c r="F803" s="103" t="s">
        <v>18</v>
      </c>
      <c r="G803" s="471">
        <v>1</v>
      </c>
      <c r="H803" s="258">
        <v>5000000</v>
      </c>
      <c r="I803" s="258">
        <f>List34[[#This Row],[Pengajuan Donasi]]</f>
        <v>5000000</v>
      </c>
      <c r="J803" s="213" t="str">
        <f>IF(List34[[#This Row],[Tanggal Trf]]&gt;0,"Done","-")</f>
        <v>Done</v>
      </c>
      <c r="K803" s="14" t="s">
        <v>1578</v>
      </c>
      <c r="L803" s="223">
        <v>44844</v>
      </c>
      <c r="M803" s="100" t="s">
        <v>448</v>
      </c>
      <c r="N803" s="100">
        <f>MONTH(List34[[#This Row],[Tanggal Pengajuan]])</f>
        <v>10</v>
      </c>
      <c r="O803" s="183"/>
      <c r="P803" s="105" t="s">
        <v>1764</v>
      </c>
      <c r="Q803" s="111"/>
      <c r="R803" s="229"/>
    </row>
    <row r="804" spans="2:18" ht="30" customHeight="1" x14ac:dyDescent="0.2">
      <c r="B804" s="102">
        <v>44839</v>
      </c>
      <c r="C804" s="67"/>
      <c r="D804" s="14" t="s">
        <v>875</v>
      </c>
      <c r="E804" s="14" t="s">
        <v>26</v>
      </c>
      <c r="F804" s="103" t="s">
        <v>18</v>
      </c>
      <c r="G804" s="471">
        <v>1</v>
      </c>
      <c r="H804" s="258">
        <v>1000000</v>
      </c>
      <c r="I804" s="258">
        <f>List34[[#This Row],[Pengajuan Donasi]]</f>
        <v>1000000</v>
      </c>
      <c r="J804" s="213" t="str">
        <f>IF(List34[[#This Row],[Tanggal Trf]]&gt;0,"Done","-")</f>
        <v>Done</v>
      </c>
      <c r="K804" s="14" t="s">
        <v>1578</v>
      </c>
      <c r="L804" s="223">
        <v>44844</v>
      </c>
      <c r="M804" s="100" t="s">
        <v>453</v>
      </c>
      <c r="N804" s="100">
        <f>MONTH(List34[[#This Row],[Tanggal Pengajuan]])</f>
        <v>10</v>
      </c>
      <c r="O804" s="183"/>
      <c r="P804" s="105" t="s">
        <v>1764</v>
      </c>
      <c r="Q804" s="111"/>
      <c r="R804" s="229"/>
    </row>
    <row r="805" spans="2:18" ht="30" customHeight="1" x14ac:dyDescent="0.2">
      <c r="B805" s="102">
        <v>44839</v>
      </c>
      <c r="C805" s="67"/>
      <c r="D805" s="14" t="s">
        <v>877</v>
      </c>
      <c r="E805" s="14" t="s">
        <v>26</v>
      </c>
      <c r="F805" s="103" t="s">
        <v>18</v>
      </c>
      <c r="G805" s="471">
        <v>1</v>
      </c>
      <c r="H805" s="258">
        <v>1000000</v>
      </c>
      <c r="I805" s="258">
        <f>List34[[#This Row],[Pengajuan Donasi]]</f>
        <v>1000000</v>
      </c>
      <c r="J805" s="213" t="str">
        <f>IF(List34[[#This Row],[Tanggal Trf]]&gt;0,"Done","-")</f>
        <v>Done</v>
      </c>
      <c r="K805" s="14" t="s">
        <v>1578</v>
      </c>
      <c r="L805" s="223">
        <v>44844</v>
      </c>
      <c r="M805" s="100" t="s">
        <v>458</v>
      </c>
      <c r="N805" s="100">
        <f>MONTH(List34[[#This Row],[Tanggal Pengajuan]])</f>
        <v>10</v>
      </c>
      <c r="O805" s="183"/>
      <c r="P805" s="105" t="s">
        <v>1764</v>
      </c>
      <c r="Q805" s="111"/>
      <c r="R805" s="229"/>
    </row>
    <row r="806" spans="2:18" ht="30" customHeight="1" x14ac:dyDescent="0.2">
      <c r="B806" s="102">
        <v>44839</v>
      </c>
      <c r="C806" s="67"/>
      <c r="D806" s="14" t="s">
        <v>878</v>
      </c>
      <c r="E806" s="14" t="s">
        <v>26</v>
      </c>
      <c r="F806" s="103" t="s">
        <v>18</v>
      </c>
      <c r="G806" s="471">
        <v>1</v>
      </c>
      <c r="H806" s="258">
        <v>1000000</v>
      </c>
      <c r="I806" s="258">
        <f>List34[[#This Row],[Pengajuan Donasi]]</f>
        <v>1000000</v>
      </c>
      <c r="J806" s="213" t="str">
        <f>IF(List34[[#This Row],[Tanggal Trf]]&gt;0,"Done","-")</f>
        <v>Done</v>
      </c>
      <c r="K806" s="14" t="s">
        <v>1578</v>
      </c>
      <c r="L806" s="223">
        <v>44844</v>
      </c>
      <c r="M806" s="100" t="s">
        <v>460</v>
      </c>
      <c r="N806" s="100">
        <f>MONTH(List34[[#This Row],[Tanggal Pengajuan]])</f>
        <v>10</v>
      </c>
      <c r="O806" s="183"/>
      <c r="P806" s="105" t="s">
        <v>1764</v>
      </c>
      <c r="Q806" s="111"/>
      <c r="R806" s="229"/>
    </row>
    <row r="807" spans="2:18" ht="30" customHeight="1" x14ac:dyDescent="0.2">
      <c r="B807" s="102">
        <v>44839</v>
      </c>
      <c r="C807" s="67"/>
      <c r="D807" s="14" t="s">
        <v>879</v>
      </c>
      <c r="E807" s="14" t="s">
        <v>26</v>
      </c>
      <c r="F807" s="103" t="s">
        <v>18</v>
      </c>
      <c r="G807" s="471">
        <v>1</v>
      </c>
      <c r="H807" s="258">
        <v>1000000</v>
      </c>
      <c r="I807" s="258">
        <f>List34[[#This Row],[Pengajuan Donasi]]</f>
        <v>1000000</v>
      </c>
      <c r="J807" s="213" t="str">
        <f>IF(List34[[#This Row],[Tanggal Trf]]&gt;0,"Done","-")</f>
        <v>Done</v>
      </c>
      <c r="K807" s="14" t="s">
        <v>1578</v>
      </c>
      <c r="L807" s="223">
        <v>44844</v>
      </c>
      <c r="M807" s="100" t="s">
        <v>462</v>
      </c>
      <c r="N807" s="100">
        <f>MONTH(List34[[#This Row],[Tanggal Pengajuan]])</f>
        <v>10</v>
      </c>
      <c r="O807" s="183"/>
      <c r="P807" s="105" t="s">
        <v>1764</v>
      </c>
      <c r="Q807" s="111"/>
      <c r="R807" s="229"/>
    </row>
    <row r="808" spans="2:18" ht="30" customHeight="1" x14ac:dyDescent="0.2">
      <c r="B808" s="102">
        <v>44839</v>
      </c>
      <c r="C808" s="67"/>
      <c r="D808" s="14" t="s">
        <v>951</v>
      </c>
      <c r="E808" s="14" t="s">
        <v>26</v>
      </c>
      <c r="F808" s="103" t="s">
        <v>18</v>
      </c>
      <c r="G808" s="471">
        <v>1</v>
      </c>
      <c r="H808" s="258">
        <v>1000000</v>
      </c>
      <c r="I808" s="258">
        <f>List34[[#This Row],[Pengajuan Donasi]]</f>
        <v>1000000</v>
      </c>
      <c r="J808" s="213" t="str">
        <f>IF(List34[[#This Row],[Tanggal Trf]]&gt;0,"Done","-")</f>
        <v>Done</v>
      </c>
      <c r="K808" s="14" t="s">
        <v>1578</v>
      </c>
      <c r="L808" s="223">
        <v>44844</v>
      </c>
      <c r="M808" s="100" t="s">
        <v>466</v>
      </c>
      <c r="N808" s="100">
        <f>MONTH(List34[[#This Row],[Tanggal Pengajuan]])</f>
        <v>10</v>
      </c>
      <c r="O808" s="183"/>
      <c r="P808" s="105" t="s">
        <v>1764</v>
      </c>
      <c r="Q808" s="111"/>
      <c r="R808" s="229"/>
    </row>
    <row r="809" spans="2:18" ht="30" customHeight="1" x14ac:dyDescent="0.2">
      <c r="B809" s="102">
        <v>44839</v>
      </c>
      <c r="C809" s="67"/>
      <c r="D809" s="14" t="s">
        <v>880</v>
      </c>
      <c r="E809" s="14" t="s">
        <v>26</v>
      </c>
      <c r="F809" s="103" t="s">
        <v>18</v>
      </c>
      <c r="G809" s="471">
        <v>1</v>
      </c>
      <c r="H809" s="258">
        <v>1000000</v>
      </c>
      <c r="I809" s="258">
        <f>List34[[#This Row],[Pengajuan Donasi]]</f>
        <v>1000000</v>
      </c>
      <c r="J809" s="213" t="str">
        <f>IF(List34[[#This Row],[Tanggal Trf]]&gt;0,"Done","-")</f>
        <v>Done</v>
      </c>
      <c r="K809" s="14" t="s">
        <v>1578</v>
      </c>
      <c r="L809" s="223">
        <v>44853</v>
      </c>
      <c r="M809" s="100" t="s">
        <v>470</v>
      </c>
      <c r="N809" s="100">
        <f>MONTH(List34[[#This Row],[Tanggal Pengajuan]])</f>
        <v>10</v>
      </c>
      <c r="O809" s="183"/>
      <c r="P809" s="105" t="s">
        <v>1764</v>
      </c>
      <c r="Q809" s="111"/>
      <c r="R809" s="229"/>
    </row>
    <row r="810" spans="2:18" ht="30" customHeight="1" x14ac:dyDescent="0.2">
      <c r="B810" s="102">
        <v>44839</v>
      </c>
      <c r="C810" s="67"/>
      <c r="D810" s="14" t="s">
        <v>952</v>
      </c>
      <c r="E810" s="14" t="s">
        <v>26</v>
      </c>
      <c r="F810" s="103" t="s">
        <v>18</v>
      </c>
      <c r="G810" s="471">
        <v>1</v>
      </c>
      <c r="H810" s="258">
        <v>1000000</v>
      </c>
      <c r="I810" s="258">
        <f>List34[[#This Row],[Pengajuan Donasi]]</f>
        <v>1000000</v>
      </c>
      <c r="J810" s="213" t="str">
        <f>IF(List34[[#This Row],[Tanggal Trf]]&gt;0,"Done","-")</f>
        <v>Done</v>
      </c>
      <c r="K810" s="14" t="s">
        <v>1578</v>
      </c>
      <c r="L810" s="223">
        <v>44844</v>
      </c>
      <c r="M810" s="100" t="s">
        <v>519</v>
      </c>
      <c r="N810" s="100">
        <f>MONTH(List34[[#This Row],[Tanggal Pengajuan]])</f>
        <v>10</v>
      </c>
      <c r="O810" s="183"/>
      <c r="P810" s="105" t="s">
        <v>1764</v>
      </c>
      <c r="Q810" s="111"/>
      <c r="R810" s="229"/>
    </row>
    <row r="811" spans="2:18" ht="30" customHeight="1" x14ac:dyDescent="0.2">
      <c r="B811" s="102">
        <v>44839</v>
      </c>
      <c r="C811" s="67"/>
      <c r="D811" s="14" t="s">
        <v>881</v>
      </c>
      <c r="E811" s="14" t="s">
        <v>26</v>
      </c>
      <c r="F811" s="103" t="s">
        <v>18</v>
      </c>
      <c r="G811" s="471">
        <v>1</v>
      </c>
      <c r="H811" s="258">
        <v>1000000</v>
      </c>
      <c r="I811" s="258">
        <f>List34[[#This Row],[Pengajuan Donasi]]</f>
        <v>1000000</v>
      </c>
      <c r="J811" s="213" t="str">
        <f>IF(List34[[#This Row],[Tanggal Trf]]&gt;0,"Done","-")</f>
        <v>Done</v>
      </c>
      <c r="K811" s="14" t="s">
        <v>1578</v>
      </c>
      <c r="L811" s="223">
        <v>44844</v>
      </c>
      <c r="M811" s="100" t="s">
        <v>476</v>
      </c>
      <c r="N811" s="100">
        <f>MONTH(List34[[#This Row],[Tanggal Pengajuan]])</f>
        <v>10</v>
      </c>
      <c r="O811" s="183"/>
      <c r="P811" s="105" t="s">
        <v>1764</v>
      </c>
      <c r="Q811" s="111"/>
      <c r="R811" s="229"/>
    </row>
    <row r="812" spans="2:18" ht="30" customHeight="1" x14ac:dyDescent="0.2">
      <c r="B812" s="102">
        <v>44839</v>
      </c>
      <c r="C812" s="67"/>
      <c r="D812" s="14" t="s">
        <v>953</v>
      </c>
      <c r="E812" s="14" t="s">
        <v>26</v>
      </c>
      <c r="F812" s="103" t="s">
        <v>18</v>
      </c>
      <c r="G812" s="471">
        <v>1</v>
      </c>
      <c r="H812" s="258">
        <v>1000000</v>
      </c>
      <c r="I812" s="258">
        <f>List34[[#This Row],[Pengajuan Donasi]]</f>
        <v>1000000</v>
      </c>
      <c r="J812" s="213" t="str">
        <f>IF(List34[[#This Row],[Tanggal Trf]]&gt;0,"Done","-")</f>
        <v>Done</v>
      </c>
      <c r="K812" s="14" t="s">
        <v>1578</v>
      </c>
      <c r="L812" s="223">
        <v>44844</v>
      </c>
      <c r="M812" s="100" t="s">
        <v>873</v>
      </c>
      <c r="N812" s="100">
        <f>MONTH(List34[[#This Row],[Tanggal Pengajuan]])</f>
        <v>10</v>
      </c>
      <c r="O812" s="183"/>
      <c r="P812" s="105" t="s">
        <v>1764</v>
      </c>
      <c r="Q812" s="111"/>
      <c r="R812" s="229"/>
    </row>
    <row r="813" spans="2:18" ht="30" customHeight="1" x14ac:dyDescent="0.2">
      <c r="B813" s="102">
        <v>44839</v>
      </c>
      <c r="C813" s="67"/>
      <c r="D813" s="14" t="s">
        <v>954</v>
      </c>
      <c r="E813" s="14" t="s">
        <v>26</v>
      </c>
      <c r="F813" s="103" t="s">
        <v>18</v>
      </c>
      <c r="G813" s="471">
        <v>1</v>
      </c>
      <c r="H813" s="258">
        <v>1000000</v>
      </c>
      <c r="I813" s="258">
        <f>List34[[#This Row],[Pengajuan Donasi]]</f>
        <v>1000000</v>
      </c>
      <c r="J813" s="213" t="str">
        <f>IF(List34[[#This Row],[Tanggal Trf]]&gt;0,"Done","-")</f>
        <v>Done</v>
      </c>
      <c r="K813" s="14" t="s">
        <v>1578</v>
      </c>
      <c r="L813" s="223">
        <v>44844</v>
      </c>
      <c r="M813" s="100" t="s">
        <v>874</v>
      </c>
      <c r="N813" s="100">
        <f>MONTH(List34[[#This Row],[Tanggal Pengajuan]])</f>
        <v>10</v>
      </c>
      <c r="O813" s="183"/>
      <c r="P813" s="105" t="s">
        <v>1764</v>
      </c>
      <c r="Q813" s="111"/>
      <c r="R813" s="229"/>
    </row>
    <row r="814" spans="2:18" ht="30" customHeight="1" x14ac:dyDescent="0.2">
      <c r="B814" s="102">
        <v>44839</v>
      </c>
      <c r="C814" s="67"/>
      <c r="D814" s="14" t="s">
        <v>955</v>
      </c>
      <c r="E814" s="14" t="s">
        <v>26</v>
      </c>
      <c r="F814" s="103" t="s">
        <v>18</v>
      </c>
      <c r="G814" s="471">
        <v>1</v>
      </c>
      <c r="H814" s="258">
        <v>1000000</v>
      </c>
      <c r="I814" s="258">
        <f>List34[[#This Row],[Pengajuan Donasi]]</f>
        <v>1000000</v>
      </c>
      <c r="J814" s="213" t="str">
        <f>IF(List34[[#This Row],[Tanggal Trf]]&gt;0,"Done","-")</f>
        <v>Done</v>
      </c>
      <c r="K814" s="14" t="s">
        <v>1578</v>
      </c>
      <c r="L814" s="223">
        <v>44844</v>
      </c>
      <c r="M814" s="100" t="s">
        <v>762</v>
      </c>
      <c r="N814" s="100">
        <f>MONTH(List34[[#This Row],[Tanggal Pengajuan]])</f>
        <v>10</v>
      </c>
      <c r="O814" s="183"/>
      <c r="P814" s="105" t="s">
        <v>1764</v>
      </c>
      <c r="Q814" s="111"/>
      <c r="R814" s="229"/>
    </row>
    <row r="815" spans="2:18" ht="30" customHeight="1" x14ac:dyDescent="0.2">
      <c r="B815" s="102">
        <v>44839</v>
      </c>
      <c r="C815" s="67"/>
      <c r="D815" s="14" t="s">
        <v>1214</v>
      </c>
      <c r="E815" s="14" t="s">
        <v>26</v>
      </c>
      <c r="F815" s="103" t="s">
        <v>18</v>
      </c>
      <c r="G815" s="471">
        <v>1</v>
      </c>
      <c r="H815" s="258">
        <v>750000</v>
      </c>
      <c r="I815" s="258">
        <f>List34[[#This Row],[Pengajuan Donasi]]</f>
        <v>750000</v>
      </c>
      <c r="J815" s="213" t="str">
        <f>IF(List34[[#This Row],[Tanggal Trf]]&gt;0,"Done","-")</f>
        <v>Done</v>
      </c>
      <c r="K815" s="14" t="s">
        <v>1578</v>
      </c>
      <c r="L815" s="223">
        <v>44844</v>
      </c>
      <c r="M815" s="100" t="s">
        <v>1217</v>
      </c>
      <c r="N815" s="100">
        <f>MONTH(List34[[#This Row],[Tanggal Pengajuan]])</f>
        <v>10</v>
      </c>
      <c r="O815" s="183"/>
      <c r="P815" s="105" t="s">
        <v>1764</v>
      </c>
      <c r="Q815" s="111"/>
      <c r="R815" s="229"/>
    </row>
    <row r="816" spans="2:18" ht="30" customHeight="1" x14ac:dyDescent="0.2">
      <c r="B816" s="102">
        <v>44839</v>
      </c>
      <c r="C816" s="67"/>
      <c r="D816" s="14" t="s">
        <v>1215</v>
      </c>
      <c r="E816" s="14" t="s">
        <v>26</v>
      </c>
      <c r="F816" s="103" t="s">
        <v>18</v>
      </c>
      <c r="G816" s="471">
        <v>1</v>
      </c>
      <c r="H816" s="258">
        <v>750000</v>
      </c>
      <c r="I816" s="258">
        <f>List34[[#This Row],[Pengajuan Donasi]]</f>
        <v>750000</v>
      </c>
      <c r="J816" s="213" t="str">
        <f>IF(List34[[#This Row],[Tanggal Trf]]&gt;0,"Done","-")</f>
        <v>Done</v>
      </c>
      <c r="K816" s="14" t="s">
        <v>1578</v>
      </c>
      <c r="L816" s="223">
        <v>44844</v>
      </c>
      <c r="M816" s="100" t="s">
        <v>1218</v>
      </c>
      <c r="N816" s="100">
        <f>MONTH(List34[[#This Row],[Tanggal Pengajuan]])</f>
        <v>10</v>
      </c>
      <c r="O816" s="183"/>
      <c r="P816" s="105" t="s">
        <v>1764</v>
      </c>
      <c r="Q816" s="111"/>
      <c r="R816" s="229"/>
    </row>
    <row r="817" spans="2:18" ht="30" customHeight="1" x14ac:dyDescent="0.2">
      <c r="B817" s="102">
        <v>44839</v>
      </c>
      <c r="C817" s="67"/>
      <c r="D817" s="14" t="s">
        <v>1216</v>
      </c>
      <c r="E817" s="14" t="s">
        <v>26</v>
      </c>
      <c r="F817" s="103" t="s">
        <v>18</v>
      </c>
      <c r="G817" s="471">
        <v>1</v>
      </c>
      <c r="H817" s="258">
        <v>750000</v>
      </c>
      <c r="I817" s="258">
        <f>List34[[#This Row],[Pengajuan Donasi]]</f>
        <v>750000</v>
      </c>
      <c r="J817" s="213" t="str">
        <f>IF(List34[[#This Row],[Tanggal Trf]]&gt;0,"Done","-")</f>
        <v>Done</v>
      </c>
      <c r="K817" s="14" t="s">
        <v>1578</v>
      </c>
      <c r="L817" s="223">
        <v>44844</v>
      </c>
      <c r="M817" s="100" t="s">
        <v>1219</v>
      </c>
      <c r="N817" s="100">
        <f>MONTH(List34[[#This Row],[Tanggal Pengajuan]])</f>
        <v>10</v>
      </c>
      <c r="O817" s="183"/>
      <c r="P817" s="105" t="s">
        <v>1764</v>
      </c>
      <c r="Q817" s="111"/>
      <c r="R817" s="229"/>
    </row>
    <row r="818" spans="2:18" ht="30" customHeight="1" x14ac:dyDescent="0.2">
      <c r="B818" s="102">
        <v>44839</v>
      </c>
      <c r="C818" s="67" t="s">
        <v>1631</v>
      </c>
      <c r="D818" s="14" t="s">
        <v>392</v>
      </c>
      <c r="E818" s="14" t="s">
        <v>57</v>
      </c>
      <c r="F818" s="103" t="s">
        <v>18</v>
      </c>
      <c r="G818" s="471">
        <v>0</v>
      </c>
      <c r="H818" s="258">
        <v>10000000</v>
      </c>
      <c r="I818" s="258">
        <f>List34[[#This Row],[Pengajuan Donasi]]</f>
        <v>10000000</v>
      </c>
      <c r="J818" s="213" t="str">
        <f>IF(List34[[#This Row],[Tanggal Trf]]&gt;0,"Done","-")</f>
        <v>Done</v>
      </c>
      <c r="K818" s="14" t="s">
        <v>1579</v>
      </c>
      <c r="L818" s="223">
        <v>44844</v>
      </c>
      <c r="M818" s="100" t="s">
        <v>540</v>
      </c>
      <c r="N818" s="100">
        <f>MONTH(List34[[#This Row],[Tanggal Pengajuan]])</f>
        <v>10</v>
      </c>
      <c r="O818" s="183"/>
      <c r="P818" s="105" t="s">
        <v>1764</v>
      </c>
      <c r="Q818" s="111"/>
      <c r="R818" s="229"/>
    </row>
    <row r="819" spans="2:18" ht="30" customHeight="1" x14ac:dyDescent="0.2">
      <c r="B819" s="102">
        <v>44839</v>
      </c>
      <c r="C819" s="67" t="s">
        <v>1632</v>
      </c>
      <c r="D819" s="14" t="s">
        <v>429</v>
      </c>
      <c r="E819" s="14" t="s">
        <v>57</v>
      </c>
      <c r="F819" s="103" t="s">
        <v>18</v>
      </c>
      <c r="G819" s="471">
        <v>0</v>
      </c>
      <c r="H819" s="258">
        <v>10000000</v>
      </c>
      <c r="I819" s="258">
        <f>List34[[#This Row],[Pengajuan Donasi]]</f>
        <v>10000000</v>
      </c>
      <c r="J819" s="213" t="str">
        <f>IF(List34[[#This Row],[Tanggal Trf]]&gt;0,"Done","-")</f>
        <v>Done</v>
      </c>
      <c r="K819" s="14" t="s">
        <v>1580</v>
      </c>
      <c r="L819" s="223">
        <v>44844</v>
      </c>
      <c r="M819" s="100" t="s">
        <v>537</v>
      </c>
      <c r="N819" s="100">
        <f>MONTH(List34[[#This Row],[Tanggal Pengajuan]])</f>
        <v>10</v>
      </c>
      <c r="O819" s="183"/>
      <c r="P819" s="105" t="s">
        <v>1764</v>
      </c>
      <c r="Q819" s="111"/>
      <c r="R819" s="229"/>
    </row>
    <row r="820" spans="2:18" ht="30" customHeight="1" x14ac:dyDescent="0.2">
      <c r="B820" s="102">
        <v>44839</v>
      </c>
      <c r="C820" s="67" t="s">
        <v>1633</v>
      </c>
      <c r="D820" s="14" t="s">
        <v>420</v>
      </c>
      <c r="E820" s="14" t="s">
        <v>57</v>
      </c>
      <c r="F820" s="103" t="s">
        <v>18</v>
      </c>
      <c r="G820" s="471">
        <v>29</v>
      </c>
      <c r="H820" s="258">
        <v>10000000</v>
      </c>
      <c r="I820" s="258">
        <f>List34[[#This Row],[Pengajuan Donasi]]</f>
        <v>10000000</v>
      </c>
      <c r="J820" s="213" t="str">
        <f>IF(List34[[#This Row],[Tanggal Trf]]&gt;0,"Done","-")</f>
        <v>Done</v>
      </c>
      <c r="K820" s="445" t="s">
        <v>1581</v>
      </c>
      <c r="L820" s="223">
        <v>44844</v>
      </c>
      <c r="M820" s="100" t="s">
        <v>534</v>
      </c>
      <c r="N820" s="100">
        <f>MONTH(List34[[#This Row],[Tanggal Pengajuan]])</f>
        <v>10</v>
      </c>
      <c r="O820" s="183"/>
      <c r="P820" s="105" t="s">
        <v>1764</v>
      </c>
      <c r="Q820" s="111"/>
      <c r="R820" s="229"/>
    </row>
    <row r="821" spans="2:18" ht="30" customHeight="1" x14ac:dyDescent="0.2">
      <c r="B821" s="102">
        <v>44839</v>
      </c>
      <c r="C821" s="67" t="s">
        <v>1634</v>
      </c>
      <c r="D821" s="14" t="s">
        <v>426</v>
      </c>
      <c r="E821" s="14" t="s">
        <v>57</v>
      </c>
      <c r="F821" s="103" t="s">
        <v>18</v>
      </c>
      <c r="G821" s="471">
        <v>31</v>
      </c>
      <c r="H821" s="258">
        <v>48690000</v>
      </c>
      <c r="I821" s="258">
        <f>List34[[#This Row],[Pengajuan Donasi]]</f>
        <v>48690000</v>
      </c>
      <c r="J821" s="213" t="str">
        <f>IF(List34[[#This Row],[Tanggal Trf]]&gt;0,"Done","-")</f>
        <v>Done</v>
      </c>
      <c r="K821" s="445" t="s">
        <v>1587</v>
      </c>
      <c r="L821" s="224">
        <v>44860</v>
      </c>
      <c r="M821" s="100" t="s">
        <v>655</v>
      </c>
      <c r="N821" s="100">
        <f>MONTH(List34[[#This Row],[Tanggal Pengajuan]])</f>
        <v>10</v>
      </c>
      <c r="O821" s="183"/>
      <c r="P821" s="105" t="s">
        <v>1764</v>
      </c>
      <c r="Q821" s="111"/>
      <c r="R821" s="229"/>
    </row>
    <row r="822" spans="2:18" ht="30" customHeight="1" x14ac:dyDescent="0.2">
      <c r="B822" s="102">
        <v>44839</v>
      </c>
      <c r="C822" s="67" t="s">
        <v>1635</v>
      </c>
      <c r="D822" s="14" t="s">
        <v>413</v>
      </c>
      <c r="E822" s="14" t="s">
        <v>57</v>
      </c>
      <c r="F822" s="103" t="s">
        <v>18</v>
      </c>
      <c r="G822" s="471">
        <v>16</v>
      </c>
      <c r="H822" s="258">
        <v>10000000</v>
      </c>
      <c r="I822" s="258">
        <f>List34[[#This Row],[Pengajuan Donasi]]</f>
        <v>10000000</v>
      </c>
      <c r="J822" s="213" t="str">
        <f>IF(List34[[#This Row],[Tanggal Trf]]&gt;0,"Done","-")</f>
        <v>Done</v>
      </c>
      <c r="K822" s="445" t="s">
        <v>1582</v>
      </c>
      <c r="L822" s="224">
        <v>44844</v>
      </c>
      <c r="M822" s="100" t="s">
        <v>544</v>
      </c>
      <c r="N822" s="100">
        <f>MONTH(List34[[#This Row],[Tanggal Pengajuan]])</f>
        <v>10</v>
      </c>
      <c r="O822" s="183"/>
      <c r="P822" s="105" t="s">
        <v>1764</v>
      </c>
      <c r="Q822" s="111"/>
      <c r="R822" s="229"/>
    </row>
    <row r="823" spans="2:18" ht="30" customHeight="1" x14ac:dyDescent="0.2">
      <c r="B823" s="102">
        <v>44839</v>
      </c>
      <c r="C823" s="67" t="s">
        <v>1636</v>
      </c>
      <c r="D823" s="14" t="s">
        <v>407</v>
      </c>
      <c r="E823" s="14" t="s">
        <v>57</v>
      </c>
      <c r="F823" s="103" t="s">
        <v>18</v>
      </c>
      <c r="G823" s="471">
        <v>64</v>
      </c>
      <c r="H823" s="258">
        <v>10000000</v>
      </c>
      <c r="I823" s="258">
        <f>List34[[#This Row],[Pengajuan Donasi]]</f>
        <v>10000000</v>
      </c>
      <c r="J823" s="213" t="str">
        <f>IF(List34[[#This Row],[Tanggal Trf]]&gt;0,"Done","-")</f>
        <v>Done</v>
      </c>
      <c r="K823" s="445" t="s">
        <v>1583</v>
      </c>
      <c r="L823" s="224">
        <v>44844</v>
      </c>
      <c r="M823" s="100" t="s">
        <v>661</v>
      </c>
      <c r="N823" s="100">
        <f>MONTH(List34[[#This Row],[Tanggal Pengajuan]])</f>
        <v>10</v>
      </c>
      <c r="O823" s="183"/>
      <c r="P823" s="105" t="s">
        <v>1764</v>
      </c>
      <c r="Q823" s="111"/>
      <c r="R823" s="229"/>
    </row>
    <row r="824" spans="2:18" ht="30" customHeight="1" x14ac:dyDescent="0.2">
      <c r="B824" s="102">
        <v>44839</v>
      </c>
      <c r="C824" s="67" t="s">
        <v>1637</v>
      </c>
      <c r="D824" s="14" t="s">
        <v>916</v>
      </c>
      <c r="E824" s="14" t="s">
        <v>26</v>
      </c>
      <c r="F824" s="103" t="s">
        <v>18</v>
      </c>
      <c r="G824" s="471">
        <v>1</v>
      </c>
      <c r="H824" s="258">
        <v>500000</v>
      </c>
      <c r="I824" s="258">
        <f>List34[[#This Row],[Pengajuan Donasi]]</f>
        <v>500000</v>
      </c>
      <c r="J824" s="213" t="str">
        <f>IF(List34[[#This Row],[Tanggal Trf]]&gt;0,"Done","-")</f>
        <v>Done</v>
      </c>
      <c r="K824" s="445" t="s">
        <v>1584</v>
      </c>
      <c r="L824" s="221">
        <v>44853</v>
      </c>
      <c r="M824" s="100" t="s">
        <v>895</v>
      </c>
      <c r="N824" s="100">
        <f>MONTH(List34[[#This Row],[Tanggal Pengajuan]])</f>
        <v>10</v>
      </c>
      <c r="O824" s="183"/>
      <c r="P824" s="105" t="s">
        <v>1764</v>
      </c>
      <c r="Q824" s="111"/>
      <c r="R824" s="229"/>
    </row>
    <row r="825" spans="2:18" ht="30" customHeight="1" x14ac:dyDescent="0.2">
      <c r="B825" s="102">
        <v>44839</v>
      </c>
      <c r="C825" s="67"/>
      <c r="D825" s="14" t="s">
        <v>1535</v>
      </c>
      <c r="E825" s="14" t="s">
        <v>26</v>
      </c>
      <c r="F825" s="103" t="s">
        <v>18</v>
      </c>
      <c r="G825" s="471">
        <v>1</v>
      </c>
      <c r="H825" s="258">
        <v>500000</v>
      </c>
      <c r="I825" s="258">
        <f>List34[[#This Row],[Pengajuan Donasi]]</f>
        <v>500000</v>
      </c>
      <c r="J825" s="213" t="str">
        <f>IF(List34[[#This Row],[Tanggal Trf]]&gt;0,"Done","-")</f>
        <v>Done</v>
      </c>
      <c r="K825" s="445" t="s">
        <v>1584</v>
      </c>
      <c r="L825" s="221">
        <v>44853</v>
      </c>
      <c r="M825" s="100" t="s">
        <v>1536</v>
      </c>
      <c r="N825" s="100">
        <f>MONTH(List34[[#This Row],[Tanggal Pengajuan]])</f>
        <v>10</v>
      </c>
      <c r="O825" s="183"/>
      <c r="P825" s="105" t="s">
        <v>1764</v>
      </c>
      <c r="Q825" s="111"/>
      <c r="R825" s="229"/>
    </row>
    <row r="826" spans="2:18" ht="30" customHeight="1" x14ac:dyDescent="0.2">
      <c r="B826" s="102">
        <v>44839</v>
      </c>
      <c r="C826" s="67"/>
      <c r="D826" s="14" t="s">
        <v>1537</v>
      </c>
      <c r="E826" s="14" t="s">
        <v>26</v>
      </c>
      <c r="F826" s="103" t="s">
        <v>18</v>
      </c>
      <c r="G826" s="471">
        <v>1</v>
      </c>
      <c r="H826" s="258">
        <v>500000</v>
      </c>
      <c r="I826" s="258">
        <f>List34[[#This Row],[Pengajuan Donasi]]</f>
        <v>500000</v>
      </c>
      <c r="J826" s="213" t="str">
        <f>IF(List34[[#This Row],[Tanggal Trf]]&gt;0,"Done","-")</f>
        <v>Done</v>
      </c>
      <c r="K826" s="445" t="s">
        <v>1584</v>
      </c>
      <c r="L826" s="221">
        <v>44853</v>
      </c>
      <c r="M826" s="100" t="s">
        <v>1538</v>
      </c>
      <c r="N826" s="100">
        <f>MONTH(List34[[#This Row],[Tanggal Pengajuan]])</f>
        <v>10</v>
      </c>
      <c r="O826" s="183"/>
      <c r="P826" s="105" t="s">
        <v>1764</v>
      </c>
      <c r="Q826" s="111"/>
      <c r="R826" s="229"/>
    </row>
    <row r="827" spans="2:18" ht="30" customHeight="1" x14ac:dyDescent="0.2">
      <c r="B827" s="102">
        <v>44839</v>
      </c>
      <c r="C827" s="67"/>
      <c r="D827" s="14" t="s">
        <v>919</v>
      </c>
      <c r="E827" s="14" t="s">
        <v>26</v>
      </c>
      <c r="F827" s="103" t="s">
        <v>18</v>
      </c>
      <c r="G827" s="471">
        <v>1</v>
      </c>
      <c r="H827" s="258">
        <v>500000</v>
      </c>
      <c r="I827" s="258">
        <f>List34[[#This Row],[Pengajuan Donasi]]</f>
        <v>500000</v>
      </c>
      <c r="J827" s="213" t="str">
        <f>IF(List34[[#This Row],[Tanggal Trf]]&gt;0,"Done","-")</f>
        <v>Done</v>
      </c>
      <c r="K827" s="445" t="s">
        <v>1584</v>
      </c>
      <c r="L827" s="221">
        <v>44853</v>
      </c>
      <c r="M827" s="100" t="s">
        <v>897</v>
      </c>
      <c r="N827" s="100">
        <f>MONTH(List34[[#This Row],[Tanggal Pengajuan]])</f>
        <v>10</v>
      </c>
      <c r="O827" s="183"/>
      <c r="P827" s="105" t="s">
        <v>1764</v>
      </c>
      <c r="Q827" s="111"/>
      <c r="R827" s="229"/>
    </row>
    <row r="828" spans="2:18" ht="30" customHeight="1" x14ac:dyDescent="0.2">
      <c r="B828" s="102">
        <v>44839</v>
      </c>
      <c r="C828" s="67"/>
      <c r="D828" s="14" t="s">
        <v>920</v>
      </c>
      <c r="E828" s="14" t="s">
        <v>26</v>
      </c>
      <c r="F828" s="103" t="s">
        <v>18</v>
      </c>
      <c r="G828" s="471">
        <v>1</v>
      </c>
      <c r="H828" s="258">
        <v>500000</v>
      </c>
      <c r="I828" s="258">
        <f>List34[[#This Row],[Pengajuan Donasi]]</f>
        <v>500000</v>
      </c>
      <c r="J828" s="213" t="str">
        <f>IF(List34[[#This Row],[Tanggal Trf]]&gt;0,"Done","-")</f>
        <v>Done</v>
      </c>
      <c r="K828" s="445" t="s">
        <v>1584</v>
      </c>
      <c r="L828" s="221">
        <v>44853</v>
      </c>
      <c r="M828" s="100" t="s">
        <v>915</v>
      </c>
      <c r="N828" s="100">
        <f>MONTH(List34[[#This Row],[Tanggal Pengajuan]])</f>
        <v>10</v>
      </c>
      <c r="O828" s="183"/>
      <c r="P828" s="105" t="s">
        <v>1764</v>
      </c>
      <c r="Q828" s="111"/>
      <c r="R828" s="229"/>
    </row>
    <row r="829" spans="2:18" ht="30" customHeight="1" x14ac:dyDescent="0.2">
      <c r="B829" s="102">
        <v>44839</v>
      </c>
      <c r="C829" s="67"/>
      <c r="D829" s="14" t="s">
        <v>921</v>
      </c>
      <c r="E829" s="14" t="s">
        <v>26</v>
      </c>
      <c r="F829" s="103" t="s">
        <v>18</v>
      </c>
      <c r="G829" s="471">
        <v>1</v>
      </c>
      <c r="H829" s="258">
        <v>500000</v>
      </c>
      <c r="I829" s="258">
        <f>List34[[#This Row],[Pengajuan Donasi]]</f>
        <v>500000</v>
      </c>
      <c r="J829" s="213" t="str">
        <f>IF(List34[[#This Row],[Tanggal Trf]]&gt;0,"Done","-")</f>
        <v>Done</v>
      </c>
      <c r="K829" s="445" t="s">
        <v>1584</v>
      </c>
      <c r="L829" s="221">
        <v>44853</v>
      </c>
      <c r="M829" s="100" t="s">
        <v>1539</v>
      </c>
      <c r="N829" s="100">
        <f>MONTH(List34[[#This Row],[Tanggal Pengajuan]])</f>
        <v>10</v>
      </c>
      <c r="O829" s="183"/>
      <c r="P829" s="105" t="s">
        <v>1764</v>
      </c>
      <c r="Q829" s="111"/>
      <c r="R829" s="229"/>
    </row>
    <row r="830" spans="2:18" ht="30" customHeight="1" x14ac:dyDescent="0.2">
      <c r="B830" s="102">
        <v>44839</v>
      </c>
      <c r="C830" s="67"/>
      <c r="D830" s="14" t="s">
        <v>922</v>
      </c>
      <c r="E830" s="14" t="s">
        <v>26</v>
      </c>
      <c r="F830" s="103" t="s">
        <v>18</v>
      </c>
      <c r="G830" s="471">
        <v>1</v>
      </c>
      <c r="H830" s="258">
        <v>500000</v>
      </c>
      <c r="I830" s="258">
        <f>List34[[#This Row],[Pengajuan Donasi]]</f>
        <v>500000</v>
      </c>
      <c r="J830" s="213" t="str">
        <f>IF(List34[[#This Row],[Tanggal Trf]]&gt;0,"Done","-")</f>
        <v>Done</v>
      </c>
      <c r="K830" s="445" t="s">
        <v>1584</v>
      </c>
      <c r="L830" s="221">
        <v>44853</v>
      </c>
      <c r="M830" s="100" t="s">
        <v>899</v>
      </c>
      <c r="N830" s="100">
        <f>MONTH(List34[[#This Row],[Tanggal Pengajuan]])</f>
        <v>10</v>
      </c>
      <c r="O830" s="183"/>
      <c r="P830" s="105" t="s">
        <v>1764</v>
      </c>
      <c r="Q830" s="111"/>
      <c r="R830" s="229"/>
    </row>
    <row r="831" spans="2:18" ht="30" customHeight="1" x14ac:dyDescent="0.2">
      <c r="B831" s="102">
        <v>44839</v>
      </c>
      <c r="C831" s="67"/>
      <c r="D831" s="14" t="s">
        <v>923</v>
      </c>
      <c r="E831" s="14" t="s">
        <v>26</v>
      </c>
      <c r="F831" s="103" t="s">
        <v>18</v>
      </c>
      <c r="G831" s="471">
        <v>1</v>
      </c>
      <c r="H831" s="258">
        <v>500000</v>
      </c>
      <c r="I831" s="258">
        <f>List34[[#This Row],[Pengajuan Donasi]]</f>
        <v>500000</v>
      </c>
      <c r="J831" s="213" t="str">
        <f>IF(List34[[#This Row],[Tanggal Trf]]&gt;0,"Done","-")</f>
        <v>Done</v>
      </c>
      <c r="K831" s="445" t="s">
        <v>1584</v>
      </c>
      <c r="L831" s="221">
        <v>44853</v>
      </c>
      <c r="M831" s="100" t="s">
        <v>900</v>
      </c>
      <c r="N831" s="100">
        <f>MONTH(List34[[#This Row],[Tanggal Pengajuan]])</f>
        <v>10</v>
      </c>
      <c r="O831" s="183"/>
      <c r="P831" s="105" t="s">
        <v>1764</v>
      </c>
      <c r="Q831" s="111"/>
      <c r="R831" s="229"/>
    </row>
    <row r="832" spans="2:18" ht="30" customHeight="1" x14ac:dyDescent="0.2">
      <c r="B832" s="102">
        <v>44839</v>
      </c>
      <c r="C832" s="67"/>
      <c r="D832" s="14" t="s">
        <v>924</v>
      </c>
      <c r="E832" s="14" t="s">
        <v>26</v>
      </c>
      <c r="F832" s="103" t="s">
        <v>18</v>
      </c>
      <c r="G832" s="471">
        <v>1</v>
      </c>
      <c r="H832" s="258">
        <v>500000</v>
      </c>
      <c r="I832" s="258">
        <f>List34[[#This Row],[Pengajuan Donasi]]</f>
        <v>500000</v>
      </c>
      <c r="J832" s="213" t="str">
        <f>IF(List34[[#This Row],[Tanggal Trf]]&gt;0,"Done","-")</f>
        <v>Done</v>
      </c>
      <c r="K832" s="445" t="s">
        <v>1584</v>
      </c>
      <c r="L832" s="221">
        <v>44853</v>
      </c>
      <c r="M832" s="100" t="s">
        <v>901</v>
      </c>
      <c r="N832" s="100">
        <f>MONTH(List34[[#This Row],[Tanggal Pengajuan]])</f>
        <v>10</v>
      </c>
      <c r="O832" s="183"/>
      <c r="P832" s="105" t="s">
        <v>1764</v>
      </c>
      <c r="Q832" s="111"/>
      <c r="R832" s="229"/>
    </row>
    <row r="833" spans="2:18" ht="30" customHeight="1" x14ac:dyDescent="0.2">
      <c r="B833" s="102">
        <v>44839</v>
      </c>
      <c r="C833" s="67"/>
      <c r="D833" s="14" t="s">
        <v>925</v>
      </c>
      <c r="E833" s="14" t="s">
        <v>26</v>
      </c>
      <c r="F833" s="103" t="s">
        <v>18</v>
      </c>
      <c r="G833" s="471">
        <v>1</v>
      </c>
      <c r="H833" s="258">
        <v>500000</v>
      </c>
      <c r="I833" s="258">
        <f>List34[[#This Row],[Pengajuan Donasi]]</f>
        <v>500000</v>
      </c>
      <c r="J833" s="213" t="str">
        <f>IF(List34[[#This Row],[Tanggal Trf]]&gt;0,"Done","-")</f>
        <v>Done</v>
      </c>
      <c r="K833" s="445" t="s">
        <v>1584</v>
      </c>
      <c r="L833" s="221">
        <v>44853</v>
      </c>
      <c r="M833" s="100" t="s">
        <v>1014</v>
      </c>
      <c r="N833" s="100">
        <f>MONTH(List34[[#This Row],[Tanggal Pengajuan]])</f>
        <v>10</v>
      </c>
      <c r="O833" s="183"/>
      <c r="P833" s="105" t="s">
        <v>1764</v>
      </c>
      <c r="Q833" s="111"/>
      <c r="R833" s="229"/>
    </row>
    <row r="834" spans="2:18" ht="30" customHeight="1" x14ac:dyDescent="0.2">
      <c r="B834" s="102">
        <v>44839</v>
      </c>
      <c r="C834" s="67"/>
      <c r="D834" s="14" t="s">
        <v>926</v>
      </c>
      <c r="E834" s="14" t="s">
        <v>26</v>
      </c>
      <c r="F834" s="103" t="s">
        <v>18</v>
      </c>
      <c r="G834" s="471">
        <v>1</v>
      </c>
      <c r="H834" s="258">
        <v>500000</v>
      </c>
      <c r="I834" s="258">
        <f>List34[[#This Row],[Pengajuan Donasi]]</f>
        <v>500000</v>
      </c>
      <c r="J834" s="213" t="str">
        <f>IF(List34[[#This Row],[Tanggal Trf]]&gt;0,"Done","-")</f>
        <v>Done</v>
      </c>
      <c r="K834" s="445" t="s">
        <v>1584</v>
      </c>
      <c r="L834" s="221">
        <v>44853</v>
      </c>
      <c r="M834" s="100" t="s">
        <v>1540</v>
      </c>
      <c r="N834" s="100">
        <f>MONTH(List34[[#This Row],[Tanggal Pengajuan]])</f>
        <v>10</v>
      </c>
      <c r="O834" s="183"/>
      <c r="P834" s="105" t="s">
        <v>1764</v>
      </c>
      <c r="Q834" s="111"/>
      <c r="R834" s="229"/>
    </row>
    <row r="835" spans="2:18" ht="30" customHeight="1" x14ac:dyDescent="0.2">
      <c r="B835" s="102">
        <v>44839</v>
      </c>
      <c r="C835" s="67"/>
      <c r="D835" s="14" t="s">
        <v>927</v>
      </c>
      <c r="E835" s="14" t="s">
        <v>26</v>
      </c>
      <c r="F835" s="103" t="s">
        <v>18</v>
      </c>
      <c r="G835" s="471">
        <v>1</v>
      </c>
      <c r="H835" s="258">
        <v>500000</v>
      </c>
      <c r="I835" s="258">
        <f>List34[[#This Row],[Pengajuan Donasi]]</f>
        <v>500000</v>
      </c>
      <c r="J835" s="213" t="str">
        <f>IF(List34[[#This Row],[Tanggal Trf]]&gt;0,"Done","-")</f>
        <v>Done</v>
      </c>
      <c r="K835" s="445" t="s">
        <v>1584</v>
      </c>
      <c r="L835" s="221">
        <v>44853</v>
      </c>
      <c r="M835" s="100" t="s">
        <v>1541</v>
      </c>
      <c r="N835" s="100">
        <f>MONTH(List34[[#This Row],[Tanggal Pengajuan]])</f>
        <v>10</v>
      </c>
      <c r="O835" s="183"/>
      <c r="P835" s="105" t="s">
        <v>1764</v>
      </c>
      <c r="Q835" s="111"/>
      <c r="R835" s="229"/>
    </row>
    <row r="836" spans="2:18" ht="30" customHeight="1" x14ac:dyDescent="0.2">
      <c r="B836" s="102">
        <v>44839</v>
      </c>
      <c r="C836" s="67"/>
      <c r="D836" s="14" t="s">
        <v>928</v>
      </c>
      <c r="E836" s="14" t="s">
        <v>26</v>
      </c>
      <c r="F836" s="103" t="s">
        <v>18</v>
      </c>
      <c r="G836" s="471">
        <v>1</v>
      </c>
      <c r="H836" s="258">
        <v>500000</v>
      </c>
      <c r="I836" s="258">
        <f>List34[[#This Row],[Pengajuan Donasi]]</f>
        <v>500000</v>
      </c>
      <c r="J836" s="213" t="str">
        <f>IF(List34[[#This Row],[Tanggal Trf]]&gt;0,"Done","-")</f>
        <v>Done</v>
      </c>
      <c r="K836" s="445" t="s">
        <v>1584</v>
      </c>
      <c r="L836" s="221">
        <v>44853</v>
      </c>
      <c r="M836" s="100" t="s">
        <v>1542</v>
      </c>
      <c r="N836" s="100">
        <f>MONTH(List34[[#This Row],[Tanggal Pengajuan]])</f>
        <v>10</v>
      </c>
      <c r="O836" s="183"/>
      <c r="P836" s="105" t="s">
        <v>1764</v>
      </c>
      <c r="Q836" s="111"/>
      <c r="R836" s="229"/>
    </row>
    <row r="837" spans="2:18" ht="30" customHeight="1" x14ac:dyDescent="0.2">
      <c r="B837" s="102">
        <v>44839</v>
      </c>
      <c r="C837" s="67"/>
      <c r="D837" s="14" t="s">
        <v>929</v>
      </c>
      <c r="E837" s="14" t="s">
        <v>26</v>
      </c>
      <c r="F837" s="103" t="s">
        <v>18</v>
      </c>
      <c r="G837" s="471">
        <v>1</v>
      </c>
      <c r="H837" s="258">
        <v>500000</v>
      </c>
      <c r="I837" s="258">
        <f>List34[[#This Row],[Pengajuan Donasi]]</f>
        <v>500000</v>
      </c>
      <c r="J837" s="213" t="str">
        <f>IF(List34[[#This Row],[Tanggal Trf]]&gt;0,"Done","-")</f>
        <v>Done</v>
      </c>
      <c r="K837" s="445" t="s">
        <v>1584</v>
      </c>
      <c r="L837" s="221">
        <v>44853</v>
      </c>
      <c r="M837" s="100" t="s">
        <v>902</v>
      </c>
      <c r="N837" s="100">
        <f>MONTH(List34[[#This Row],[Tanggal Pengajuan]])</f>
        <v>10</v>
      </c>
      <c r="O837" s="183"/>
      <c r="P837" s="105" t="s">
        <v>1764</v>
      </c>
      <c r="Q837" s="111"/>
      <c r="R837" s="229"/>
    </row>
    <row r="838" spans="2:18" ht="30" customHeight="1" x14ac:dyDescent="0.2">
      <c r="B838" s="102">
        <v>44839</v>
      </c>
      <c r="C838" s="67"/>
      <c r="D838" s="14" t="s">
        <v>930</v>
      </c>
      <c r="E838" s="14" t="s">
        <v>26</v>
      </c>
      <c r="F838" s="103" t="s">
        <v>18</v>
      </c>
      <c r="G838" s="471">
        <v>1</v>
      </c>
      <c r="H838" s="258">
        <v>500000</v>
      </c>
      <c r="I838" s="258">
        <f>List34[[#This Row],[Pengajuan Donasi]]</f>
        <v>500000</v>
      </c>
      <c r="J838" s="213" t="str">
        <f>IF(List34[[#This Row],[Tanggal Trf]]&gt;0,"Done","-")</f>
        <v>Done</v>
      </c>
      <c r="K838" s="445" t="s">
        <v>1584</v>
      </c>
      <c r="L838" s="221">
        <v>44853</v>
      </c>
      <c r="M838" s="100" t="s">
        <v>903</v>
      </c>
      <c r="N838" s="100">
        <f>MONTH(List34[[#This Row],[Tanggal Pengajuan]])</f>
        <v>10</v>
      </c>
      <c r="O838" s="183"/>
      <c r="P838" s="105" t="s">
        <v>1764</v>
      </c>
      <c r="Q838" s="111"/>
      <c r="R838" s="229"/>
    </row>
    <row r="839" spans="2:18" ht="30" customHeight="1" x14ac:dyDescent="0.2">
      <c r="B839" s="102">
        <v>44839</v>
      </c>
      <c r="C839" s="67"/>
      <c r="D839" s="14" t="s">
        <v>1543</v>
      </c>
      <c r="E839" s="14" t="s">
        <v>26</v>
      </c>
      <c r="F839" s="103" t="s">
        <v>18</v>
      </c>
      <c r="G839" s="471">
        <v>0</v>
      </c>
      <c r="H839" s="258">
        <v>500000</v>
      </c>
      <c r="I839" s="258">
        <f>List34[[#This Row],[Pengajuan Donasi]]</f>
        <v>500000</v>
      </c>
      <c r="J839" s="213" t="str">
        <f>IF(List34[[#This Row],[Tanggal Trf]]&gt;0,"Done","-")</f>
        <v>Done</v>
      </c>
      <c r="K839" s="445" t="s">
        <v>1584</v>
      </c>
      <c r="L839" s="221">
        <v>44853</v>
      </c>
      <c r="M839" s="100" t="s">
        <v>1544</v>
      </c>
      <c r="N839" s="100">
        <f>MONTH(List34[[#This Row],[Tanggal Pengajuan]])</f>
        <v>10</v>
      </c>
      <c r="O839" s="183"/>
      <c r="P839" s="105" t="s">
        <v>1764</v>
      </c>
      <c r="Q839" s="111"/>
      <c r="R839" s="229"/>
    </row>
    <row r="840" spans="2:18" ht="30" customHeight="1" x14ac:dyDescent="0.2">
      <c r="B840" s="102">
        <v>44839</v>
      </c>
      <c r="C840" s="67"/>
      <c r="D840" s="14" t="s">
        <v>1545</v>
      </c>
      <c r="E840" s="14" t="s">
        <v>26</v>
      </c>
      <c r="F840" s="103" t="s">
        <v>18</v>
      </c>
      <c r="G840" s="471">
        <v>0</v>
      </c>
      <c r="H840" s="258">
        <v>500000</v>
      </c>
      <c r="I840" s="258">
        <f>List34[[#This Row],[Pengajuan Donasi]]</f>
        <v>500000</v>
      </c>
      <c r="J840" s="213" t="str">
        <f>IF(List34[[#This Row],[Tanggal Trf]]&gt;0,"Done","-")</f>
        <v>Done</v>
      </c>
      <c r="K840" s="445" t="s">
        <v>1584</v>
      </c>
      <c r="L840" s="221">
        <v>44853</v>
      </c>
      <c r="M840" s="100" t="s">
        <v>1546</v>
      </c>
      <c r="N840" s="100">
        <f>MONTH(List34[[#This Row],[Tanggal Pengajuan]])</f>
        <v>10</v>
      </c>
      <c r="O840" s="183"/>
      <c r="P840" s="105" t="s">
        <v>1764</v>
      </c>
      <c r="Q840" s="111"/>
      <c r="R840" s="229"/>
    </row>
    <row r="841" spans="2:18" ht="30" customHeight="1" x14ac:dyDescent="0.2">
      <c r="B841" s="102">
        <v>44839</v>
      </c>
      <c r="C841" s="67" t="s">
        <v>1638</v>
      </c>
      <c r="D841" s="14" t="s">
        <v>256</v>
      </c>
      <c r="E841" s="14" t="s">
        <v>17</v>
      </c>
      <c r="F841" s="103" t="s">
        <v>18</v>
      </c>
      <c r="G841" s="471">
        <v>86</v>
      </c>
      <c r="H841" s="258">
        <v>5500000</v>
      </c>
      <c r="I841" s="258">
        <f>List34[[#This Row],[Pengajuan Donasi]]</f>
        <v>5500000</v>
      </c>
      <c r="J841" s="213" t="str">
        <f>IF(List34[[#This Row],[Tanggal Trf]]&gt;0,"Done","-")</f>
        <v>Done</v>
      </c>
      <c r="K841" s="961" t="s">
        <v>1585</v>
      </c>
      <c r="L841" s="221">
        <v>44844</v>
      </c>
      <c r="M841" s="100" t="s">
        <v>136</v>
      </c>
      <c r="N841" s="100">
        <f>MONTH(List34[[#This Row],[Tanggal Pengajuan]])</f>
        <v>10</v>
      </c>
      <c r="O841" s="183"/>
      <c r="P841" s="105" t="s">
        <v>1764</v>
      </c>
      <c r="Q841" s="111"/>
      <c r="R841" s="229"/>
    </row>
    <row r="842" spans="2:18" ht="30" customHeight="1" x14ac:dyDescent="0.2">
      <c r="B842" s="102">
        <v>44839</v>
      </c>
      <c r="C842" s="67"/>
      <c r="D842" s="14" t="s">
        <v>257</v>
      </c>
      <c r="E842" s="14" t="s">
        <v>17</v>
      </c>
      <c r="F842" s="103" t="s">
        <v>18</v>
      </c>
      <c r="G842" s="471">
        <v>128</v>
      </c>
      <c r="H842" s="258">
        <v>5500000</v>
      </c>
      <c r="I842" s="258">
        <f>List34[[#This Row],[Pengajuan Donasi]]</f>
        <v>5500000</v>
      </c>
      <c r="J842" s="213" t="str">
        <f>IF(List34[[#This Row],[Tanggal Trf]]&gt;0,"Done","-")</f>
        <v>Done</v>
      </c>
      <c r="K842" s="961" t="s">
        <v>1585</v>
      </c>
      <c r="L842" s="221">
        <v>44844</v>
      </c>
      <c r="M842" s="100" t="s">
        <v>136</v>
      </c>
      <c r="N842" s="100">
        <f>MONTH(List34[[#This Row],[Tanggal Pengajuan]])</f>
        <v>10</v>
      </c>
      <c r="O842" s="183"/>
      <c r="P842" s="105" t="s">
        <v>1764</v>
      </c>
      <c r="Q842" s="111"/>
      <c r="R842" s="229"/>
    </row>
    <row r="843" spans="2:18" ht="30" customHeight="1" x14ac:dyDescent="0.2">
      <c r="B843" s="102">
        <v>44839</v>
      </c>
      <c r="C843" s="67"/>
      <c r="D843" s="14" t="s">
        <v>222</v>
      </c>
      <c r="E843" s="14" t="s">
        <v>17</v>
      </c>
      <c r="F843" s="103" t="s">
        <v>18</v>
      </c>
      <c r="G843" s="471">
        <f>10+26</f>
        <v>36</v>
      </c>
      <c r="H843" s="258">
        <v>5500000</v>
      </c>
      <c r="I843" s="258">
        <f>List34[[#This Row],[Pengajuan Donasi]]</f>
        <v>5500000</v>
      </c>
      <c r="J843" s="213" t="str">
        <f>IF(List34[[#This Row],[Tanggal Trf]]&gt;0,"Done","-")</f>
        <v>Done</v>
      </c>
      <c r="K843" s="961" t="s">
        <v>1585</v>
      </c>
      <c r="L843" s="221">
        <v>44844</v>
      </c>
      <c r="M843" s="100" t="s">
        <v>136</v>
      </c>
      <c r="N843" s="100">
        <f>MONTH(List34[[#This Row],[Tanggal Pengajuan]])</f>
        <v>10</v>
      </c>
      <c r="O843" s="183"/>
      <c r="P843" s="105" t="s">
        <v>1764</v>
      </c>
      <c r="Q843" s="111"/>
      <c r="R843" s="229"/>
    </row>
    <row r="844" spans="2:18" ht="30" customHeight="1" x14ac:dyDescent="0.2">
      <c r="B844" s="102">
        <v>44839</v>
      </c>
      <c r="C844" s="67" t="s">
        <v>1639</v>
      </c>
      <c r="D844" s="14" t="s">
        <v>872</v>
      </c>
      <c r="E844" s="14" t="s">
        <v>17</v>
      </c>
      <c r="F844" s="103" t="s">
        <v>18</v>
      </c>
      <c r="G844" s="15">
        <v>59</v>
      </c>
      <c r="H844" s="271">
        <v>6000000</v>
      </c>
      <c r="I844" s="258">
        <f>List34[[#This Row],[Pengajuan Donasi]]</f>
        <v>6000000</v>
      </c>
      <c r="J844" s="213" t="str">
        <f>IF(List34[[#This Row],[Tanggal Trf]]&gt;0,"Done","-")</f>
        <v>Done</v>
      </c>
      <c r="K844" s="14" t="s">
        <v>1586</v>
      </c>
      <c r="L844" s="223">
        <v>44853</v>
      </c>
      <c r="M844" s="100" t="s">
        <v>1213</v>
      </c>
      <c r="N844" s="100">
        <f>MONTH(List34[[#This Row],[Tanggal Pengajuan]])</f>
        <v>10</v>
      </c>
      <c r="O844" s="183"/>
      <c r="P844" s="105" t="s">
        <v>1764</v>
      </c>
      <c r="Q844" s="111"/>
      <c r="R844" s="229"/>
    </row>
    <row r="845" spans="2:18" ht="30" customHeight="1" x14ac:dyDescent="0.2">
      <c r="B845" s="102">
        <v>44839</v>
      </c>
      <c r="C845" s="67"/>
      <c r="D845" s="14" t="s">
        <v>871</v>
      </c>
      <c r="E845" s="14" t="s">
        <v>17</v>
      </c>
      <c r="F845" s="103" t="s">
        <v>18</v>
      </c>
      <c r="G845" s="15">
        <v>68</v>
      </c>
      <c r="H845" s="271">
        <v>6000000</v>
      </c>
      <c r="I845" s="258">
        <f>List34[[#This Row],[Pengajuan Donasi]]</f>
        <v>6000000</v>
      </c>
      <c r="J845" s="213" t="str">
        <f>IF(List34[[#This Row],[Tanggal Trf]]&gt;0,"Done","-")</f>
        <v>Done</v>
      </c>
      <c r="K845" s="14" t="s">
        <v>1586</v>
      </c>
      <c r="L845" s="223">
        <v>44853</v>
      </c>
      <c r="M845" s="100" t="s">
        <v>1213</v>
      </c>
      <c r="N845" s="100">
        <f>MONTH(List34[[#This Row],[Tanggal Pengajuan]])</f>
        <v>10</v>
      </c>
      <c r="O845" s="183"/>
      <c r="P845" s="105" t="s">
        <v>1764</v>
      </c>
      <c r="Q845" s="111"/>
      <c r="R845" s="229"/>
    </row>
    <row r="846" spans="2:18" ht="30" customHeight="1" x14ac:dyDescent="0.2">
      <c r="B846" s="102">
        <v>44839</v>
      </c>
      <c r="C846" s="67"/>
      <c r="D846" s="14" t="s">
        <v>870</v>
      </c>
      <c r="E846" s="14" t="s">
        <v>17</v>
      </c>
      <c r="F846" s="103" t="s">
        <v>18</v>
      </c>
      <c r="G846" s="15">
        <v>26</v>
      </c>
      <c r="H846" s="271">
        <v>6000000</v>
      </c>
      <c r="I846" s="258">
        <f>List34[[#This Row],[Pengajuan Donasi]]</f>
        <v>6000000</v>
      </c>
      <c r="J846" s="213" t="str">
        <f>IF(List34[[#This Row],[Tanggal Trf]]&gt;0,"Done","-")</f>
        <v>Done</v>
      </c>
      <c r="K846" s="14" t="s">
        <v>1586</v>
      </c>
      <c r="L846" s="223">
        <v>44853</v>
      </c>
      <c r="M846" s="100" t="s">
        <v>1213</v>
      </c>
      <c r="N846" s="100">
        <f>MONTH(List34[[#This Row],[Tanggal Pengajuan]])</f>
        <v>10</v>
      </c>
      <c r="O846" s="183"/>
      <c r="P846" s="105" t="s">
        <v>1764</v>
      </c>
      <c r="Q846" s="111"/>
      <c r="R846" s="229"/>
    </row>
    <row r="847" spans="2:18" ht="30" customHeight="1" x14ac:dyDescent="0.2">
      <c r="B847" s="102">
        <v>44839</v>
      </c>
      <c r="C847" s="67"/>
      <c r="D847" s="14" t="s">
        <v>124</v>
      </c>
      <c r="E847" s="14" t="s">
        <v>17</v>
      </c>
      <c r="F847" s="103" t="s">
        <v>18</v>
      </c>
      <c r="G847" s="15">
        <v>75</v>
      </c>
      <c r="H847" s="271">
        <v>6000000</v>
      </c>
      <c r="I847" s="258">
        <f>List34[[#This Row],[Pengajuan Donasi]]</f>
        <v>6000000</v>
      </c>
      <c r="J847" s="213" t="str">
        <f>IF(List34[[#This Row],[Tanggal Trf]]&gt;0,"Done","-")</f>
        <v>Done</v>
      </c>
      <c r="K847" s="14" t="s">
        <v>1586</v>
      </c>
      <c r="L847" s="223">
        <v>44853</v>
      </c>
      <c r="M847" s="100" t="s">
        <v>1213</v>
      </c>
      <c r="N847" s="100">
        <f>MONTH(List34[[#This Row],[Tanggal Pengajuan]])</f>
        <v>10</v>
      </c>
      <c r="O847" s="183"/>
      <c r="P847" s="105" t="s">
        <v>1764</v>
      </c>
      <c r="Q847" s="111"/>
      <c r="R847" s="229"/>
    </row>
    <row r="848" spans="2:18" ht="30" customHeight="1" x14ac:dyDescent="0.2">
      <c r="B848" s="102">
        <v>44839</v>
      </c>
      <c r="C848" s="67"/>
      <c r="D848" s="14" t="s">
        <v>868</v>
      </c>
      <c r="E848" s="14" t="s">
        <v>17</v>
      </c>
      <c r="F848" s="103" t="s">
        <v>18</v>
      </c>
      <c r="G848" s="15">
        <v>27</v>
      </c>
      <c r="H848" s="271">
        <v>6000000</v>
      </c>
      <c r="I848" s="258">
        <f>List34[[#This Row],[Pengajuan Donasi]]</f>
        <v>6000000</v>
      </c>
      <c r="J848" s="213" t="str">
        <f>IF(List34[[#This Row],[Tanggal Trf]]&gt;0,"Done","-")</f>
        <v>Done</v>
      </c>
      <c r="K848" s="14" t="s">
        <v>1586</v>
      </c>
      <c r="L848" s="223">
        <v>44853</v>
      </c>
      <c r="M848" s="100" t="s">
        <v>1213</v>
      </c>
      <c r="N848" s="100">
        <f>MONTH(List34[[#This Row],[Tanggal Pengajuan]])</f>
        <v>10</v>
      </c>
      <c r="O848" s="183"/>
      <c r="P848" s="105" t="s">
        <v>1764</v>
      </c>
      <c r="Q848" s="111"/>
      <c r="R848" s="229"/>
    </row>
    <row r="849" spans="2:18" ht="30" customHeight="1" x14ac:dyDescent="0.2">
      <c r="B849" s="102">
        <v>44839</v>
      </c>
      <c r="C849" s="67"/>
      <c r="D849" s="14" t="s">
        <v>848</v>
      </c>
      <c r="E849" s="14" t="s">
        <v>17</v>
      </c>
      <c r="F849" s="103" t="s">
        <v>18</v>
      </c>
      <c r="G849" s="15">
        <v>36</v>
      </c>
      <c r="H849" s="271">
        <v>6000000</v>
      </c>
      <c r="I849" s="258">
        <f>List34[[#This Row],[Pengajuan Donasi]]</f>
        <v>6000000</v>
      </c>
      <c r="J849" s="213" t="str">
        <f>IF(List34[[#This Row],[Tanggal Trf]]&gt;0,"Done","-")</f>
        <v>Done</v>
      </c>
      <c r="K849" s="14" t="s">
        <v>1586</v>
      </c>
      <c r="L849" s="223">
        <v>44853</v>
      </c>
      <c r="M849" s="100" t="s">
        <v>1213</v>
      </c>
      <c r="N849" s="100">
        <f>MONTH(List34[[#This Row],[Tanggal Pengajuan]])</f>
        <v>10</v>
      </c>
      <c r="O849" s="183"/>
      <c r="P849" s="105" t="s">
        <v>1764</v>
      </c>
      <c r="Q849" s="111"/>
      <c r="R849" s="229"/>
    </row>
    <row r="850" spans="2:18" ht="30" customHeight="1" x14ac:dyDescent="0.2">
      <c r="B850" s="102">
        <v>44839</v>
      </c>
      <c r="C850" s="67"/>
      <c r="D850" s="14" t="s">
        <v>867</v>
      </c>
      <c r="E850" s="14" t="s">
        <v>17</v>
      </c>
      <c r="F850" s="103" t="s">
        <v>18</v>
      </c>
      <c r="G850" s="15">
        <v>129</v>
      </c>
      <c r="H850" s="271">
        <v>6000000</v>
      </c>
      <c r="I850" s="258">
        <f>List34[[#This Row],[Pengajuan Donasi]]</f>
        <v>6000000</v>
      </c>
      <c r="J850" s="213" t="str">
        <f>IF(List34[[#This Row],[Tanggal Trf]]&gt;0,"Done","-")</f>
        <v>Done</v>
      </c>
      <c r="K850" s="14" t="s">
        <v>1586</v>
      </c>
      <c r="L850" s="223">
        <v>44853</v>
      </c>
      <c r="M850" s="100" t="s">
        <v>1213</v>
      </c>
      <c r="N850" s="100">
        <f>MONTH(List34[[#This Row],[Tanggal Pengajuan]])</f>
        <v>10</v>
      </c>
      <c r="O850" s="183"/>
      <c r="P850" s="105" t="s">
        <v>1764</v>
      </c>
      <c r="Q850" s="111"/>
      <c r="R850" s="229"/>
    </row>
    <row r="851" spans="2:18" ht="30" customHeight="1" x14ac:dyDescent="0.2">
      <c r="B851" s="102">
        <v>44839</v>
      </c>
      <c r="C851" s="67"/>
      <c r="D851" s="14" t="s">
        <v>849</v>
      </c>
      <c r="E851" s="14" t="s">
        <v>17</v>
      </c>
      <c r="F851" s="103" t="s">
        <v>18</v>
      </c>
      <c r="G851" s="15">
        <v>53</v>
      </c>
      <c r="H851" s="271">
        <v>6000000</v>
      </c>
      <c r="I851" s="258">
        <f>List34[[#This Row],[Pengajuan Donasi]]</f>
        <v>6000000</v>
      </c>
      <c r="J851" s="213" t="str">
        <f>IF(List34[[#This Row],[Tanggal Trf]]&gt;0,"Done","-")</f>
        <v>Done</v>
      </c>
      <c r="K851" s="14" t="s">
        <v>1586</v>
      </c>
      <c r="L851" s="223">
        <v>44853</v>
      </c>
      <c r="M851" s="100" t="s">
        <v>1213</v>
      </c>
      <c r="N851" s="100">
        <f>MONTH(List34[[#This Row],[Tanggal Pengajuan]])</f>
        <v>10</v>
      </c>
      <c r="O851" s="183"/>
      <c r="P851" s="105" t="s">
        <v>1764</v>
      </c>
      <c r="Q851" s="111"/>
      <c r="R851" s="229"/>
    </row>
    <row r="852" spans="2:18" ht="30" customHeight="1" x14ac:dyDescent="0.2">
      <c r="B852" s="102">
        <v>44839</v>
      </c>
      <c r="C852" s="67"/>
      <c r="D852" s="14" t="s">
        <v>850</v>
      </c>
      <c r="E852" s="14" t="s">
        <v>17</v>
      </c>
      <c r="F852" s="103" t="s">
        <v>18</v>
      </c>
      <c r="G852" s="15">
        <v>61</v>
      </c>
      <c r="H852" s="271">
        <v>6000000</v>
      </c>
      <c r="I852" s="258">
        <f>List34[[#This Row],[Pengajuan Donasi]]</f>
        <v>6000000</v>
      </c>
      <c r="J852" s="213" t="str">
        <f>IF(List34[[#This Row],[Tanggal Trf]]&gt;0,"Done","-")</f>
        <v>Done</v>
      </c>
      <c r="K852" s="14" t="s">
        <v>1586</v>
      </c>
      <c r="L852" s="223">
        <v>44853</v>
      </c>
      <c r="M852" s="100" t="s">
        <v>1213</v>
      </c>
      <c r="N852" s="100">
        <f>MONTH(List34[[#This Row],[Tanggal Pengajuan]])</f>
        <v>10</v>
      </c>
      <c r="O852" s="183"/>
      <c r="P852" s="105" t="s">
        <v>1764</v>
      </c>
      <c r="Q852" s="111"/>
      <c r="R852" s="229"/>
    </row>
    <row r="853" spans="2:18" ht="30" customHeight="1" x14ac:dyDescent="0.2">
      <c r="B853" s="102">
        <v>44839</v>
      </c>
      <c r="C853" s="67"/>
      <c r="D853" s="14" t="s">
        <v>852</v>
      </c>
      <c r="E853" s="14" t="s">
        <v>17</v>
      </c>
      <c r="F853" s="103" t="s">
        <v>18</v>
      </c>
      <c r="G853" s="15">
        <v>47</v>
      </c>
      <c r="H853" s="271">
        <v>6000000</v>
      </c>
      <c r="I853" s="258">
        <f>List34[[#This Row],[Pengajuan Donasi]]</f>
        <v>6000000</v>
      </c>
      <c r="J853" s="213" t="str">
        <f>IF(List34[[#This Row],[Tanggal Trf]]&gt;0,"Done","-")</f>
        <v>Done</v>
      </c>
      <c r="K853" s="14" t="s">
        <v>1586</v>
      </c>
      <c r="L853" s="223">
        <v>44853</v>
      </c>
      <c r="M853" s="100" t="s">
        <v>1213</v>
      </c>
      <c r="N853" s="100">
        <f>MONTH(List34[[#This Row],[Tanggal Pengajuan]])</f>
        <v>10</v>
      </c>
      <c r="O853" s="183"/>
      <c r="P853" s="105" t="s">
        <v>1764</v>
      </c>
      <c r="Q853" s="111"/>
      <c r="R853" s="229"/>
    </row>
    <row r="854" spans="2:18" ht="30" customHeight="1" x14ac:dyDescent="0.2">
      <c r="B854" s="102">
        <v>44839</v>
      </c>
      <c r="C854" s="67"/>
      <c r="D854" s="14" t="s">
        <v>853</v>
      </c>
      <c r="E854" s="14" t="s">
        <v>17</v>
      </c>
      <c r="F854" s="103" t="s">
        <v>18</v>
      </c>
      <c r="G854" s="15">
        <v>25</v>
      </c>
      <c r="H854" s="271">
        <v>6000000</v>
      </c>
      <c r="I854" s="258">
        <f>List34[[#This Row],[Pengajuan Donasi]]</f>
        <v>6000000</v>
      </c>
      <c r="J854" s="213" t="str">
        <f>IF(List34[[#This Row],[Tanggal Trf]]&gt;0,"Done","-")</f>
        <v>Done</v>
      </c>
      <c r="K854" s="14" t="s">
        <v>1586</v>
      </c>
      <c r="L854" s="223">
        <v>44853</v>
      </c>
      <c r="M854" s="100" t="s">
        <v>1213</v>
      </c>
      <c r="N854" s="100">
        <f>MONTH(List34[[#This Row],[Tanggal Pengajuan]])</f>
        <v>10</v>
      </c>
      <c r="O854" s="183"/>
      <c r="P854" s="105" t="s">
        <v>1764</v>
      </c>
      <c r="Q854" s="111"/>
      <c r="R854" s="229"/>
    </row>
    <row r="855" spans="2:18" ht="30" customHeight="1" x14ac:dyDescent="0.2">
      <c r="B855" s="102">
        <v>44839</v>
      </c>
      <c r="C855" s="67"/>
      <c r="D855" s="14" t="s">
        <v>854</v>
      </c>
      <c r="E855" s="14" t="s">
        <v>17</v>
      </c>
      <c r="F855" s="103" t="s">
        <v>18</v>
      </c>
      <c r="G855" s="15">
        <v>118</v>
      </c>
      <c r="H855" s="271">
        <v>6000000</v>
      </c>
      <c r="I855" s="258">
        <f>List34[[#This Row],[Pengajuan Donasi]]</f>
        <v>6000000</v>
      </c>
      <c r="J855" s="213" t="str">
        <f>IF(List34[[#This Row],[Tanggal Trf]]&gt;0,"Done","-")</f>
        <v>Done</v>
      </c>
      <c r="K855" s="14" t="s">
        <v>1586</v>
      </c>
      <c r="L855" s="223">
        <v>44853</v>
      </c>
      <c r="M855" s="100" t="s">
        <v>1213</v>
      </c>
      <c r="N855" s="100">
        <f>MONTH(List34[[#This Row],[Tanggal Pengajuan]])</f>
        <v>10</v>
      </c>
      <c r="O855" s="183"/>
      <c r="P855" s="105" t="s">
        <v>1764</v>
      </c>
      <c r="Q855" s="111"/>
      <c r="R855" s="229"/>
    </row>
    <row r="856" spans="2:18" ht="30" customHeight="1" x14ac:dyDescent="0.2">
      <c r="B856" s="102">
        <v>44839</v>
      </c>
      <c r="C856" s="67"/>
      <c r="D856" s="14" t="s">
        <v>855</v>
      </c>
      <c r="E856" s="14" t="s">
        <v>17</v>
      </c>
      <c r="F856" s="103" t="s">
        <v>18</v>
      </c>
      <c r="G856" s="15">
        <v>91</v>
      </c>
      <c r="H856" s="271">
        <v>6000000</v>
      </c>
      <c r="I856" s="258">
        <f>List34[[#This Row],[Pengajuan Donasi]]</f>
        <v>6000000</v>
      </c>
      <c r="J856" s="213" t="str">
        <f>IF(List34[[#This Row],[Tanggal Trf]]&gt;0,"Done","-")</f>
        <v>Done</v>
      </c>
      <c r="K856" s="14" t="s">
        <v>1586</v>
      </c>
      <c r="L856" s="223">
        <v>44853</v>
      </c>
      <c r="M856" s="100" t="s">
        <v>1213</v>
      </c>
      <c r="N856" s="100">
        <f>MONTH(List34[[#This Row],[Tanggal Pengajuan]])</f>
        <v>10</v>
      </c>
      <c r="O856" s="183"/>
      <c r="P856" s="105" t="s">
        <v>1764</v>
      </c>
      <c r="Q856" s="111"/>
      <c r="R856" s="229"/>
    </row>
    <row r="857" spans="2:18" ht="30" customHeight="1" x14ac:dyDescent="0.2">
      <c r="B857" s="102">
        <v>44839</v>
      </c>
      <c r="C857" s="67"/>
      <c r="D857" s="14" t="s">
        <v>856</v>
      </c>
      <c r="E857" s="14" t="s">
        <v>17</v>
      </c>
      <c r="F857" s="103" t="s">
        <v>18</v>
      </c>
      <c r="G857" s="15">
        <v>32</v>
      </c>
      <c r="H857" s="271">
        <v>6000000</v>
      </c>
      <c r="I857" s="258">
        <f>List34[[#This Row],[Pengajuan Donasi]]</f>
        <v>6000000</v>
      </c>
      <c r="J857" s="213" t="str">
        <f>IF(List34[[#This Row],[Tanggal Trf]]&gt;0,"Done","-")</f>
        <v>Done</v>
      </c>
      <c r="K857" s="14" t="s">
        <v>1586</v>
      </c>
      <c r="L857" s="223">
        <v>44853</v>
      </c>
      <c r="M857" s="100" t="s">
        <v>1213</v>
      </c>
      <c r="N857" s="100">
        <f>MONTH(List34[[#This Row],[Tanggal Pengajuan]])</f>
        <v>10</v>
      </c>
      <c r="O857" s="183"/>
      <c r="P857" s="105" t="s">
        <v>1764</v>
      </c>
      <c r="Q857" s="111"/>
      <c r="R857" s="229"/>
    </row>
    <row r="858" spans="2:18" ht="30" customHeight="1" x14ac:dyDescent="0.2">
      <c r="B858" s="102">
        <v>44839</v>
      </c>
      <c r="C858" s="67"/>
      <c r="D858" s="14" t="s">
        <v>857</v>
      </c>
      <c r="E858" s="14" t="s">
        <v>17</v>
      </c>
      <c r="F858" s="103" t="s">
        <v>18</v>
      </c>
      <c r="G858" s="15">
        <v>38</v>
      </c>
      <c r="H858" s="271">
        <v>6000000</v>
      </c>
      <c r="I858" s="258">
        <f>List34[[#This Row],[Pengajuan Donasi]]</f>
        <v>6000000</v>
      </c>
      <c r="J858" s="213" t="str">
        <f>IF(List34[[#This Row],[Tanggal Trf]]&gt;0,"Done","-")</f>
        <v>Done</v>
      </c>
      <c r="K858" s="14" t="s">
        <v>1586</v>
      </c>
      <c r="L858" s="223">
        <v>44853</v>
      </c>
      <c r="M858" s="100" t="s">
        <v>1213</v>
      </c>
      <c r="N858" s="100">
        <f>MONTH(List34[[#This Row],[Tanggal Pengajuan]])</f>
        <v>10</v>
      </c>
      <c r="O858" s="183"/>
      <c r="P858" s="105" t="s">
        <v>1764</v>
      </c>
      <c r="Q858" s="111"/>
      <c r="R858" s="229"/>
    </row>
    <row r="859" spans="2:18" ht="30" customHeight="1" x14ac:dyDescent="0.2">
      <c r="B859" s="102">
        <v>44839</v>
      </c>
      <c r="C859" s="67"/>
      <c r="D859" s="14" t="s">
        <v>328</v>
      </c>
      <c r="E859" s="14" t="s">
        <v>17</v>
      </c>
      <c r="F859" s="103" t="s">
        <v>18</v>
      </c>
      <c r="G859" s="15">
        <v>10</v>
      </c>
      <c r="H859" s="271">
        <v>6000000</v>
      </c>
      <c r="I859" s="258">
        <f>List34[[#This Row],[Pengajuan Donasi]]</f>
        <v>6000000</v>
      </c>
      <c r="J859" s="213" t="str">
        <f>IF(List34[[#This Row],[Tanggal Trf]]&gt;0,"Done","-")</f>
        <v>Done</v>
      </c>
      <c r="K859" s="14" t="s">
        <v>1586</v>
      </c>
      <c r="L859" s="223">
        <v>44853</v>
      </c>
      <c r="M859" s="100" t="s">
        <v>1213</v>
      </c>
      <c r="N859" s="100">
        <f>MONTH(List34[[#This Row],[Tanggal Pengajuan]])</f>
        <v>10</v>
      </c>
      <c r="O859" s="183"/>
      <c r="P859" s="105" t="s">
        <v>1764</v>
      </c>
      <c r="Q859" s="111"/>
      <c r="R859" s="229"/>
    </row>
    <row r="860" spans="2:18" ht="30" customHeight="1" x14ac:dyDescent="0.2">
      <c r="B860" s="102">
        <v>44839</v>
      </c>
      <c r="C860" s="67"/>
      <c r="D860" s="14" t="s">
        <v>362</v>
      </c>
      <c r="E860" s="14" t="s">
        <v>17</v>
      </c>
      <c r="F860" s="103" t="s">
        <v>18</v>
      </c>
      <c r="G860" s="15">
        <v>137</v>
      </c>
      <c r="H860" s="271">
        <v>6000000</v>
      </c>
      <c r="I860" s="258">
        <f>List34[[#This Row],[Pengajuan Donasi]]</f>
        <v>6000000</v>
      </c>
      <c r="J860" s="213" t="str">
        <f>IF(List34[[#This Row],[Tanggal Trf]]&gt;0,"Done","-")</f>
        <v>Done</v>
      </c>
      <c r="K860" s="14" t="s">
        <v>1586</v>
      </c>
      <c r="L860" s="223">
        <v>44853</v>
      </c>
      <c r="M860" s="100" t="s">
        <v>1213</v>
      </c>
      <c r="N860" s="100">
        <f>MONTH(List34[[#This Row],[Tanggal Pengajuan]])</f>
        <v>10</v>
      </c>
      <c r="O860" s="183"/>
      <c r="P860" s="105" t="s">
        <v>1764</v>
      </c>
      <c r="Q860" s="111"/>
      <c r="R860" s="229"/>
    </row>
    <row r="861" spans="2:18" ht="30" customHeight="1" x14ac:dyDescent="0.2">
      <c r="B861" s="102">
        <v>44839</v>
      </c>
      <c r="C861" s="67"/>
      <c r="D861" s="14" t="s">
        <v>858</v>
      </c>
      <c r="E861" s="14" t="s">
        <v>17</v>
      </c>
      <c r="F861" s="103" t="s">
        <v>18</v>
      </c>
      <c r="G861" s="15">
        <v>320</v>
      </c>
      <c r="H861" s="271">
        <v>6000000</v>
      </c>
      <c r="I861" s="258">
        <f>List34[[#This Row],[Pengajuan Donasi]]</f>
        <v>6000000</v>
      </c>
      <c r="J861" s="213" t="str">
        <f>IF(List34[[#This Row],[Tanggal Trf]]&gt;0,"Done","-")</f>
        <v>Done</v>
      </c>
      <c r="K861" s="14" t="s">
        <v>1586</v>
      </c>
      <c r="L861" s="223">
        <v>44853</v>
      </c>
      <c r="M861" s="100" t="s">
        <v>1213</v>
      </c>
      <c r="N861" s="100">
        <f>MONTH(List34[[#This Row],[Tanggal Pengajuan]])</f>
        <v>10</v>
      </c>
      <c r="O861" s="183"/>
      <c r="P861" s="105" t="s">
        <v>1764</v>
      </c>
      <c r="Q861" s="111"/>
      <c r="R861" s="229"/>
    </row>
    <row r="862" spans="2:18" ht="30" customHeight="1" x14ac:dyDescent="0.2">
      <c r="B862" s="102">
        <v>44839</v>
      </c>
      <c r="C862" s="67"/>
      <c r="D862" s="14" t="s">
        <v>391</v>
      </c>
      <c r="E862" s="14" t="s">
        <v>17</v>
      </c>
      <c r="F862" s="103" t="s">
        <v>18</v>
      </c>
      <c r="G862" s="15">
        <v>40</v>
      </c>
      <c r="H862" s="271">
        <v>6000000</v>
      </c>
      <c r="I862" s="258">
        <f>List34[[#This Row],[Pengajuan Donasi]]</f>
        <v>6000000</v>
      </c>
      <c r="J862" s="213" t="str">
        <f>IF(List34[[#This Row],[Tanggal Trf]]&gt;0,"Done","-")</f>
        <v>Done</v>
      </c>
      <c r="K862" s="14" t="s">
        <v>1586</v>
      </c>
      <c r="L862" s="223">
        <v>44853</v>
      </c>
      <c r="M862" s="100" t="s">
        <v>1213</v>
      </c>
      <c r="N862" s="100">
        <f>MONTH(List34[[#This Row],[Tanggal Pengajuan]])</f>
        <v>10</v>
      </c>
      <c r="O862" s="183"/>
      <c r="P862" s="105" t="s">
        <v>1764</v>
      </c>
      <c r="Q862" s="111"/>
      <c r="R862" s="229"/>
    </row>
    <row r="863" spans="2:18" ht="30" customHeight="1" x14ac:dyDescent="0.2">
      <c r="B863" s="102">
        <v>44839</v>
      </c>
      <c r="C863" s="67"/>
      <c r="D863" s="14" t="s">
        <v>860</v>
      </c>
      <c r="E863" s="14" t="s">
        <v>17</v>
      </c>
      <c r="F863" s="103" t="s">
        <v>18</v>
      </c>
      <c r="G863" s="15">
        <v>45</v>
      </c>
      <c r="H863" s="271">
        <v>6000000</v>
      </c>
      <c r="I863" s="258">
        <f>List34[[#This Row],[Pengajuan Donasi]]</f>
        <v>6000000</v>
      </c>
      <c r="J863" s="213" t="str">
        <f>IF(List34[[#This Row],[Tanggal Trf]]&gt;0,"Done","-")</f>
        <v>Done</v>
      </c>
      <c r="K863" s="14" t="s">
        <v>1586</v>
      </c>
      <c r="L863" s="223">
        <v>44853</v>
      </c>
      <c r="M863" s="100" t="s">
        <v>1213</v>
      </c>
      <c r="N863" s="100">
        <f>MONTH(List34[[#This Row],[Tanggal Pengajuan]])</f>
        <v>10</v>
      </c>
      <c r="O863" s="183"/>
      <c r="P863" s="105" t="s">
        <v>1764</v>
      </c>
      <c r="Q863" s="111"/>
      <c r="R863" s="229"/>
    </row>
    <row r="864" spans="2:18" ht="30" customHeight="1" x14ac:dyDescent="0.2">
      <c r="B864" s="102">
        <v>44839</v>
      </c>
      <c r="C864" s="67"/>
      <c r="D864" s="14" t="s">
        <v>861</v>
      </c>
      <c r="E864" s="14" t="s">
        <v>17</v>
      </c>
      <c r="F864" s="103" t="s">
        <v>18</v>
      </c>
      <c r="G864" s="15">
        <v>65</v>
      </c>
      <c r="H864" s="271">
        <v>6000000</v>
      </c>
      <c r="I864" s="258">
        <f>List34[[#This Row],[Pengajuan Donasi]]</f>
        <v>6000000</v>
      </c>
      <c r="J864" s="213" t="str">
        <f>IF(List34[[#This Row],[Tanggal Trf]]&gt;0,"Done","-")</f>
        <v>Done</v>
      </c>
      <c r="K864" s="14" t="s">
        <v>1586</v>
      </c>
      <c r="L864" s="223">
        <v>44853</v>
      </c>
      <c r="M864" s="100" t="s">
        <v>1213</v>
      </c>
      <c r="N864" s="100">
        <f>MONTH(List34[[#This Row],[Tanggal Pengajuan]])</f>
        <v>10</v>
      </c>
      <c r="O864" s="183"/>
      <c r="P864" s="105" t="s">
        <v>1764</v>
      </c>
      <c r="Q864" s="111"/>
      <c r="R864" s="229"/>
    </row>
    <row r="865" spans="2:18" ht="30" customHeight="1" x14ac:dyDescent="0.2">
      <c r="B865" s="102">
        <v>44839</v>
      </c>
      <c r="C865" s="67"/>
      <c r="D865" s="14" t="s">
        <v>862</v>
      </c>
      <c r="E865" s="14" t="s">
        <v>17</v>
      </c>
      <c r="F865" s="103" t="s">
        <v>18</v>
      </c>
      <c r="G865" s="15">
        <v>46</v>
      </c>
      <c r="H865" s="271">
        <v>6000000</v>
      </c>
      <c r="I865" s="258">
        <f>List34[[#This Row],[Pengajuan Donasi]]</f>
        <v>6000000</v>
      </c>
      <c r="J865" s="213" t="str">
        <f>IF(List34[[#This Row],[Tanggal Trf]]&gt;0,"Done","-")</f>
        <v>Done</v>
      </c>
      <c r="K865" s="14" t="s">
        <v>1586</v>
      </c>
      <c r="L865" s="223">
        <v>44853</v>
      </c>
      <c r="M865" s="100" t="s">
        <v>1213</v>
      </c>
      <c r="N865" s="100">
        <f>MONTH(List34[[#This Row],[Tanggal Pengajuan]])</f>
        <v>10</v>
      </c>
      <c r="O865" s="183"/>
      <c r="P865" s="105" t="s">
        <v>1764</v>
      </c>
      <c r="Q865" s="111"/>
      <c r="R865" s="229"/>
    </row>
    <row r="866" spans="2:18" ht="30" customHeight="1" x14ac:dyDescent="0.2">
      <c r="B866" s="102">
        <v>44839</v>
      </c>
      <c r="C866" s="67"/>
      <c r="D866" s="14" t="s">
        <v>863</v>
      </c>
      <c r="E866" s="14" t="s">
        <v>17</v>
      </c>
      <c r="F866" s="103" t="s">
        <v>18</v>
      </c>
      <c r="G866" s="15">
        <v>142</v>
      </c>
      <c r="H866" s="271">
        <v>6000000</v>
      </c>
      <c r="I866" s="258">
        <f>List34[[#This Row],[Pengajuan Donasi]]</f>
        <v>6000000</v>
      </c>
      <c r="J866" s="213" t="str">
        <f>IF(List34[[#This Row],[Tanggal Trf]]&gt;0,"Done","-")</f>
        <v>Done</v>
      </c>
      <c r="K866" s="14" t="s">
        <v>1586</v>
      </c>
      <c r="L866" s="223">
        <v>44853</v>
      </c>
      <c r="M866" s="100" t="s">
        <v>1213</v>
      </c>
      <c r="N866" s="100">
        <f>MONTH(List34[[#This Row],[Tanggal Pengajuan]])</f>
        <v>10</v>
      </c>
      <c r="O866" s="183"/>
      <c r="P866" s="105" t="s">
        <v>1764</v>
      </c>
      <c r="Q866" s="111"/>
      <c r="R866" s="229"/>
    </row>
    <row r="867" spans="2:18" ht="30" customHeight="1" x14ac:dyDescent="0.2">
      <c r="B867" s="102">
        <v>44839</v>
      </c>
      <c r="C867" s="67"/>
      <c r="D867" s="14" t="s">
        <v>864</v>
      </c>
      <c r="E867" s="14" t="s">
        <v>17</v>
      </c>
      <c r="F867" s="103" t="s">
        <v>18</v>
      </c>
      <c r="G867" s="15">
        <v>141</v>
      </c>
      <c r="H867" s="271">
        <v>6000000</v>
      </c>
      <c r="I867" s="258">
        <f>List34[[#This Row],[Pengajuan Donasi]]</f>
        <v>6000000</v>
      </c>
      <c r="J867" s="213" t="str">
        <f>IF(List34[[#This Row],[Tanggal Trf]]&gt;0,"Done","-")</f>
        <v>Done</v>
      </c>
      <c r="K867" s="14" t="s">
        <v>1586</v>
      </c>
      <c r="L867" s="223">
        <v>44853</v>
      </c>
      <c r="M867" s="100" t="s">
        <v>1213</v>
      </c>
      <c r="N867" s="100">
        <f>MONTH(List34[[#This Row],[Tanggal Pengajuan]])</f>
        <v>10</v>
      </c>
      <c r="O867" s="183"/>
      <c r="P867" s="105" t="s">
        <v>1764</v>
      </c>
      <c r="Q867" s="111"/>
      <c r="R867" s="229"/>
    </row>
    <row r="868" spans="2:18" ht="30" customHeight="1" x14ac:dyDescent="0.2">
      <c r="B868" s="102">
        <v>44839</v>
      </c>
      <c r="C868" s="67"/>
      <c r="D868" s="14" t="s">
        <v>865</v>
      </c>
      <c r="E868" s="14" t="s">
        <v>17</v>
      </c>
      <c r="F868" s="103" t="s">
        <v>18</v>
      </c>
      <c r="G868" s="15">
        <v>96</v>
      </c>
      <c r="H868" s="271">
        <v>6000000</v>
      </c>
      <c r="I868" s="258">
        <f>List34[[#This Row],[Pengajuan Donasi]]</f>
        <v>6000000</v>
      </c>
      <c r="J868" s="213" t="str">
        <f>IF(List34[[#This Row],[Tanggal Trf]]&gt;0,"Done","-")</f>
        <v>Done</v>
      </c>
      <c r="K868" s="14" t="s">
        <v>1586</v>
      </c>
      <c r="L868" s="223">
        <v>44853</v>
      </c>
      <c r="M868" s="100" t="s">
        <v>1213</v>
      </c>
      <c r="N868" s="100">
        <f>MONTH(List34[[#This Row],[Tanggal Pengajuan]])</f>
        <v>10</v>
      </c>
      <c r="O868" s="183"/>
      <c r="P868" s="105" t="s">
        <v>1764</v>
      </c>
      <c r="Q868" s="111"/>
      <c r="R868" s="229"/>
    </row>
    <row r="869" spans="2:18" ht="30" customHeight="1" x14ac:dyDescent="0.2">
      <c r="B869" s="102">
        <v>44839</v>
      </c>
      <c r="C869" s="67"/>
      <c r="D869" s="14" t="s">
        <v>866</v>
      </c>
      <c r="E869" s="14" t="s">
        <v>17</v>
      </c>
      <c r="F869" s="103" t="s">
        <v>18</v>
      </c>
      <c r="G869" s="15">
        <v>63</v>
      </c>
      <c r="H869" s="271">
        <v>6000000</v>
      </c>
      <c r="I869" s="258">
        <f>List34[[#This Row],[Pengajuan Donasi]]</f>
        <v>6000000</v>
      </c>
      <c r="J869" s="213" t="str">
        <f>IF(List34[[#This Row],[Tanggal Trf]]&gt;0,"Done","-")</f>
        <v>Done</v>
      </c>
      <c r="K869" s="14" t="s">
        <v>1586</v>
      </c>
      <c r="L869" s="223">
        <v>44853</v>
      </c>
      <c r="M869" s="100" t="s">
        <v>1213</v>
      </c>
      <c r="N869" s="100">
        <f>MONTH(List34[[#This Row],[Tanggal Pengajuan]])</f>
        <v>10</v>
      </c>
      <c r="O869" s="183"/>
      <c r="P869" s="105" t="s">
        <v>1764</v>
      </c>
      <c r="Q869" s="111"/>
      <c r="R869" s="229"/>
    </row>
    <row r="870" spans="2:18" ht="30" customHeight="1" x14ac:dyDescent="0.2">
      <c r="B870" s="102">
        <v>44839</v>
      </c>
      <c r="C870" s="67"/>
      <c r="D870" s="14" t="s">
        <v>1115</v>
      </c>
      <c r="E870" s="14" t="s">
        <v>17</v>
      </c>
      <c r="F870" s="103" t="s">
        <v>18</v>
      </c>
      <c r="G870" s="15">
        <v>35</v>
      </c>
      <c r="H870" s="271">
        <v>6000000</v>
      </c>
      <c r="I870" s="258">
        <f>List34[[#This Row],[Pengajuan Donasi]]</f>
        <v>6000000</v>
      </c>
      <c r="J870" s="213" t="str">
        <f>IF(List34[[#This Row],[Tanggal Trf]]&gt;0,"Done","-")</f>
        <v>Done</v>
      </c>
      <c r="K870" s="14" t="s">
        <v>1586</v>
      </c>
      <c r="L870" s="223">
        <v>44853</v>
      </c>
      <c r="M870" s="14" t="s">
        <v>1115</v>
      </c>
      <c r="N870" s="100">
        <f>MONTH(List34[[#This Row],[Tanggal Pengajuan]])</f>
        <v>10</v>
      </c>
      <c r="O870" s="183"/>
      <c r="P870" s="105" t="s">
        <v>1764</v>
      </c>
      <c r="Q870" s="111"/>
      <c r="R870" s="229"/>
    </row>
    <row r="871" spans="2:18" ht="30" customHeight="1" x14ac:dyDescent="0.2">
      <c r="B871" s="102">
        <v>44844</v>
      </c>
      <c r="C871" s="964" t="s">
        <v>1640</v>
      </c>
      <c r="D871" s="14" t="s">
        <v>869</v>
      </c>
      <c r="E871" s="14" t="s">
        <v>17</v>
      </c>
      <c r="F871" s="103" t="s">
        <v>18</v>
      </c>
      <c r="G871" s="15">
        <v>78</v>
      </c>
      <c r="H871" s="271">
        <v>6250580</v>
      </c>
      <c r="I871" s="258">
        <f>List34[[#This Row],[Pengajuan Donasi]]</f>
        <v>6250580</v>
      </c>
      <c r="J871" s="213" t="str">
        <f>IF(List34[[#This Row],[Tanggal Trf]]&gt;0,"Done","-")</f>
        <v>Done</v>
      </c>
      <c r="K871" s="440" t="s">
        <v>1620</v>
      </c>
      <c r="L871" s="223">
        <v>44853</v>
      </c>
      <c r="M871" s="14" t="s">
        <v>869</v>
      </c>
      <c r="N871" s="100">
        <f>MONTH(List34[[#This Row],[Tanggal Pengajuan]])</f>
        <v>10</v>
      </c>
      <c r="O871" s="183">
        <v>44858</v>
      </c>
      <c r="P871" s="105" t="s">
        <v>1764</v>
      </c>
      <c r="Q871" s="111"/>
      <c r="R871" s="229"/>
    </row>
    <row r="872" spans="2:18" ht="30" customHeight="1" x14ac:dyDescent="0.2">
      <c r="B872" s="102">
        <v>44844</v>
      </c>
      <c r="C872" s="964"/>
      <c r="D872" s="14" t="s">
        <v>238</v>
      </c>
      <c r="E872" s="14" t="s">
        <v>17</v>
      </c>
      <c r="F872" s="103" t="s">
        <v>18</v>
      </c>
      <c r="G872" s="15">
        <v>46</v>
      </c>
      <c r="H872" s="271">
        <v>6251600</v>
      </c>
      <c r="I872" s="258">
        <f>List34[[#This Row],[Pengajuan Donasi]]</f>
        <v>6251600</v>
      </c>
      <c r="J872" s="213" t="str">
        <f>IF(List34[[#This Row],[Tanggal Trf]]&gt;0,"Done","-")</f>
        <v>Done</v>
      </c>
      <c r="K872" s="440" t="s">
        <v>1620</v>
      </c>
      <c r="L872" s="223">
        <v>44853</v>
      </c>
      <c r="M872" s="14" t="s">
        <v>238</v>
      </c>
      <c r="N872" s="100">
        <f>MONTH(List34[[#This Row],[Tanggal Pengajuan]])</f>
        <v>10</v>
      </c>
      <c r="O872" s="183">
        <v>44858</v>
      </c>
      <c r="P872" s="105" t="s">
        <v>1764</v>
      </c>
      <c r="Q872" s="111"/>
      <c r="R872" s="229"/>
    </row>
    <row r="873" spans="2:18" ht="30" customHeight="1" x14ac:dyDescent="0.2">
      <c r="B873" s="102">
        <v>44855</v>
      </c>
      <c r="C873" s="964" t="s">
        <v>1641</v>
      </c>
      <c r="D873" s="14" t="s">
        <v>229</v>
      </c>
      <c r="E873" s="14" t="s">
        <v>17</v>
      </c>
      <c r="F873" s="103" t="s">
        <v>18</v>
      </c>
      <c r="G873" s="15">
        <v>48</v>
      </c>
      <c r="H873" s="271">
        <v>6249660</v>
      </c>
      <c r="I873" s="258">
        <f>List34[[#This Row],[Pengajuan Donasi]]</f>
        <v>6249660</v>
      </c>
      <c r="J873" s="213" t="str">
        <f>IF(List34[[#This Row],[Tanggal Trf]]&gt;0,"Done","-")</f>
        <v>Done</v>
      </c>
      <c r="K873" s="440" t="s">
        <v>1621</v>
      </c>
      <c r="L873" s="223">
        <v>44860</v>
      </c>
      <c r="M873" s="14" t="s">
        <v>229</v>
      </c>
      <c r="N873" s="100">
        <f>MONTH(List34[[#This Row],[Tanggal Pengajuan]])</f>
        <v>10</v>
      </c>
      <c r="O873" s="183">
        <v>44865</v>
      </c>
      <c r="P873" s="105" t="s">
        <v>1764</v>
      </c>
      <c r="Q873" s="111"/>
      <c r="R873" s="229"/>
    </row>
    <row r="874" spans="2:18" ht="30" customHeight="1" x14ac:dyDescent="0.2">
      <c r="B874" s="102">
        <v>44855</v>
      </c>
      <c r="C874" s="964"/>
      <c r="D874" s="14" t="s">
        <v>851</v>
      </c>
      <c r="E874" s="14" t="s">
        <v>17</v>
      </c>
      <c r="F874" s="103" t="s">
        <v>18</v>
      </c>
      <c r="G874" s="15">
        <v>27</v>
      </c>
      <c r="H874" s="271">
        <v>6249940</v>
      </c>
      <c r="I874" s="258">
        <f>List34[[#This Row],[Pengajuan Donasi]]</f>
        <v>6249940</v>
      </c>
      <c r="J874" s="213" t="str">
        <f>IF(List34[[#This Row],[Tanggal Trf]]&gt;0,"Done","-")</f>
        <v>Done</v>
      </c>
      <c r="K874" s="440" t="s">
        <v>1621</v>
      </c>
      <c r="L874" s="223">
        <v>44860</v>
      </c>
      <c r="M874" s="14" t="s">
        <v>851</v>
      </c>
      <c r="N874" s="100">
        <f>MONTH(List34[[#This Row],[Tanggal Pengajuan]])</f>
        <v>10</v>
      </c>
      <c r="O874" s="183">
        <v>44865</v>
      </c>
      <c r="P874" s="105" t="s">
        <v>1764</v>
      </c>
      <c r="Q874" s="111"/>
      <c r="R874" s="229"/>
    </row>
    <row r="875" spans="2:18" ht="30" customHeight="1" x14ac:dyDescent="0.2">
      <c r="B875" s="102">
        <v>44859</v>
      </c>
      <c r="C875" s="964" t="s">
        <v>1642</v>
      </c>
      <c r="D875" s="14" t="s">
        <v>1622</v>
      </c>
      <c r="E875" s="103" t="s">
        <v>107</v>
      </c>
      <c r="F875" s="105" t="s">
        <v>28</v>
      </c>
      <c r="G875" s="15"/>
      <c r="H875" s="271">
        <v>30000000</v>
      </c>
      <c r="I875" s="258">
        <f>List34[[#This Row],[Pengajuan Donasi]]</f>
        <v>30000000</v>
      </c>
      <c r="J875" s="213" t="str">
        <f>IF(List34[[#This Row],[Tanggal Trf]]&gt;0,"Done","-")</f>
        <v>Done</v>
      </c>
      <c r="K875" s="14" t="s">
        <v>1622</v>
      </c>
      <c r="L875" s="223">
        <v>44876</v>
      </c>
      <c r="M875" s="105" t="s">
        <v>1647</v>
      </c>
      <c r="N875" s="100">
        <f>MONTH(List34[[#This Row],[Tanggal Pengajuan]])</f>
        <v>10</v>
      </c>
      <c r="O875" s="183"/>
      <c r="P875" s="105"/>
      <c r="Q875" s="111"/>
      <c r="R875" s="229"/>
    </row>
    <row r="876" spans="2:18" ht="30" customHeight="1" x14ac:dyDescent="0.2">
      <c r="B876" s="102">
        <v>44860</v>
      </c>
      <c r="C876" s="964" t="s">
        <v>1643</v>
      </c>
      <c r="D876" s="14" t="s">
        <v>1057</v>
      </c>
      <c r="E876" s="103" t="s">
        <v>1054</v>
      </c>
      <c r="F876" s="105" t="s">
        <v>18</v>
      </c>
      <c r="G876" s="15"/>
      <c r="H876" s="271" t="s">
        <v>960</v>
      </c>
      <c r="I876" s="258" t="str">
        <f>List34[[#This Row],[Pengajuan Donasi]]</f>
        <v>-</v>
      </c>
      <c r="J876" s="213" t="str">
        <f>IF(List34[[#This Row],[Tanggal Trf]]&gt;0,"Done","-")</f>
        <v>Done</v>
      </c>
      <c r="K876" s="440"/>
      <c r="L876" s="223">
        <v>44865</v>
      </c>
      <c r="M876" s="105"/>
      <c r="N876" s="100">
        <f>MONTH(List34[[#This Row],[Tanggal Pengajuan]])</f>
        <v>10</v>
      </c>
      <c r="O876" s="183"/>
      <c r="P876" s="105" t="s">
        <v>1623</v>
      </c>
      <c r="Q876" s="111"/>
      <c r="R876" s="229"/>
    </row>
    <row r="877" spans="2:18" ht="30" customHeight="1" x14ac:dyDescent="0.2">
      <c r="B877" s="102">
        <v>44860</v>
      </c>
      <c r="C877" s="964" t="s">
        <v>1644</v>
      </c>
      <c r="D877" s="14" t="s">
        <v>1057</v>
      </c>
      <c r="E877" s="103" t="s">
        <v>1054</v>
      </c>
      <c r="F877" s="105" t="s">
        <v>18</v>
      </c>
      <c r="G877" s="15"/>
      <c r="H877" s="271" t="s">
        <v>960</v>
      </c>
      <c r="I877" s="258" t="str">
        <f>List34[[#This Row],[Pengajuan Donasi]]</f>
        <v>-</v>
      </c>
      <c r="J877" s="213" t="str">
        <f>IF(List34[[#This Row],[Tanggal Trf]]&gt;0,"Done","-")</f>
        <v>Done</v>
      </c>
      <c r="K877" s="440"/>
      <c r="L877" s="223">
        <v>44865</v>
      </c>
      <c r="M877" s="105"/>
      <c r="N877" s="100">
        <f>MONTH(List34[[#This Row],[Tanggal Pengajuan]])</f>
        <v>10</v>
      </c>
      <c r="O877" s="183"/>
      <c r="P877" s="105" t="s">
        <v>1623</v>
      </c>
      <c r="Q877" s="111"/>
      <c r="R877" s="229"/>
    </row>
    <row r="878" spans="2:18" ht="30" customHeight="1" x14ac:dyDescent="0.2">
      <c r="B878" s="102">
        <v>44861</v>
      </c>
      <c r="C878" s="67" t="s">
        <v>1645</v>
      </c>
      <c r="D878" s="14" t="s">
        <v>1646</v>
      </c>
      <c r="E878" s="103" t="s">
        <v>1054</v>
      </c>
      <c r="F878" s="105" t="s">
        <v>28</v>
      </c>
      <c r="G878" s="15"/>
      <c r="H878" s="271">
        <v>669000</v>
      </c>
      <c r="I878" s="258">
        <f>List34[[#This Row],[Pengajuan Donasi]]</f>
        <v>669000</v>
      </c>
      <c r="J878" s="213" t="str">
        <f>IF(List34[[#This Row],[Tanggal Trf]]&gt;0,"Done","-")</f>
        <v>Done</v>
      </c>
      <c r="K878" s="14" t="s">
        <v>1646</v>
      </c>
      <c r="L878" s="223">
        <v>44876</v>
      </c>
      <c r="M878" s="100" t="s">
        <v>683</v>
      </c>
      <c r="N878" s="100">
        <f>MONTH(List34[[#This Row],[Tanggal Pengajuan]])</f>
        <v>10</v>
      </c>
      <c r="O878" s="183"/>
      <c r="P878" s="105"/>
      <c r="Q878" s="111"/>
      <c r="R878" s="229"/>
    </row>
    <row r="879" spans="2:18" ht="30" customHeight="1" x14ac:dyDescent="0.2">
      <c r="B879" s="102">
        <v>44867</v>
      </c>
      <c r="C879" s="67" t="s">
        <v>1648</v>
      </c>
      <c r="D879" s="103" t="s">
        <v>1726</v>
      </c>
      <c r="E879" s="103" t="s">
        <v>1054</v>
      </c>
      <c r="F879" s="105" t="s">
        <v>28</v>
      </c>
      <c r="G879" s="15"/>
      <c r="H879" s="271">
        <v>122983</v>
      </c>
      <c r="I879" s="258">
        <f>List34[[#This Row],[Pengajuan Donasi]]</f>
        <v>122983</v>
      </c>
      <c r="J879" s="213" t="str">
        <f>IF(List34[[#This Row],[Tanggal Trf]]&gt;0,"Done","-")</f>
        <v>Done</v>
      </c>
      <c r="K879" s="440" t="s">
        <v>1674</v>
      </c>
      <c r="L879" s="223">
        <v>44887</v>
      </c>
      <c r="M879" s="105" t="s">
        <v>1699</v>
      </c>
      <c r="N879" s="100">
        <f>MONTH(List34[[#This Row],[Tanggal Pengajuan]])</f>
        <v>11</v>
      </c>
      <c r="O879" s="183"/>
      <c r="P879" s="105"/>
      <c r="Q879" s="111"/>
      <c r="R879" s="229"/>
    </row>
    <row r="880" spans="2:18" ht="30" customHeight="1" x14ac:dyDescent="0.2">
      <c r="B880" s="102">
        <v>44867</v>
      </c>
      <c r="C880" s="67" t="s">
        <v>1649</v>
      </c>
      <c r="D880" s="14" t="s">
        <v>124</v>
      </c>
      <c r="E880" s="14" t="s">
        <v>17</v>
      </c>
      <c r="F880" s="105" t="s">
        <v>18</v>
      </c>
      <c r="G880" s="15">
        <v>75</v>
      </c>
      <c r="H880" s="271">
        <v>6251400</v>
      </c>
      <c r="I880" s="258">
        <f>List34[[#This Row],[Pengajuan Donasi]]</f>
        <v>6251400</v>
      </c>
      <c r="J880" s="213" t="str">
        <f>IF(List34[[#This Row],[Tanggal Trf]]&gt;0,"Done","-")</f>
        <v>Done</v>
      </c>
      <c r="K880" s="440" t="s">
        <v>1675</v>
      </c>
      <c r="L880" s="223">
        <v>44876</v>
      </c>
      <c r="M880" s="100" t="s">
        <v>683</v>
      </c>
      <c r="N880" s="100">
        <f>MONTH(List34[[#This Row],[Tanggal Pengajuan]])</f>
        <v>11</v>
      </c>
      <c r="O880" s="183"/>
      <c r="P880" s="105" t="s">
        <v>1711</v>
      </c>
      <c r="Q880" s="111"/>
      <c r="R880" s="229"/>
    </row>
    <row r="881" spans="2:18" ht="30" customHeight="1" x14ac:dyDescent="0.2">
      <c r="B881" s="102">
        <v>44867</v>
      </c>
      <c r="C881" s="67"/>
      <c r="D881" s="14" t="s">
        <v>855</v>
      </c>
      <c r="E881" s="14" t="s">
        <v>17</v>
      </c>
      <c r="F881" s="105" t="s">
        <v>18</v>
      </c>
      <c r="G881" s="15">
        <v>91</v>
      </c>
      <c r="H881" s="271">
        <v>6249500</v>
      </c>
      <c r="I881" s="258">
        <f>List34[[#This Row],[Pengajuan Donasi]]</f>
        <v>6249500</v>
      </c>
      <c r="J881" s="213" t="str">
        <f>IF(List34[[#This Row],[Tanggal Trf]]&gt;0,"Done","-")</f>
        <v>Done</v>
      </c>
      <c r="K881" s="440" t="s">
        <v>1675</v>
      </c>
      <c r="L881" s="223">
        <v>44876</v>
      </c>
      <c r="M881" s="100" t="s">
        <v>683</v>
      </c>
      <c r="N881" s="100">
        <f>MONTH(List34[[#This Row],[Tanggal Pengajuan]])</f>
        <v>11</v>
      </c>
      <c r="O881" s="183"/>
      <c r="P881" s="105" t="s">
        <v>1711</v>
      </c>
      <c r="Q881" s="111"/>
      <c r="R881" s="229"/>
    </row>
    <row r="882" spans="2:18" ht="30" customHeight="1" x14ac:dyDescent="0.2">
      <c r="B882" s="102">
        <v>44867</v>
      </c>
      <c r="C882" s="67" t="s">
        <v>1650</v>
      </c>
      <c r="D882" s="14" t="s">
        <v>48</v>
      </c>
      <c r="E882" s="103" t="s">
        <v>179</v>
      </c>
      <c r="F882" s="105" t="s">
        <v>18</v>
      </c>
      <c r="G882" s="15"/>
      <c r="H882" s="271">
        <v>3820000</v>
      </c>
      <c r="I882" s="258">
        <f>List34[[#This Row],[Pengajuan Donasi]]</f>
        <v>3820000</v>
      </c>
      <c r="J882" s="213" t="str">
        <f>IF(List34[[#This Row],[Tanggal Trf]]&gt;0,"Done","-")</f>
        <v>Done</v>
      </c>
      <c r="K882" s="440" t="s">
        <v>1676</v>
      </c>
      <c r="L882" s="223">
        <v>44876</v>
      </c>
      <c r="M882" s="100" t="s">
        <v>445</v>
      </c>
      <c r="N882" s="100">
        <f>MONTH(List34[[#This Row],[Tanggal Pengajuan]])</f>
        <v>11</v>
      </c>
      <c r="O882" s="183"/>
      <c r="P882" s="105" t="s">
        <v>1711</v>
      </c>
      <c r="Q882" s="111"/>
      <c r="R882" s="229"/>
    </row>
    <row r="883" spans="2:18" ht="30" customHeight="1" x14ac:dyDescent="0.2">
      <c r="B883" s="102">
        <v>44867</v>
      </c>
      <c r="C883" s="67" t="s">
        <v>1651</v>
      </c>
      <c r="D883" s="14" t="s">
        <v>859</v>
      </c>
      <c r="E883" s="14" t="s">
        <v>17</v>
      </c>
      <c r="F883" s="105" t="s">
        <v>18</v>
      </c>
      <c r="G883" s="15">
        <v>23</v>
      </c>
      <c r="H883" s="271">
        <v>6000000</v>
      </c>
      <c r="I883" s="258">
        <f>List34[[#This Row],[Pengajuan Donasi]]</f>
        <v>6000000</v>
      </c>
      <c r="J883" s="213" t="str">
        <f>IF(List34[[#This Row],[Tanggal Trf]]&gt;0,"Done","-")</f>
        <v>Done</v>
      </c>
      <c r="K883" s="440" t="s">
        <v>1677</v>
      </c>
      <c r="L883" s="223">
        <v>44876</v>
      </c>
      <c r="M883" s="100" t="s">
        <v>650</v>
      </c>
      <c r="N883" s="100">
        <f>MONTH(List34[[#This Row],[Tanggal Pengajuan]])</f>
        <v>11</v>
      </c>
      <c r="O883" s="183"/>
      <c r="P883" s="105" t="s">
        <v>1711</v>
      </c>
      <c r="Q883" s="111"/>
      <c r="R883" s="229"/>
    </row>
    <row r="884" spans="2:18" ht="30" customHeight="1" x14ac:dyDescent="0.2">
      <c r="B884" s="102">
        <v>44867</v>
      </c>
      <c r="C884" s="67" t="s">
        <v>1652</v>
      </c>
      <c r="D884" s="103" t="s">
        <v>950</v>
      </c>
      <c r="E884" s="103" t="s">
        <v>26</v>
      </c>
      <c r="F884" s="105" t="s">
        <v>18</v>
      </c>
      <c r="G884" s="23">
        <v>1</v>
      </c>
      <c r="H884" s="271">
        <v>5000000</v>
      </c>
      <c r="I884" s="258">
        <v>5000000</v>
      </c>
      <c r="J884" s="213" t="str">
        <f>IF(List34[[#This Row],[Tanggal Trf]]&gt;0,"Done","-")</f>
        <v>Done</v>
      </c>
      <c r="K884" s="440" t="s">
        <v>1678</v>
      </c>
      <c r="L884" s="223">
        <v>44876</v>
      </c>
      <c r="M884" s="105" t="s">
        <v>448</v>
      </c>
      <c r="N884" s="100">
        <f>MONTH(List34[[#This Row],[Tanggal Pengajuan]])</f>
        <v>11</v>
      </c>
      <c r="O884" s="183"/>
      <c r="P884" s="105" t="s">
        <v>1711</v>
      </c>
      <c r="Q884" s="111"/>
      <c r="R884" s="229"/>
    </row>
    <row r="885" spans="2:18" ht="30" customHeight="1" x14ac:dyDescent="0.2">
      <c r="B885" s="102">
        <v>44867</v>
      </c>
      <c r="C885" s="67"/>
      <c r="D885" s="103" t="s">
        <v>875</v>
      </c>
      <c r="E885" s="103" t="s">
        <v>26</v>
      </c>
      <c r="F885" s="105" t="s">
        <v>18</v>
      </c>
      <c r="G885" s="23">
        <v>1</v>
      </c>
      <c r="H885" s="271">
        <v>1000000</v>
      </c>
      <c r="I885" s="258">
        <v>1000000</v>
      </c>
      <c r="J885" s="213" t="str">
        <f>IF(List34[[#This Row],[Tanggal Trf]]&gt;0,"Done","-")</f>
        <v>Done</v>
      </c>
      <c r="K885" s="440" t="s">
        <v>1678</v>
      </c>
      <c r="L885" s="223">
        <v>44876</v>
      </c>
      <c r="M885" s="105" t="s">
        <v>453</v>
      </c>
      <c r="N885" s="100">
        <f>MONTH(List34[[#This Row],[Tanggal Pengajuan]])</f>
        <v>11</v>
      </c>
      <c r="O885" s="183"/>
      <c r="P885" s="105" t="s">
        <v>1711</v>
      </c>
      <c r="Q885" s="111"/>
      <c r="R885" s="229"/>
    </row>
    <row r="886" spans="2:18" ht="30" customHeight="1" x14ac:dyDescent="0.2">
      <c r="B886" s="102">
        <v>44867</v>
      </c>
      <c r="C886" s="67"/>
      <c r="D886" s="103" t="s">
        <v>877</v>
      </c>
      <c r="E886" s="103" t="s">
        <v>26</v>
      </c>
      <c r="F886" s="105" t="s">
        <v>18</v>
      </c>
      <c r="G886" s="23">
        <v>1</v>
      </c>
      <c r="H886" s="271">
        <v>1000000</v>
      </c>
      <c r="I886" s="258">
        <v>1000000</v>
      </c>
      <c r="J886" s="213" t="str">
        <f>IF(List34[[#This Row],[Tanggal Trf]]&gt;0,"Done","-")</f>
        <v>Done</v>
      </c>
      <c r="K886" s="440" t="s">
        <v>1678</v>
      </c>
      <c r="L886" s="223">
        <v>44876</v>
      </c>
      <c r="M886" s="105" t="s">
        <v>458</v>
      </c>
      <c r="N886" s="100">
        <f>MONTH(List34[[#This Row],[Tanggal Pengajuan]])</f>
        <v>11</v>
      </c>
      <c r="O886" s="183"/>
      <c r="P886" s="105" t="s">
        <v>1711</v>
      </c>
      <c r="Q886" s="111"/>
      <c r="R886" s="229"/>
    </row>
    <row r="887" spans="2:18" ht="30" customHeight="1" x14ac:dyDescent="0.2">
      <c r="B887" s="102">
        <v>44867</v>
      </c>
      <c r="C887" s="67"/>
      <c r="D887" s="103" t="s">
        <v>878</v>
      </c>
      <c r="E887" s="103" t="s">
        <v>26</v>
      </c>
      <c r="F887" s="105" t="s">
        <v>18</v>
      </c>
      <c r="G887" s="23">
        <v>1</v>
      </c>
      <c r="H887" s="271">
        <v>1000000</v>
      </c>
      <c r="I887" s="258">
        <v>1000000</v>
      </c>
      <c r="J887" s="213" t="str">
        <f>IF(List34[[#This Row],[Tanggal Trf]]&gt;0,"Done","-")</f>
        <v>Done</v>
      </c>
      <c r="K887" s="440" t="s">
        <v>1678</v>
      </c>
      <c r="L887" s="223">
        <v>44876</v>
      </c>
      <c r="M887" s="105" t="s">
        <v>460</v>
      </c>
      <c r="N887" s="100">
        <f>MONTH(List34[[#This Row],[Tanggal Pengajuan]])</f>
        <v>11</v>
      </c>
      <c r="O887" s="183"/>
      <c r="P887" s="105" t="s">
        <v>1711</v>
      </c>
      <c r="Q887" s="111"/>
      <c r="R887" s="229"/>
    </row>
    <row r="888" spans="2:18" ht="30" customHeight="1" x14ac:dyDescent="0.2">
      <c r="B888" s="102">
        <v>44867</v>
      </c>
      <c r="C888" s="67"/>
      <c r="D888" s="103" t="s">
        <v>879</v>
      </c>
      <c r="E888" s="103" t="s">
        <v>26</v>
      </c>
      <c r="F888" s="105" t="s">
        <v>18</v>
      </c>
      <c r="G888" s="23">
        <v>1</v>
      </c>
      <c r="H888" s="271">
        <v>1000000</v>
      </c>
      <c r="I888" s="258">
        <v>1000000</v>
      </c>
      <c r="J888" s="213" t="str">
        <f>IF(List34[[#This Row],[Tanggal Trf]]&gt;0,"Done","-")</f>
        <v>Done</v>
      </c>
      <c r="K888" s="440" t="s">
        <v>1678</v>
      </c>
      <c r="L888" s="223">
        <v>44876</v>
      </c>
      <c r="M888" s="105" t="s">
        <v>462</v>
      </c>
      <c r="N888" s="100">
        <f>MONTH(List34[[#This Row],[Tanggal Pengajuan]])</f>
        <v>11</v>
      </c>
      <c r="O888" s="183"/>
      <c r="P888" s="105" t="s">
        <v>1711</v>
      </c>
      <c r="Q888" s="111"/>
      <c r="R888" s="229"/>
    </row>
    <row r="889" spans="2:18" ht="30" customHeight="1" x14ac:dyDescent="0.2">
      <c r="B889" s="102">
        <v>44867</v>
      </c>
      <c r="C889" s="67"/>
      <c r="D889" s="103" t="s">
        <v>951</v>
      </c>
      <c r="E889" s="103" t="s">
        <v>26</v>
      </c>
      <c r="F889" s="105" t="s">
        <v>18</v>
      </c>
      <c r="G889" s="23">
        <v>1</v>
      </c>
      <c r="H889" s="271">
        <v>1000000</v>
      </c>
      <c r="I889" s="258">
        <v>1000000</v>
      </c>
      <c r="J889" s="213" t="str">
        <f>IF(List34[[#This Row],[Tanggal Trf]]&gt;0,"Done","-")</f>
        <v>Done</v>
      </c>
      <c r="K889" s="440" t="s">
        <v>1678</v>
      </c>
      <c r="L889" s="223">
        <v>44876</v>
      </c>
      <c r="M889" s="105" t="s">
        <v>466</v>
      </c>
      <c r="N889" s="100">
        <f>MONTH(List34[[#This Row],[Tanggal Pengajuan]])</f>
        <v>11</v>
      </c>
      <c r="O889" s="183"/>
      <c r="P889" s="105" t="s">
        <v>1711</v>
      </c>
      <c r="Q889" s="111"/>
      <c r="R889" s="229"/>
    </row>
    <row r="890" spans="2:18" ht="30" customHeight="1" x14ac:dyDescent="0.2">
      <c r="B890" s="102">
        <v>44867</v>
      </c>
      <c r="C890" s="67"/>
      <c r="D890" s="103" t="s">
        <v>880</v>
      </c>
      <c r="E890" s="103" t="s">
        <v>26</v>
      </c>
      <c r="F890" s="105" t="s">
        <v>18</v>
      </c>
      <c r="G890" s="23">
        <v>1</v>
      </c>
      <c r="H890" s="271">
        <v>1000000</v>
      </c>
      <c r="I890" s="258">
        <v>1000000</v>
      </c>
      <c r="J890" s="213" t="str">
        <f>IF(List34[[#This Row],[Tanggal Trf]]&gt;0,"Done","-")</f>
        <v>Done</v>
      </c>
      <c r="K890" s="440" t="s">
        <v>1678</v>
      </c>
      <c r="L890" s="223">
        <v>44876</v>
      </c>
      <c r="M890" s="105" t="s">
        <v>470</v>
      </c>
      <c r="N890" s="100">
        <f>MONTH(List34[[#This Row],[Tanggal Pengajuan]])</f>
        <v>11</v>
      </c>
      <c r="O890" s="183"/>
      <c r="P890" s="105" t="s">
        <v>1711</v>
      </c>
      <c r="Q890" s="111"/>
      <c r="R890" s="229"/>
    </row>
    <row r="891" spans="2:18" ht="30" customHeight="1" x14ac:dyDescent="0.2">
      <c r="B891" s="102">
        <v>44867</v>
      </c>
      <c r="C891" s="67"/>
      <c r="D891" s="103" t="s">
        <v>952</v>
      </c>
      <c r="E891" s="103" t="s">
        <v>26</v>
      </c>
      <c r="F891" s="105" t="s">
        <v>18</v>
      </c>
      <c r="G891" s="23">
        <v>1</v>
      </c>
      <c r="H891" s="271">
        <v>1000000</v>
      </c>
      <c r="I891" s="258">
        <v>1000000</v>
      </c>
      <c r="J891" s="213" t="str">
        <f>IF(List34[[#This Row],[Tanggal Trf]]&gt;0,"Done","-")</f>
        <v>Done</v>
      </c>
      <c r="K891" s="440" t="s">
        <v>1678</v>
      </c>
      <c r="L891" s="223">
        <v>44876</v>
      </c>
      <c r="M891" s="105" t="s">
        <v>519</v>
      </c>
      <c r="N891" s="100">
        <f>MONTH(List34[[#This Row],[Tanggal Pengajuan]])</f>
        <v>11</v>
      </c>
      <c r="O891" s="183"/>
      <c r="P891" s="105" t="s">
        <v>1711</v>
      </c>
      <c r="Q891" s="111"/>
      <c r="R891" s="229"/>
    </row>
    <row r="892" spans="2:18" ht="30" customHeight="1" x14ac:dyDescent="0.2">
      <c r="B892" s="102">
        <v>44867</v>
      </c>
      <c r="C892" s="67"/>
      <c r="D892" s="103" t="s">
        <v>881</v>
      </c>
      <c r="E892" s="103" t="s">
        <v>26</v>
      </c>
      <c r="F892" s="105" t="s">
        <v>18</v>
      </c>
      <c r="G892" s="23">
        <v>1</v>
      </c>
      <c r="H892" s="271">
        <v>1000000</v>
      </c>
      <c r="I892" s="258">
        <v>1000000</v>
      </c>
      <c r="J892" s="213" t="str">
        <f>IF(List34[[#This Row],[Tanggal Trf]]&gt;0,"Done","-")</f>
        <v>Done</v>
      </c>
      <c r="K892" s="440" t="s">
        <v>1678</v>
      </c>
      <c r="L892" s="223">
        <v>44876</v>
      </c>
      <c r="M892" s="105" t="s">
        <v>476</v>
      </c>
      <c r="N892" s="100">
        <f>MONTH(List34[[#This Row],[Tanggal Pengajuan]])</f>
        <v>11</v>
      </c>
      <c r="O892" s="183"/>
      <c r="P892" s="105" t="s">
        <v>1711</v>
      </c>
      <c r="Q892" s="111"/>
      <c r="R892" s="229"/>
    </row>
    <row r="893" spans="2:18" ht="30" customHeight="1" x14ac:dyDescent="0.2">
      <c r="B893" s="102">
        <v>44867</v>
      </c>
      <c r="C893" s="67"/>
      <c r="D893" s="103" t="s">
        <v>953</v>
      </c>
      <c r="E893" s="103" t="s">
        <v>26</v>
      </c>
      <c r="F893" s="105" t="s">
        <v>18</v>
      </c>
      <c r="G893" s="23">
        <v>1</v>
      </c>
      <c r="H893" s="271">
        <v>1000000</v>
      </c>
      <c r="I893" s="258">
        <v>1000000</v>
      </c>
      <c r="J893" s="213" t="str">
        <f>IF(List34[[#This Row],[Tanggal Trf]]&gt;0,"Done","-")</f>
        <v>Done</v>
      </c>
      <c r="K893" s="440" t="s">
        <v>1678</v>
      </c>
      <c r="L893" s="223">
        <v>44876</v>
      </c>
      <c r="M893" s="105" t="s">
        <v>873</v>
      </c>
      <c r="N893" s="100">
        <f>MONTH(List34[[#This Row],[Tanggal Pengajuan]])</f>
        <v>11</v>
      </c>
      <c r="O893" s="183"/>
      <c r="P893" s="105" t="s">
        <v>1711</v>
      </c>
      <c r="Q893" s="111"/>
      <c r="R893" s="229"/>
    </row>
    <row r="894" spans="2:18" ht="30" customHeight="1" x14ac:dyDescent="0.2">
      <c r="B894" s="102">
        <v>44867</v>
      </c>
      <c r="C894" s="67"/>
      <c r="D894" s="103" t="s">
        <v>954</v>
      </c>
      <c r="E894" s="103" t="s">
        <v>26</v>
      </c>
      <c r="F894" s="105" t="s">
        <v>18</v>
      </c>
      <c r="G894" s="23">
        <v>1</v>
      </c>
      <c r="H894" s="271">
        <v>1000000</v>
      </c>
      <c r="I894" s="258">
        <v>1000000</v>
      </c>
      <c r="J894" s="213" t="str">
        <f>IF(List34[[#This Row],[Tanggal Trf]]&gt;0,"Done","-")</f>
        <v>Done</v>
      </c>
      <c r="K894" s="440" t="s">
        <v>1678</v>
      </c>
      <c r="L894" s="223">
        <v>44876</v>
      </c>
      <c r="M894" s="105" t="s">
        <v>874</v>
      </c>
      <c r="N894" s="100">
        <f>MONTH(List34[[#This Row],[Tanggal Pengajuan]])</f>
        <v>11</v>
      </c>
      <c r="O894" s="183"/>
      <c r="P894" s="105" t="s">
        <v>1711</v>
      </c>
      <c r="Q894" s="111"/>
      <c r="R894" s="229"/>
    </row>
    <row r="895" spans="2:18" ht="30" customHeight="1" x14ac:dyDescent="0.2">
      <c r="B895" s="102">
        <v>44867</v>
      </c>
      <c r="C895" s="67"/>
      <c r="D895" s="103" t="s">
        <v>955</v>
      </c>
      <c r="E895" s="103" t="s">
        <v>26</v>
      </c>
      <c r="F895" s="105" t="s">
        <v>18</v>
      </c>
      <c r="G895" s="23">
        <v>1</v>
      </c>
      <c r="H895" s="271">
        <v>1000000</v>
      </c>
      <c r="I895" s="258">
        <v>1000000</v>
      </c>
      <c r="J895" s="213" t="str">
        <f>IF(List34[[#This Row],[Tanggal Trf]]&gt;0,"Done","-")</f>
        <v>Done</v>
      </c>
      <c r="K895" s="440" t="s">
        <v>1678</v>
      </c>
      <c r="L895" s="223">
        <v>44876</v>
      </c>
      <c r="M895" s="105" t="s">
        <v>762</v>
      </c>
      <c r="N895" s="100">
        <f>MONTH(List34[[#This Row],[Tanggal Pengajuan]])</f>
        <v>11</v>
      </c>
      <c r="O895" s="183"/>
      <c r="P895" s="105" t="s">
        <v>1711</v>
      </c>
      <c r="Q895" s="111"/>
      <c r="R895" s="229"/>
    </row>
    <row r="896" spans="2:18" ht="30" customHeight="1" x14ac:dyDescent="0.2">
      <c r="B896" s="102">
        <v>44867</v>
      </c>
      <c r="C896" s="67"/>
      <c r="D896" s="103" t="s">
        <v>1214</v>
      </c>
      <c r="E896" s="103" t="s">
        <v>26</v>
      </c>
      <c r="F896" s="105" t="s">
        <v>18</v>
      </c>
      <c r="G896" s="23">
        <v>1</v>
      </c>
      <c r="H896" s="271">
        <v>750000</v>
      </c>
      <c r="I896" s="258">
        <v>750000</v>
      </c>
      <c r="J896" s="213" t="str">
        <f>IF(List34[[#This Row],[Tanggal Trf]]&gt;0,"Done","-")</f>
        <v>Done</v>
      </c>
      <c r="K896" s="440" t="s">
        <v>1678</v>
      </c>
      <c r="L896" s="223">
        <v>44876</v>
      </c>
      <c r="M896" s="105" t="s">
        <v>1217</v>
      </c>
      <c r="N896" s="100">
        <f>MONTH(List34[[#This Row],[Tanggal Pengajuan]])</f>
        <v>11</v>
      </c>
      <c r="O896" s="183"/>
      <c r="P896" s="105" t="s">
        <v>1711</v>
      </c>
      <c r="Q896" s="111"/>
      <c r="R896" s="229"/>
    </row>
    <row r="897" spans="2:18" ht="30" customHeight="1" x14ac:dyDescent="0.2">
      <c r="B897" s="102">
        <v>44867</v>
      </c>
      <c r="C897" s="67"/>
      <c r="D897" s="103" t="s">
        <v>1215</v>
      </c>
      <c r="E897" s="103" t="s">
        <v>26</v>
      </c>
      <c r="F897" s="105" t="s">
        <v>18</v>
      </c>
      <c r="G897" s="23">
        <v>1</v>
      </c>
      <c r="H897" s="271">
        <v>750000</v>
      </c>
      <c r="I897" s="258">
        <v>750000</v>
      </c>
      <c r="J897" s="213" t="str">
        <f>IF(List34[[#This Row],[Tanggal Trf]]&gt;0,"Done","-")</f>
        <v>Done</v>
      </c>
      <c r="K897" s="440" t="s">
        <v>1678</v>
      </c>
      <c r="L897" s="223">
        <v>44876</v>
      </c>
      <c r="M897" s="105" t="s">
        <v>1218</v>
      </c>
      <c r="N897" s="100">
        <f>MONTH(List34[[#This Row],[Tanggal Pengajuan]])</f>
        <v>11</v>
      </c>
      <c r="O897" s="183"/>
      <c r="P897" s="105" t="s">
        <v>1711</v>
      </c>
      <c r="Q897" s="111"/>
      <c r="R897" s="229"/>
    </row>
    <row r="898" spans="2:18" ht="30" customHeight="1" x14ac:dyDescent="0.2">
      <c r="B898" s="102">
        <v>44867</v>
      </c>
      <c r="C898" s="67"/>
      <c r="D898" s="103" t="s">
        <v>1216</v>
      </c>
      <c r="E898" s="103" t="s">
        <v>26</v>
      </c>
      <c r="F898" s="105" t="s">
        <v>18</v>
      </c>
      <c r="G898" s="23">
        <v>1</v>
      </c>
      <c r="H898" s="271">
        <v>750000</v>
      </c>
      <c r="I898" s="258">
        <v>750000</v>
      </c>
      <c r="J898" s="213" t="str">
        <f>IF(List34[[#This Row],[Tanggal Trf]]&gt;0,"Done","-")</f>
        <v>Done</v>
      </c>
      <c r="K898" s="440" t="s">
        <v>1678</v>
      </c>
      <c r="L898" s="223">
        <v>44876</v>
      </c>
      <c r="M898" s="105" t="s">
        <v>1219</v>
      </c>
      <c r="N898" s="100">
        <f>MONTH(List34[[#This Row],[Tanggal Pengajuan]])</f>
        <v>11</v>
      </c>
      <c r="O898" s="183"/>
      <c r="P898" s="105" t="s">
        <v>1711</v>
      </c>
      <c r="Q898" s="111"/>
      <c r="R898" s="229"/>
    </row>
    <row r="899" spans="2:18" ht="30" customHeight="1" x14ac:dyDescent="0.2">
      <c r="B899" s="102">
        <v>44867</v>
      </c>
      <c r="C899" s="67" t="s">
        <v>1653</v>
      </c>
      <c r="D899" s="103" t="s">
        <v>392</v>
      </c>
      <c r="E899" s="103" t="s">
        <v>57</v>
      </c>
      <c r="F899" s="105" t="s">
        <v>18</v>
      </c>
      <c r="G899" s="23">
        <v>0</v>
      </c>
      <c r="H899" s="271">
        <v>10000000</v>
      </c>
      <c r="I899" s="258">
        <v>10000000</v>
      </c>
      <c r="J899" s="213" t="str">
        <f>IF(List34[[#This Row],[Tanggal Trf]]&gt;0,"Done","-")</f>
        <v>Done</v>
      </c>
      <c r="K899" s="440" t="s">
        <v>1679</v>
      </c>
      <c r="L899" s="223">
        <v>44876</v>
      </c>
      <c r="M899" s="105" t="s">
        <v>540</v>
      </c>
      <c r="N899" s="100">
        <f>MONTH(List34[[#This Row],[Tanggal Pengajuan]])</f>
        <v>11</v>
      </c>
      <c r="O899" s="183"/>
      <c r="P899" s="105" t="s">
        <v>1711</v>
      </c>
      <c r="Q899" s="111"/>
      <c r="R899" s="229"/>
    </row>
    <row r="900" spans="2:18" ht="30" customHeight="1" x14ac:dyDescent="0.2">
      <c r="B900" s="102">
        <v>44867</v>
      </c>
      <c r="C900" s="67" t="s">
        <v>1654</v>
      </c>
      <c r="D900" s="103" t="s">
        <v>429</v>
      </c>
      <c r="E900" s="103" t="s">
        <v>57</v>
      </c>
      <c r="F900" s="105" t="s">
        <v>18</v>
      </c>
      <c r="G900" s="23">
        <v>0</v>
      </c>
      <c r="H900" s="271">
        <v>10000000</v>
      </c>
      <c r="I900" s="258">
        <v>10000000</v>
      </c>
      <c r="J900" s="213" t="str">
        <f>IF(List34[[#This Row],[Tanggal Trf]]&gt;0,"Done","-")</f>
        <v>Done</v>
      </c>
      <c r="K900" s="440" t="s">
        <v>1680</v>
      </c>
      <c r="L900" s="223">
        <v>44900</v>
      </c>
      <c r="M900" s="105" t="s">
        <v>537</v>
      </c>
      <c r="N900" s="100">
        <f>MONTH(List34[[#This Row],[Tanggal Pengajuan]])</f>
        <v>11</v>
      </c>
      <c r="O900" s="183"/>
      <c r="P900" s="105" t="s">
        <v>1711</v>
      </c>
      <c r="Q900" s="111"/>
      <c r="R900" s="229"/>
    </row>
    <row r="901" spans="2:18" ht="30" customHeight="1" x14ac:dyDescent="0.2">
      <c r="B901" s="102">
        <v>44867</v>
      </c>
      <c r="C901" s="67" t="s">
        <v>1655</v>
      </c>
      <c r="D901" s="103" t="s">
        <v>420</v>
      </c>
      <c r="E901" s="103" t="s">
        <v>57</v>
      </c>
      <c r="F901" s="105" t="s">
        <v>18</v>
      </c>
      <c r="G901" s="23">
        <v>29</v>
      </c>
      <c r="H901" s="271">
        <v>10000000</v>
      </c>
      <c r="I901" s="258">
        <v>10000000</v>
      </c>
      <c r="J901" s="213" t="str">
        <f>IF(List34[[#This Row],[Tanggal Trf]]&gt;0,"Done","-")</f>
        <v>Done</v>
      </c>
      <c r="K901" s="440" t="s">
        <v>1681</v>
      </c>
      <c r="L901" s="223">
        <v>44876</v>
      </c>
      <c r="M901" s="105" t="s">
        <v>534</v>
      </c>
      <c r="N901" s="100">
        <f>MONTH(List34[[#This Row],[Tanggal Pengajuan]])</f>
        <v>11</v>
      </c>
      <c r="O901" s="183"/>
      <c r="P901" s="105" t="s">
        <v>1711</v>
      </c>
      <c r="Q901" s="111"/>
      <c r="R901" s="229"/>
    </row>
    <row r="902" spans="2:18" ht="30" customHeight="1" x14ac:dyDescent="0.2">
      <c r="B902" s="102">
        <v>44867</v>
      </c>
      <c r="C902" s="67" t="s">
        <v>1656</v>
      </c>
      <c r="D902" s="103" t="s">
        <v>413</v>
      </c>
      <c r="E902" s="103" t="s">
        <v>57</v>
      </c>
      <c r="F902" s="105" t="s">
        <v>18</v>
      </c>
      <c r="G902" s="23">
        <v>16</v>
      </c>
      <c r="H902" s="271">
        <v>10000000</v>
      </c>
      <c r="I902" s="258">
        <v>10000000</v>
      </c>
      <c r="J902" s="213" t="str">
        <f>IF(List34[[#This Row],[Tanggal Trf]]&gt;0,"Done","-")</f>
        <v>Done</v>
      </c>
      <c r="K902" s="440" t="s">
        <v>1682</v>
      </c>
      <c r="L902" s="223">
        <v>44876</v>
      </c>
      <c r="M902" s="105" t="s">
        <v>544</v>
      </c>
      <c r="N902" s="100">
        <f>MONTH(List34[[#This Row],[Tanggal Pengajuan]])</f>
        <v>11</v>
      </c>
      <c r="O902" s="183"/>
      <c r="P902" s="105" t="s">
        <v>1711</v>
      </c>
      <c r="Q902" s="111"/>
      <c r="R902" s="229"/>
    </row>
    <row r="903" spans="2:18" ht="30" customHeight="1" x14ac:dyDescent="0.2">
      <c r="B903" s="102">
        <v>44867</v>
      </c>
      <c r="C903" s="67" t="s">
        <v>1657</v>
      </c>
      <c r="D903" s="103" t="s">
        <v>407</v>
      </c>
      <c r="E903" s="103" t="s">
        <v>57</v>
      </c>
      <c r="F903" s="105" t="s">
        <v>18</v>
      </c>
      <c r="G903" s="23">
        <v>64</v>
      </c>
      <c r="H903" s="271">
        <v>10000000</v>
      </c>
      <c r="I903" s="258">
        <v>10000000</v>
      </c>
      <c r="J903" s="213" t="str">
        <f>IF(List34[[#This Row],[Tanggal Trf]]&gt;0,"Done","-")</f>
        <v>Done</v>
      </c>
      <c r="K903" s="440" t="s">
        <v>1683</v>
      </c>
      <c r="L903" s="223">
        <v>44876</v>
      </c>
      <c r="M903" s="105" t="s">
        <v>661</v>
      </c>
      <c r="N903" s="100">
        <f>MONTH(List34[[#This Row],[Tanggal Pengajuan]])</f>
        <v>11</v>
      </c>
      <c r="O903" s="183"/>
      <c r="P903" s="105" t="s">
        <v>1711</v>
      </c>
      <c r="Q903" s="111"/>
      <c r="R903" s="229"/>
    </row>
    <row r="904" spans="2:18" ht="30" customHeight="1" x14ac:dyDescent="0.2">
      <c r="B904" s="102">
        <v>44867</v>
      </c>
      <c r="C904" s="67" t="s">
        <v>1658</v>
      </c>
      <c r="D904" s="103" t="s">
        <v>916</v>
      </c>
      <c r="E904" s="103" t="s">
        <v>26</v>
      </c>
      <c r="F904" s="105" t="s">
        <v>18</v>
      </c>
      <c r="G904" s="23">
        <v>1</v>
      </c>
      <c r="H904" s="271">
        <v>500000</v>
      </c>
      <c r="I904" s="258">
        <v>500000</v>
      </c>
      <c r="J904" s="213" t="str">
        <f>IF(List34[[#This Row],[Tanggal Trf]]&gt;0,"Done","-")</f>
        <v>Done</v>
      </c>
      <c r="K904" s="440" t="s">
        <v>1684</v>
      </c>
      <c r="L904" s="223">
        <v>44876</v>
      </c>
      <c r="M904" s="105" t="s">
        <v>895</v>
      </c>
      <c r="N904" s="100">
        <f>MONTH(List34[[#This Row],[Tanggal Pengajuan]])</f>
        <v>11</v>
      </c>
      <c r="O904" s="183"/>
      <c r="P904" s="105" t="s">
        <v>1711</v>
      </c>
      <c r="Q904" s="111"/>
      <c r="R904" s="229"/>
    </row>
    <row r="905" spans="2:18" ht="30" customHeight="1" x14ac:dyDescent="0.2">
      <c r="B905" s="102">
        <v>44867</v>
      </c>
      <c r="C905" s="67"/>
      <c r="D905" s="103" t="s">
        <v>1535</v>
      </c>
      <c r="E905" s="103" t="s">
        <v>26</v>
      </c>
      <c r="F905" s="105" t="s">
        <v>18</v>
      </c>
      <c r="G905" s="23">
        <v>1</v>
      </c>
      <c r="H905" s="271">
        <v>500000</v>
      </c>
      <c r="I905" s="258">
        <v>500000</v>
      </c>
      <c r="J905" s="213" t="str">
        <f>IF(List34[[#This Row],[Tanggal Trf]]&gt;0,"Done","-")</f>
        <v>Done</v>
      </c>
      <c r="K905" s="440" t="s">
        <v>1684</v>
      </c>
      <c r="L905" s="223">
        <v>44876</v>
      </c>
      <c r="M905" s="105" t="s">
        <v>1536</v>
      </c>
      <c r="N905" s="100">
        <f>MONTH(List34[[#This Row],[Tanggal Pengajuan]])</f>
        <v>11</v>
      </c>
      <c r="O905" s="183"/>
      <c r="P905" s="105" t="s">
        <v>1711</v>
      </c>
      <c r="Q905" s="111"/>
      <c r="R905" s="229"/>
    </row>
    <row r="906" spans="2:18" ht="30" customHeight="1" x14ac:dyDescent="0.2">
      <c r="B906" s="102">
        <v>44867</v>
      </c>
      <c r="C906" s="67"/>
      <c r="D906" s="103" t="s">
        <v>1537</v>
      </c>
      <c r="E906" s="103" t="s">
        <v>26</v>
      </c>
      <c r="F906" s="105" t="s">
        <v>18</v>
      </c>
      <c r="G906" s="23">
        <v>1</v>
      </c>
      <c r="H906" s="271">
        <v>500000</v>
      </c>
      <c r="I906" s="258">
        <v>500000</v>
      </c>
      <c r="J906" s="213" t="str">
        <f>IF(List34[[#This Row],[Tanggal Trf]]&gt;0,"Done","-")</f>
        <v>Done</v>
      </c>
      <c r="K906" s="440" t="s">
        <v>1684</v>
      </c>
      <c r="L906" s="223">
        <v>44876</v>
      </c>
      <c r="M906" s="105" t="s">
        <v>1538</v>
      </c>
      <c r="N906" s="100">
        <f>MONTH(List34[[#This Row],[Tanggal Pengajuan]])</f>
        <v>11</v>
      </c>
      <c r="O906" s="183"/>
      <c r="P906" s="105" t="s">
        <v>1711</v>
      </c>
      <c r="Q906" s="111"/>
      <c r="R906" s="229"/>
    </row>
    <row r="907" spans="2:18" ht="30" customHeight="1" x14ac:dyDescent="0.2">
      <c r="B907" s="102">
        <v>44867</v>
      </c>
      <c r="C907" s="67"/>
      <c r="D907" s="103" t="s">
        <v>919</v>
      </c>
      <c r="E907" s="103" t="s">
        <v>26</v>
      </c>
      <c r="F907" s="105" t="s">
        <v>18</v>
      </c>
      <c r="G907" s="23">
        <v>1</v>
      </c>
      <c r="H907" s="271">
        <v>500000</v>
      </c>
      <c r="I907" s="258">
        <v>500000</v>
      </c>
      <c r="J907" s="213" t="str">
        <f>IF(List34[[#This Row],[Tanggal Trf]]&gt;0,"Done","-")</f>
        <v>Done</v>
      </c>
      <c r="K907" s="440" t="s">
        <v>1684</v>
      </c>
      <c r="L907" s="223">
        <v>44876</v>
      </c>
      <c r="M907" s="105" t="s">
        <v>897</v>
      </c>
      <c r="N907" s="100">
        <f>MONTH(List34[[#This Row],[Tanggal Pengajuan]])</f>
        <v>11</v>
      </c>
      <c r="O907" s="183"/>
      <c r="P907" s="105" t="s">
        <v>1711</v>
      </c>
      <c r="Q907" s="111"/>
      <c r="R907" s="229"/>
    </row>
    <row r="908" spans="2:18" ht="30" customHeight="1" x14ac:dyDescent="0.2">
      <c r="B908" s="102">
        <v>44867</v>
      </c>
      <c r="C908" s="67"/>
      <c r="D908" s="103" t="s">
        <v>920</v>
      </c>
      <c r="E908" s="103" t="s">
        <v>26</v>
      </c>
      <c r="F908" s="105" t="s">
        <v>18</v>
      </c>
      <c r="G908" s="23">
        <v>1</v>
      </c>
      <c r="H908" s="271">
        <v>500000</v>
      </c>
      <c r="I908" s="258">
        <v>500000</v>
      </c>
      <c r="J908" s="213" t="str">
        <f>IF(List34[[#This Row],[Tanggal Trf]]&gt;0,"Done","-")</f>
        <v>Done</v>
      </c>
      <c r="K908" s="440" t="s">
        <v>1684</v>
      </c>
      <c r="L908" s="223">
        <v>44876</v>
      </c>
      <c r="M908" s="105" t="s">
        <v>915</v>
      </c>
      <c r="N908" s="100">
        <f>MONTH(List34[[#This Row],[Tanggal Pengajuan]])</f>
        <v>11</v>
      </c>
      <c r="O908" s="183"/>
      <c r="P908" s="105" t="s">
        <v>1711</v>
      </c>
      <c r="Q908" s="111"/>
      <c r="R908" s="229"/>
    </row>
    <row r="909" spans="2:18" ht="30" customHeight="1" x14ac:dyDescent="0.2">
      <c r="B909" s="102">
        <v>44867</v>
      </c>
      <c r="C909" s="67"/>
      <c r="D909" s="103" t="s">
        <v>921</v>
      </c>
      <c r="E909" s="103" t="s">
        <v>26</v>
      </c>
      <c r="F909" s="105" t="s">
        <v>18</v>
      </c>
      <c r="G909" s="23">
        <v>1</v>
      </c>
      <c r="H909" s="271">
        <v>500000</v>
      </c>
      <c r="I909" s="258">
        <v>500000</v>
      </c>
      <c r="J909" s="213" t="str">
        <f>IF(List34[[#This Row],[Tanggal Trf]]&gt;0,"Done","-")</f>
        <v>Done</v>
      </c>
      <c r="K909" s="440" t="s">
        <v>1684</v>
      </c>
      <c r="L909" s="223">
        <v>44876</v>
      </c>
      <c r="M909" s="105" t="s">
        <v>1539</v>
      </c>
      <c r="N909" s="100">
        <f>MONTH(List34[[#This Row],[Tanggal Pengajuan]])</f>
        <v>11</v>
      </c>
      <c r="O909" s="183"/>
      <c r="P909" s="105" t="s">
        <v>1711</v>
      </c>
      <c r="Q909" s="111"/>
      <c r="R909" s="229"/>
    </row>
    <row r="910" spans="2:18" ht="30" customHeight="1" x14ac:dyDescent="0.2">
      <c r="B910" s="102">
        <v>44867</v>
      </c>
      <c r="C910" s="67"/>
      <c r="D910" s="103" t="s">
        <v>922</v>
      </c>
      <c r="E910" s="103" t="s">
        <v>26</v>
      </c>
      <c r="F910" s="105" t="s">
        <v>18</v>
      </c>
      <c r="G910" s="23">
        <v>1</v>
      </c>
      <c r="H910" s="271">
        <v>500000</v>
      </c>
      <c r="I910" s="258">
        <v>500000</v>
      </c>
      <c r="J910" s="213" t="str">
        <f>IF(List34[[#This Row],[Tanggal Trf]]&gt;0,"Done","-")</f>
        <v>Done</v>
      </c>
      <c r="K910" s="440" t="s">
        <v>1684</v>
      </c>
      <c r="L910" s="223">
        <v>44876</v>
      </c>
      <c r="M910" s="105" t="s">
        <v>899</v>
      </c>
      <c r="N910" s="100">
        <f>MONTH(List34[[#This Row],[Tanggal Pengajuan]])</f>
        <v>11</v>
      </c>
      <c r="O910" s="183"/>
      <c r="P910" s="105" t="s">
        <v>1711</v>
      </c>
      <c r="Q910" s="111"/>
      <c r="R910" s="229"/>
    </row>
    <row r="911" spans="2:18" ht="30" customHeight="1" x14ac:dyDescent="0.2">
      <c r="B911" s="102">
        <v>44867</v>
      </c>
      <c r="C911" s="67"/>
      <c r="D911" s="103" t="s">
        <v>923</v>
      </c>
      <c r="E911" s="103" t="s">
        <v>26</v>
      </c>
      <c r="F911" s="105" t="s">
        <v>18</v>
      </c>
      <c r="G911" s="23">
        <v>1</v>
      </c>
      <c r="H911" s="271">
        <v>500000</v>
      </c>
      <c r="I911" s="258">
        <v>500000</v>
      </c>
      <c r="J911" s="213" t="str">
        <f>IF(List34[[#This Row],[Tanggal Trf]]&gt;0,"Done","-")</f>
        <v>Done</v>
      </c>
      <c r="K911" s="440" t="s">
        <v>1684</v>
      </c>
      <c r="L911" s="223">
        <v>44876</v>
      </c>
      <c r="M911" s="105" t="s">
        <v>900</v>
      </c>
      <c r="N911" s="100">
        <f>MONTH(List34[[#This Row],[Tanggal Pengajuan]])</f>
        <v>11</v>
      </c>
      <c r="O911" s="183"/>
      <c r="P911" s="105" t="s">
        <v>1711</v>
      </c>
      <c r="Q911" s="111"/>
      <c r="R911" s="229"/>
    </row>
    <row r="912" spans="2:18" ht="30" customHeight="1" x14ac:dyDescent="0.2">
      <c r="B912" s="102">
        <v>44867</v>
      </c>
      <c r="C912" s="67"/>
      <c r="D912" s="103" t="s">
        <v>924</v>
      </c>
      <c r="E912" s="103" t="s">
        <v>26</v>
      </c>
      <c r="F912" s="105" t="s">
        <v>18</v>
      </c>
      <c r="G912" s="23">
        <v>1</v>
      </c>
      <c r="H912" s="271">
        <v>500000</v>
      </c>
      <c r="I912" s="258">
        <v>500000</v>
      </c>
      <c r="J912" s="213" t="str">
        <f>IF(List34[[#This Row],[Tanggal Trf]]&gt;0,"Done","-")</f>
        <v>Done</v>
      </c>
      <c r="K912" s="440" t="s">
        <v>1684</v>
      </c>
      <c r="L912" s="223">
        <v>44876</v>
      </c>
      <c r="M912" s="105" t="s">
        <v>901</v>
      </c>
      <c r="N912" s="100">
        <f>MONTH(List34[[#This Row],[Tanggal Pengajuan]])</f>
        <v>11</v>
      </c>
      <c r="O912" s="183"/>
      <c r="P912" s="105" t="s">
        <v>1711</v>
      </c>
      <c r="Q912" s="111"/>
      <c r="R912" s="229"/>
    </row>
    <row r="913" spans="2:18" ht="30" customHeight="1" x14ac:dyDescent="0.2">
      <c r="B913" s="102">
        <v>44867</v>
      </c>
      <c r="C913" s="67"/>
      <c r="D913" s="103" t="s">
        <v>925</v>
      </c>
      <c r="E913" s="103" t="s">
        <v>26</v>
      </c>
      <c r="F913" s="105" t="s">
        <v>18</v>
      </c>
      <c r="G913" s="23">
        <v>1</v>
      </c>
      <c r="H913" s="271">
        <v>500000</v>
      </c>
      <c r="I913" s="258">
        <v>500000</v>
      </c>
      <c r="J913" s="213" t="str">
        <f>IF(List34[[#This Row],[Tanggal Trf]]&gt;0,"Done","-")</f>
        <v>Done</v>
      </c>
      <c r="K913" s="440" t="s">
        <v>1684</v>
      </c>
      <c r="L913" s="223">
        <v>44876</v>
      </c>
      <c r="M913" s="105" t="s">
        <v>1014</v>
      </c>
      <c r="N913" s="100">
        <f>MONTH(List34[[#This Row],[Tanggal Pengajuan]])</f>
        <v>11</v>
      </c>
      <c r="O913" s="183"/>
      <c r="P913" s="105" t="s">
        <v>1711</v>
      </c>
      <c r="Q913" s="111"/>
      <c r="R913" s="229"/>
    </row>
    <row r="914" spans="2:18" ht="30" customHeight="1" x14ac:dyDescent="0.2">
      <c r="B914" s="102">
        <v>44867</v>
      </c>
      <c r="C914" s="67"/>
      <c r="D914" s="103" t="s">
        <v>926</v>
      </c>
      <c r="E914" s="103" t="s">
        <v>26</v>
      </c>
      <c r="F914" s="105" t="s">
        <v>18</v>
      </c>
      <c r="G914" s="23">
        <v>1</v>
      </c>
      <c r="H914" s="271">
        <v>500000</v>
      </c>
      <c r="I914" s="258">
        <v>500000</v>
      </c>
      <c r="J914" s="213" t="str">
        <f>IF(List34[[#This Row],[Tanggal Trf]]&gt;0,"Done","-")</f>
        <v>Done</v>
      </c>
      <c r="K914" s="440" t="s">
        <v>1684</v>
      </c>
      <c r="L914" s="223">
        <v>44876</v>
      </c>
      <c r="M914" s="105" t="s">
        <v>1540</v>
      </c>
      <c r="N914" s="100">
        <f>MONTH(List34[[#This Row],[Tanggal Pengajuan]])</f>
        <v>11</v>
      </c>
      <c r="O914" s="183"/>
      <c r="P914" s="105" t="s">
        <v>1711</v>
      </c>
      <c r="Q914" s="111"/>
      <c r="R914" s="229"/>
    </row>
    <row r="915" spans="2:18" ht="30" customHeight="1" x14ac:dyDescent="0.2">
      <c r="B915" s="102">
        <v>44867</v>
      </c>
      <c r="C915" s="67"/>
      <c r="D915" s="103" t="s">
        <v>927</v>
      </c>
      <c r="E915" s="103" t="s">
        <v>26</v>
      </c>
      <c r="F915" s="105" t="s">
        <v>18</v>
      </c>
      <c r="G915" s="23">
        <v>1</v>
      </c>
      <c r="H915" s="271">
        <v>500000</v>
      </c>
      <c r="I915" s="258">
        <v>500000</v>
      </c>
      <c r="J915" s="213" t="str">
        <f>IF(List34[[#This Row],[Tanggal Trf]]&gt;0,"Done","-")</f>
        <v>Done</v>
      </c>
      <c r="K915" s="440" t="s">
        <v>1684</v>
      </c>
      <c r="L915" s="223">
        <v>44876</v>
      </c>
      <c r="M915" s="105" t="s">
        <v>1541</v>
      </c>
      <c r="N915" s="100">
        <f>MONTH(List34[[#This Row],[Tanggal Pengajuan]])</f>
        <v>11</v>
      </c>
      <c r="O915" s="183"/>
      <c r="P915" s="105" t="s">
        <v>1711</v>
      </c>
      <c r="Q915" s="111"/>
      <c r="R915" s="229"/>
    </row>
    <row r="916" spans="2:18" ht="30" customHeight="1" x14ac:dyDescent="0.2">
      <c r="B916" s="102">
        <v>44867</v>
      </c>
      <c r="C916" s="67"/>
      <c r="D916" s="103" t="s">
        <v>928</v>
      </c>
      <c r="E916" s="103" t="s">
        <v>26</v>
      </c>
      <c r="F916" s="105" t="s">
        <v>18</v>
      </c>
      <c r="G916" s="23">
        <v>1</v>
      </c>
      <c r="H916" s="271">
        <v>500000</v>
      </c>
      <c r="I916" s="258">
        <v>500000</v>
      </c>
      <c r="J916" s="213" t="str">
        <f>IF(List34[[#This Row],[Tanggal Trf]]&gt;0,"Done","-")</f>
        <v>Done</v>
      </c>
      <c r="K916" s="440" t="s">
        <v>1684</v>
      </c>
      <c r="L916" s="223">
        <v>44876</v>
      </c>
      <c r="M916" s="105" t="s">
        <v>1542</v>
      </c>
      <c r="N916" s="100">
        <f>MONTH(List34[[#This Row],[Tanggal Pengajuan]])</f>
        <v>11</v>
      </c>
      <c r="O916" s="183"/>
      <c r="P916" s="105" t="s">
        <v>1711</v>
      </c>
      <c r="Q916" s="111"/>
      <c r="R916" s="229"/>
    </row>
    <row r="917" spans="2:18" ht="30" customHeight="1" x14ac:dyDescent="0.2">
      <c r="B917" s="102">
        <v>44867</v>
      </c>
      <c r="C917" s="67"/>
      <c r="D917" s="103" t="s">
        <v>929</v>
      </c>
      <c r="E917" s="103" t="s">
        <v>26</v>
      </c>
      <c r="F917" s="105" t="s">
        <v>18</v>
      </c>
      <c r="G917" s="23">
        <v>1</v>
      </c>
      <c r="H917" s="271">
        <v>500000</v>
      </c>
      <c r="I917" s="258">
        <v>500000</v>
      </c>
      <c r="J917" s="213" t="str">
        <f>IF(List34[[#This Row],[Tanggal Trf]]&gt;0,"Done","-")</f>
        <v>Done</v>
      </c>
      <c r="K917" s="440" t="s">
        <v>1684</v>
      </c>
      <c r="L917" s="223">
        <v>44876</v>
      </c>
      <c r="M917" s="105" t="s">
        <v>902</v>
      </c>
      <c r="N917" s="100">
        <f>MONTH(List34[[#This Row],[Tanggal Pengajuan]])</f>
        <v>11</v>
      </c>
      <c r="O917" s="183"/>
      <c r="P917" s="105" t="s">
        <v>1711</v>
      </c>
      <c r="Q917" s="111"/>
      <c r="R917" s="229"/>
    </row>
    <row r="918" spans="2:18" ht="30" customHeight="1" x14ac:dyDescent="0.2">
      <c r="B918" s="102">
        <v>44867</v>
      </c>
      <c r="C918" s="67"/>
      <c r="D918" s="103" t="s">
        <v>930</v>
      </c>
      <c r="E918" s="103" t="s">
        <v>26</v>
      </c>
      <c r="F918" s="105" t="s">
        <v>18</v>
      </c>
      <c r="G918" s="23">
        <v>1</v>
      </c>
      <c r="H918" s="271">
        <v>500000</v>
      </c>
      <c r="I918" s="258">
        <v>500000</v>
      </c>
      <c r="J918" s="213" t="str">
        <f>IF(List34[[#This Row],[Tanggal Trf]]&gt;0,"Done","-")</f>
        <v>Done</v>
      </c>
      <c r="K918" s="440" t="s">
        <v>1684</v>
      </c>
      <c r="L918" s="223">
        <v>44876</v>
      </c>
      <c r="M918" s="105" t="s">
        <v>903</v>
      </c>
      <c r="N918" s="100">
        <f>MONTH(List34[[#This Row],[Tanggal Pengajuan]])</f>
        <v>11</v>
      </c>
      <c r="O918" s="183"/>
      <c r="P918" s="105" t="s">
        <v>1711</v>
      </c>
      <c r="Q918" s="111"/>
      <c r="R918" s="229"/>
    </row>
    <row r="919" spans="2:18" ht="30" customHeight="1" x14ac:dyDescent="0.2">
      <c r="B919" s="102">
        <v>44867</v>
      </c>
      <c r="C919" s="67"/>
      <c r="D919" s="103" t="s">
        <v>1543</v>
      </c>
      <c r="E919" s="103" t="s">
        <v>26</v>
      </c>
      <c r="F919" s="105" t="s">
        <v>18</v>
      </c>
      <c r="G919" s="23">
        <v>0</v>
      </c>
      <c r="H919" s="271">
        <v>500000</v>
      </c>
      <c r="I919" s="258">
        <v>500000</v>
      </c>
      <c r="J919" s="213" t="str">
        <f>IF(List34[[#This Row],[Tanggal Trf]]&gt;0,"Done","-")</f>
        <v>Done</v>
      </c>
      <c r="K919" s="440" t="s">
        <v>1684</v>
      </c>
      <c r="L919" s="223">
        <v>44876</v>
      </c>
      <c r="M919" s="105" t="s">
        <v>1544</v>
      </c>
      <c r="N919" s="100">
        <f>MONTH(List34[[#This Row],[Tanggal Pengajuan]])</f>
        <v>11</v>
      </c>
      <c r="O919" s="183"/>
      <c r="P919" s="105" t="s">
        <v>1711</v>
      </c>
      <c r="Q919" s="111"/>
      <c r="R919" s="229"/>
    </row>
    <row r="920" spans="2:18" ht="30" customHeight="1" x14ac:dyDescent="0.2">
      <c r="B920" s="102">
        <v>44867</v>
      </c>
      <c r="C920" s="67"/>
      <c r="D920" s="103" t="s">
        <v>1545</v>
      </c>
      <c r="E920" s="103" t="s">
        <v>26</v>
      </c>
      <c r="F920" s="105" t="s">
        <v>18</v>
      </c>
      <c r="G920" s="23">
        <v>0</v>
      </c>
      <c r="H920" s="271">
        <v>500000</v>
      </c>
      <c r="I920" s="258">
        <v>500000</v>
      </c>
      <c r="J920" s="213" t="str">
        <f>IF(List34[[#This Row],[Tanggal Trf]]&gt;0,"Done","-")</f>
        <v>Done</v>
      </c>
      <c r="K920" s="440" t="s">
        <v>1684</v>
      </c>
      <c r="L920" s="223">
        <v>44876</v>
      </c>
      <c r="M920" s="105" t="s">
        <v>1546</v>
      </c>
      <c r="N920" s="100">
        <f>MONTH(List34[[#This Row],[Tanggal Pengajuan]])</f>
        <v>11</v>
      </c>
      <c r="O920" s="183"/>
      <c r="P920" s="105" t="s">
        <v>1711</v>
      </c>
      <c r="Q920" s="111"/>
      <c r="R920" s="229"/>
    </row>
    <row r="921" spans="2:18" ht="30" customHeight="1" x14ac:dyDescent="0.2">
      <c r="B921" s="102">
        <v>44867</v>
      </c>
      <c r="C921" s="67" t="s">
        <v>1659</v>
      </c>
      <c r="D921" s="103" t="s">
        <v>256</v>
      </c>
      <c r="E921" s="103" t="s">
        <v>17</v>
      </c>
      <c r="F921" s="105" t="s">
        <v>18</v>
      </c>
      <c r="G921" s="23">
        <v>86</v>
      </c>
      <c r="H921" s="271">
        <v>5500000</v>
      </c>
      <c r="I921" s="258">
        <v>5500000</v>
      </c>
      <c r="J921" s="213" t="str">
        <f>IF(List34[[#This Row],[Tanggal Trf]]&gt;0,"Done","-")</f>
        <v>Done</v>
      </c>
      <c r="K921" s="440" t="s">
        <v>1685</v>
      </c>
      <c r="L921" s="223">
        <v>44876</v>
      </c>
      <c r="M921" s="105" t="s">
        <v>136</v>
      </c>
      <c r="N921" s="100">
        <f>MONTH(List34[[#This Row],[Tanggal Pengajuan]])</f>
        <v>11</v>
      </c>
      <c r="O921" s="183"/>
      <c r="P921" s="105" t="s">
        <v>1711</v>
      </c>
      <c r="Q921" s="111"/>
      <c r="R921" s="229"/>
    </row>
    <row r="922" spans="2:18" ht="30" customHeight="1" x14ac:dyDescent="0.2">
      <c r="B922" s="102">
        <v>44867</v>
      </c>
      <c r="C922" s="67"/>
      <c r="D922" s="103" t="s">
        <v>257</v>
      </c>
      <c r="E922" s="103" t="s">
        <v>17</v>
      </c>
      <c r="F922" s="105" t="s">
        <v>18</v>
      </c>
      <c r="G922" s="23">
        <v>128</v>
      </c>
      <c r="H922" s="271">
        <v>5500000</v>
      </c>
      <c r="I922" s="258">
        <v>5500000</v>
      </c>
      <c r="J922" s="213" t="str">
        <f>IF(List34[[#This Row],[Tanggal Trf]]&gt;0,"Done","-")</f>
        <v>Done</v>
      </c>
      <c r="K922" s="440" t="s">
        <v>1685</v>
      </c>
      <c r="L922" s="223">
        <v>44876</v>
      </c>
      <c r="M922" s="105" t="s">
        <v>136</v>
      </c>
      <c r="N922" s="100">
        <f>MONTH(List34[[#This Row],[Tanggal Pengajuan]])</f>
        <v>11</v>
      </c>
      <c r="O922" s="183"/>
      <c r="P922" s="105" t="s">
        <v>1711</v>
      </c>
      <c r="Q922" s="111"/>
      <c r="R922" s="229"/>
    </row>
    <row r="923" spans="2:18" ht="30" customHeight="1" x14ac:dyDescent="0.2">
      <c r="B923" s="102">
        <v>44867</v>
      </c>
      <c r="C923" s="67"/>
      <c r="D923" s="103" t="s">
        <v>222</v>
      </c>
      <c r="E923" s="103" t="s">
        <v>17</v>
      </c>
      <c r="F923" s="105" t="s">
        <v>18</v>
      </c>
      <c r="G923" s="23">
        <f>10+26</f>
        <v>36</v>
      </c>
      <c r="H923" s="271">
        <v>5500000</v>
      </c>
      <c r="I923" s="258">
        <v>5500000</v>
      </c>
      <c r="J923" s="213" t="str">
        <f>IF(List34[[#This Row],[Tanggal Trf]]&gt;0,"Done","-")</f>
        <v>Done</v>
      </c>
      <c r="K923" s="440" t="s">
        <v>1685</v>
      </c>
      <c r="L923" s="223">
        <v>44876</v>
      </c>
      <c r="M923" s="105" t="s">
        <v>136</v>
      </c>
      <c r="N923" s="100">
        <f>MONTH(List34[[#This Row],[Tanggal Pengajuan]])</f>
        <v>11</v>
      </c>
      <c r="O923" s="183"/>
      <c r="P923" s="105" t="s">
        <v>1711</v>
      </c>
      <c r="Q923" s="111"/>
      <c r="R923" s="229"/>
    </row>
    <row r="924" spans="2:18" ht="30" customHeight="1" x14ac:dyDescent="0.2">
      <c r="B924" s="102">
        <v>44867</v>
      </c>
      <c r="C924" s="67" t="s">
        <v>1660</v>
      </c>
      <c r="D924" s="103" t="s">
        <v>872</v>
      </c>
      <c r="E924" s="103" t="s">
        <v>17</v>
      </c>
      <c r="F924" s="105" t="s">
        <v>18</v>
      </c>
      <c r="G924" s="23">
        <v>59</v>
      </c>
      <c r="H924" s="271">
        <v>6000000</v>
      </c>
      <c r="I924" s="258">
        <f>List34[[#This Row],[Pengajuan Donasi]]</f>
        <v>6000000</v>
      </c>
      <c r="J924" s="213" t="str">
        <f>IF(List34[[#This Row],[Tanggal Trf]]&gt;0,"Done","-")</f>
        <v>Done</v>
      </c>
      <c r="K924" s="440" t="s">
        <v>1686</v>
      </c>
      <c r="L924" s="223">
        <v>44887</v>
      </c>
      <c r="M924" s="100" t="s">
        <v>1213</v>
      </c>
      <c r="N924" s="100">
        <f>MONTH(List34[[#This Row],[Tanggal Pengajuan]])</f>
        <v>11</v>
      </c>
      <c r="O924" s="183"/>
      <c r="P924" s="105" t="s">
        <v>1711</v>
      </c>
      <c r="Q924" s="111"/>
      <c r="R924" s="229"/>
    </row>
    <row r="925" spans="2:18" ht="30" customHeight="1" x14ac:dyDescent="0.2">
      <c r="B925" s="102">
        <v>44867</v>
      </c>
      <c r="C925" s="67"/>
      <c r="D925" s="103" t="s">
        <v>871</v>
      </c>
      <c r="E925" s="103" t="s">
        <v>17</v>
      </c>
      <c r="F925" s="105" t="s">
        <v>18</v>
      </c>
      <c r="G925" s="23">
        <v>68</v>
      </c>
      <c r="H925" s="271">
        <v>6000000</v>
      </c>
      <c r="I925" s="258">
        <f>List34[[#This Row],[Pengajuan Donasi]]</f>
        <v>6000000</v>
      </c>
      <c r="J925" s="213" t="str">
        <f>IF(List34[[#This Row],[Tanggal Trf]]&gt;0,"Done","-")</f>
        <v>Done</v>
      </c>
      <c r="K925" s="440" t="s">
        <v>1686</v>
      </c>
      <c r="L925" s="223">
        <v>44887</v>
      </c>
      <c r="M925" s="100" t="s">
        <v>1213</v>
      </c>
      <c r="N925" s="100">
        <f>MONTH(List34[[#This Row],[Tanggal Pengajuan]])</f>
        <v>11</v>
      </c>
      <c r="O925" s="183"/>
      <c r="P925" s="105" t="s">
        <v>1711</v>
      </c>
      <c r="Q925" s="111"/>
      <c r="R925" s="229"/>
    </row>
    <row r="926" spans="2:18" ht="30" customHeight="1" x14ac:dyDescent="0.2">
      <c r="B926" s="102">
        <v>44867</v>
      </c>
      <c r="C926" s="67"/>
      <c r="D926" s="103" t="s">
        <v>870</v>
      </c>
      <c r="E926" s="103" t="s">
        <v>17</v>
      </c>
      <c r="F926" s="105" t="s">
        <v>18</v>
      </c>
      <c r="G926" s="23">
        <v>26</v>
      </c>
      <c r="H926" s="271">
        <v>6000000</v>
      </c>
      <c r="I926" s="258">
        <f>List34[[#This Row],[Pengajuan Donasi]]</f>
        <v>6000000</v>
      </c>
      <c r="J926" s="213" t="str">
        <f>IF(List34[[#This Row],[Tanggal Trf]]&gt;0,"Done","-")</f>
        <v>Done</v>
      </c>
      <c r="K926" s="440" t="s">
        <v>1686</v>
      </c>
      <c r="L926" s="223">
        <v>44887</v>
      </c>
      <c r="M926" s="100" t="s">
        <v>1213</v>
      </c>
      <c r="N926" s="100">
        <f>MONTH(List34[[#This Row],[Tanggal Pengajuan]])</f>
        <v>11</v>
      </c>
      <c r="O926" s="183"/>
      <c r="P926" s="105" t="s">
        <v>1711</v>
      </c>
      <c r="Q926" s="111"/>
      <c r="R926" s="229"/>
    </row>
    <row r="927" spans="2:18" ht="30" customHeight="1" x14ac:dyDescent="0.2">
      <c r="B927" s="102">
        <v>44867</v>
      </c>
      <c r="C927" s="67"/>
      <c r="D927" s="103" t="s">
        <v>228</v>
      </c>
      <c r="E927" s="103" t="s">
        <v>17</v>
      </c>
      <c r="F927" s="105" t="s">
        <v>18</v>
      </c>
      <c r="G927" s="23">
        <v>3</v>
      </c>
      <c r="H927" s="271">
        <v>6000000</v>
      </c>
      <c r="I927" s="258">
        <f>List34[[#This Row],[Pengajuan Donasi]]</f>
        <v>6000000</v>
      </c>
      <c r="J927" s="213" t="str">
        <f>IF(List34[[#This Row],[Tanggal Trf]]&gt;0,"Done","-")</f>
        <v>Done</v>
      </c>
      <c r="K927" s="440" t="s">
        <v>1686</v>
      </c>
      <c r="L927" s="223">
        <v>44887</v>
      </c>
      <c r="M927" s="100" t="s">
        <v>1213</v>
      </c>
      <c r="N927" s="100">
        <f>MONTH(List34[[#This Row],[Tanggal Pengajuan]])</f>
        <v>11</v>
      </c>
      <c r="O927" s="183"/>
      <c r="P927" s="105" t="s">
        <v>1711</v>
      </c>
      <c r="Q927" s="111"/>
      <c r="R927" s="229"/>
    </row>
    <row r="928" spans="2:18" ht="30" customHeight="1" x14ac:dyDescent="0.2">
      <c r="B928" s="102">
        <v>44867</v>
      </c>
      <c r="C928" s="67"/>
      <c r="D928" s="103" t="s">
        <v>869</v>
      </c>
      <c r="E928" s="103" t="s">
        <v>17</v>
      </c>
      <c r="F928" s="105" t="s">
        <v>18</v>
      </c>
      <c r="G928" s="23">
        <v>78</v>
      </c>
      <c r="H928" s="271">
        <v>6000000</v>
      </c>
      <c r="I928" s="258">
        <f>List34[[#This Row],[Pengajuan Donasi]]</f>
        <v>6000000</v>
      </c>
      <c r="J928" s="213" t="str">
        <f>IF(List34[[#This Row],[Tanggal Trf]]&gt;0,"Done","-")</f>
        <v>Done</v>
      </c>
      <c r="K928" s="440" t="s">
        <v>1686</v>
      </c>
      <c r="L928" s="223">
        <v>44887</v>
      </c>
      <c r="M928" s="100" t="s">
        <v>1213</v>
      </c>
      <c r="N928" s="100">
        <f>MONTH(List34[[#This Row],[Tanggal Pengajuan]])</f>
        <v>11</v>
      </c>
      <c r="O928" s="183"/>
      <c r="P928" s="105" t="s">
        <v>1711</v>
      </c>
      <c r="Q928" s="111"/>
      <c r="R928" s="229"/>
    </row>
    <row r="929" spans="2:18" ht="30" customHeight="1" x14ac:dyDescent="0.2">
      <c r="B929" s="102">
        <v>44867</v>
      </c>
      <c r="C929" s="67"/>
      <c r="D929" s="103" t="s">
        <v>868</v>
      </c>
      <c r="E929" s="103" t="s">
        <v>17</v>
      </c>
      <c r="F929" s="105" t="s">
        <v>18</v>
      </c>
      <c r="G929" s="23">
        <v>27</v>
      </c>
      <c r="H929" s="271">
        <v>6000000</v>
      </c>
      <c r="I929" s="258">
        <f>List34[[#This Row],[Pengajuan Donasi]]</f>
        <v>6000000</v>
      </c>
      <c r="J929" s="213" t="str">
        <f>IF(List34[[#This Row],[Tanggal Trf]]&gt;0,"Done","-")</f>
        <v>Done</v>
      </c>
      <c r="K929" s="440" t="s">
        <v>1686</v>
      </c>
      <c r="L929" s="223">
        <v>44887</v>
      </c>
      <c r="M929" s="100" t="s">
        <v>1213</v>
      </c>
      <c r="N929" s="100">
        <f>MONTH(List34[[#This Row],[Tanggal Pengajuan]])</f>
        <v>11</v>
      </c>
      <c r="O929" s="183"/>
      <c r="P929" s="105" t="s">
        <v>1711</v>
      </c>
      <c r="Q929" s="111"/>
      <c r="R929" s="229"/>
    </row>
    <row r="930" spans="2:18" ht="30" customHeight="1" x14ac:dyDescent="0.2">
      <c r="B930" s="102">
        <v>44867</v>
      </c>
      <c r="C930" s="67"/>
      <c r="D930" s="103" t="s">
        <v>229</v>
      </c>
      <c r="E930" s="103" t="s">
        <v>17</v>
      </c>
      <c r="F930" s="105" t="s">
        <v>18</v>
      </c>
      <c r="G930" s="23">
        <v>48</v>
      </c>
      <c r="H930" s="271">
        <v>6000000</v>
      </c>
      <c r="I930" s="258">
        <f>List34[[#This Row],[Pengajuan Donasi]]</f>
        <v>6000000</v>
      </c>
      <c r="J930" s="213" t="str">
        <f>IF(List34[[#This Row],[Tanggal Trf]]&gt;0,"Done","-")</f>
        <v>Done</v>
      </c>
      <c r="K930" s="440" t="s">
        <v>1686</v>
      </c>
      <c r="L930" s="223">
        <v>44887</v>
      </c>
      <c r="M930" s="100" t="s">
        <v>1213</v>
      </c>
      <c r="N930" s="100">
        <f>MONTH(List34[[#This Row],[Tanggal Pengajuan]])</f>
        <v>11</v>
      </c>
      <c r="O930" s="183"/>
      <c r="P930" s="105" t="s">
        <v>1711</v>
      </c>
      <c r="Q930" s="111"/>
      <c r="R930" s="229"/>
    </row>
    <row r="931" spans="2:18" ht="30" customHeight="1" x14ac:dyDescent="0.2">
      <c r="B931" s="102">
        <v>44867</v>
      </c>
      <c r="C931" s="67"/>
      <c r="D931" s="103" t="s">
        <v>848</v>
      </c>
      <c r="E931" s="103" t="s">
        <v>17</v>
      </c>
      <c r="F931" s="105" t="s">
        <v>18</v>
      </c>
      <c r="G931" s="23">
        <v>36</v>
      </c>
      <c r="H931" s="271">
        <v>6000000</v>
      </c>
      <c r="I931" s="258">
        <f>List34[[#This Row],[Pengajuan Donasi]]</f>
        <v>6000000</v>
      </c>
      <c r="J931" s="213" t="str">
        <f>IF(List34[[#This Row],[Tanggal Trf]]&gt;0,"Done","-")</f>
        <v>Done</v>
      </c>
      <c r="K931" s="440" t="s">
        <v>1686</v>
      </c>
      <c r="L931" s="223">
        <v>44887</v>
      </c>
      <c r="M931" s="100" t="s">
        <v>1213</v>
      </c>
      <c r="N931" s="100">
        <f>MONTH(List34[[#This Row],[Tanggal Pengajuan]])</f>
        <v>11</v>
      </c>
      <c r="O931" s="183"/>
      <c r="P931" s="105" t="s">
        <v>1711</v>
      </c>
      <c r="Q931" s="111"/>
      <c r="R931" s="229"/>
    </row>
    <row r="932" spans="2:18" ht="30" customHeight="1" x14ac:dyDescent="0.2">
      <c r="B932" s="102">
        <v>44867</v>
      </c>
      <c r="C932" s="67"/>
      <c r="D932" s="103" t="s">
        <v>867</v>
      </c>
      <c r="E932" s="103" t="s">
        <v>17</v>
      </c>
      <c r="F932" s="105" t="s">
        <v>18</v>
      </c>
      <c r="G932" s="23">
        <v>129</v>
      </c>
      <c r="H932" s="271">
        <v>6000000</v>
      </c>
      <c r="I932" s="258">
        <f>List34[[#This Row],[Pengajuan Donasi]]</f>
        <v>6000000</v>
      </c>
      <c r="J932" s="213" t="str">
        <f>IF(List34[[#This Row],[Tanggal Trf]]&gt;0,"Done","-")</f>
        <v>Done</v>
      </c>
      <c r="K932" s="440" t="s">
        <v>1686</v>
      </c>
      <c r="L932" s="223">
        <v>44887</v>
      </c>
      <c r="M932" s="100" t="s">
        <v>1213</v>
      </c>
      <c r="N932" s="100">
        <f>MONTH(List34[[#This Row],[Tanggal Pengajuan]])</f>
        <v>11</v>
      </c>
      <c r="O932" s="183"/>
      <c r="P932" s="105" t="s">
        <v>1711</v>
      </c>
      <c r="Q932" s="111"/>
      <c r="R932" s="229"/>
    </row>
    <row r="933" spans="2:18" ht="30" customHeight="1" x14ac:dyDescent="0.2">
      <c r="B933" s="102">
        <v>44867</v>
      </c>
      <c r="C933" s="67"/>
      <c r="D933" s="103" t="s">
        <v>238</v>
      </c>
      <c r="E933" s="103" t="s">
        <v>17</v>
      </c>
      <c r="F933" s="105" t="s">
        <v>18</v>
      </c>
      <c r="G933" s="23">
        <v>46</v>
      </c>
      <c r="H933" s="271">
        <v>6000000</v>
      </c>
      <c r="I933" s="258">
        <f>List34[[#This Row],[Pengajuan Donasi]]</f>
        <v>6000000</v>
      </c>
      <c r="J933" s="213" t="str">
        <f>IF(List34[[#This Row],[Tanggal Trf]]&gt;0,"Done","-")</f>
        <v>Done</v>
      </c>
      <c r="K933" s="440" t="s">
        <v>1686</v>
      </c>
      <c r="L933" s="223">
        <v>44887</v>
      </c>
      <c r="M933" s="100" t="s">
        <v>1213</v>
      </c>
      <c r="N933" s="100">
        <f>MONTH(List34[[#This Row],[Tanggal Pengajuan]])</f>
        <v>11</v>
      </c>
      <c r="O933" s="183"/>
      <c r="P933" s="105" t="s">
        <v>1711</v>
      </c>
      <c r="Q933" s="111"/>
      <c r="R933" s="229"/>
    </row>
    <row r="934" spans="2:18" ht="30" customHeight="1" x14ac:dyDescent="0.2">
      <c r="B934" s="102">
        <v>44867</v>
      </c>
      <c r="C934" s="67"/>
      <c r="D934" s="103" t="s">
        <v>849</v>
      </c>
      <c r="E934" s="103" t="s">
        <v>17</v>
      </c>
      <c r="F934" s="105" t="s">
        <v>18</v>
      </c>
      <c r="G934" s="23">
        <v>53</v>
      </c>
      <c r="H934" s="271">
        <v>6000000</v>
      </c>
      <c r="I934" s="258">
        <f>List34[[#This Row],[Pengajuan Donasi]]</f>
        <v>6000000</v>
      </c>
      <c r="J934" s="213" t="str">
        <f>IF(List34[[#This Row],[Tanggal Trf]]&gt;0,"Done","-")</f>
        <v>Done</v>
      </c>
      <c r="K934" s="440" t="s">
        <v>1686</v>
      </c>
      <c r="L934" s="223">
        <v>44887</v>
      </c>
      <c r="M934" s="100" t="s">
        <v>1213</v>
      </c>
      <c r="N934" s="100">
        <f>MONTH(List34[[#This Row],[Tanggal Pengajuan]])</f>
        <v>11</v>
      </c>
      <c r="O934" s="183"/>
      <c r="P934" s="105" t="s">
        <v>1711</v>
      </c>
      <c r="Q934" s="111"/>
      <c r="R934" s="229"/>
    </row>
    <row r="935" spans="2:18" ht="30" customHeight="1" x14ac:dyDescent="0.2">
      <c r="B935" s="102">
        <v>44867</v>
      </c>
      <c r="C935" s="67"/>
      <c r="D935" s="103" t="s">
        <v>850</v>
      </c>
      <c r="E935" s="103" t="s">
        <v>17</v>
      </c>
      <c r="F935" s="105" t="s">
        <v>18</v>
      </c>
      <c r="G935" s="23">
        <v>61</v>
      </c>
      <c r="H935" s="271">
        <v>6000000</v>
      </c>
      <c r="I935" s="258">
        <f>List34[[#This Row],[Pengajuan Donasi]]</f>
        <v>6000000</v>
      </c>
      <c r="J935" s="213" t="str">
        <f>IF(List34[[#This Row],[Tanggal Trf]]&gt;0,"Done","-")</f>
        <v>Done</v>
      </c>
      <c r="K935" s="440" t="s">
        <v>1686</v>
      </c>
      <c r="L935" s="223">
        <v>44887</v>
      </c>
      <c r="M935" s="100" t="s">
        <v>1213</v>
      </c>
      <c r="N935" s="100">
        <f>MONTH(List34[[#This Row],[Tanggal Pengajuan]])</f>
        <v>11</v>
      </c>
      <c r="O935" s="183"/>
      <c r="P935" s="105" t="s">
        <v>1711</v>
      </c>
      <c r="Q935" s="111"/>
      <c r="R935" s="229"/>
    </row>
    <row r="936" spans="2:18" ht="30" customHeight="1" x14ac:dyDescent="0.2">
      <c r="B936" s="102">
        <v>44867</v>
      </c>
      <c r="C936" s="67"/>
      <c r="D936" s="103" t="s">
        <v>851</v>
      </c>
      <c r="E936" s="103" t="s">
        <v>17</v>
      </c>
      <c r="F936" s="105" t="s">
        <v>18</v>
      </c>
      <c r="G936" s="23">
        <v>27</v>
      </c>
      <c r="H936" s="271">
        <v>6000000</v>
      </c>
      <c r="I936" s="258">
        <f>List34[[#This Row],[Pengajuan Donasi]]</f>
        <v>6000000</v>
      </c>
      <c r="J936" s="213" t="str">
        <f>IF(List34[[#This Row],[Tanggal Trf]]&gt;0,"Done","-")</f>
        <v>Done</v>
      </c>
      <c r="K936" s="440" t="s">
        <v>1686</v>
      </c>
      <c r="L936" s="223">
        <v>44887</v>
      </c>
      <c r="M936" s="100" t="s">
        <v>1213</v>
      </c>
      <c r="N936" s="100">
        <f>MONTH(List34[[#This Row],[Tanggal Pengajuan]])</f>
        <v>11</v>
      </c>
      <c r="O936" s="183"/>
      <c r="P936" s="105" t="s">
        <v>1711</v>
      </c>
      <c r="Q936" s="111"/>
      <c r="R936" s="229"/>
    </row>
    <row r="937" spans="2:18" ht="30" customHeight="1" x14ac:dyDescent="0.2">
      <c r="B937" s="102">
        <v>44867</v>
      </c>
      <c r="C937" s="67"/>
      <c r="D937" s="103" t="s">
        <v>852</v>
      </c>
      <c r="E937" s="103" t="s">
        <v>17</v>
      </c>
      <c r="F937" s="105" t="s">
        <v>18</v>
      </c>
      <c r="G937" s="23">
        <v>47</v>
      </c>
      <c r="H937" s="271">
        <v>6000000</v>
      </c>
      <c r="I937" s="258">
        <f>List34[[#This Row],[Pengajuan Donasi]]</f>
        <v>6000000</v>
      </c>
      <c r="J937" s="213" t="str">
        <f>IF(List34[[#This Row],[Tanggal Trf]]&gt;0,"Done","-")</f>
        <v>Done</v>
      </c>
      <c r="K937" s="440" t="s">
        <v>1686</v>
      </c>
      <c r="L937" s="223">
        <v>44887</v>
      </c>
      <c r="M937" s="100" t="s">
        <v>1213</v>
      </c>
      <c r="N937" s="100">
        <f>MONTH(List34[[#This Row],[Tanggal Pengajuan]])</f>
        <v>11</v>
      </c>
      <c r="O937" s="183"/>
      <c r="P937" s="105" t="s">
        <v>1711</v>
      </c>
      <c r="Q937" s="111"/>
      <c r="R937" s="229"/>
    </row>
    <row r="938" spans="2:18" ht="30" customHeight="1" x14ac:dyDescent="0.2">
      <c r="B938" s="102">
        <v>44867</v>
      </c>
      <c r="C938" s="67"/>
      <c r="D938" s="103" t="s">
        <v>853</v>
      </c>
      <c r="E938" s="103" t="s">
        <v>17</v>
      </c>
      <c r="F938" s="105" t="s">
        <v>18</v>
      </c>
      <c r="G938" s="23">
        <v>25</v>
      </c>
      <c r="H938" s="271">
        <v>6000000</v>
      </c>
      <c r="I938" s="258">
        <f>List34[[#This Row],[Pengajuan Donasi]]</f>
        <v>6000000</v>
      </c>
      <c r="J938" s="213" t="str">
        <f>IF(List34[[#This Row],[Tanggal Trf]]&gt;0,"Done","-")</f>
        <v>Done</v>
      </c>
      <c r="K938" s="440" t="s">
        <v>1686</v>
      </c>
      <c r="L938" s="223">
        <v>44887</v>
      </c>
      <c r="M938" s="100" t="s">
        <v>1213</v>
      </c>
      <c r="N938" s="100">
        <f>MONTH(List34[[#This Row],[Tanggal Pengajuan]])</f>
        <v>11</v>
      </c>
      <c r="O938" s="183"/>
      <c r="P938" s="105" t="s">
        <v>1711</v>
      </c>
      <c r="Q938" s="111"/>
      <c r="R938" s="229"/>
    </row>
    <row r="939" spans="2:18" ht="30" customHeight="1" x14ac:dyDescent="0.2">
      <c r="B939" s="102">
        <v>44867</v>
      </c>
      <c r="C939" s="67"/>
      <c r="D939" s="103" t="s">
        <v>854</v>
      </c>
      <c r="E939" s="103" t="s">
        <v>17</v>
      </c>
      <c r="F939" s="105" t="s">
        <v>18</v>
      </c>
      <c r="G939" s="23">
        <v>118</v>
      </c>
      <c r="H939" s="271">
        <v>6000000</v>
      </c>
      <c r="I939" s="258">
        <f>List34[[#This Row],[Pengajuan Donasi]]</f>
        <v>6000000</v>
      </c>
      <c r="J939" s="213" t="str">
        <f>IF(List34[[#This Row],[Tanggal Trf]]&gt;0,"Done","-")</f>
        <v>Done</v>
      </c>
      <c r="K939" s="440" t="s">
        <v>1686</v>
      </c>
      <c r="L939" s="223">
        <v>44887</v>
      </c>
      <c r="M939" s="100" t="s">
        <v>1213</v>
      </c>
      <c r="N939" s="100">
        <f>MONTH(List34[[#This Row],[Tanggal Pengajuan]])</f>
        <v>11</v>
      </c>
      <c r="O939" s="183"/>
      <c r="P939" s="105" t="s">
        <v>1711</v>
      </c>
      <c r="Q939" s="111"/>
      <c r="R939" s="229"/>
    </row>
    <row r="940" spans="2:18" ht="30" customHeight="1" x14ac:dyDescent="0.2">
      <c r="B940" s="102">
        <v>44867</v>
      </c>
      <c r="C940" s="67"/>
      <c r="D940" s="103" t="s">
        <v>856</v>
      </c>
      <c r="E940" s="103" t="s">
        <v>17</v>
      </c>
      <c r="F940" s="105" t="s">
        <v>18</v>
      </c>
      <c r="G940" s="23">
        <v>32</v>
      </c>
      <c r="H940" s="271">
        <v>6000000</v>
      </c>
      <c r="I940" s="258">
        <f>List34[[#This Row],[Pengajuan Donasi]]</f>
        <v>6000000</v>
      </c>
      <c r="J940" s="213" t="str">
        <f>IF(List34[[#This Row],[Tanggal Trf]]&gt;0,"Done","-")</f>
        <v>Done</v>
      </c>
      <c r="K940" s="440" t="s">
        <v>1686</v>
      </c>
      <c r="L940" s="223">
        <v>44887</v>
      </c>
      <c r="M940" s="100" t="s">
        <v>1213</v>
      </c>
      <c r="N940" s="100">
        <f>MONTH(List34[[#This Row],[Tanggal Pengajuan]])</f>
        <v>11</v>
      </c>
      <c r="O940" s="183"/>
      <c r="P940" s="105" t="s">
        <v>1711</v>
      </c>
      <c r="Q940" s="111"/>
      <c r="R940" s="229"/>
    </row>
    <row r="941" spans="2:18" ht="30" customHeight="1" x14ac:dyDescent="0.2">
      <c r="B941" s="102">
        <v>44867</v>
      </c>
      <c r="C941" s="67"/>
      <c r="D941" s="103" t="s">
        <v>857</v>
      </c>
      <c r="E941" s="103" t="s">
        <v>17</v>
      </c>
      <c r="F941" s="105" t="s">
        <v>18</v>
      </c>
      <c r="G941" s="23">
        <v>38</v>
      </c>
      <c r="H941" s="271">
        <v>6000000</v>
      </c>
      <c r="I941" s="258">
        <f>List34[[#This Row],[Pengajuan Donasi]]</f>
        <v>6000000</v>
      </c>
      <c r="J941" s="213" t="str">
        <f>IF(List34[[#This Row],[Tanggal Trf]]&gt;0,"Done","-")</f>
        <v>Done</v>
      </c>
      <c r="K941" s="440" t="s">
        <v>1686</v>
      </c>
      <c r="L941" s="223">
        <v>44887</v>
      </c>
      <c r="M941" s="100" t="s">
        <v>1213</v>
      </c>
      <c r="N941" s="100">
        <f>MONTH(List34[[#This Row],[Tanggal Pengajuan]])</f>
        <v>11</v>
      </c>
      <c r="O941" s="183"/>
      <c r="P941" s="105" t="s">
        <v>1711</v>
      </c>
      <c r="Q941" s="111"/>
      <c r="R941" s="229"/>
    </row>
    <row r="942" spans="2:18" ht="30" customHeight="1" x14ac:dyDescent="0.2">
      <c r="B942" s="102">
        <v>44867</v>
      </c>
      <c r="C942" s="67"/>
      <c r="D942" s="103" t="s">
        <v>328</v>
      </c>
      <c r="E942" s="103" t="s">
        <v>17</v>
      </c>
      <c r="F942" s="105" t="s">
        <v>18</v>
      </c>
      <c r="G942" s="23">
        <v>10</v>
      </c>
      <c r="H942" s="271">
        <v>6000000</v>
      </c>
      <c r="I942" s="258">
        <f>List34[[#This Row],[Pengajuan Donasi]]</f>
        <v>6000000</v>
      </c>
      <c r="J942" s="213" t="str">
        <f>IF(List34[[#This Row],[Tanggal Trf]]&gt;0,"Done","-")</f>
        <v>Done</v>
      </c>
      <c r="K942" s="440" t="s">
        <v>1686</v>
      </c>
      <c r="L942" s="223">
        <v>44887</v>
      </c>
      <c r="M942" s="100" t="s">
        <v>1213</v>
      </c>
      <c r="N942" s="100">
        <f>MONTH(List34[[#This Row],[Tanggal Pengajuan]])</f>
        <v>11</v>
      </c>
      <c r="O942" s="183"/>
      <c r="P942" s="105" t="s">
        <v>1711</v>
      </c>
      <c r="Q942" s="111"/>
      <c r="R942" s="229"/>
    </row>
    <row r="943" spans="2:18" ht="30" customHeight="1" x14ac:dyDescent="0.2">
      <c r="B943" s="102">
        <v>44867</v>
      </c>
      <c r="C943" s="67"/>
      <c r="D943" s="103" t="s">
        <v>362</v>
      </c>
      <c r="E943" s="103" t="s">
        <v>17</v>
      </c>
      <c r="F943" s="105" t="s">
        <v>18</v>
      </c>
      <c r="G943" s="23">
        <v>137</v>
      </c>
      <c r="H943" s="271">
        <v>6000000</v>
      </c>
      <c r="I943" s="258">
        <f>List34[[#This Row],[Pengajuan Donasi]]</f>
        <v>6000000</v>
      </c>
      <c r="J943" s="213" t="str">
        <f>IF(List34[[#This Row],[Tanggal Trf]]&gt;0,"Done","-")</f>
        <v>Done</v>
      </c>
      <c r="K943" s="440" t="s">
        <v>1686</v>
      </c>
      <c r="L943" s="223">
        <v>44887</v>
      </c>
      <c r="M943" s="100" t="s">
        <v>1213</v>
      </c>
      <c r="N943" s="100">
        <f>MONTH(List34[[#This Row],[Tanggal Pengajuan]])</f>
        <v>11</v>
      </c>
      <c r="O943" s="183"/>
      <c r="P943" s="105" t="s">
        <v>1711</v>
      </c>
      <c r="Q943" s="111"/>
      <c r="R943" s="229"/>
    </row>
    <row r="944" spans="2:18" ht="30" customHeight="1" x14ac:dyDescent="0.2">
      <c r="B944" s="102">
        <v>44867</v>
      </c>
      <c r="C944" s="67"/>
      <c r="D944" s="103" t="s">
        <v>858</v>
      </c>
      <c r="E944" s="103" t="s">
        <v>17</v>
      </c>
      <c r="F944" s="105" t="s">
        <v>18</v>
      </c>
      <c r="G944" s="23">
        <v>320</v>
      </c>
      <c r="H944" s="271">
        <v>6000000</v>
      </c>
      <c r="I944" s="258">
        <f>List34[[#This Row],[Pengajuan Donasi]]</f>
        <v>6000000</v>
      </c>
      <c r="J944" s="213" t="str">
        <f>IF(List34[[#This Row],[Tanggal Trf]]&gt;0,"Done","-")</f>
        <v>Done</v>
      </c>
      <c r="K944" s="440" t="s">
        <v>1686</v>
      </c>
      <c r="L944" s="223">
        <v>44887</v>
      </c>
      <c r="M944" s="100" t="s">
        <v>1213</v>
      </c>
      <c r="N944" s="100">
        <f>MONTH(List34[[#This Row],[Tanggal Pengajuan]])</f>
        <v>11</v>
      </c>
      <c r="O944" s="183"/>
      <c r="P944" s="105" t="s">
        <v>1711</v>
      </c>
      <c r="Q944" s="111"/>
      <c r="R944" s="229"/>
    </row>
    <row r="945" spans="2:18" ht="30" customHeight="1" x14ac:dyDescent="0.2">
      <c r="B945" s="102">
        <v>44867</v>
      </c>
      <c r="C945" s="67"/>
      <c r="D945" s="103" t="s">
        <v>391</v>
      </c>
      <c r="E945" s="103" t="s">
        <v>17</v>
      </c>
      <c r="F945" s="105" t="s">
        <v>18</v>
      </c>
      <c r="G945" s="23">
        <v>40</v>
      </c>
      <c r="H945" s="271">
        <v>6000000</v>
      </c>
      <c r="I945" s="258">
        <f>List34[[#This Row],[Pengajuan Donasi]]</f>
        <v>6000000</v>
      </c>
      <c r="J945" s="213" t="str">
        <f>IF(List34[[#This Row],[Tanggal Trf]]&gt;0,"Done","-")</f>
        <v>Done</v>
      </c>
      <c r="K945" s="440" t="s">
        <v>1686</v>
      </c>
      <c r="L945" s="223">
        <v>44887</v>
      </c>
      <c r="M945" s="100" t="s">
        <v>1213</v>
      </c>
      <c r="N945" s="100">
        <f>MONTH(List34[[#This Row],[Tanggal Pengajuan]])</f>
        <v>11</v>
      </c>
      <c r="O945" s="183"/>
      <c r="P945" s="105" t="s">
        <v>1711</v>
      </c>
      <c r="Q945" s="111"/>
      <c r="R945" s="229"/>
    </row>
    <row r="946" spans="2:18" ht="30" customHeight="1" x14ac:dyDescent="0.2">
      <c r="B946" s="102">
        <v>44867</v>
      </c>
      <c r="C946" s="67"/>
      <c r="D946" s="103" t="s">
        <v>860</v>
      </c>
      <c r="E946" s="103" t="s">
        <v>17</v>
      </c>
      <c r="F946" s="105" t="s">
        <v>18</v>
      </c>
      <c r="G946" s="23">
        <v>45</v>
      </c>
      <c r="H946" s="271">
        <v>6000000</v>
      </c>
      <c r="I946" s="258">
        <f>List34[[#This Row],[Pengajuan Donasi]]</f>
        <v>6000000</v>
      </c>
      <c r="J946" s="213" t="str">
        <f>IF(List34[[#This Row],[Tanggal Trf]]&gt;0,"Done","-")</f>
        <v>Done</v>
      </c>
      <c r="K946" s="440" t="s">
        <v>1686</v>
      </c>
      <c r="L946" s="223">
        <v>44887</v>
      </c>
      <c r="M946" s="100" t="s">
        <v>1213</v>
      </c>
      <c r="N946" s="100">
        <f>MONTH(List34[[#This Row],[Tanggal Pengajuan]])</f>
        <v>11</v>
      </c>
      <c r="O946" s="183"/>
      <c r="P946" s="105" t="s">
        <v>1711</v>
      </c>
      <c r="Q946" s="111"/>
      <c r="R946" s="229"/>
    </row>
    <row r="947" spans="2:18" ht="30" customHeight="1" x14ac:dyDescent="0.2">
      <c r="B947" s="102">
        <v>44867</v>
      </c>
      <c r="C947" s="67"/>
      <c r="D947" s="103" t="s">
        <v>861</v>
      </c>
      <c r="E947" s="103" t="s">
        <v>17</v>
      </c>
      <c r="F947" s="105" t="s">
        <v>18</v>
      </c>
      <c r="G947" s="23">
        <v>65</v>
      </c>
      <c r="H947" s="271">
        <v>6000000</v>
      </c>
      <c r="I947" s="258">
        <f>List34[[#This Row],[Pengajuan Donasi]]</f>
        <v>6000000</v>
      </c>
      <c r="J947" s="213" t="str">
        <f>IF(List34[[#This Row],[Tanggal Trf]]&gt;0,"Done","-")</f>
        <v>Done</v>
      </c>
      <c r="K947" s="440" t="s">
        <v>1686</v>
      </c>
      <c r="L947" s="223">
        <v>44887</v>
      </c>
      <c r="M947" s="100" t="s">
        <v>1213</v>
      </c>
      <c r="N947" s="100">
        <f>MONTH(List34[[#This Row],[Tanggal Pengajuan]])</f>
        <v>11</v>
      </c>
      <c r="O947" s="183"/>
      <c r="P947" s="105" t="s">
        <v>1711</v>
      </c>
      <c r="Q947" s="111"/>
      <c r="R947" s="229"/>
    </row>
    <row r="948" spans="2:18" ht="30" customHeight="1" x14ac:dyDescent="0.2">
      <c r="B948" s="102">
        <v>44867</v>
      </c>
      <c r="C948" s="67"/>
      <c r="D948" s="103" t="s">
        <v>862</v>
      </c>
      <c r="E948" s="103" t="s">
        <v>17</v>
      </c>
      <c r="F948" s="105" t="s">
        <v>18</v>
      </c>
      <c r="G948" s="23">
        <v>46</v>
      </c>
      <c r="H948" s="271">
        <v>6000000</v>
      </c>
      <c r="I948" s="258">
        <f>List34[[#This Row],[Pengajuan Donasi]]</f>
        <v>6000000</v>
      </c>
      <c r="J948" s="213" t="str">
        <f>IF(List34[[#This Row],[Tanggal Trf]]&gt;0,"Done","-")</f>
        <v>Done</v>
      </c>
      <c r="K948" s="440" t="s">
        <v>1686</v>
      </c>
      <c r="L948" s="223">
        <v>44887</v>
      </c>
      <c r="M948" s="100" t="s">
        <v>1213</v>
      </c>
      <c r="N948" s="100">
        <f>MONTH(List34[[#This Row],[Tanggal Pengajuan]])</f>
        <v>11</v>
      </c>
      <c r="O948" s="183"/>
      <c r="P948" s="105" t="s">
        <v>1711</v>
      </c>
      <c r="Q948" s="111"/>
      <c r="R948" s="229"/>
    </row>
    <row r="949" spans="2:18" ht="30" customHeight="1" x14ac:dyDescent="0.2">
      <c r="B949" s="102">
        <v>44867</v>
      </c>
      <c r="C949" s="67"/>
      <c r="D949" s="103" t="s">
        <v>863</v>
      </c>
      <c r="E949" s="103" t="s">
        <v>17</v>
      </c>
      <c r="F949" s="105" t="s">
        <v>18</v>
      </c>
      <c r="G949" s="23">
        <v>142</v>
      </c>
      <c r="H949" s="271">
        <v>6000000</v>
      </c>
      <c r="I949" s="258">
        <f>List34[[#This Row],[Pengajuan Donasi]]</f>
        <v>6000000</v>
      </c>
      <c r="J949" s="213" t="str">
        <f>IF(List34[[#This Row],[Tanggal Trf]]&gt;0,"Done","-")</f>
        <v>Done</v>
      </c>
      <c r="K949" s="440" t="s">
        <v>1686</v>
      </c>
      <c r="L949" s="223">
        <v>44887</v>
      </c>
      <c r="M949" s="100" t="s">
        <v>1213</v>
      </c>
      <c r="N949" s="100">
        <f>MONTH(List34[[#This Row],[Tanggal Pengajuan]])</f>
        <v>11</v>
      </c>
      <c r="O949" s="183"/>
      <c r="P949" s="105" t="s">
        <v>1711</v>
      </c>
      <c r="Q949" s="111"/>
      <c r="R949" s="229"/>
    </row>
    <row r="950" spans="2:18" ht="30" customHeight="1" x14ac:dyDescent="0.2">
      <c r="B950" s="102">
        <v>44867</v>
      </c>
      <c r="C950" s="67"/>
      <c r="D950" s="103" t="s">
        <v>864</v>
      </c>
      <c r="E950" s="103" t="s">
        <v>17</v>
      </c>
      <c r="F950" s="105" t="s">
        <v>18</v>
      </c>
      <c r="G950" s="23">
        <v>141</v>
      </c>
      <c r="H950" s="271">
        <v>6000000</v>
      </c>
      <c r="I950" s="258">
        <f>List34[[#This Row],[Pengajuan Donasi]]</f>
        <v>6000000</v>
      </c>
      <c r="J950" s="213" t="str">
        <f>IF(List34[[#This Row],[Tanggal Trf]]&gt;0,"Done","-")</f>
        <v>Done</v>
      </c>
      <c r="K950" s="440" t="s">
        <v>1686</v>
      </c>
      <c r="L950" s="223">
        <v>44887</v>
      </c>
      <c r="M950" s="100" t="s">
        <v>1213</v>
      </c>
      <c r="N950" s="100">
        <f>MONTH(List34[[#This Row],[Tanggal Pengajuan]])</f>
        <v>11</v>
      </c>
      <c r="O950" s="183"/>
      <c r="P950" s="105" t="s">
        <v>1711</v>
      </c>
      <c r="Q950" s="111"/>
      <c r="R950" s="229"/>
    </row>
    <row r="951" spans="2:18" ht="30" customHeight="1" x14ac:dyDescent="0.2">
      <c r="B951" s="102">
        <v>44867</v>
      </c>
      <c r="C951" s="67"/>
      <c r="D951" s="103" t="s">
        <v>865</v>
      </c>
      <c r="E951" s="103" t="s">
        <v>17</v>
      </c>
      <c r="F951" s="105" t="s">
        <v>18</v>
      </c>
      <c r="G951" s="23">
        <v>96</v>
      </c>
      <c r="H951" s="271">
        <v>6000000</v>
      </c>
      <c r="I951" s="258">
        <f>List34[[#This Row],[Pengajuan Donasi]]</f>
        <v>6000000</v>
      </c>
      <c r="J951" s="213" t="str">
        <f>IF(List34[[#This Row],[Tanggal Trf]]&gt;0,"Done","-")</f>
        <v>Done</v>
      </c>
      <c r="K951" s="440" t="s">
        <v>1686</v>
      </c>
      <c r="L951" s="223">
        <v>44887</v>
      </c>
      <c r="M951" s="100" t="s">
        <v>1213</v>
      </c>
      <c r="N951" s="100">
        <f>MONTH(List34[[#This Row],[Tanggal Pengajuan]])</f>
        <v>11</v>
      </c>
      <c r="O951" s="183"/>
      <c r="P951" s="105" t="s">
        <v>1711</v>
      </c>
      <c r="Q951" s="111"/>
      <c r="R951" s="229"/>
    </row>
    <row r="952" spans="2:18" ht="30" customHeight="1" x14ac:dyDescent="0.2">
      <c r="B952" s="102">
        <v>44867</v>
      </c>
      <c r="C952" s="67"/>
      <c r="D952" s="103" t="s">
        <v>1099</v>
      </c>
      <c r="E952" s="103" t="s">
        <v>17</v>
      </c>
      <c r="F952" s="105" t="s">
        <v>18</v>
      </c>
      <c r="G952" s="23">
        <v>60</v>
      </c>
      <c r="H952" s="271">
        <v>6000000</v>
      </c>
      <c r="I952" s="258">
        <f>List34[[#This Row],[Pengajuan Donasi]]</f>
        <v>6000000</v>
      </c>
      <c r="J952" s="213" t="str">
        <f>IF(List34[[#This Row],[Tanggal Trf]]&gt;0,"Done","-")</f>
        <v>Done</v>
      </c>
      <c r="K952" s="440" t="s">
        <v>1686</v>
      </c>
      <c r="L952" s="223">
        <v>44887</v>
      </c>
      <c r="M952" s="100" t="s">
        <v>1213</v>
      </c>
      <c r="N952" s="100">
        <f>MONTH(List34[[#This Row],[Tanggal Pengajuan]])</f>
        <v>11</v>
      </c>
      <c r="O952" s="183"/>
      <c r="P952" s="105" t="s">
        <v>1711</v>
      </c>
      <c r="Q952" s="111"/>
      <c r="R952" s="229"/>
    </row>
    <row r="953" spans="2:18" ht="30" customHeight="1" x14ac:dyDescent="0.2">
      <c r="B953" s="102">
        <v>44867</v>
      </c>
      <c r="C953" s="67"/>
      <c r="D953" s="103" t="s">
        <v>1115</v>
      </c>
      <c r="E953" s="103" t="s">
        <v>17</v>
      </c>
      <c r="F953" s="105" t="s">
        <v>18</v>
      </c>
      <c r="G953" s="23">
        <v>35</v>
      </c>
      <c r="H953" s="271">
        <v>6000000</v>
      </c>
      <c r="I953" s="258">
        <f>List34[[#This Row],[Pengajuan Donasi]]</f>
        <v>6000000</v>
      </c>
      <c r="J953" s="213" t="str">
        <f>IF(List34[[#This Row],[Tanggal Trf]]&gt;0,"Done","-")</f>
        <v>Done</v>
      </c>
      <c r="K953" s="440" t="s">
        <v>1686</v>
      </c>
      <c r="L953" s="223">
        <v>44887</v>
      </c>
      <c r="M953" s="100" t="s">
        <v>1213</v>
      </c>
      <c r="N953" s="100">
        <f>MONTH(List34[[#This Row],[Tanggal Pengajuan]])</f>
        <v>11</v>
      </c>
      <c r="O953" s="183"/>
      <c r="P953" s="105" t="s">
        <v>1711</v>
      </c>
      <c r="Q953" s="111"/>
      <c r="R953" s="229"/>
    </row>
    <row r="954" spans="2:18" ht="30" customHeight="1" x14ac:dyDescent="0.2">
      <c r="B954" s="102">
        <v>44867</v>
      </c>
      <c r="C954" s="67" t="s">
        <v>1661</v>
      </c>
      <c r="D954" s="103" t="s">
        <v>558</v>
      </c>
      <c r="E954" s="103" t="s">
        <v>57</v>
      </c>
      <c r="F954" s="105" t="s">
        <v>18</v>
      </c>
      <c r="G954" s="23">
        <v>55</v>
      </c>
      <c r="H954" s="271">
        <f>5481000*2</f>
        <v>10962000</v>
      </c>
      <c r="I954" s="258">
        <f>List34[[#This Row],[Pengajuan Donasi]]</f>
        <v>10962000</v>
      </c>
      <c r="J954" s="213" t="str">
        <f>IF(List34[[#This Row],[Tanggal Trf]]&gt;0,"Done","-")</f>
        <v>Done</v>
      </c>
      <c r="K954" s="440" t="s">
        <v>1687</v>
      </c>
      <c r="L954" s="223">
        <v>44876</v>
      </c>
      <c r="M954" s="105" t="s">
        <v>556</v>
      </c>
      <c r="N954" s="100">
        <f>MONTH(List34[[#This Row],[Tanggal Pengajuan]])</f>
        <v>11</v>
      </c>
      <c r="O954" s="183"/>
      <c r="P954" s="105" t="s">
        <v>1765</v>
      </c>
      <c r="Q954" s="111"/>
      <c r="R954" s="229"/>
    </row>
    <row r="955" spans="2:18" ht="30" customHeight="1" x14ac:dyDescent="0.2">
      <c r="B955" s="102">
        <v>44867</v>
      </c>
      <c r="C955" s="67" t="s">
        <v>1662</v>
      </c>
      <c r="D955" s="103" t="s">
        <v>558</v>
      </c>
      <c r="E955" s="103" t="s">
        <v>57</v>
      </c>
      <c r="F955" s="105" t="s">
        <v>28</v>
      </c>
      <c r="G955" s="23"/>
      <c r="H955" s="271">
        <v>21500000</v>
      </c>
      <c r="I955" s="258">
        <f>List34[[#This Row],[Pengajuan Donasi]]</f>
        <v>21500000</v>
      </c>
      <c r="J955" s="213" t="str">
        <f>IF(List34[[#This Row],[Tanggal Trf]]&gt;0,"Done","-")</f>
        <v>Done</v>
      </c>
      <c r="K955" s="440" t="s">
        <v>1688</v>
      </c>
      <c r="L955" s="223">
        <v>44876</v>
      </c>
      <c r="M955" s="105" t="s">
        <v>1178</v>
      </c>
      <c r="N955" s="100">
        <f>MONTH(List34[[#This Row],[Tanggal Pengajuan]])</f>
        <v>11</v>
      </c>
      <c r="O955" s="183"/>
      <c r="P955" s="105"/>
      <c r="Q955" s="111"/>
      <c r="R955" s="229"/>
    </row>
    <row r="956" spans="2:18" ht="30" customHeight="1" x14ac:dyDescent="0.2">
      <c r="B956" s="102">
        <v>44867</v>
      </c>
      <c r="C956" s="67" t="s">
        <v>1663</v>
      </c>
      <c r="D956" s="103" t="s">
        <v>866</v>
      </c>
      <c r="E956" s="103" t="s">
        <v>17</v>
      </c>
      <c r="F956" s="105" t="s">
        <v>18</v>
      </c>
      <c r="G956" s="23"/>
      <c r="H956" s="271">
        <v>6249920</v>
      </c>
      <c r="I956" s="258">
        <f>List34[[#This Row],[Pengajuan Donasi]]</f>
        <v>6249920</v>
      </c>
      <c r="J956" s="213" t="str">
        <f>IF(List34[[#This Row],[Tanggal Trf]]&gt;0,"Done","-")</f>
        <v>Done</v>
      </c>
      <c r="K956" s="440" t="s">
        <v>1689</v>
      </c>
      <c r="L956" s="223">
        <v>44876</v>
      </c>
      <c r="M956" s="103" t="s">
        <v>866</v>
      </c>
      <c r="N956" s="100">
        <f>MONTH(List34[[#This Row],[Tanggal Pengajuan]])</f>
        <v>11</v>
      </c>
      <c r="O956" s="183"/>
      <c r="P956" s="105"/>
      <c r="Q956" s="111"/>
      <c r="R956" s="229"/>
    </row>
    <row r="957" spans="2:18" ht="30" customHeight="1" x14ac:dyDescent="0.2">
      <c r="B957" s="102">
        <v>44873</v>
      </c>
      <c r="C957" s="67" t="s">
        <v>1664</v>
      </c>
      <c r="D957" s="14" t="s">
        <v>1556</v>
      </c>
      <c r="E957" s="103" t="s">
        <v>107</v>
      </c>
      <c r="F957" s="105" t="s">
        <v>28</v>
      </c>
      <c r="G957" s="23"/>
      <c r="H957" s="271">
        <v>15000000</v>
      </c>
      <c r="I957" s="258">
        <f>List34[[#This Row],[Pengajuan Donasi]]</f>
        <v>15000000</v>
      </c>
      <c r="J957" s="213" t="str">
        <f>IF(List34[[#This Row],[Tanggal Trf]]&gt;0,"Done","-")</f>
        <v>Done</v>
      </c>
      <c r="K957" s="440" t="s">
        <v>1700</v>
      </c>
      <c r="L957" s="223">
        <v>44876</v>
      </c>
      <c r="M957" s="105" t="s">
        <v>1703</v>
      </c>
      <c r="N957" s="100">
        <f>MONTH(List34[[#This Row],[Tanggal Pengajuan]])</f>
        <v>11</v>
      </c>
      <c r="O957" s="183"/>
      <c r="P957" s="105" t="s">
        <v>1764</v>
      </c>
      <c r="Q957" s="111"/>
      <c r="R957" s="229"/>
    </row>
    <row r="958" spans="2:18" ht="30" customHeight="1" x14ac:dyDescent="0.2">
      <c r="B958" s="102">
        <v>44874</v>
      </c>
      <c r="C958" s="67" t="s">
        <v>1665</v>
      </c>
      <c r="D958" s="103" t="s">
        <v>1726</v>
      </c>
      <c r="E958" s="103" t="s">
        <v>1054</v>
      </c>
      <c r="F958" s="105" t="s">
        <v>28</v>
      </c>
      <c r="G958" s="23"/>
      <c r="H958" s="271">
        <v>122983</v>
      </c>
      <c r="I958" s="258">
        <f>List34[[#This Row],[Pengajuan Donasi]]</f>
        <v>122983</v>
      </c>
      <c r="J958" s="213" t="str">
        <f>IF(List34[[#This Row],[Tanggal Trf]]&gt;0,"Done","-")</f>
        <v>Done</v>
      </c>
      <c r="K958" s="440" t="s">
        <v>1690</v>
      </c>
      <c r="L958" s="223">
        <v>44887</v>
      </c>
      <c r="M958" s="105" t="s">
        <v>1699</v>
      </c>
      <c r="N958" s="100">
        <f>MONTH(List34[[#This Row],[Tanggal Pengajuan]])</f>
        <v>11</v>
      </c>
      <c r="O958" s="183"/>
      <c r="P958" s="105"/>
      <c r="Q958" s="111"/>
      <c r="R958" s="229"/>
    </row>
    <row r="959" spans="2:18" ht="30" customHeight="1" x14ac:dyDescent="0.2">
      <c r="B959" s="102">
        <v>44874</v>
      </c>
      <c r="C959" s="67" t="s">
        <v>1666</v>
      </c>
      <c r="D959" s="103" t="s">
        <v>1726</v>
      </c>
      <c r="E959" s="103" t="s">
        <v>1054</v>
      </c>
      <c r="F959" s="105" t="s">
        <v>28</v>
      </c>
      <c r="G959" s="23"/>
      <c r="H959" s="271">
        <v>249123</v>
      </c>
      <c r="I959" s="258">
        <f>List34[[#This Row],[Pengajuan Donasi]]</f>
        <v>249123</v>
      </c>
      <c r="J959" s="213" t="str">
        <f>IF(List34[[#This Row],[Tanggal Trf]]&gt;0,"Done","-")</f>
        <v>Done</v>
      </c>
      <c r="K959" s="440" t="s">
        <v>1691</v>
      </c>
      <c r="L959" s="223">
        <v>44887</v>
      </c>
      <c r="M959" s="105" t="s">
        <v>1699</v>
      </c>
      <c r="N959" s="100">
        <f>MONTH(List34[[#This Row],[Tanggal Pengajuan]])</f>
        <v>11</v>
      </c>
      <c r="O959" s="183"/>
      <c r="P959" s="105"/>
      <c r="Q959" s="111"/>
      <c r="R959" s="229"/>
    </row>
    <row r="960" spans="2:18" ht="30" customHeight="1" x14ac:dyDescent="0.2">
      <c r="B960" s="102">
        <v>44874</v>
      </c>
      <c r="C960" s="67" t="s">
        <v>1667</v>
      </c>
      <c r="D960" s="103" t="s">
        <v>1726</v>
      </c>
      <c r="E960" s="103" t="s">
        <v>1054</v>
      </c>
      <c r="F960" s="105" t="s">
        <v>28</v>
      </c>
      <c r="G960" s="23"/>
      <c r="H960" s="271">
        <v>249123</v>
      </c>
      <c r="I960" s="258">
        <f>List34[[#This Row],[Pengajuan Donasi]]</f>
        <v>249123</v>
      </c>
      <c r="J960" s="213" t="str">
        <f>IF(List34[[#This Row],[Tanggal Trf]]&gt;0,"Done","-")</f>
        <v>Done</v>
      </c>
      <c r="K960" s="440" t="s">
        <v>1692</v>
      </c>
      <c r="L960" s="223">
        <v>44887</v>
      </c>
      <c r="M960" s="105" t="s">
        <v>1699</v>
      </c>
      <c r="N960" s="100">
        <f>MONTH(List34[[#This Row],[Tanggal Pengajuan]])</f>
        <v>11</v>
      </c>
      <c r="O960" s="183"/>
      <c r="P960" s="105"/>
      <c r="Q960" s="111"/>
      <c r="R960" s="229"/>
    </row>
    <row r="961" spans="2:18" ht="30" customHeight="1" x14ac:dyDescent="0.2">
      <c r="B961" s="102">
        <v>44874</v>
      </c>
      <c r="C961" s="67" t="s">
        <v>1668</v>
      </c>
      <c r="D961" s="103" t="s">
        <v>1726</v>
      </c>
      <c r="E961" s="103" t="s">
        <v>1054</v>
      </c>
      <c r="F961" s="105" t="s">
        <v>28</v>
      </c>
      <c r="G961" s="23"/>
      <c r="H961" s="271">
        <v>249123</v>
      </c>
      <c r="I961" s="258">
        <f>List34[[#This Row],[Pengajuan Donasi]]</f>
        <v>249123</v>
      </c>
      <c r="J961" s="213" t="str">
        <f>IF(List34[[#This Row],[Tanggal Trf]]&gt;0,"Done","-")</f>
        <v>Done</v>
      </c>
      <c r="K961" s="440" t="s">
        <v>1693</v>
      </c>
      <c r="L961" s="223">
        <v>44887</v>
      </c>
      <c r="M961" s="105" t="s">
        <v>1699</v>
      </c>
      <c r="N961" s="100">
        <f>MONTH(List34[[#This Row],[Tanggal Pengajuan]])</f>
        <v>11</v>
      </c>
      <c r="O961" s="183"/>
      <c r="P961" s="105"/>
      <c r="Q961" s="111"/>
      <c r="R961" s="229"/>
    </row>
    <row r="962" spans="2:18" ht="30" customHeight="1" x14ac:dyDescent="0.2">
      <c r="B962" s="102">
        <v>44874</v>
      </c>
      <c r="C962" s="67" t="s">
        <v>1669</v>
      </c>
      <c r="D962" s="103" t="s">
        <v>1726</v>
      </c>
      <c r="E962" s="103" t="s">
        <v>1054</v>
      </c>
      <c r="F962" s="105" t="s">
        <v>28</v>
      </c>
      <c r="G962" s="23"/>
      <c r="H962" s="271">
        <v>249123</v>
      </c>
      <c r="I962" s="258">
        <f>List34[[#This Row],[Pengajuan Donasi]]</f>
        <v>249123</v>
      </c>
      <c r="J962" s="213" t="str">
        <f>IF(List34[[#This Row],[Tanggal Trf]]&gt;0,"Done","-")</f>
        <v>Done</v>
      </c>
      <c r="K962" s="440" t="s">
        <v>1694</v>
      </c>
      <c r="L962" s="223">
        <v>44887</v>
      </c>
      <c r="M962" s="105" t="s">
        <v>1699</v>
      </c>
      <c r="N962" s="100">
        <f>MONTH(List34[[#This Row],[Tanggal Pengajuan]])</f>
        <v>11</v>
      </c>
      <c r="O962" s="183"/>
      <c r="P962" s="105"/>
      <c r="Q962" s="111"/>
      <c r="R962" s="229"/>
    </row>
    <row r="963" spans="2:18" ht="30" customHeight="1" x14ac:dyDescent="0.2">
      <c r="B963" s="102">
        <v>44874</v>
      </c>
      <c r="C963" s="67" t="s">
        <v>1670</v>
      </c>
      <c r="D963" s="103" t="s">
        <v>1726</v>
      </c>
      <c r="E963" s="103" t="s">
        <v>1054</v>
      </c>
      <c r="F963" s="105" t="s">
        <v>28</v>
      </c>
      <c r="G963" s="23"/>
      <c r="H963" s="271">
        <v>249123</v>
      </c>
      <c r="I963" s="258">
        <f>List34[[#This Row],[Pengajuan Donasi]]</f>
        <v>249123</v>
      </c>
      <c r="J963" s="213" t="str">
        <f>IF(List34[[#This Row],[Tanggal Trf]]&gt;0,"Done","-")</f>
        <v>Done</v>
      </c>
      <c r="K963" s="440" t="s">
        <v>1695</v>
      </c>
      <c r="L963" s="223">
        <v>44887</v>
      </c>
      <c r="M963" s="105" t="s">
        <v>1699</v>
      </c>
      <c r="N963" s="100">
        <f>MONTH(List34[[#This Row],[Tanggal Pengajuan]])</f>
        <v>11</v>
      </c>
      <c r="O963" s="183"/>
      <c r="P963" s="105"/>
      <c r="Q963" s="111"/>
      <c r="R963" s="229"/>
    </row>
    <row r="964" spans="2:18" ht="30" customHeight="1" x14ac:dyDescent="0.2">
      <c r="B964" s="102">
        <v>44874</v>
      </c>
      <c r="C964" s="67" t="s">
        <v>1671</v>
      </c>
      <c r="D964" s="103" t="s">
        <v>1726</v>
      </c>
      <c r="E964" s="103" t="s">
        <v>1054</v>
      </c>
      <c r="F964" s="105" t="s">
        <v>28</v>
      </c>
      <c r="G964" s="23"/>
      <c r="H964" s="271">
        <v>249123</v>
      </c>
      <c r="I964" s="258">
        <f>List34[[#This Row],[Pengajuan Donasi]]</f>
        <v>249123</v>
      </c>
      <c r="J964" s="213" t="str">
        <f>IF(List34[[#This Row],[Tanggal Trf]]&gt;0,"Done","-")</f>
        <v>Done</v>
      </c>
      <c r="K964" s="440" t="s">
        <v>1696</v>
      </c>
      <c r="L964" s="223">
        <v>44887</v>
      </c>
      <c r="M964" s="105" t="s">
        <v>1699</v>
      </c>
      <c r="N964" s="100">
        <f>MONTH(List34[[#This Row],[Tanggal Pengajuan]])</f>
        <v>11</v>
      </c>
      <c r="O964" s="183"/>
      <c r="P964" s="105"/>
      <c r="Q964" s="111"/>
      <c r="R964" s="229"/>
    </row>
    <row r="965" spans="2:18" ht="30" customHeight="1" x14ac:dyDescent="0.2">
      <c r="B965" s="102">
        <v>44874</v>
      </c>
      <c r="C965" s="67" t="s">
        <v>1672</v>
      </c>
      <c r="D965" s="103" t="s">
        <v>1726</v>
      </c>
      <c r="E965" s="103" t="s">
        <v>1054</v>
      </c>
      <c r="F965" s="105" t="s">
        <v>28</v>
      </c>
      <c r="G965" s="23"/>
      <c r="H965" s="271">
        <v>249123</v>
      </c>
      <c r="I965" s="258">
        <f>List34[[#This Row],[Pengajuan Donasi]]</f>
        <v>249123</v>
      </c>
      <c r="J965" s="213" t="str">
        <f>IF(List34[[#This Row],[Tanggal Trf]]&gt;0,"Done","-")</f>
        <v>Done</v>
      </c>
      <c r="K965" s="440" t="s">
        <v>1697</v>
      </c>
      <c r="L965" s="223">
        <v>44887</v>
      </c>
      <c r="M965" s="105" t="s">
        <v>1699</v>
      </c>
      <c r="N965" s="100">
        <f>MONTH(List34[[#This Row],[Tanggal Pengajuan]])</f>
        <v>11</v>
      </c>
      <c r="O965" s="183"/>
      <c r="P965" s="105"/>
      <c r="Q965" s="111"/>
      <c r="R965" s="229"/>
    </row>
    <row r="966" spans="2:18" ht="30" customHeight="1" x14ac:dyDescent="0.2">
      <c r="B966" s="102">
        <v>44874</v>
      </c>
      <c r="C966" s="67" t="s">
        <v>1673</v>
      </c>
      <c r="D966" s="103" t="s">
        <v>1726</v>
      </c>
      <c r="E966" s="103" t="s">
        <v>1054</v>
      </c>
      <c r="F966" s="105" t="s">
        <v>28</v>
      </c>
      <c r="G966" s="23"/>
      <c r="H966" s="271">
        <v>249123</v>
      </c>
      <c r="I966" s="258">
        <f>List34[[#This Row],[Pengajuan Donasi]]</f>
        <v>249123</v>
      </c>
      <c r="J966" s="213" t="str">
        <f>IF(List34[[#This Row],[Tanggal Trf]]&gt;0,"Done","-")</f>
        <v>Done</v>
      </c>
      <c r="K966" s="440" t="s">
        <v>1698</v>
      </c>
      <c r="L966" s="223">
        <v>44887</v>
      </c>
      <c r="M966" s="105" t="s">
        <v>1699</v>
      </c>
      <c r="N966" s="100">
        <f>MONTH(List34[[#This Row],[Tanggal Pengajuan]])</f>
        <v>11</v>
      </c>
      <c r="O966" s="183"/>
      <c r="P966" s="105"/>
      <c r="Q966" s="111"/>
      <c r="R966" s="229"/>
    </row>
    <row r="967" spans="2:18" ht="30" customHeight="1" x14ac:dyDescent="0.2">
      <c r="B967" s="102">
        <v>44875</v>
      </c>
      <c r="C967" s="67" t="s">
        <v>1702</v>
      </c>
      <c r="D967" s="103" t="s">
        <v>1701</v>
      </c>
      <c r="E967" s="103" t="s">
        <v>1054</v>
      </c>
      <c r="F967" s="105" t="s">
        <v>28</v>
      </c>
      <c r="G967" s="23"/>
      <c r="H967" s="271">
        <v>33000000</v>
      </c>
      <c r="I967" s="258">
        <f>List34[[#This Row],[Pengajuan Donasi]]</f>
        <v>33000000</v>
      </c>
      <c r="J967" s="213" t="str">
        <f>IF(List34[[#This Row],[Tanggal Trf]]&gt;0,"Done","-")</f>
        <v>Done</v>
      </c>
      <c r="K967" s="103" t="s">
        <v>1701</v>
      </c>
      <c r="L967" s="223">
        <v>44887</v>
      </c>
      <c r="M967" s="105" t="s">
        <v>1704</v>
      </c>
      <c r="N967" s="100">
        <f>MONTH(List34[[#This Row],[Tanggal Pengajuan]])</f>
        <v>11</v>
      </c>
      <c r="O967" s="183"/>
      <c r="P967" s="105"/>
      <c r="Q967" s="111"/>
      <c r="R967" s="229"/>
    </row>
    <row r="968" spans="2:18" ht="30" customHeight="1" x14ac:dyDescent="0.2">
      <c r="B968" s="102">
        <v>44881</v>
      </c>
      <c r="C968" s="67" t="s">
        <v>1708</v>
      </c>
      <c r="D968" s="103" t="s">
        <v>1705</v>
      </c>
      <c r="E968" s="103" t="s">
        <v>107</v>
      </c>
      <c r="F968" s="105" t="s">
        <v>28</v>
      </c>
      <c r="G968" s="23"/>
      <c r="H968" s="271">
        <v>7315000</v>
      </c>
      <c r="I968" s="258">
        <f>List34[[#This Row],[Pengajuan Donasi]]</f>
        <v>7315000</v>
      </c>
      <c r="J968" s="213" t="str">
        <f>IF(List34[[#This Row],[Tanggal Trf]]&gt;0,"Done","-")</f>
        <v>Done</v>
      </c>
      <c r="K968" s="440" t="s">
        <v>1705</v>
      </c>
      <c r="L968" s="223">
        <v>44887</v>
      </c>
      <c r="M968" s="105" t="s">
        <v>1711</v>
      </c>
      <c r="N968" s="100">
        <f>MONTH(List34[[#This Row],[Tanggal Pengajuan]])</f>
        <v>11</v>
      </c>
      <c r="O968" s="183"/>
      <c r="P968" s="105"/>
      <c r="Q968" s="111"/>
      <c r="R968" s="229"/>
    </row>
    <row r="969" spans="2:18" ht="30" customHeight="1" x14ac:dyDescent="0.2">
      <c r="B969" s="102">
        <v>44881</v>
      </c>
      <c r="C969" s="67" t="s">
        <v>1709</v>
      </c>
      <c r="D969" s="103" t="s">
        <v>1727</v>
      </c>
      <c r="E969" s="103" t="s">
        <v>26</v>
      </c>
      <c r="F969" s="105" t="s">
        <v>18</v>
      </c>
      <c r="G969" s="23"/>
      <c r="H969" s="271">
        <v>500000</v>
      </c>
      <c r="I969" s="258">
        <f>List34[[#This Row],[Pengajuan Donasi]]</f>
        <v>500000</v>
      </c>
      <c r="J969" s="213" t="str">
        <f>IF(List34[[#This Row],[Tanggal Trf]]&gt;0,"Done","-")</f>
        <v>Done</v>
      </c>
      <c r="K969" s="440" t="s">
        <v>1706</v>
      </c>
      <c r="L969" s="223">
        <v>44888</v>
      </c>
      <c r="M969" s="103" t="s">
        <v>1722</v>
      </c>
      <c r="N969" s="100">
        <f>MONTH(List34[[#This Row],[Tanggal Pengajuan]])</f>
        <v>11</v>
      </c>
      <c r="O969" s="183"/>
      <c r="P969" s="105" t="s">
        <v>1711</v>
      </c>
      <c r="Q969" s="111"/>
      <c r="R969" s="229"/>
    </row>
    <row r="970" spans="2:18" ht="30" customHeight="1" x14ac:dyDescent="0.2">
      <c r="B970" s="102">
        <v>44881</v>
      </c>
      <c r="C970" s="67"/>
      <c r="D970" s="103" t="s">
        <v>1728</v>
      </c>
      <c r="E970" s="103" t="s">
        <v>26</v>
      </c>
      <c r="F970" s="105" t="s">
        <v>18</v>
      </c>
      <c r="G970" s="23">
        <f>IFERROR(VLOOKUP(List34[[#This Row],[Site / Lokasi]],[7]Data!B:C,2,0),0)</f>
        <v>0</v>
      </c>
      <c r="H970" s="271">
        <v>500000</v>
      </c>
      <c r="I970" s="258">
        <f>List34[[#This Row],[Pengajuan Donasi]]</f>
        <v>500000</v>
      </c>
      <c r="J970" s="213" t="str">
        <f>IF(List34[[#This Row],[Tanggal Trf]]&gt;0,"Done","-")</f>
        <v>Done</v>
      </c>
      <c r="K970" s="440" t="s">
        <v>1706</v>
      </c>
      <c r="L970" s="223">
        <v>44888</v>
      </c>
      <c r="M970" s="103" t="s">
        <v>1723</v>
      </c>
      <c r="N970" s="100">
        <f>MONTH(List34[[#This Row],[Tanggal Pengajuan]])</f>
        <v>11</v>
      </c>
      <c r="O970" s="183"/>
      <c r="P970" s="105" t="s">
        <v>1711</v>
      </c>
      <c r="Q970" s="111"/>
      <c r="R970" s="229"/>
    </row>
    <row r="971" spans="2:18" ht="30" customHeight="1" x14ac:dyDescent="0.2">
      <c r="B971" s="102">
        <v>44881</v>
      </c>
      <c r="C971" s="67"/>
      <c r="D971" s="103" t="s">
        <v>1729</v>
      </c>
      <c r="E971" s="103" t="s">
        <v>26</v>
      </c>
      <c r="F971" s="105" t="s">
        <v>18</v>
      </c>
      <c r="G971" s="23">
        <f>IFERROR(VLOOKUP(List34[[#This Row],[Site / Lokasi]],[7]Data!B:C,2,0),0)</f>
        <v>0</v>
      </c>
      <c r="H971" s="271">
        <v>500000</v>
      </c>
      <c r="I971" s="258">
        <f>List34[[#This Row],[Pengajuan Donasi]]</f>
        <v>500000</v>
      </c>
      <c r="J971" s="213" t="str">
        <f>IF(List34[[#This Row],[Tanggal Trf]]&gt;0,"Done","-")</f>
        <v>Done</v>
      </c>
      <c r="K971" s="440" t="s">
        <v>1706</v>
      </c>
      <c r="L971" s="223">
        <v>44888</v>
      </c>
      <c r="M971" s="103" t="s">
        <v>1724</v>
      </c>
      <c r="N971" s="100">
        <f>MONTH(List34[[#This Row],[Tanggal Pengajuan]])</f>
        <v>11</v>
      </c>
      <c r="O971" s="183"/>
      <c r="P971" s="105" t="s">
        <v>1711</v>
      </c>
      <c r="Q971" s="111"/>
      <c r="R971" s="229"/>
    </row>
    <row r="972" spans="2:18" ht="30" customHeight="1" x14ac:dyDescent="0.2">
      <c r="B972" s="102">
        <v>44881</v>
      </c>
      <c r="C972" s="67"/>
      <c r="D972" s="103" t="s">
        <v>1730</v>
      </c>
      <c r="E972" s="103" t="s">
        <v>26</v>
      </c>
      <c r="F972" s="105" t="s">
        <v>18</v>
      </c>
      <c r="G972" s="23">
        <f>IFERROR(VLOOKUP(List34[[#This Row],[Site / Lokasi]],[7]Data!B:C,2,0),0)</f>
        <v>0</v>
      </c>
      <c r="H972" s="271">
        <v>500000</v>
      </c>
      <c r="I972" s="258">
        <f>List34[[#This Row],[Pengajuan Donasi]]</f>
        <v>500000</v>
      </c>
      <c r="J972" s="213" t="str">
        <f>IF(List34[[#This Row],[Tanggal Trf]]&gt;0,"Done","-")</f>
        <v>Done</v>
      </c>
      <c r="K972" s="440" t="s">
        <v>1706</v>
      </c>
      <c r="L972" s="223">
        <v>44888</v>
      </c>
      <c r="M972" s="103" t="s">
        <v>1725</v>
      </c>
      <c r="N972" s="100">
        <f>MONTH(List34[[#This Row],[Tanggal Pengajuan]])</f>
        <v>11</v>
      </c>
      <c r="O972" s="183"/>
      <c r="P972" s="105" t="s">
        <v>1711</v>
      </c>
      <c r="Q972" s="111"/>
      <c r="R972" s="229"/>
    </row>
    <row r="973" spans="2:18" ht="30" customHeight="1" x14ac:dyDescent="0.2">
      <c r="B973" s="102">
        <v>44882</v>
      </c>
      <c r="C973" s="67" t="s">
        <v>1710</v>
      </c>
      <c r="D973" s="103" t="s">
        <v>1707</v>
      </c>
      <c r="E973" s="103" t="s">
        <v>1054</v>
      </c>
      <c r="F973" s="105" t="s">
        <v>28</v>
      </c>
      <c r="G973" s="23"/>
      <c r="H973" s="271">
        <v>50400000</v>
      </c>
      <c r="I973" s="258">
        <f>List34[[#This Row],[Pengajuan Donasi]]</f>
        <v>50400000</v>
      </c>
      <c r="J973" s="213" t="str">
        <f>IF(List34[[#This Row],[Tanggal Trf]]&gt;0,"Done","-")</f>
        <v>Done</v>
      </c>
      <c r="K973" s="440" t="s">
        <v>1707</v>
      </c>
      <c r="L973" s="223">
        <v>44887</v>
      </c>
      <c r="M973" s="105" t="s">
        <v>1720</v>
      </c>
      <c r="N973" s="100">
        <f>MONTH(List34[[#This Row],[Tanggal Pengajuan]])</f>
        <v>11</v>
      </c>
      <c r="O973" s="183"/>
      <c r="P973" s="105"/>
      <c r="Q973" s="111"/>
      <c r="R973" s="229"/>
    </row>
    <row r="974" spans="2:18" ht="30" customHeight="1" x14ac:dyDescent="0.2">
      <c r="B974" s="102">
        <v>44888</v>
      </c>
      <c r="C974" s="67" t="s">
        <v>1716</v>
      </c>
      <c r="D974" s="103" t="s">
        <v>496</v>
      </c>
      <c r="E974" s="103" t="s">
        <v>26</v>
      </c>
      <c r="F974" s="105" t="s">
        <v>28</v>
      </c>
      <c r="G974" s="23"/>
      <c r="H974" s="271">
        <v>50000000</v>
      </c>
      <c r="I974" s="258">
        <f>List34[[#This Row],[Pengajuan Donasi]]</f>
        <v>50000000</v>
      </c>
      <c r="J974" s="213" t="str">
        <f>IF(List34[[#This Row],[Tanggal Trf]]&gt;0,"Done","-")</f>
        <v>Done</v>
      </c>
      <c r="K974" s="440" t="s">
        <v>1712</v>
      </c>
      <c r="L974" s="223">
        <v>44893</v>
      </c>
      <c r="M974" s="105" t="s">
        <v>496</v>
      </c>
      <c r="N974" s="100">
        <f>MONTH(List34[[#This Row],[Tanggal Pengajuan]])</f>
        <v>11</v>
      </c>
      <c r="O974" s="183"/>
      <c r="P974" s="105"/>
      <c r="Q974" s="111"/>
      <c r="R974" s="229"/>
    </row>
    <row r="975" spans="2:18" ht="30" customHeight="1" x14ac:dyDescent="0.2">
      <c r="B975" s="102">
        <v>44889</v>
      </c>
      <c r="C975" s="67" t="s">
        <v>1717</v>
      </c>
      <c r="D975" s="103" t="s">
        <v>129</v>
      </c>
      <c r="E975" s="103" t="s">
        <v>179</v>
      </c>
      <c r="F975" s="105" t="s">
        <v>18</v>
      </c>
      <c r="G975" s="23"/>
      <c r="H975" s="258">
        <v>20400000</v>
      </c>
      <c r="I975" s="258">
        <f>List34[[#This Row],[Pengajuan Donasi]]</f>
        <v>20400000</v>
      </c>
      <c r="J975" s="213" t="str">
        <f>IF(List34[[#This Row],[Tanggal Trf]]&gt;0,"Done","-")</f>
        <v>Done</v>
      </c>
      <c r="K975" s="440" t="s">
        <v>1713</v>
      </c>
      <c r="L975" s="223">
        <v>44900</v>
      </c>
      <c r="M975" s="100" t="s">
        <v>503</v>
      </c>
      <c r="N975" s="100">
        <f>MONTH(List34[[#This Row],[Tanggal Pengajuan]])</f>
        <v>11</v>
      </c>
      <c r="O975" s="183"/>
      <c r="P975" s="105" t="s">
        <v>1711</v>
      </c>
      <c r="Q975" s="111"/>
      <c r="R975" s="229"/>
    </row>
    <row r="976" spans="2:18" ht="30" customHeight="1" x14ac:dyDescent="0.2">
      <c r="B976" s="102">
        <v>44890</v>
      </c>
      <c r="C976" s="67" t="s">
        <v>1718</v>
      </c>
      <c r="D976" s="103" t="s">
        <v>1721</v>
      </c>
      <c r="E976" s="103" t="s">
        <v>1054</v>
      </c>
      <c r="F976" s="105" t="s">
        <v>18</v>
      </c>
      <c r="G976" s="23"/>
      <c r="H976" s="271">
        <v>0</v>
      </c>
      <c r="I976" s="258">
        <f>List34[[#This Row],[Pengajuan Donasi]]</f>
        <v>0</v>
      </c>
      <c r="J976" s="213" t="str">
        <f>IF(List34[[#This Row],[Tanggal Trf]]&gt;0,"Done","-")</f>
        <v>Done</v>
      </c>
      <c r="K976" s="440" t="s">
        <v>1714</v>
      </c>
      <c r="L976" s="223">
        <v>44893</v>
      </c>
      <c r="M976" s="105" t="s">
        <v>683</v>
      </c>
      <c r="N976" s="100">
        <f>MONTH(List34[[#This Row],[Tanggal Pengajuan]])</f>
        <v>11</v>
      </c>
      <c r="O976" s="183"/>
      <c r="P976" s="105" t="s">
        <v>1711</v>
      </c>
      <c r="Q976" s="111"/>
      <c r="R976" s="229"/>
    </row>
    <row r="977" spans="2:18" ht="30" customHeight="1" x14ac:dyDescent="0.2">
      <c r="B977" s="102">
        <v>44890</v>
      </c>
      <c r="C977" s="67" t="s">
        <v>1719</v>
      </c>
      <c r="D977" s="103" t="s">
        <v>1721</v>
      </c>
      <c r="E977" s="103" t="s">
        <v>1054</v>
      </c>
      <c r="F977" s="105" t="s">
        <v>18</v>
      </c>
      <c r="G977" s="23"/>
      <c r="H977" s="271">
        <v>0</v>
      </c>
      <c r="I977" s="258">
        <f>List34[[#This Row],[Pengajuan Donasi]]</f>
        <v>0</v>
      </c>
      <c r="J977" s="213" t="str">
        <f>IF(List34[[#This Row],[Tanggal Trf]]&gt;0,"Done","-")</f>
        <v>Done</v>
      </c>
      <c r="K977" s="440" t="s">
        <v>1715</v>
      </c>
      <c r="L977" s="223">
        <v>44893</v>
      </c>
      <c r="M977" s="105" t="s">
        <v>778</v>
      </c>
      <c r="N977" s="100">
        <f>MONTH(List34[[#This Row],[Tanggal Pengajuan]])</f>
        <v>11</v>
      </c>
      <c r="O977" s="183"/>
      <c r="P977" s="105" t="s">
        <v>1711</v>
      </c>
      <c r="Q977" s="111"/>
      <c r="R977" s="229"/>
    </row>
    <row r="978" spans="2:18" ht="30" customHeight="1" x14ac:dyDescent="0.2">
      <c r="B978" s="102">
        <v>44896</v>
      </c>
      <c r="C978" s="67" t="s">
        <v>1737</v>
      </c>
      <c r="D978" s="103" t="s">
        <v>1731</v>
      </c>
      <c r="E978" s="103" t="s">
        <v>1054</v>
      </c>
      <c r="F978" s="105" t="s">
        <v>28</v>
      </c>
      <c r="G978" s="23"/>
      <c r="H978" s="271">
        <v>168000</v>
      </c>
      <c r="I978" s="258">
        <f>List34[[#This Row],[Pengajuan Donasi]]</f>
        <v>168000</v>
      </c>
      <c r="J978" s="213" t="str">
        <f>IF(List34[[#This Row],[Tanggal Trf]]&gt;0,"Done","-")</f>
        <v>Done</v>
      </c>
      <c r="K978" s="440" t="s">
        <v>1731</v>
      </c>
      <c r="L978" s="223">
        <v>44903</v>
      </c>
      <c r="M978" s="105"/>
      <c r="N978" s="100">
        <f>MONTH(List34[[#This Row],[Tanggal Pengajuan]])</f>
        <v>12</v>
      </c>
      <c r="O978" s="183"/>
      <c r="P978" s="105"/>
      <c r="Q978" s="111"/>
      <c r="R978" s="229"/>
    </row>
    <row r="979" spans="2:18" ht="30" customHeight="1" x14ac:dyDescent="0.2">
      <c r="B979" s="102">
        <v>44896</v>
      </c>
      <c r="C979" s="67" t="s">
        <v>1738</v>
      </c>
      <c r="D979" s="103" t="s">
        <v>48</v>
      </c>
      <c r="E979" s="103" t="s">
        <v>179</v>
      </c>
      <c r="F979" s="105" t="s">
        <v>18</v>
      </c>
      <c r="G979" s="15"/>
      <c r="H979" s="271">
        <v>3820000</v>
      </c>
      <c r="I979" s="258">
        <f>List34[[#This Row],[Pengajuan Donasi]]</f>
        <v>3820000</v>
      </c>
      <c r="J979" s="213" t="str">
        <f>IF(List34[[#This Row],[Tanggal Trf]]&gt;0,"Done","-")</f>
        <v>Done</v>
      </c>
      <c r="K979" s="440" t="s">
        <v>1732</v>
      </c>
      <c r="L979" s="223">
        <v>44900</v>
      </c>
      <c r="M979" s="100" t="s">
        <v>445</v>
      </c>
      <c r="N979" s="100">
        <f>MONTH(List34[[#This Row],[Tanggal Pengajuan]])</f>
        <v>12</v>
      </c>
      <c r="O979" s="183"/>
      <c r="P979" s="105" t="s">
        <v>1763</v>
      </c>
      <c r="Q979" s="111"/>
      <c r="R979" s="229"/>
    </row>
    <row r="980" spans="2:18" ht="30" customHeight="1" x14ac:dyDescent="0.2">
      <c r="B980" s="102">
        <v>44896</v>
      </c>
      <c r="C980" s="67" t="s">
        <v>1739</v>
      </c>
      <c r="D980" s="14" t="s">
        <v>859</v>
      </c>
      <c r="E980" s="14" t="s">
        <v>17</v>
      </c>
      <c r="F980" s="105" t="s">
        <v>18</v>
      </c>
      <c r="G980" s="15">
        <v>23</v>
      </c>
      <c r="H980" s="271">
        <v>6000000</v>
      </c>
      <c r="I980" s="258">
        <f>List34[[#This Row],[Pengajuan Donasi]]</f>
        <v>6000000</v>
      </c>
      <c r="J980" s="213" t="str">
        <f>IF(List34[[#This Row],[Tanggal Trf]]&gt;0,"Done","-")</f>
        <v>Done</v>
      </c>
      <c r="K980" s="440" t="s">
        <v>1677</v>
      </c>
      <c r="L980" s="223">
        <v>44901</v>
      </c>
      <c r="M980" s="100" t="s">
        <v>650</v>
      </c>
      <c r="N980" s="100">
        <f>MONTH(List34[[#This Row],[Tanggal Pengajuan]])</f>
        <v>12</v>
      </c>
      <c r="O980" s="183"/>
      <c r="P980" s="105" t="s">
        <v>1763</v>
      </c>
      <c r="Q980" s="111"/>
      <c r="R980" s="229"/>
    </row>
    <row r="981" spans="2:18" ht="30" customHeight="1" x14ac:dyDescent="0.2">
      <c r="B981" s="102">
        <v>44896</v>
      </c>
      <c r="C981" s="67" t="s">
        <v>1740</v>
      </c>
      <c r="D981" s="103" t="s">
        <v>950</v>
      </c>
      <c r="E981" s="103" t="s">
        <v>26</v>
      </c>
      <c r="F981" s="105" t="s">
        <v>18</v>
      </c>
      <c r="G981" s="23">
        <v>1</v>
      </c>
      <c r="H981" s="271">
        <v>5000000</v>
      </c>
      <c r="I981" s="258">
        <v>5000000</v>
      </c>
      <c r="J981" s="213" t="str">
        <f>IF(List34[[#This Row],[Tanggal Trf]]&gt;0,"Done","-")</f>
        <v>Done</v>
      </c>
      <c r="K981" s="440" t="s">
        <v>1678</v>
      </c>
      <c r="L981" s="223">
        <v>44903</v>
      </c>
      <c r="M981" s="105" t="s">
        <v>448</v>
      </c>
      <c r="N981" s="100">
        <f>MONTH(List34[[#This Row],[Tanggal Pengajuan]])</f>
        <v>12</v>
      </c>
      <c r="O981" s="183"/>
      <c r="P981" s="105" t="s">
        <v>1763</v>
      </c>
      <c r="Q981" s="111"/>
      <c r="R981" s="229"/>
    </row>
    <row r="982" spans="2:18" ht="30" customHeight="1" x14ac:dyDescent="0.2">
      <c r="B982" s="102">
        <v>44896</v>
      </c>
      <c r="C982" s="966"/>
      <c r="D982" s="103" t="s">
        <v>875</v>
      </c>
      <c r="E982" s="103" t="s">
        <v>26</v>
      </c>
      <c r="F982" s="105" t="s">
        <v>18</v>
      </c>
      <c r="G982" s="23">
        <v>1</v>
      </c>
      <c r="H982" s="271">
        <v>1000000</v>
      </c>
      <c r="I982" s="258">
        <v>1000000</v>
      </c>
      <c r="J982" s="213" t="str">
        <f>IF(List34[[#This Row],[Tanggal Trf]]&gt;0,"Done","-")</f>
        <v>Done</v>
      </c>
      <c r="K982" s="440" t="s">
        <v>1678</v>
      </c>
      <c r="L982" s="223">
        <v>44903</v>
      </c>
      <c r="M982" s="105" t="s">
        <v>453</v>
      </c>
      <c r="N982" s="100">
        <f>MONTH(List34[[#This Row],[Tanggal Pengajuan]])</f>
        <v>12</v>
      </c>
      <c r="O982" s="183"/>
      <c r="P982" s="105" t="s">
        <v>1763</v>
      </c>
      <c r="Q982" s="111"/>
      <c r="R982" s="229"/>
    </row>
    <row r="983" spans="2:18" ht="30" customHeight="1" x14ac:dyDescent="0.2">
      <c r="B983" s="102">
        <v>44896</v>
      </c>
      <c r="C983" s="966"/>
      <c r="D983" s="103" t="s">
        <v>877</v>
      </c>
      <c r="E983" s="103" t="s">
        <v>26</v>
      </c>
      <c r="F983" s="105" t="s">
        <v>18</v>
      </c>
      <c r="G983" s="23">
        <v>1</v>
      </c>
      <c r="H983" s="271">
        <v>1000000</v>
      </c>
      <c r="I983" s="258">
        <v>1000000</v>
      </c>
      <c r="J983" s="213" t="str">
        <f>IF(List34[[#This Row],[Tanggal Trf]]&gt;0,"Done","-")</f>
        <v>Done</v>
      </c>
      <c r="K983" s="440" t="s">
        <v>1678</v>
      </c>
      <c r="L983" s="223">
        <v>44903</v>
      </c>
      <c r="M983" s="105" t="s">
        <v>458</v>
      </c>
      <c r="N983" s="100">
        <f>MONTH(List34[[#This Row],[Tanggal Pengajuan]])</f>
        <v>12</v>
      </c>
      <c r="O983" s="183"/>
      <c r="P983" s="105" t="s">
        <v>1763</v>
      </c>
      <c r="Q983" s="111"/>
      <c r="R983" s="229"/>
    </row>
    <row r="984" spans="2:18" ht="30" customHeight="1" x14ac:dyDescent="0.2">
      <c r="B984" s="102">
        <v>44896</v>
      </c>
      <c r="C984" s="966"/>
      <c r="D984" s="103" t="s">
        <v>878</v>
      </c>
      <c r="E984" s="103" t="s">
        <v>26</v>
      </c>
      <c r="F984" s="105" t="s">
        <v>18</v>
      </c>
      <c r="G984" s="23">
        <v>1</v>
      </c>
      <c r="H984" s="271">
        <v>1000000</v>
      </c>
      <c r="I984" s="258">
        <v>1000000</v>
      </c>
      <c r="J984" s="213" t="str">
        <f>IF(List34[[#This Row],[Tanggal Trf]]&gt;0,"Done","-")</f>
        <v>Done</v>
      </c>
      <c r="K984" s="440" t="s">
        <v>1678</v>
      </c>
      <c r="L984" s="223">
        <v>44903</v>
      </c>
      <c r="M984" s="105" t="s">
        <v>460</v>
      </c>
      <c r="N984" s="100">
        <f>MONTH(List34[[#This Row],[Tanggal Pengajuan]])</f>
        <v>12</v>
      </c>
      <c r="O984" s="183"/>
      <c r="P984" s="105" t="s">
        <v>1763</v>
      </c>
      <c r="Q984" s="111"/>
      <c r="R984" s="229"/>
    </row>
    <row r="985" spans="2:18" ht="30" customHeight="1" x14ac:dyDescent="0.2">
      <c r="B985" s="102">
        <v>44896</v>
      </c>
      <c r="C985" s="966"/>
      <c r="D985" s="103" t="s">
        <v>879</v>
      </c>
      <c r="E985" s="103" t="s">
        <v>26</v>
      </c>
      <c r="F985" s="105" t="s">
        <v>18</v>
      </c>
      <c r="G985" s="23">
        <v>1</v>
      </c>
      <c r="H985" s="271">
        <v>1000000</v>
      </c>
      <c r="I985" s="258">
        <v>1000000</v>
      </c>
      <c r="J985" s="213" t="str">
        <f>IF(List34[[#This Row],[Tanggal Trf]]&gt;0,"Done","-")</f>
        <v>Done</v>
      </c>
      <c r="K985" s="440" t="s">
        <v>1678</v>
      </c>
      <c r="L985" s="223">
        <v>44903</v>
      </c>
      <c r="M985" s="105" t="s">
        <v>462</v>
      </c>
      <c r="N985" s="100">
        <f>MONTH(List34[[#This Row],[Tanggal Pengajuan]])</f>
        <v>12</v>
      </c>
      <c r="O985" s="183"/>
      <c r="P985" s="105" t="s">
        <v>1763</v>
      </c>
      <c r="Q985" s="111"/>
      <c r="R985" s="229"/>
    </row>
    <row r="986" spans="2:18" ht="30" customHeight="1" x14ac:dyDescent="0.2">
      <c r="B986" s="102">
        <v>44896</v>
      </c>
      <c r="C986" s="966"/>
      <c r="D986" s="103" t="s">
        <v>951</v>
      </c>
      <c r="E986" s="103" t="s">
        <v>26</v>
      </c>
      <c r="F986" s="105" t="s">
        <v>18</v>
      </c>
      <c r="G986" s="23">
        <v>1</v>
      </c>
      <c r="H986" s="271">
        <v>1000000</v>
      </c>
      <c r="I986" s="258">
        <v>1000000</v>
      </c>
      <c r="J986" s="213" t="str">
        <f>IF(List34[[#This Row],[Tanggal Trf]]&gt;0,"Done","-")</f>
        <v>Done</v>
      </c>
      <c r="K986" s="440" t="s">
        <v>1678</v>
      </c>
      <c r="L986" s="223">
        <v>44903</v>
      </c>
      <c r="M986" s="105" t="s">
        <v>466</v>
      </c>
      <c r="N986" s="100">
        <f>MONTH(List34[[#This Row],[Tanggal Pengajuan]])</f>
        <v>12</v>
      </c>
      <c r="O986" s="183"/>
      <c r="P986" s="105" t="s">
        <v>1763</v>
      </c>
      <c r="Q986" s="111"/>
      <c r="R986" s="229"/>
    </row>
    <row r="987" spans="2:18" ht="30" customHeight="1" x14ac:dyDescent="0.2">
      <c r="B987" s="102">
        <v>44896</v>
      </c>
      <c r="C987" s="966"/>
      <c r="D987" s="103" t="s">
        <v>880</v>
      </c>
      <c r="E987" s="103" t="s">
        <v>26</v>
      </c>
      <c r="F987" s="105" t="s">
        <v>18</v>
      </c>
      <c r="G987" s="23">
        <v>1</v>
      </c>
      <c r="H987" s="271">
        <v>1000000</v>
      </c>
      <c r="I987" s="258">
        <v>1000000</v>
      </c>
      <c r="J987" s="213" t="str">
        <f>IF(List34[[#This Row],[Tanggal Trf]]&gt;0,"Done","-")</f>
        <v>Done</v>
      </c>
      <c r="K987" s="440" t="s">
        <v>1678</v>
      </c>
      <c r="L987" s="223">
        <v>44903</v>
      </c>
      <c r="M987" s="105" t="s">
        <v>470</v>
      </c>
      <c r="N987" s="100">
        <f>MONTH(List34[[#This Row],[Tanggal Pengajuan]])</f>
        <v>12</v>
      </c>
      <c r="O987" s="183"/>
      <c r="P987" s="105" t="s">
        <v>1763</v>
      </c>
      <c r="Q987" s="111"/>
      <c r="R987" s="229"/>
    </row>
    <row r="988" spans="2:18" ht="30" customHeight="1" x14ac:dyDescent="0.2">
      <c r="B988" s="102">
        <v>44896</v>
      </c>
      <c r="C988" s="966"/>
      <c r="D988" s="103" t="s">
        <v>952</v>
      </c>
      <c r="E988" s="103" t="s">
        <v>26</v>
      </c>
      <c r="F988" s="105" t="s">
        <v>18</v>
      </c>
      <c r="G988" s="23">
        <v>1</v>
      </c>
      <c r="H988" s="271">
        <v>1000000</v>
      </c>
      <c r="I988" s="258">
        <v>1000000</v>
      </c>
      <c r="J988" s="213" t="str">
        <f>IF(List34[[#This Row],[Tanggal Trf]]&gt;0,"Done","-")</f>
        <v>Done</v>
      </c>
      <c r="K988" s="440" t="s">
        <v>1678</v>
      </c>
      <c r="L988" s="223">
        <v>44903</v>
      </c>
      <c r="M988" s="105" t="s">
        <v>519</v>
      </c>
      <c r="N988" s="100">
        <f>MONTH(List34[[#This Row],[Tanggal Pengajuan]])</f>
        <v>12</v>
      </c>
      <c r="O988" s="183"/>
      <c r="P988" s="105" t="s">
        <v>1763</v>
      </c>
      <c r="Q988" s="111"/>
      <c r="R988" s="229"/>
    </row>
    <row r="989" spans="2:18" ht="30" customHeight="1" x14ac:dyDescent="0.2">
      <c r="B989" s="102">
        <v>44896</v>
      </c>
      <c r="C989" s="966"/>
      <c r="D989" s="103" t="s">
        <v>881</v>
      </c>
      <c r="E989" s="103" t="s">
        <v>26</v>
      </c>
      <c r="F989" s="105" t="s">
        <v>18</v>
      </c>
      <c r="G989" s="23">
        <v>1</v>
      </c>
      <c r="H989" s="271">
        <v>1000000</v>
      </c>
      <c r="I989" s="258">
        <v>1000000</v>
      </c>
      <c r="J989" s="213" t="str">
        <f>IF(List34[[#This Row],[Tanggal Trf]]&gt;0,"Done","-")</f>
        <v>Done</v>
      </c>
      <c r="K989" s="440" t="s">
        <v>1678</v>
      </c>
      <c r="L989" s="223">
        <v>44903</v>
      </c>
      <c r="M989" s="105" t="s">
        <v>476</v>
      </c>
      <c r="N989" s="100">
        <f>MONTH(List34[[#This Row],[Tanggal Pengajuan]])</f>
        <v>12</v>
      </c>
      <c r="O989" s="183"/>
      <c r="P989" s="105" t="s">
        <v>1763</v>
      </c>
      <c r="Q989" s="111"/>
      <c r="R989" s="229"/>
    </row>
    <row r="990" spans="2:18" ht="30" customHeight="1" x14ac:dyDescent="0.2">
      <c r="B990" s="102">
        <v>44896</v>
      </c>
      <c r="C990" s="966"/>
      <c r="D990" s="103" t="s">
        <v>953</v>
      </c>
      <c r="E990" s="103" t="s">
        <v>26</v>
      </c>
      <c r="F990" s="105" t="s">
        <v>18</v>
      </c>
      <c r="G990" s="23">
        <v>1</v>
      </c>
      <c r="H990" s="271">
        <v>1000000</v>
      </c>
      <c r="I990" s="258">
        <v>1000000</v>
      </c>
      <c r="J990" s="213" t="str">
        <f>IF(List34[[#This Row],[Tanggal Trf]]&gt;0,"Done","-")</f>
        <v>Done</v>
      </c>
      <c r="K990" s="440" t="s">
        <v>1678</v>
      </c>
      <c r="L990" s="223">
        <v>44903</v>
      </c>
      <c r="M990" s="105" t="s">
        <v>873</v>
      </c>
      <c r="N990" s="100">
        <f>MONTH(List34[[#This Row],[Tanggal Pengajuan]])</f>
        <v>12</v>
      </c>
      <c r="O990" s="183"/>
      <c r="P990" s="105" t="s">
        <v>1763</v>
      </c>
      <c r="Q990" s="111"/>
      <c r="R990" s="229"/>
    </row>
    <row r="991" spans="2:18" ht="30" customHeight="1" x14ac:dyDescent="0.2">
      <c r="B991" s="102">
        <v>44896</v>
      </c>
      <c r="C991" s="966"/>
      <c r="D991" s="103" t="s">
        <v>954</v>
      </c>
      <c r="E991" s="103" t="s">
        <v>26</v>
      </c>
      <c r="F991" s="105" t="s">
        <v>18</v>
      </c>
      <c r="G991" s="23">
        <v>1</v>
      </c>
      <c r="H991" s="271">
        <v>1000000</v>
      </c>
      <c r="I991" s="258">
        <v>1000000</v>
      </c>
      <c r="J991" s="213" t="str">
        <f>IF(List34[[#This Row],[Tanggal Trf]]&gt;0,"Done","-")</f>
        <v>Done</v>
      </c>
      <c r="K991" s="440" t="s">
        <v>1678</v>
      </c>
      <c r="L991" s="223">
        <v>44903</v>
      </c>
      <c r="M991" s="105" t="s">
        <v>874</v>
      </c>
      <c r="N991" s="100">
        <f>MONTH(List34[[#This Row],[Tanggal Pengajuan]])</f>
        <v>12</v>
      </c>
      <c r="O991" s="183"/>
      <c r="P991" s="105" t="s">
        <v>1763</v>
      </c>
      <c r="Q991" s="111"/>
      <c r="R991" s="229"/>
    </row>
    <row r="992" spans="2:18" ht="30" customHeight="1" x14ac:dyDescent="0.2">
      <c r="B992" s="102">
        <v>44896</v>
      </c>
      <c r="C992" s="966"/>
      <c r="D992" s="103" t="s">
        <v>955</v>
      </c>
      <c r="E992" s="103" t="s">
        <v>26</v>
      </c>
      <c r="F992" s="105" t="s">
        <v>18</v>
      </c>
      <c r="G992" s="23">
        <v>1</v>
      </c>
      <c r="H992" s="271">
        <v>1000000</v>
      </c>
      <c r="I992" s="258">
        <v>1000000</v>
      </c>
      <c r="J992" s="213" t="str">
        <f>IF(List34[[#This Row],[Tanggal Trf]]&gt;0,"Done","-")</f>
        <v>Done</v>
      </c>
      <c r="K992" s="440" t="s">
        <v>1678</v>
      </c>
      <c r="L992" s="223">
        <v>44903</v>
      </c>
      <c r="M992" s="105" t="s">
        <v>762</v>
      </c>
      <c r="N992" s="100">
        <f>MONTH(List34[[#This Row],[Tanggal Pengajuan]])</f>
        <v>12</v>
      </c>
      <c r="O992" s="183"/>
      <c r="P992" s="105" t="s">
        <v>1763</v>
      </c>
      <c r="Q992" s="111"/>
      <c r="R992" s="229"/>
    </row>
    <row r="993" spans="2:18" ht="30" customHeight="1" x14ac:dyDescent="0.2">
      <c r="B993" s="102">
        <v>44896</v>
      </c>
      <c r="C993" s="67"/>
      <c r="D993" s="103" t="s">
        <v>1214</v>
      </c>
      <c r="E993" s="103" t="s">
        <v>26</v>
      </c>
      <c r="F993" s="105" t="s">
        <v>18</v>
      </c>
      <c r="G993" s="23">
        <v>1</v>
      </c>
      <c r="H993" s="271">
        <v>750000</v>
      </c>
      <c r="I993" s="258">
        <v>750000</v>
      </c>
      <c r="J993" s="213" t="str">
        <f>IF(List34[[#This Row],[Tanggal Trf]]&gt;0,"Done","-")</f>
        <v>Done</v>
      </c>
      <c r="K993" s="440" t="s">
        <v>1678</v>
      </c>
      <c r="L993" s="223">
        <v>44903</v>
      </c>
      <c r="M993" s="105" t="s">
        <v>1217</v>
      </c>
      <c r="N993" s="100">
        <f>MONTH(List34[[#This Row],[Tanggal Pengajuan]])</f>
        <v>12</v>
      </c>
      <c r="O993" s="183"/>
      <c r="P993" s="105" t="s">
        <v>1763</v>
      </c>
      <c r="Q993" s="111"/>
      <c r="R993" s="229"/>
    </row>
    <row r="994" spans="2:18" ht="30" customHeight="1" x14ac:dyDescent="0.2">
      <c r="B994" s="102">
        <v>44896</v>
      </c>
      <c r="C994" s="67"/>
      <c r="D994" s="103" t="s">
        <v>1215</v>
      </c>
      <c r="E994" s="103" t="s">
        <v>26</v>
      </c>
      <c r="F994" s="105" t="s">
        <v>18</v>
      </c>
      <c r="G994" s="23">
        <v>1</v>
      </c>
      <c r="H994" s="271">
        <v>750000</v>
      </c>
      <c r="I994" s="258">
        <v>750000</v>
      </c>
      <c r="J994" s="213" t="str">
        <f>IF(List34[[#This Row],[Tanggal Trf]]&gt;0,"Done","-")</f>
        <v>Done</v>
      </c>
      <c r="K994" s="440" t="s">
        <v>1678</v>
      </c>
      <c r="L994" s="223">
        <v>44903</v>
      </c>
      <c r="M994" s="105" t="s">
        <v>1218</v>
      </c>
      <c r="N994" s="100">
        <f>MONTH(List34[[#This Row],[Tanggal Pengajuan]])</f>
        <v>12</v>
      </c>
      <c r="O994" s="183"/>
      <c r="P994" s="105" t="s">
        <v>1763</v>
      </c>
      <c r="Q994" s="111"/>
      <c r="R994" s="229"/>
    </row>
    <row r="995" spans="2:18" ht="30" customHeight="1" x14ac:dyDescent="0.2">
      <c r="B995" s="102">
        <v>44896</v>
      </c>
      <c r="C995" s="67"/>
      <c r="D995" s="103" t="s">
        <v>1216</v>
      </c>
      <c r="E995" s="103" t="s">
        <v>26</v>
      </c>
      <c r="F995" s="105" t="s">
        <v>18</v>
      </c>
      <c r="G995" s="23">
        <v>1</v>
      </c>
      <c r="H995" s="271">
        <v>750000</v>
      </c>
      <c r="I995" s="258">
        <v>750000</v>
      </c>
      <c r="J995" s="213" t="str">
        <f>IF(List34[[#This Row],[Tanggal Trf]]&gt;0,"Done","-")</f>
        <v>Done</v>
      </c>
      <c r="K995" s="440" t="s">
        <v>1678</v>
      </c>
      <c r="L995" s="223">
        <v>44903</v>
      </c>
      <c r="M995" s="105" t="s">
        <v>1219</v>
      </c>
      <c r="N995" s="100">
        <f>MONTH(List34[[#This Row],[Tanggal Pengajuan]])</f>
        <v>12</v>
      </c>
      <c r="O995" s="183"/>
      <c r="P995" s="105" t="s">
        <v>1763</v>
      </c>
      <c r="Q995" s="111"/>
      <c r="R995" s="229"/>
    </row>
    <row r="996" spans="2:18" ht="30" customHeight="1" x14ac:dyDescent="0.2">
      <c r="B996" s="102">
        <v>44896</v>
      </c>
      <c r="C996" s="67" t="s">
        <v>1741</v>
      </c>
      <c r="D996" s="103" t="s">
        <v>392</v>
      </c>
      <c r="E996" s="103" t="s">
        <v>57</v>
      </c>
      <c r="F996" s="105" t="s">
        <v>18</v>
      </c>
      <c r="G996" s="23">
        <v>0</v>
      </c>
      <c r="H996" s="271">
        <v>10000000</v>
      </c>
      <c r="I996" s="258">
        <v>10000000</v>
      </c>
      <c r="J996" s="213" t="str">
        <f>IF(List34[[#This Row],[Tanggal Trf]]&gt;0,"Done","-")</f>
        <v>Done</v>
      </c>
      <c r="K996" s="440" t="s">
        <v>1679</v>
      </c>
      <c r="L996" s="223">
        <v>44916</v>
      </c>
      <c r="M996" s="105" t="s">
        <v>540</v>
      </c>
      <c r="N996" s="100">
        <f>MONTH(List34[[#This Row],[Tanggal Pengajuan]])</f>
        <v>12</v>
      </c>
      <c r="O996" s="183"/>
      <c r="P996" s="105" t="s">
        <v>1763</v>
      </c>
      <c r="Q996" s="111"/>
      <c r="R996" s="229"/>
    </row>
    <row r="997" spans="2:18" ht="30" customHeight="1" x14ac:dyDescent="0.2">
      <c r="B997" s="102">
        <v>44896</v>
      </c>
      <c r="C997" s="67" t="s">
        <v>1742</v>
      </c>
      <c r="D997" s="103" t="s">
        <v>429</v>
      </c>
      <c r="E997" s="103" t="s">
        <v>57</v>
      </c>
      <c r="F997" s="105" t="s">
        <v>18</v>
      </c>
      <c r="G997" s="23">
        <v>0</v>
      </c>
      <c r="H997" s="271">
        <v>10000000</v>
      </c>
      <c r="I997" s="258">
        <v>10000000</v>
      </c>
      <c r="J997" s="213" t="str">
        <f>IF(List34[[#This Row],[Tanggal Trf]]&gt;0,"Done","-")</f>
        <v>Done</v>
      </c>
      <c r="K997" s="440" t="s">
        <v>1680</v>
      </c>
      <c r="L997" s="223">
        <v>44901</v>
      </c>
      <c r="M997" s="105" t="s">
        <v>537</v>
      </c>
      <c r="N997" s="100">
        <f>MONTH(List34[[#This Row],[Tanggal Pengajuan]])</f>
        <v>12</v>
      </c>
      <c r="O997" s="183"/>
      <c r="P997" s="105" t="s">
        <v>1763</v>
      </c>
      <c r="Q997" s="111"/>
      <c r="R997" s="229"/>
    </row>
    <row r="998" spans="2:18" ht="30" customHeight="1" x14ac:dyDescent="0.2">
      <c r="B998" s="102">
        <v>44896</v>
      </c>
      <c r="C998" s="67" t="s">
        <v>1743</v>
      </c>
      <c r="D998" s="103" t="s">
        <v>420</v>
      </c>
      <c r="E998" s="103" t="s">
        <v>57</v>
      </c>
      <c r="F998" s="105" t="s">
        <v>18</v>
      </c>
      <c r="G998" s="23">
        <v>29</v>
      </c>
      <c r="H998" s="271">
        <v>10000000</v>
      </c>
      <c r="I998" s="258">
        <v>10000000</v>
      </c>
      <c r="J998" s="213" t="str">
        <f>IF(List34[[#This Row],[Tanggal Trf]]&gt;0,"Done","-")</f>
        <v>Done</v>
      </c>
      <c r="K998" s="440" t="s">
        <v>1681</v>
      </c>
      <c r="L998" s="223">
        <v>44903</v>
      </c>
      <c r="M998" s="105" t="s">
        <v>534</v>
      </c>
      <c r="N998" s="100">
        <f>MONTH(List34[[#This Row],[Tanggal Pengajuan]])</f>
        <v>12</v>
      </c>
      <c r="O998" s="183"/>
      <c r="P998" s="105" t="s">
        <v>1763</v>
      </c>
      <c r="Q998" s="111"/>
      <c r="R998" s="229"/>
    </row>
    <row r="999" spans="2:18" ht="30" customHeight="1" x14ac:dyDescent="0.2">
      <c r="B999" s="102">
        <v>44896</v>
      </c>
      <c r="C999" s="67" t="s">
        <v>1744</v>
      </c>
      <c r="D999" s="103" t="s">
        <v>413</v>
      </c>
      <c r="E999" s="103" t="s">
        <v>57</v>
      </c>
      <c r="F999" s="105" t="s">
        <v>18</v>
      </c>
      <c r="G999" s="23">
        <v>16</v>
      </c>
      <c r="H999" s="271">
        <v>10000000</v>
      </c>
      <c r="I999" s="258">
        <v>10000000</v>
      </c>
      <c r="J999" s="213" t="str">
        <f>IF(List34[[#This Row],[Tanggal Trf]]&gt;0,"Done","-")</f>
        <v>Done</v>
      </c>
      <c r="K999" s="440" t="s">
        <v>1682</v>
      </c>
      <c r="L999" s="223">
        <v>44901</v>
      </c>
      <c r="M999" s="105" t="s">
        <v>544</v>
      </c>
      <c r="N999" s="100">
        <f>MONTH(List34[[#This Row],[Tanggal Pengajuan]])</f>
        <v>12</v>
      </c>
      <c r="O999" s="183"/>
      <c r="P999" s="105" t="s">
        <v>1763</v>
      </c>
      <c r="Q999" s="111"/>
      <c r="R999" s="229"/>
    </row>
    <row r="1000" spans="2:18" ht="30" customHeight="1" x14ac:dyDescent="0.2">
      <c r="B1000" s="102">
        <v>44896</v>
      </c>
      <c r="C1000" s="67" t="s">
        <v>1745</v>
      </c>
      <c r="D1000" s="103" t="s">
        <v>407</v>
      </c>
      <c r="E1000" s="103" t="s">
        <v>57</v>
      </c>
      <c r="F1000" s="105" t="s">
        <v>18</v>
      </c>
      <c r="G1000" s="23">
        <v>64</v>
      </c>
      <c r="H1000" s="271">
        <v>10000000</v>
      </c>
      <c r="I1000" s="258">
        <v>10000000</v>
      </c>
      <c r="J1000" s="213" t="str">
        <f>IF(List34[[#This Row],[Tanggal Trf]]&gt;0,"Done","-")</f>
        <v>Done</v>
      </c>
      <c r="K1000" s="440" t="s">
        <v>1683</v>
      </c>
      <c r="L1000" s="223">
        <v>44903</v>
      </c>
      <c r="M1000" s="105" t="s">
        <v>661</v>
      </c>
      <c r="N1000" s="100">
        <f>MONTH(List34[[#This Row],[Tanggal Pengajuan]])</f>
        <v>12</v>
      </c>
      <c r="O1000" s="183"/>
      <c r="P1000" s="105" t="s">
        <v>1763</v>
      </c>
      <c r="Q1000" s="111"/>
      <c r="R1000" s="229"/>
    </row>
    <row r="1001" spans="2:18" ht="30" customHeight="1" x14ac:dyDescent="0.2">
      <c r="B1001" s="102">
        <v>44896</v>
      </c>
      <c r="C1001" s="67" t="s">
        <v>1746</v>
      </c>
      <c r="D1001" s="103" t="s">
        <v>916</v>
      </c>
      <c r="E1001" s="103" t="s">
        <v>26</v>
      </c>
      <c r="F1001" s="105" t="s">
        <v>18</v>
      </c>
      <c r="G1001" s="23">
        <v>1</v>
      </c>
      <c r="H1001" s="271">
        <v>500000</v>
      </c>
      <c r="I1001" s="258">
        <v>500000</v>
      </c>
      <c r="J1001" s="213" t="str">
        <f>IF(List34[[#This Row],[Tanggal Trf]]&gt;0,"Done","-")</f>
        <v>Done</v>
      </c>
      <c r="K1001" s="440" t="s">
        <v>1684</v>
      </c>
      <c r="L1001" s="223">
        <v>44914</v>
      </c>
      <c r="M1001" s="105" t="s">
        <v>895</v>
      </c>
      <c r="N1001" s="100">
        <f>MONTH(List34[[#This Row],[Tanggal Pengajuan]])</f>
        <v>12</v>
      </c>
      <c r="O1001" s="183"/>
      <c r="P1001" s="105" t="s">
        <v>1763</v>
      </c>
      <c r="Q1001" s="111"/>
      <c r="R1001" s="229"/>
    </row>
    <row r="1002" spans="2:18" ht="30" customHeight="1" x14ac:dyDescent="0.2">
      <c r="B1002" s="102">
        <v>44896</v>
      </c>
      <c r="C1002" s="966"/>
      <c r="D1002" s="103" t="s">
        <v>1535</v>
      </c>
      <c r="E1002" s="103" t="s">
        <v>26</v>
      </c>
      <c r="F1002" s="105" t="s">
        <v>18</v>
      </c>
      <c r="G1002" s="23">
        <v>1</v>
      </c>
      <c r="H1002" s="271">
        <v>500000</v>
      </c>
      <c r="I1002" s="258">
        <v>500000</v>
      </c>
      <c r="J1002" s="213" t="str">
        <f>IF(List34[[#This Row],[Tanggal Trf]]&gt;0,"Done","-")</f>
        <v>Done</v>
      </c>
      <c r="K1002" s="440" t="s">
        <v>1684</v>
      </c>
      <c r="L1002" s="223">
        <v>44914</v>
      </c>
      <c r="M1002" s="105" t="s">
        <v>1536</v>
      </c>
      <c r="N1002" s="100">
        <f>MONTH(List34[[#This Row],[Tanggal Pengajuan]])</f>
        <v>12</v>
      </c>
      <c r="O1002" s="183"/>
      <c r="P1002" s="105" t="s">
        <v>1763</v>
      </c>
      <c r="Q1002" s="111"/>
      <c r="R1002" s="229"/>
    </row>
    <row r="1003" spans="2:18" ht="30" customHeight="1" x14ac:dyDescent="0.2">
      <c r="B1003" s="102">
        <v>44896</v>
      </c>
      <c r="C1003" s="966"/>
      <c r="D1003" s="103" t="s">
        <v>1537</v>
      </c>
      <c r="E1003" s="103" t="s">
        <v>26</v>
      </c>
      <c r="F1003" s="105" t="s">
        <v>18</v>
      </c>
      <c r="G1003" s="23">
        <v>1</v>
      </c>
      <c r="H1003" s="271">
        <v>500000</v>
      </c>
      <c r="I1003" s="258">
        <v>500000</v>
      </c>
      <c r="J1003" s="213" t="str">
        <f>IF(List34[[#This Row],[Tanggal Trf]]&gt;0,"Done","-")</f>
        <v>Done</v>
      </c>
      <c r="K1003" s="440" t="s">
        <v>1684</v>
      </c>
      <c r="L1003" s="223">
        <v>44914</v>
      </c>
      <c r="M1003" s="105" t="s">
        <v>1538</v>
      </c>
      <c r="N1003" s="100">
        <f>MONTH(List34[[#This Row],[Tanggal Pengajuan]])</f>
        <v>12</v>
      </c>
      <c r="O1003" s="183"/>
      <c r="P1003" s="105" t="s">
        <v>1763</v>
      </c>
      <c r="Q1003" s="111"/>
      <c r="R1003" s="229"/>
    </row>
    <row r="1004" spans="2:18" ht="30" customHeight="1" x14ac:dyDescent="0.2">
      <c r="B1004" s="102">
        <v>44896</v>
      </c>
      <c r="C1004" s="966"/>
      <c r="D1004" s="103" t="s">
        <v>919</v>
      </c>
      <c r="E1004" s="103" t="s">
        <v>26</v>
      </c>
      <c r="F1004" s="105" t="s">
        <v>18</v>
      </c>
      <c r="G1004" s="23">
        <v>1</v>
      </c>
      <c r="H1004" s="271">
        <v>500000</v>
      </c>
      <c r="I1004" s="258">
        <v>500000</v>
      </c>
      <c r="J1004" s="213" t="str">
        <f>IF(List34[[#This Row],[Tanggal Trf]]&gt;0,"Done","-")</f>
        <v>Done</v>
      </c>
      <c r="K1004" s="440" t="s">
        <v>1684</v>
      </c>
      <c r="L1004" s="223">
        <v>44914</v>
      </c>
      <c r="M1004" s="105" t="s">
        <v>897</v>
      </c>
      <c r="N1004" s="100">
        <f>MONTH(List34[[#This Row],[Tanggal Pengajuan]])</f>
        <v>12</v>
      </c>
      <c r="O1004" s="183"/>
      <c r="P1004" s="105" t="s">
        <v>1763</v>
      </c>
      <c r="Q1004" s="111"/>
      <c r="R1004" s="229"/>
    </row>
    <row r="1005" spans="2:18" ht="30" customHeight="1" x14ac:dyDescent="0.2">
      <c r="B1005" s="102">
        <v>44896</v>
      </c>
      <c r="C1005" s="966"/>
      <c r="D1005" s="103" t="s">
        <v>920</v>
      </c>
      <c r="E1005" s="103" t="s">
        <v>26</v>
      </c>
      <c r="F1005" s="105" t="s">
        <v>18</v>
      </c>
      <c r="G1005" s="23">
        <v>1</v>
      </c>
      <c r="H1005" s="271">
        <v>500000</v>
      </c>
      <c r="I1005" s="258">
        <v>500000</v>
      </c>
      <c r="J1005" s="213" t="str">
        <f>IF(List34[[#This Row],[Tanggal Trf]]&gt;0,"Done","-")</f>
        <v>Done</v>
      </c>
      <c r="K1005" s="440" t="s">
        <v>1684</v>
      </c>
      <c r="L1005" s="223">
        <v>44914</v>
      </c>
      <c r="M1005" s="105" t="s">
        <v>915</v>
      </c>
      <c r="N1005" s="100">
        <f>MONTH(List34[[#This Row],[Tanggal Pengajuan]])</f>
        <v>12</v>
      </c>
      <c r="O1005" s="183"/>
      <c r="P1005" s="105" t="s">
        <v>1763</v>
      </c>
      <c r="Q1005" s="111"/>
      <c r="R1005" s="229"/>
    </row>
    <row r="1006" spans="2:18" ht="30" customHeight="1" x14ac:dyDescent="0.2">
      <c r="B1006" s="102">
        <v>44896</v>
      </c>
      <c r="C1006" s="966"/>
      <c r="D1006" s="103" t="s">
        <v>921</v>
      </c>
      <c r="E1006" s="103" t="s">
        <v>26</v>
      </c>
      <c r="F1006" s="105" t="s">
        <v>18</v>
      </c>
      <c r="G1006" s="23">
        <v>1</v>
      </c>
      <c r="H1006" s="271">
        <v>500000</v>
      </c>
      <c r="I1006" s="258">
        <v>500000</v>
      </c>
      <c r="J1006" s="213" t="str">
        <f>IF(List34[[#This Row],[Tanggal Trf]]&gt;0,"Done","-")</f>
        <v>Done</v>
      </c>
      <c r="K1006" s="440" t="s">
        <v>1684</v>
      </c>
      <c r="L1006" s="223">
        <v>44914</v>
      </c>
      <c r="M1006" s="105" t="s">
        <v>1539</v>
      </c>
      <c r="N1006" s="100">
        <f>MONTH(List34[[#This Row],[Tanggal Pengajuan]])</f>
        <v>12</v>
      </c>
      <c r="O1006" s="183"/>
      <c r="P1006" s="105" t="s">
        <v>1763</v>
      </c>
      <c r="Q1006" s="111"/>
      <c r="R1006" s="229"/>
    </row>
    <row r="1007" spans="2:18" ht="30" customHeight="1" x14ac:dyDescent="0.2">
      <c r="B1007" s="102">
        <v>44896</v>
      </c>
      <c r="C1007" s="67"/>
      <c r="D1007" s="103" t="s">
        <v>922</v>
      </c>
      <c r="E1007" s="103" t="s">
        <v>26</v>
      </c>
      <c r="F1007" s="105" t="s">
        <v>18</v>
      </c>
      <c r="G1007" s="23">
        <v>1</v>
      </c>
      <c r="H1007" s="271">
        <v>500000</v>
      </c>
      <c r="I1007" s="258">
        <v>500000</v>
      </c>
      <c r="J1007" s="213" t="str">
        <f>IF(List34[[#This Row],[Tanggal Trf]]&gt;0,"Done","-")</f>
        <v>Done</v>
      </c>
      <c r="K1007" s="440" t="s">
        <v>1684</v>
      </c>
      <c r="L1007" s="223">
        <v>44914</v>
      </c>
      <c r="M1007" s="105" t="s">
        <v>899</v>
      </c>
      <c r="N1007" s="100">
        <f>MONTH(List34[[#This Row],[Tanggal Pengajuan]])</f>
        <v>12</v>
      </c>
      <c r="O1007" s="183"/>
      <c r="P1007" s="105" t="s">
        <v>1763</v>
      </c>
      <c r="Q1007" s="111"/>
      <c r="R1007" s="229"/>
    </row>
    <row r="1008" spans="2:18" ht="30" customHeight="1" x14ac:dyDescent="0.2">
      <c r="B1008" s="102">
        <v>44896</v>
      </c>
      <c r="C1008" s="67"/>
      <c r="D1008" s="103" t="s">
        <v>923</v>
      </c>
      <c r="E1008" s="103" t="s">
        <v>26</v>
      </c>
      <c r="F1008" s="105" t="s">
        <v>18</v>
      </c>
      <c r="G1008" s="23">
        <v>1</v>
      </c>
      <c r="H1008" s="271">
        <v>500000</v>
      </c>
      <c r="I1008" s="258">
        <v>500000</v>
      </c>
      <c r="J1008" s="213" t="str">
        <f>IF(List34[[#This Row],[Tanggal Trf]]&gt;0,"Done","-")</f>
        <v>Done</v>
      </c>
      <c r="K1008" s="440" t="s">
        <v>1684</v>
      </c>
      <c r="L1008" s="223">
        <v>44914</v>
      </c>
      <c r="M1008" s="105" t="s">
        <v>900</v>
      </c>
      <c r="N1008" s="100">
        <f>MONTH(List34[[#This Row],[Tanggal Pengajuan]])</f>
        <v>12</v>
      </c>
      <c r="O1008" s="183"/>
      <c r="P1008" s="105" t="s">
        <v>1763</v>
      </c>
      <c r="Q1008" s="111"/>
      <c r="R1008" s="229"/>
    </row>
    <row r="1009" spans="2:18" ht="30" customHeight="1" x14ac:dyDescent="0.2">
      <c r="B1009" s="102">
        <v>44896</v>
      </c>
      <c r="C1009" s="67"/>
      <c r="D1009" s="103" t="s">
        <v>924</v>
      </c>
      <c r="E1009" s="103" t="s">
        <v>26</v>
      </c>
      <c r="F1009" s="105" t="s">
        <v>18</v>
      </c>
      <c r="G1009" s="23">
        <v>1</v>
      </c>
      <c r="H1009" s="271">
        <v>500000</v>
      </c>
      <c r="I1009" s="258">
        <v>500000</v>
      </c>
      <c r="J1009" s="213" t="str">
        <f>IF(List34[[#This Row],[Tanggal Trf]]&gt;0,"Done","-")</f>
        <v>Done</v>
      </c>
      <c r="K1009" s="440" t="s">
        <v>1684</v>
      </c>
      <c r="L1009" s="223">
        <v>44914</v>
      </c>
      <c r="M1009" s="105" t="s">
        <v>901</v>
      </c>
      <c r="N1009" s="100">
        <f>MONTH(List34[[#This Row],[Tanggal Pengajuan]])</f>
        <v>12</v>
      </c>
      <c r="O1009" s="183"/>
      <c r="P1009" s="105" t="s">
        <v>1763</v>
      </c>
      <c r="Q1009" s="111"/>
      <c r="R1009" s="229"/>
    </row>
    <row r="1010" spans="2:18" ht="30" customHeight="1" x14ac:dyDescent="0.2">
      <c r="B1010" s="102">
        <v>44896</v>
      </c>
      <c r="C1010" s="67"/>
      <c r="D1010" s="103" t="s">
        <v>925</v>
      </c>
      <c r="E1010" s="103" t="s">
        <v>26</v>
      </c>
      <c r="F1010" s="105" t="s">
        <v>18</v>
      </c>
      <c r="G1010" s="23">
        <v>1</v>
      </c>
      <c r="H1010" s="271">
        <v>500000</v>
      </c>
      <c r="I1010" s="258">
        <v>500000</v>
      </c>
      <c r="J1010" s="213" t="str">
        <f>IF(List34[[#This Row],[Tanggal Trf]]&gt;0,"Done","-")</f>
        <v>Done</v>
      </c>
      <c r="K1010" s="440" t="s">
        <v>1684</v>
      </c>
      <c r="L1010" s="223">
        <v>44914</v>
      </c>
      <c r="M1010" s="105" t="s">
        <v>1014</v>
      </c>
      <c r="N1010" s="100">
        <f>MONTH(List34[[#This Row],[Tanggal Pengajuan]])</f>
        <v>12</v>
      </c>
      <c r="O1010" s="183"/>
      <c r="P1010" s="105" t="s">
        <v>1763</v>
      </c>
      <c r="Q1010" s="111"/>
      <c r="R1010" s="229"/>
    </row>
    <row r="1011" spans="2:18" ht="30" customHeight="1" x14ac:dyDescent="0.2">
      <c r="B1011" s="102">
        <v>44896</v>
      </c>
      <c r="C1011" s="67"/>
      <c r="D1011" s="103" t="s">
        <v>926</v>
      </c>
      <c r="E1011" s="103" t="s">
        <v>26</v>
      </c>
      <c r="F1011" s="105" t="s">
        <v>18</v>
      </c>
      <c r="G1011" s="23">
        <v>1</v>
      </c>
      <c r="H1011" s="271">
        <v>500000</v>
      </c>
      <c r="I1011" s="258">
        <v>500000</v>
      </c>
      <c r="J1011" s="213" t="str">
        <f>IF(List34[[#This Row],[Tanggal Trf]]&gt;0,"Done","-")</f>
        <v>Done</v>
      </c>
      <c r="K1011" s="440" t="s">
        <v>1684</v>
      </c>
      <c r="L1011" s="223">
        <v>44914</v>
      </c>
      <c r="M1011" s="105" t="s">
        <v>1540</v>
      </c>
      <c r="N1011" s="100">
        <f>MONTH(List34[[#This Row],[Tanggal Pengajuan]])</f>
        <v>12</v>
      </c>
      <c r="O1011" s="183"/>
      <c r="P1011" s="105" t="s">
        <v>1763</v>
      </c>
      <c r="Q1011" s="111"/>
      <c r="R1011" s="229"/>
    </row>
    <row r="1012" spans="2:18" ht="30" customHeight="1" x14ac:dyDescent="0.2">
      <c r="B1012" s="102">
        <v>44896</v>
      </c>
      <c r="C1012" s="67"/>
      <c r="D1012" s="103" t="s">
        <v>927</v>
      </c>
      <c r="E1012" s="103" t="s">
        <v>26</v>
      </c>
      <c r="F1012" s="105" t="s">
        <v>18</v>
      </c>
      <c r="G1012" s="23">
        <v>1</v>
      </c>
      <c r="H1012" s="271">
        <v>500000</v>
      </c>
      <c r="I1012" s="258">
        <v>500000</v>
      </c>
      <c r="J1012" s="213" t="str">
        <f>IF(List34[[#This Row],[Tanggal Trf]]&gt;0,"Done","-")</f>
        <v>Done</v>
      </c>
      <c r="K1012" s="440" t="s">
        <v>1684</v>
      </c>
      <c r="L1012" s="223">
        <v>44914</v>
      </c>
      <c r="M1012" s="105" t="s">
        <v>1541</v>
      </c>
      <c r="N1012" s="100">
        <f>MONTH(List34[[#This Row],[Tanggal Pengajuan]])</f>
        <v>12</v>
      </c>
      <c r="O1012" s="183"/>
      <c r="P1012" s="105" t="s">
        <v>1763</v>
      </c>
      <c r="Q1012" s="111"/>
      <c r="R1012" s="229"/>
    </row>
    <row r="1013" spans="2:18" ht="30" customHeight="1" x14ac:dyDescent="0.2">
      <c r="B1013" s="102">
        <v>44896</v>
      </c>
      <c r="C1013" s="67"/>
      <c r="D1013" s="103" t="s">
        <v>928</v>
      </c>
      <c r="E1013" s="103" t="s">
        <v>26</v>
      </c>
      <c r="F1013" s="105" t="s">
        <v>18</v>
      </c>
      <c r="G1013" s="23">
        <v>1</v>
      </c>
      <c r="H1013" s="271">
        <v>500000</v>
      </c>
      <c r="I1013" s="258">
        <v>500000</v>
      </c>
      <c r="J1013" s="213" t="str">
        <f>IF(List34[[#This Row],[Tanggal Trf]]&gt;0,"Done","-")</f>
        <v>Done</v>
      </c>
      <c r="K1013" s="440" t="s">
        <v>1684</v>
      </c>
      <c r="L1013" s="223">
        <v>44914</v>
      </c>
      <c r="M1013" s="105" t="s">
        <v>1542</v>
      </c>
      <c r="N1013" s="100">
        <f>MONTH(List34[[#This Row],[Tanggal Pengajuan]])</f>
        <v>12</v>
      </c>
      <c r="O1013" s="183"/>
      <c r="P1013" s="105" t="s">
        <v>1763</v>
      </c>
      <c r="Q1013" s="111"/>
      <c r="R1013" s="229"/>
    </row>
    <row r="1014" spans="2:18" ht="30" customHeight="1" x14ac:dyDescent="0.2">
      <c r="B1014" s="102">
        <v>44896</v>
      </c>
      <c r="C1014" s="67"/>
      <c r="D1014" s="103" t="s">
        <v>929</v>
      </c>
      <c r="E1014" s="103" t="s">
        <v>26</v>
      </c>
      <c r="F1014" s="105" t="s">
        <v>18</v>
      </c>
      <c r="G1014" s="23">
        <v>1</v>
      </c>
      <c r="H1014" s="271">
        <v>500000</v>
      </c>
      <c r="I1014" s="258">
        <v>500000</v>
      </c>
      <c r="J1014" s="213" t="str">
        <f>IF(List34[[#This Row],[Tanggal Trf]]&gt;0,"Done","-")</f>
        <v>Done</v>
      </c>
      <c r="K1014" s="440" t="s">
        <v>1684</v>
      </c>
      <c r="L1014" s="223">
        <v>44914</v>
      </c>
      <c r="M1014" s="105" t="s">
        <v>902</v>
      </c>
      <c r="N1014" s="100">
        <f>MONTH(List34[[#This Row],[Tanggal Pengajuan]])</f>
        <v>12</v>
      </c>
      <c r="O1014" s="183"/>
      <c r="P1014" s="105" t="s">
        <v>1763</v>
      </c>
      <c r="Q1014" s="111"/>
      <c r="R1014" s="229"/>
    </row>
    <row r="1015" spans="2:18" ht="30" customHeight="1" x14ac:dyDescent="0.2">
      <c r="B1015" s="102">
        <v>44896</v>
      </c>
      <c r="C1015" s="67"/>
      <c r="D1015" s="103" t="s">
        <v>930</v>
      </c>
      <c r="E1015" s="103" t="s">
        <v>26</v>
      </c>
      <c r="F1015" s="105" t="s">
        <v>18</v>
      </c>
      <c r="G1015" s="23">
        <v>1</v>
      </c>
      <c r="H1015" s="271">
        <v>500000</v>
      </c>
      <c r="I1015" s="258">
        <v>500000</v>
      </c>
      <c r="J1015" s="213" t="str">
        <f>IF(List34[[#This Row],[Tanggal Trf]]&gt;0,"Done","-")</f>
        <v>Done</v>
      </c>
      <c r="K1015" s="440" t="s">
        <v>1684</v>
      </c>
      <c r="L1015" s="223">
        <v>44914</v>
      </c>
      <c r="M1015" s="105" t="s">
        <v>903</v>
      </c>
      <c r="N1015" s="100">
        <f>MONTH(List34[[#This Row],[Tanggal Pengajuan]])</f>
        <v>12</v>
      </c>
      <c r="O1015" s="183"/>
      <c r="P1015" s="105" t="s">
        <v>1763</v>
      </c>
      <c r="Q1015" s="111"/>
      <c r="R1015" s="229"/>
    </row>
    <row r="1016" spans="2:18" ht="30" customHeight="1" x14ac:dyDescent="0.2">
      <c r="B1016" s="102">
        <v>44896</v>
      </c>
      <c r="C1016" s="67"/>
      <c r="D1016" s="103" t="s">
        <v>1543</v>
      </c>
      <c r="E1016" s="103" t="s">
        <v>26</v>
      </c>
      <c r="F1016" s="105" t="s">
        <v>18</v>
      </c>
      <c r="G1016" s="23">
        <v>0</v>
      </c>
      <c r="H1016" s="271">
        <v>500000</v>
      </c>
      <c r="I1016" s="258">
        <v>500000</v>
      </c>
      <c r="J1016" s="213" t="str">
        <f>IF(List34[[#This Row],[Tanggal Trf]]&gt;0,"Done","-")</f>
        <v>Done</v>
      </c>
      <c r="K1016" s="440" t="s">
        <v>1684</v>
      </c>
      <c r="L1016" s="223">
        <v>44914</v>
      </c>
      <c r="M1016" s="105" t="s">
        <v>1544</v>
      </c>
      <c r="N1016" s="100">
        <f>MONTH(List34[[#This Row],[Tanggal Pengajuan]])</f>
        <v>12</v>
      </c>
      <c r="O1016" s="183"/>
      <c r="P1016" s="105" t="s">
        <v>1763</v>
      </c>
      <c r="Q1016" s="111"/>
      <c r="R1016" s="229"/>
    </row>
    <row r="1017" spans="2:18" ht="30" customHeight="1" x14ac:dyDescent="0.2">
      <c r="B1017" s="102">
        <v>44896</v>
      </c>
      <c r="C1017" s="67"/>
      <c r="D1017" s="103" t="s">
        <v>1545</v>
      </c>
      <c r="E1017" s="103" t="s">
        <v>26</v>
      </c>
      <c r="F1017" s="105" t="s">
        <v>18</v>
      </c>
      <c r="G1017" s="23">
        <v>0</v>
      </c>
      <c r="H1017" s="271">
        <v>500000</v>
      </c>
      <c r="I1017" s="258">
        <v>500000</v>
      </c>
      <c r="J1017" s="213" t="str">
        <f>IF(List34[[#This Row],[Tanggal Trf]]&gt;0,"Done","-")</f>
        <v>Done</v>
      </c>
      <c r="K1017" s="440" t="s">
        <v>1684</v>
      </c>
      <c r="L1017" s="223">
        <v>44914</v>
      </c>
      <c r="M1017" s="105" t="s">
        <v>1546</v>
      </c>
      <c r="N1017" s="100">
        <f>MONTH(List34[[#This Row],[Tanggal Pengajuan]])</f>
        <v>12</v>
      </c>
      <c r="O1017" s="183"/>
      <c r="P1017" s="105" t="s">
        <v>1763</v>
      </c>
      <c r="Q1017" s="111"/>
      <c r="R1017" s="229"/>
    </row>
    <row r="1018" spans="2:18" ht="30" customHeight="1" x14ac:dyDescent="0.2">
      <c r="B1018" s="102">
        <v>44896</v>
      </c>
      <c r="C1018" s="67" t="s">
        <v>1747</v>
      </c>
      <c r="D1018" s="103" t="s">
        <v>256</v>
      </c>
      <c r="E1018" s="103" t="s">
        <v>17</v>
      </c>
      <c r="F1018" s="105" t="s">
        <v>18</v>
      </c>
      <c r="G1018" s="23">
        <v>86</v>
      </c>
      <c r="H1018" s="271">
        <v>5500000</v>
      </c>
      <c r="I1018" s="258">
        <v>5500000</v>
      </c>
      <c r="J1018" s="213" t="str">
        <f>IF(List34[[#This Row],[Tanggal Trf]]&gt;0,"Done","-")</f>
        <v>Done</v>
      </c>
      <c r="K1018" s="440" t="s">
        <v>1685</v>
      </c>
      <c r="L1018" s="223">
        <v>44900</v>
      </c>
      <c r="M1018" s="105" t="s">
        <v>136</v>
      </c>
      <c r="N1018" s="100">
        <f>MONTH(List34[[#This Row],[Tanggal Pengajuan]])</f>
        <v>12</v>
      </c>
      <c r="O1018" s="183"/>
      <c r="P1018" s="105" t="s">
        <v>1763</v>
      </c>
      <c r="Q1018" s="111"/>
      <c r="R1018" s="229"/>
    </row>
    <row r="1019" spans="2:18" ht="30" customHeight="1" x14ac:dyDescent="0.2">
      <c r="B1019" s="102">
        <v>44896</v>
      </c>
      <c r="C1019" s="966"/>
      <c r="D1019" s="103" t="s">
        <v>257</v>
      </c>
      <c r="E1019" s="103" t="s">
        <v>17</v>
      </c>
      <c r="F1019" s="105" t="s">
        <v>18</v>
      </c>
      <c r="G1019" s="23">
        <v>128</v>
      </c>
      <c r="H1019" s="271">
        <v>5500000</v>
      </c>
      <c r="I1019" s="258">
        <v>5500000</v>
      </c>
      <c r="J1019" s="213" t="str">
        <f>IF(List34[[#This Row],[Tanggal Trf]]&gt;0,"Done","-")</f>
        <v>Done</v>
      </c>
      <c r="K1019" s="440" t="s">
        <v>1685</v>
      </c>
      <c r="L1019" s="223">
        <v>44900</v>
      </c>
      <c r="M1019" s="105" t="s">
        <v>136</v>
      </c>
      <c r="N1019" s="100">
        <f>MONTH(List34[[#This Row],[Tanggal Pengajuan]])</f>
        <v>12</v>
      </c>
      <c r="O1019" s="183"/>
      <c r="P1019" s="105" t="s">
        <v>1763</v>
      </c>
      <c r="Q1019" s="111"/>
      <c r="R1019" s="229"/>
    </row>
    <row r="1020" spans="2:18" ht="30" customHeight="1" x14ac:dyDescent="0.2">
      <c r="B1020" s="102">
        <v>44896</v>
      </c>
      <c r="C1020" s="966"/>
      <c r="D1020" s="103" t="s">
        <v>222</v>
      </c>
      <c r="E1020" s="103" t="s">
        <v>17</v>
      </c>
      <c r="F1020" s="105" t="s">
        <v>18</v>
      </c>
      <c r="G1020" s="23">
        <f>10+26</f>
        <v>36</v>
      </c>
      <c r="H1020" s="271">
        <v>5500000</v>
      </c>
      <c r="I1020" s="258">
        <v>5500000</v>
      </c>
      <c r="J1020" s="213" t="str">
        <f>IF(List34[[#This Row],[Tanggal Trf]]&gt;0,"Done","-")</f>
        <v>Done</v>
      </c>
      <c r="K1020" s="440" t="s">
        <v>1685</v>
      </c>
      <c r="L1020" s="223">
        <v>44900</v>
      </c>
      <c r="M1020" s="105" t="s">
        <v>136</v>
      </c>
      <c r="N1020" s="100">
        <f>MONTH(List34[[#This Row],[Tanggal Pengajuan]])</f>
        <v>12</v>
      </c>
      <c r="O1020" s="183"/>
      <c r="P1020" s="105" t="s">
        <v>1763</v>
      </c>
      <c r="Q1020" s="111"/>
      <c r="R1020" s="229"/>
    </row>
    <row r="1021" spans="2:18" ht="30" customHeight="1" x14ac:dyDescent="0.2">
      <c r="B1021" s="102">
        <v>44896</v>
      </c>
      <c r="C1021" s="966" t="s">
        <v>1748</v>
      </c>
      <c r="D1021" s="103" t="s">
        <v>558</v>
      </c>
      <c r="E1021" s="103" t="s">
        <v>57</v>
      </c>
      <c r="F1021" s="105" t="s">
        <v>18</v>
      </c>
      <c r="G1021" s="23">
        <v>55</v>
      </c>
      <c r="H1021" s="271">
        <f>5481000</f>
        <v>5481000</v>
      </c>
      <c r="I1021" s="258">
        <f>List34[[#This Row],[Pengajuan Donasi]]</f>
        <v>5481000</v>
      </c>
      <c r="J1021" s="213" t="str">
        <f>IF(List34[[#This Row],[Tanggal Trf]]&gt;0,"Done","-")</f>
        <v>Done</v>
      </c>
      <c r="K1021" s="103" t="s">
        <v>1733</v>
      </c>
      <c r="L1021" s="223">
        <v>44900</v>
      </c>
      <c r="M1021" s="105" t="s">
        <v>556</v>
      </c>
      <c r="N1021" s="100">
        <f>MONTH(List34[[#This Row],[Tanggal Pengajuan]])</f>
        <v>12</v>
      </c>
      <c r="O1021" s="183"/>
      <c r="P1021" s="105" t="s">
        <v>1763</v>
      </c>
      <c r="Q1021" s="111"/>
      <c r="R1021" s="229"/>
    </row>
    <row r="1022" spans="2:18" ht="30" customHeight="1" x14ac:dyDescent="0.2">
      <c r="B1022" s="102">
        <v>44896</v>
      </c>
      <c r="C1022" s="966" t="s">
        <v>1749</v>
      </c>
      <c r="D1022" s="14" t="s">
        <v>1556</v>
      </c>
      <c r="E1022" s="103" t="s">
        <v>107</v>
      </c>
      <c r="F1022" s="105" t="s">
        <v>28</v>
      </c>
      <c r="G1022" s="23"/>
      <c r="H1022" s="271">
        <v>15000000</v>
      </c>
      <c r="I1022" s="258">
        <f>List34[[#This Row],[Pengajuan Donasi]]</f>
        <v>15000000</v>
      </c>
      <c r="J1022" s="213" t="str">
        <f>IF(List34[[#This Row],[Tanggal Trf]]&gt;0,"Done","-")</f>
        <v>Done</v>
      </c>
      <c r="K1022" s="103" t="s">
        <v>1734</v>
      </c>
      <c r="L1022" s="223">
        <v>44900</v>
      </c>
      <c r="M1022" s="105" t="s">
        <v>1703</v>
      </c>
      <c r="N1022" s="100">
        <f>MONTH(List34[[#This Row],[Tanggal Pengajuan]])</f>
        <v>12</v>
      </c>
      <c r="O1022" s="183"/>
      <c r="P1022" s="105" t="s">
        <v>1711</v>
      </c>
      <c r="Q1022" s="111"/>
      <c r="R1022" s="229"/>
    </row>
    <row r="1023" spans="2:18" ht="30" customHeight="1" x14ac:dyDescent="0.2">
      <c r="B1023" s="102">
        <v>44896</v>
      </c>
      <c r="C1023" s="67" t="s">
        <v>1750</v>
      </c>
      <c r="D1023" s="103" t="s">
        <v>1727</v>
      </c>
      <c r="E1023" s="103" t="s">
        <v>26</v>
      </c>
      <c r="F1023" s="105" t="s">
        <v>18</v>
      </c>
      <c r="G1023" s="23"/>
      <c r="H1023" s="271">
        <v>500000</v>
      </c>
      <c r="I1023" s="258">
        <f>List34[[#This Row],[Pengajuan Donasi]]</f>
        <v>500000</v>
      </c>
      <c r="J1023" s="213" t="str">
        <f>IF(List34[[#This Row],[Tanggal Trf]]&gt;0,"Done","-")</f>
        <v>Done</v>
      </c>
      <c r="K1023" s="103" t="s">
        <v>1735</v>
      </c>
      <c r="L1023" s="223">
        <v>44914</v>
      </c>
      <c r="M1023" s="105" t="s">
        <v>1722</v>
      </c>
      <c r="N1023" s="100">
        <f>MONTH(List34[[#This Row],[Tanggal Pengajuan]])</f>
        <v>12</v>
      </c>
      <c r="O1023" s="183"/>
      <c r="P1023" s="105" t="s">
        <v>1763</v>
      </c>
      <c r="Q1023" s="111"/>
      <c r="R1023" s="229"/>
    </row>
    <row r="1024" spans="2:18" ht="30" customHeight="1" x14ac:dyDescent="0.2">
      <c r="B1024" s="102">
        <v>44896</v>
      </c>
      <c r="C1024" s="67"/>
      <c r="D1024" s="103" t="s">
        <v>1728</v>
      </c>
      <c r="E1024" s="103" t="s">
        <v>26</v>
      </c>
      <c r="F1024" s="105" t="s">
        <v>18</v>
      </c>
      <c r="G1024" s="23">
        <v>0</v>
      </c>
      <c r="H1024" s="271">
        <v>5000000</v>
      </c>
      <c r="I1024" s="258">
        <f>List34[[#This Row],[Pengajuan Donasi]]</f>
        <v>5000000</v>
      </c>
      <c r="J1024" s="213" t="str">
        <f>IF(List34[[#This Row],[Tanggal Trf]]&gt;0,"Done","-")</f>
        <v>Done</v>
      </c>
      <c r="K1024" s="103" t="s">
        <v>1735</v>
      </c>
      <c r="L1024" s="223">
        <v>44914</v>
      </c>
      <c r="M1024" s="105" t="s">
        <v>1723</v>
      </c>
      <c r="N1024" s="100">
        <f>MONTH(List34[[#This Row],[Tanggal Pengajuan]])</f>
        <v>12</v>
      </c>
      <c r="O1024" s="183"/>
      <c r="P1024" s="105" t="s">
        <v>1763</v>
      </c>
      <c r="Q1024" s="111"/>
      <c r="R1024" s="229"/>
    </row>
    <row r="1025" spans="2:18" ht="30" customHeight="1" x14ac:dyDescent="0.2">
      <c r="B1025" s="102">
        <v>44896</v>
      </c>
      <c r="C1025" s="67"/>
      <c r="D1025" s="103" t="s">
        <v>1729</v>
      </c>
      <c r="E1025" s="103" t="s">
        <v>26</v>
      </c>
      <c r="F1025" s="105" t="s">
        <v>18</v>
      </c>
      <c r="G1025" s="23">
        <v>0</v>
      </c>
      <c r="H1025" s="271">
        <v>500000</v>
      </c>
      <c r="I1025" s="258">
        <f>List34[[#This Row],[Pengajuan Donasi]]</f>
        <v>500000</v>
      </c>
      <c r="J1025" s="213" t="str">
        <f>IF(List34[[#This Row],[Tanggal Trf]]&gt;0,"Done","-")</f>
        <v>Done</v>
      </c>
      <c r="K1025" s="103" t="s">
        <v>1735</v>
      </c>
      <c r="L1025" s="223">
        <v>44914</v>
      </c>
      <c r="M1025" s="105" t="s">
        <v>1724</v>
      </c>
      <c r="N1025" s="100">
        <f>MONTH(List34[[#This Row],[Tanggal Pengajuan]])</f>
        <v>12</v>
      </c>
      <c r="O1025" s="183"/>
      <c r="P1025" s="105" t="s">
        <v>1763</v>
      </c>
      <c r="Q1025" s="111"/>
      <c r="R1025" s="229"/>
    </row>
    <row r="1026" spans="2:18" ht="30" customHeight="1" x14ac:dyDescent="0.2">
      <c r="B1026" s="102">
        <v>44896</v>
      </c>
      <c r="C1026" s="67"/>
      <c r="D1026" s="103" t="s">
        <v>1730</v>
      </c>
      <c r="E1026" s="103" t="s">
        <v>26</v>
      </c>
      <c r="F1026" s="105" t="s">
        <v>18</v>
      </c>
      <c r="G1026" s="23">
        <v>0</v>
      </c>
      <c r="H1026" s="271">
        <v>5000000</v>
      </c>
      <c r="I1026" s="258">
        <f>List34[[#This Row],[Pengajuan Donasi]]</f>
        <v>5000000</v>
      </c>
      <c r="J1026" s="213" t="str">
        <f>IF(List34[[#This Row],[Tanggal Trf]]&gt;0,"Done","-")</f>
        <v>Done</v>
      </c>
      <c r="K1026" s="103" t="s">
        <v>1735</v>
      </c>
      <c r="L1026" s="223">
        <v>44914</v>
      </c>
      <c r="M1026" s="105" t="s">
        <v>1725</v>
      </c>
      <c r="N1026" s="100">
        <f>MONTH(List34[[#This Row],[Tanggal Pengajuan]])</f>
        <v>12</v>
      </c>
      <c r="O1026" s="183"/>
      <c r="P1026" s="105" t="s">
        <v>1763</v>
      </c>
      <c r="Q1026" s="111"/>
      <c r="R1026" s="229"/>
    </row>
    <row r="1027" spans="2:18" ht="30" customHeight="1" x14ac:dyDescent="0.2">
      <c r="B1027" s="102">
        <v>44896</v>
      </c>
      <c r="C1027" s="67" t="s">
        <v>1751</v>
      </c>
      <c r="D1027" s="103" t="s">
        <v>129</v>
      </c>
      <c r="E1027" s="103" t="s">
        <v>179</v>
      </c>
      <c r="F1027" s="105" t="s">
        <v>18</v>
      </c>
      <c r="G1027" s="23"/>
      <c r="H1027" s="258">
        <v>10200000</v>
      </c>
      <c r="I1027" s="258">
        <f>List34[[#This Row],[Pengajuan Donasi]]</f>
        <v>10200000</v>
      </c>
      <c r="J1027" s="213" t="str">
        <f>IF(List34[[#This Row],[Tanggal Trf]]&gt;0,"Done","-")</f>
        <v>Done</v>
      </c>
      <c r="K1027" s="103" t="s">
        <v>1736</v>
      </c>
      <c r="L1027" s="223">
        <v>44900</v>
      </c>
      <c r="M1027" s="100" t="s">
        <v>503</v>
      </c>
      <c r="N1027" s="100">
        <f>MONTH(List34[[#This Row],[Tanggal Pengajuan]])</f>
        <v>12</v>
      </c>
      <c r="O1027" s="183"/>
      <c r="P1027" s="105" t="s">
        <v>1763</v>
      </c>
      <c r="Q1027" s="111"/>
      <c r="R1027" s="229"/>
    </row>
    <row r="1028" spans="2:18" ht="30" customHeight="1" x14ac:dyDescent="0.2">
      <c r="B1028" s="102">
        <v>44900</v>
      </c>
      <c r="C1028" s="67" t="s">
        <v>1755</v>
      </c>
      <c r="D1028" s="103" t="s">
        <v>1753</v>
      </c>
      <c r="E1028" s="103" t="s">
        <v>1055</v>
      </c>
      <c r="F1028" s="105" t="s">
        <v>28</v>
      </c>
      <c r="G1028" s="23">
        <f>IFERROR(VLOOKUP(List34[[#This Row],[Site / Lokasi]],[7]Data!B:C,2,0),0)</f>
        <v>0</v>
      </c>
      <c r="H1028" s="271">
        <v>91930000</v>
      </c>
      <c r="I1028" s="258">
        <f>List34[[#This Row],[Pengajuan Donasi]]</f>
        <v>91930000</v>
      </c>
      <c r="J1028" s="213" t="str">
        <f>IF(List34[[#This Row],[Tanggal Trf]]&gt;0,"Done","-")</f>
        <v>Done</v>
      </c>
      <c r="K1028" s="103" t="s">
        <v>1753</v>
      </c>
      <c r="L1028" s="223">
        <v>44903</v>
      </c>
      <c r="M1028" s="105" t="s">
        <v>1760</v>
      </c>
      <c r="N1028" s="100">
        <f>MONTH(List34[[#This Row],[Tanggal Pengajuan]])</f>
        <v>12</v>
      </c>
      <c r="O1028" s="183"/>
      <c r="P1028" s="105"/>
      <c r="Q1028" s="111"/>
      <c r="R1028" s="229"/>
    </row>
    <row r="1029" spans="2:18" ht="30" customHeight="1" x14ac:dyDescent="0.2">
      <c r="B1029" s="239">
        <v>44901</v>
      </c>
      <c r="C1029" s="163" t="s">
        <v>1756</v>
      </c>
      <c r="D1029" s="168" t="s">
        <v>1754</v>
      </c>
      <c r="E1029" s="168" t="s">
        <v>71</v>
      </c>
      <c r="F1029" s="166" t="s">
        <v>28</v>
      </c>
      <c r="G1029" s="971">
        <f>IFERROR(VLOOKUP(List34[[#This Row],[Site / Lokasi]],[7]Data!B:C,2,0),0)</f>
        <v>0</v>
      </c>
      <c r="H1029" s="972">
        <v>0</v>
      </c>
      <c r="I1029" s="258">
        <f>List34[[#This Row],[Pengajuan Donasi]]</f>
        <v>0</v>
      </c>
      <c r="J1029" s="213" t="str">
        <f>IF(List34[[#This Row],[Tanggal Trf]]&gt;0,"Done","-")</f>
        <v>-</v>
      </c>
      <c r="K1029" s="103" t="s">
        <v>1754</v>
      </c>
      <c r="L1029" s="223"/>
      <c r="M1029" s="105" t="s">
        <v>1759</v>
      </c>
      <c r="N1029" s="100">
        <f>MONTH(List34[[#This Row],[Tanggal Pengajuan]])</f>
        <v>12</v>
      </c>
      <c r="O1029" s="183"/>
      <c r="P1029" s="105" t="s">
        <v>677</v>
      </c>
      <c r="Q1029" s="111"/>
      <c r="R1029" s="229"/>
    </row>
    <row r="1030" spans="2:18" ht="30" customHeight="1" x14ac:dyDescent="0.2">
      <c r="B1030" s="102">
        <v>44902</v>
      </c>
      <c r="C1030" s="67" t="s">
        <v>1757</v>
      </c>
      <c r="D1030" s="103" t="s">
        <v>1341</v>
      </c>
      <c r="E1030" s="103" t="s">
        <v>1055</v>
      </c>
      <c r="F1030" s="105" t="s">
        <v>28</v>
      </c>
      <c r="G1030" s="23">
        <f>IFERROR(VLOOKUP(List34[[#This Row],[Site / Lokasi]],[7]Data!B:C,2,0),0)</f>
        <v>0</v>
      </c>
      <c r="H1030" s="271">
        <v>100000000</v>
      </c>
      <c r="I1030" s="258">
        <f>List34[[#This Row],[Pengajuan Donasi]]</f>
        <v>100000000</v>
      </c>
      <c r="J1030" s="213" t="str">
        <f>IF(List34[[#This Row],[Tanggal Trf]]&gt;0,"Done","-")</f>
        <v>Done</v>
      </c>
      <c r="K1030" s="103" t="s">
        <v>1341</v>
      </c>
      <c r="L1030" s="223">
        <v>44903</v>
      </c>
      <c r="M1030" s="100" t="s">
        <v>671</v>
      </c>
      <c r="N1030" s="100">
        <f>MONTH(List34[[#This Row],[Tanggal Pengajuan]])</f>
        <v>12</v>
      </c>
      <c r="O1030" s="183"/>
      <c r="P1030" s="105"/>
      <c r="Q1030" s="111"/>
      <c r="R1030" s="229"/>
    </row>
    <row r="1031" spans="2:18" ht="30" customHeight="1" x14ac:dyDescent="0.2">
      <c r="B1031" s="102">
        <v>44903</v>
      </c>
      <c r="C1031" s="67" t="s">
        <v>1758</v>
      </c>
      <c r="D1031" s="103" t="s">
        <v>423</v>
      </c>
      <c r="E1031" s="103" t="s">
        <v>57</v>
      </c>
      <c r="F1031" s="105" t="s">
        <v>28</v>
      </c>
      <c r="G1031" s="23">
        <f>IFERROR(VLOOKUP(List34[[#This Row],[Site / Lokasi]],[7]Data!B:C,2,0),0)</f>
        <v>0</v>
      </c>
      <c r="H1031" s="271">
        <v>30000000</v>
      </c>
      <c r="I1031" s="258">
        <f>List34[[#This Row],[Pengajuan Donasi]]</f>
        <v>30000000</v>
      </c>
      <c r="J1031" s="213" t="str">
        <f>IF(List34[[#This Row],[Tanggal Trf]]&gt;0,"Done","-")</f>
        <v>Done</v>
      </c>
      <c r="K1031" s="103" t="s">
        <v>1762</v>
      </c>
      <c r="L1031" s="223">
        <v>44916</v>
      </c>
      <c r="M1031" s="105" t="s">
        <v>1761</v>
      </c>
      <c r="N1031" s="100">
        <f>MONTH(List34[[#This Row],[Tanggal Pengajuan]])</f>
        <v>12</v>
      </c>
      <c r="O1031" s="183"/>
      <c r="P1031" s="105"/>
      <c r="Q1031" s="111"/>
      <c r="R1031" s="229"/>
    </row>
    <row r="1032" spans="2:18" ht="30" customHeight="1" x14ac:dyDescent="0.2">
      <c r="B1032" s="102">
        <v>44914</v>
      </c>
      <c r="C1032" s="67" t="s">
        <v>1776</v>
      </c>
      <c r="D1032" s="103" t="s">
        <v>1807</v>
      </c>
      <c r="E1032" s="103" t="s">
        <v>71</v>
      </c>
      <c r="F1032" s="105" t="s">
        <v>28</v>
      </c>
      <c r="G1032" s="23">
        <f>IFERROR(VLOOKUP(List34[[#This Row],[Site / Lokasi]],[7]Data!B:C,2,0),0)</f>
        <v>0</v>
      </c>
      <c r="H1032" s="271">
        <v>888000</v>
      </c>
      <c r="I1032" s="258">
        <f>List34[[#This Row],[Pengajuan Donasi]]</f>
        <v>888000</v>
      </c>
      <c r="J1032" s="213" t="str">
        <f>IF(List34[[#This Row],[Tanggal Trf]]&gt;0,"Done","-")</f>
        <v>Done</v>
      </c>
      <c r="K1032" s="103" t="s">
        <v>1766</v>
      </c>
      <c r="L1032" s="223">
        <v>44916</v>
      </c>
      <c r="M1032" s="105" t="s">
        <v>227</v>
      </c>
      <c r="N1032" s="100">
        <f>MONTH(List34[[#This Row],[Tanggal Pengajuan]])</f>
        <v>12</v>
      </c>
      <c r="O1032" s="183"/>
      <c r="P1032" s="105"/>
      <c r="Q1032" s="111"/>
      <c r="R1032" s="229"/>
    </row>
    <row r="1033" spans="2:18" ht="30" customHeight="1" x14ac:dyDescent="0.2">
      <c r="B1033" s="102">
        <v>44915</v>
      </c>
      <c r="C1033" s="67" t="s">
        <v>1777</v>
      </c>
      <c r="D1033" s="103" t="s">
        <v>1767</v>
      </c>
      <c r="E1033" s="103" t="s">
        <v>1054</v>
      </c>
      <c r="F1033" s="105" t="s">
        <v>28</v>
      </c>
      <c r="G1033" s="23">
        <f>IFERROR(VLOOKUP(List34[[#This Row],[Site / Lokasi]],[7]Data!B:C,2,0),0)</f>
        <v>0</v>
      </c>
      <c r="H1033" s="271">
        <v>5078250</v>
      </c>
      <c r="I1033" s="258">
        <f>List34[[#This Row],[Pengajuan Donasi]]</f>
        <v>5078250</v>
      </c>
      <c r="J1033" s="213" t="str">
        <f>IF(List34[[#This Row],[Tanggal Trf]]&gt;0,"Done","-")</f>
        <v>Done</v>
      </c>
      <c r="K1033" s="103" t="s">
        <v>1767</v>
      </c>
      <c r="L1033" s="223">
        <v>44916</v>
      </c>
      <c r="M1033" s="105" t="s">
        <v>1018</v>
      </c>
      <c r="N1033" s="100">
        <f>MONTH(List34[[#This Row],[Tanggal Pengajuan]])</f>
        <v>12</v>
      </c>
      <c r="O1033" s="183"/>
      <c r="P1033" s="105"/>
      <c r="Q1033" s="111"/>
      <c r="R1033" s="229"/>
    </row>
    <row r="1034" spans="2:18" ht="30" customHeight="1" x14ac:dyDescent="0.2">
      <c r="B1034" s="102">
        <v>44915</v>
      </c>
      <c r="C1034" s="67" t="s">
        <v>1778</v>
      </c>
      <c r="D1034" s="103" t="s">
        <v>872</v>
      </c>
      <c r="E1034" s="103" t="s">
        <v>17</v>
      </c>
      <c r="F1034" s="105" t="s">
        <v>18</v>
      </c>
      <c r="G1034" s="23">
        <f>IFERROR(VLOOKUP(List34[[#This Row],[Site / Lokasi]],[7]Data!B:C,2,0),0)</f>
        <v>0</v>
      </c>
      <c r="H1034" s="271">
        <v>5942500</v>
      </c>
      <c r="I1034" s="258">
        <f>List34[[#This Row],[Pengajuan Donasi]]</f>
        <v>5942500</v>
      </c>
      <c r="J1034" s="213" t="str">
        <f>IF(List34[[#This Row],[Tanggal Trf]]&gt;0,"Done","-")</f>
        <v>Done</v>
      </c>
      <c r="K1034" s="103" t="s">
        <v>1768</v>
      </c>
      <c r="L1034" s="223">
        <v>44916</v>
      </c>
      <c r="M1034" s="105" t="s">
        <v>1810</v>
      </c>
      <c r="N1034" s="100">
        <f>MONTH(List34[[#This Row],[Tanggal Pengajuan]])</f>
        <v>12</v>
      </c>
      <c r="O1034" s="183"/>
      <c r="P1034" s="105" t="s">
        <v>1763</v>
      </c>
      <c r="Q1034" s="111"/>
      <c r="R1034" s="229"/>
    </row>
    <row r="1035" spans="2:18" ht="30" customHeight="1" x14ac:dyDescent="0.2">
      <c r="B1035" s="102">
        <v>44915</v>
      </c>
      <c r="C1035" s="67"/>
      <c r="D1035" s="103" t="s">
        <v>871</v>
      </c>
      <c r="E1035" s="103" t="s">
        <v>17</v>
      </c>
      <c r="F1035" s="105" t="s">
        <v>18</v>
      </c>
      <c r="G1035" s="23">
        <f>IFERROR(VLOOKUP(List34[[#This Row],[Site / Lokasi]],[7]Data!B:C,2,0),0)</f>
        <v>0</v>
      </c>
      <c r="H1035" s="271">
        <v>6250750</v>
      </c>
      <c r="I1035" s="258">
        <f>List34[[#This Row],[Pengajuan Donasi]]</f>
        <v>6250750</v>
      </c>
      <c r="J1035" s="213" t="str">
        <f>IF(List34[[#This Row],[Tanggal Trf]]&gt;0,"Done","-")</f>
        <v>Done</v>
      </c>
      <c r="K1035" s="103" t="s">
        <v>1768</v>
      </c>
      <c r="L1035" s="223">
        <v>44916</v>
      </c>
      <c r="M1035" s="105" t="s">
        <v>1810</v>
      </c>
      <c r="N1035" s="100">
        <f>MONTH(List34[[#This Row],[Tanggal Pengajuan]])</f>
        <v>12</v>
      </c>
      <c r="O1035" s="183"/>
      <c r="P1035" s="105" t="s">
        <v>1763</v>
      </c>
      <c r="Q1035" s="111"/>
      <c r="R1035" s="229"/>
    </row>
    <row r="1036" spans="2:18" ht="30" customHeight="1" x14ac:dyDescent="0.2">
      <c r="B1036" s="102">
        <v>44915</v>
      </c>
      <c r="C1036" s="67"/>
      <c r="D1036" s="103" t="s">
        <v>870</v>
      </c>
      <c r="E1036" s="103" t="s">
        <v>17</v>
      </c>
      <c r="F1036" s="105" t="s">
        <v>18</v>
      </c>
      <c r="G1036" s="23">
        <f>IFERROR(VLOOKUP(List34[[#This Row],[Site / Lokasi]],[7]Data!B:C,2,0),0)</f>
        <v>0</v>
      </c>
      <c r="H1036" s="271">
        <v>6142500</v>
      </c>
      <c r="I1036" s="258">
        <f>List34[[#This Row],[Pengajuan Donasi]]</f>
        <v>6142500</v>
      </c>
      <c r="J1036" s="213" t="str">
        <f>IF(List34[[#This Row],[Tanggal Trf]]&gt;0,"Done","-")</f>
        <v>Done</v>
      </c>
      <c r="K1036" s="103" t="s">
        <v>1768</v>
      </c>
      <c r="L1036" s="223">
        <v>44916</v>
      </c>
      <c r="M1036" s="105" t="s">
        <v>1810</v>
      </c>
      <c r="N1036" s="100">
        <f>MONTH(List34[[#This Row],[Tanggal Pengajuan]])</f>
        <v>12</v>
      </c>
      <c r="O1036" s="183"/>
      <c r="P1036" s="105" t="s">
        <v>1763</v>
      </c>
      <c r="Q1036" s="111"/>
      <c r="R1036" s="229"/>
    </row>
    <row r="1037" spans="2:18" ht="30" customHeight="1" x14ac:dyDescent="0.2">
      <c r="B1037" s="102">
        <v>44915</v>
      </c>
      <c r="C1037" s="67"/>
      <c r="D1037" s="103" t="s">
        <v>124</v>
      </c>
      <c r="E1037" s="103" t="s">
        <v>17</v>
      </c>
      <c r="F1037" s="105" t="s">
        <v>18</v>
      </c>
      <c r="G1037" s="23">
        <f>IFERROR(VLOOKUP(List34[[#This Row],[Site / Lokasi]],[7]Data!B:C,2,0),0)</f>
        <v>0</v>
      </c>
      <c r="H1037" s="271">
        <v>6142500</v>
      </c>
      <c r="I1037" s="258">
        <f>List34[[#This Row],[Pengajuan Donasi]]</f>
        <v>6142500</v>
      </c>
      <c r="J1037" s="213" t="str">
        <f>IF(List34[[#This Row],[Tanggal Trf]]&gt;0,"Done","-")</f>
        <v>Done</v>
      </c>
      <c r="K1037" s="103" t="s">
        <v>1768</v>
      </c>
      <c r="L1037" s="223">
        <v>44916</v>
      </c>
      <c r="M1037" s="105" t="s">
        <v>1810</v>
      </c>
      <c r="N1037" s="100">
        <f>MONTH(List34[[#This Row],[Tanggal Pengajuan]])</f>
        <v>12</v>
      </c>
      <c r="O1037" s="183"/>
      <c r="P1037" s="105" t="s">
        <v>1763</v>
      </c>
      <c r="Q1037" s="111"/>
      <c r="R1037" s="229"/>
    </row>
    <row r="1038" spans="2:18" ht="30" customHeight="1" x14ac:dyDescent="0.2">
      <c r="B1038" s="102">
        <v>44915</v>
      </c>
      <c r="C1038" s="67"/>
      <c r="D1038" s="103" t="s">
        <v>869</v>
      </c>
      <c r="E1038" s="103" t="s">
        <v>17</v>
      </c>
      <c r="F1038" s="105" t="s">
        <v>18</v>
      </c>
      <c r="G1038" s="23">
        <f>IFERROR(VLOOKUP(List34[[#This Row],[Site / Lokasi]],[7]Data!B:C,2,0),0)</f>
        <v>0</v>
      </c>
      <c r="H1038" s="271">
        <v>3526000</v>
      </c>
      <c r="I1038" s="258">
        <f>List34[[#This Row],[Pengajuan Donasi]]</f>
        <v>3526000</v>
      </c>
      <c r="J1038" s="213" t="str">
        <f>IF(List34[[#This Row],[Tanggal Trf]]&gt;0,"Done","-")</f>
        <v>Done</v>
      </c>
      <c r="K1038" s="103" t="s">
        <v>1768</v>
      </c>
      <c r="L1038" s="223">
        <v>44916</v>
      </c>
      <c r="M1038" s="105" t="s">
        <v>1810</v>
      </c>
      <c r="N1038" s="100">
        <f>MONTH(List34[[#This Row],[Tanggal Pengajuan]])</f>
        <v>12</v>
      </c>
      <c r="O1038" s="183"/>
      <c r="P1038" s="105" t="s">
        <v>1763</v>
      </c>
      <c r="Q1038" s="111"/>
      <c r="R1038" s="229"/>
    </row>
    <row r="1039" spans="2:18" ht="30" customHeight="1" x14ac:dyDescent="0.2">
      <c r="B1039" s="102">
        <v>44915</v>
      </c>
      <c r="C1039" s="67"/>
      <c r="D1039" s="103" t="s">
        <v>238</v>
      </c>
      <c r="E1039" s="103" t="s">
        <v>17</v>
      </c>
      <c r="F1039" s="105" t="s">
        <v>18</v>
      </c>
      <c r="G1039" s="23">
        <f>IFERROR(VLOOKUP(List34[[#This Row],[Site / Lokasi]],[7]Data!B:C,2,0),0)</f>
        <v>0</v>
      </c>
      <c r="H1039" s="271">
        <v>2934900</v>
      </c>
      <c r="I1039" s="258">
        <f>List34[[#This Row],[Pengajuan Donasi]]</f>
        <v>2934900</v>
      </c>
      <c r="J1039" s="213" t="str">
        <f>IF(List34[[#This Row],[Tanggal Trf]]&gt;0,"Done","-")</f>
        <v>Done</v>
      </c>
      <c r="K1039" s="103" t="s">
        <v>1768</v>
      </c>
      <c r="L1039" s="223">
        <v>44916</v>
      </c>
      <c r="M1039" s="105" t="s">
        <v>1810</v>
      </c>
      <c r="N1039" s="100">
        <f>MONTH(List34[[#This Row],[Tanggal Pengajuan]])</f>
        <v>12</v>
      </c>
      <c r="O1039" s="183"/>
      <c r="P1039" s="105" t="s">
        <v>1763</v>
      </c>
      <c r="Q1039" s="111"/>
      <c r="R1039" s="229"/>
    </row>
    <row r="1040" spans="2:18" ht="30" customHeight="1" x14ac:dyDescent="0.2">
      <c r="B1040" s="102">
        <v>44915</v>
      </c>
      <c r="C1040" s="67"/>
      <c r="D1040" s="103" t="s">
        <v>849</v>
      </c>
      <c r="E1040" s="103" t="s">
        <v>17</v>
      </c>
      <c r="F1040" s="105" t="s">
        <v>18</v>
      </c>
      <c r="G1040" s="23">
        <f>IFERROR(VLOOKUP(List34[[#This Row],[Site / Lokasi]],[7]Data!B:C,2,0),0)</f>
        <v>0</v>
      </c>
      <c r="H1040" s="271">
        <v>908250</v>
      </c>
      <c r="I1040" s="258">
        <f>List34[[#This Row],[Pengajuan Donasi]]</f>
        <v>908250</v>
      </c>
      <c r="J1040" s="213" t="str">
        <f>IF(List34[[#This Row],[Tanggal Trf]]&gt;0,"Done","-")</f>
        <v>Done</v>
      </c>
      <c r="K1040" s="103" t="s">
        <v>1768</v>
      </c>
      <c r="L1040" s="223">
        <v>44916</v>
      </c>
      <c r="M1040" s="105" t="s">
        <v>1810</v>
      </c>
      <c r="N1040" s="100">
        <f>MONTH(List34[[#This Row],[Tanggal Pengajuan]])</f>
        <v>12</v>
      </c>
      <c r="O1040" s="183"/>
      <c r="P1040" s="105" t="s">
        <v>1763</v>
      </c>
      <c r="Q1040" s="111"/>
      <c r="R1040" s="229"/>
    </row>
    <row r="1041" spans="2:18" ht="30" customHeight="1" x14ac:dyDescent="0.2">
      <c r="B1041" s="102">
        <v>44915</v>
      </c>
      <c r="C1041" s="67"/>
      <c r="D1041" s="103" t="s">
        <v>850</v>
      </c>
      <c r="E1041" s="103" t="s">
        <v>17</v>
      </c>
      <c r="F1041" s="105" t="s">
        <v>18</v>
      </c>
      <c r="G1041" s="23">
        <f>IFERROR(VLOOKUP(List34[[#This Row],[Site / Lokasi]],[7]Data!B:C,2,0),0)</f>
        <v>0</v>
      </c>
      <c r="H1041" s="271">
        <v>3526000</v>
      </c>
      <c r="I1041" s="258">
        <f>List34[[#This Row],[Pengajuan Donasi]]</f>
        <v>3526000</v>
      </c>
      <c r="J1041" s="213" t="str">
        <f>IF(List34[[#This Row],[Tanggal Trf]]&gt;0,"Done","-")</f>
        <v>Done</v>
      </c>
      <c r="K1041" s="103" t="s">
        <v>1768</v>
      </c>
      <c r="L1041" s="223">
        <v>44916</v>
      </c>
      <c r="M1041" s="105" t="s">
        <v>1810</v>
      </c>
      <c r="N1041" s="100">
        <f>MONTH(List34[[#This Row],[Tanggal Pengajuan]])</f>
        <v>12</v>
      </c>
      <c r="O1041" s="183"/>
      <c r="P1041" s="105" t="s">
        <v>1763</v>
      </c>
      <c r="Q1041" s="111"/>
      <c r="R1041" s="229"/>
    </row>
    <row r="1042" spans="2:18" ht="30" customHeight="1" x14ac:dyDescent="0.2">
      <c r="B1042" s="102">
        <v>44915</v>
      </c>
      <c r="C1042" s="67"/>
      <c r="D1042" s="103" t="s">
        <v>853</v>
      </c>
      <c r="E1042" s="103" t="s">
        <v>17</v>
      </c>
      <c r="F1042" s="105" t="s">
        <v>18</v>
      </c>
      <c r="G1042" s="23">
        <f>IFERROR(VLOOKUP(List34[[#This Row],[Site / Lokasi]],[7]Data!B:C,2,0),0)</f>
        <v>0</v>
      </c>
      <c r="H1042" s="271">
        <v>1398000</v>
      </c>
      <c r="I1042" s="258">
        <f>List34[[#This Row],[Pengajuan Donasi]]</f>
        <v>1398000</v>
      </c>
      <c r="J1042" s="213" t="str">
        <f>IF(List34[[#This Row],[Tanggal Trf]]&gt;0,"Done","-")</f>
        <v>Done</v>
      </c>
      <c r="K1042" s="103" t="s">
        <v>1768</v>
      </c>
      <c r="L1042" s="223">
        <v>44916</v>
      </c>
      <c r="M1042" s="105" t="s">
        <v>1810</v>
      </c>
      <c r="N1042" s="100">
        <f>MONTH(List34[[#This Row],[Tanggal Pengajuan]])</f>
        <v>12</v>
      </c>
      <c r="O1042" s="183"/>
      <c r="P1042" s="105" t="s">
        <v>1763</v>
      </c>
      <c r="Q1042" s="111"/>
      <c r="R1042" s="229"/>
    </row>
    <row r="1043" spans="2:18" ht="30" customHeight="1" x14ac:dyDescent="0.2">
      <c r="B1043" s="102">
        <v>44915</v>
      </c>
      <c r="C1043" s="67"/>
      <c r="D1043" s="103" t="s">
        <v>856</v>
      </c>
      <c r="E1043" s="103" t="s">
        <v>17</v>
      </c>
      <c r="F1043" s="105" t="s">
        <v>18</v>
      </c>
      <c r="G1043" s="23">
        <f>IFERROR(VLOOKUP(List34[[#This Row],[Site / Lokasi]],[7]Data!B:C,2,0),0)</f>
        <v>0</v>
      </c>
      <c r="H1043" s="271">
        <v>908250</v>
      </c>
      <c r="I1043" s="258">
        <f>List34[[#This Row],[Pengajuan Donasi]]</f>
        <v>908250</v>
      </c>
      <c r="J1043" s="213" t="str">
        <f>IF(List34[[#This Row],[Tanggal Trf]]&gt;0,"Done","-")</f>
        <v>Done</v>
      </c>
      <c r="K1043" s="103" t="s">
        <v>1768</v>
      </c>
      <c r="L1043" s="223">
        <v>44916</v>
      </c>
      <c r="M1043" s="105" t="s">
        <v>1810</v>
      </c>
      <c r="N1043" s="100">
        <f>MONTH(List34[[#This Row],[Tanggal Pengajuan]])</f>
        <v>12</v>
      </c>
      <c r="O1043" s="183"/>
      <c r="P1043" s="105" t="s">
        <v>1763</v>
      </c>
      <c r="Q1043" s="111"/>
      <c r="R1043" s="229"/>
    </row>
    <row r="1044" spans="2:18" ht="30" customHeight="1" x14ac:dyDescent="0.2">
      <c r="B1044" s="102">
        <v>44915</v>
      </c>
      <c r="C1044" s="67"/>
      <c r="D1044" s="103" t="s">
        <v>857</v>
      </c>
      <c r="E1044" s="103" t="s">
        <v>17</v>
      </c>
      <c r="F1044" s="105" t="s">
        <v>18</v>
      </c>
      <c r="G1044" s="23">
        <f>IFERROR(VLOOKUP(List34[[#This Row],[Site / Lokasi]],[7]Data!B:C,2,0),0)</f>
        <v>0</v>
      </c>
      <c r="H1044" s="271">
        <v>6142500</v>
      </c>
      <c r="I1044" s="258">
        <f>List34[[#This Row],[Pengajuan Donasi]]</f>
        <v>6142500</v>
      </c>
      <c r="J1044" s="213" t="str">
        <f>IF(List34[[#This Row],[Tanggal Trf]]&gt;0,"Done","-")</f>
        <v>Done</v>
      </c>
      <c r="K1044" s="103" t="s">
        <v>1768</v>
      </c>
      <c r="L1044" s="223">
        <v>44916</v>
      </c>
      <c r="M1044" s="105" t="s">
        <v>1810</v>
      </c>
      <c r="N1044" s="100">
        <f>MONTH(List34[[#This Row],[Tanggal Pengajuan]])</f>
        <v>12</v>
      </c>
      <c r="O1044" s="183"/>
      <c r="P1044" s="105" t="s">
        <v>1763</v>
      </c>
      <c r="Q1044" s="111"/>
      <c r="R1044" s="229"/>
    </row>
    <row r="1045" spans="2:18" ht="30" customHeight="1" x14ac:dyDescent="0.2">
      <c r="B1045" s="102">
        <v>44915</v>
      </c>
      <c r="C1045" s="67"/>
      <c r="D1045" s="103" t="s">
        <v>328</v>
      </c>
      <c r="E1045" s="103" t="s">
        <v>17</v>
      </c>
      <c r="F1045" s="105" t="s">
        <v>18</v>
      </c>
      <c r="G1045" s="23">
        <f>IFERROR(VLOOKUP(List34[[#This Row],[Site / Lokasi]],[7]Data!B:C,2,0),0)</f>
        <v>0</v>
      </c>
      <c r="H1045" s="271">
        <v>2724750</v>
      </c>
      <c r="I1045" s="258">
        <f>List34[[#This Row],[Pengajuan Donasi]]</f>
        <v>2724750</v>
      </c>
      <c r="J1045" s="213" t="str">
        <f>IF(List34[[#This Row],[Tanggal Trf]]&gt;0,"Done","-")</f>
        <v>Done</v>
      </c>
      <c r="K1045" s="103" t="s">
        <v>1768</v>
      </c>
      <c r="L1045" s="223">
        <v>44916</v>
      </c>
      <c r="M1045" s="105" t="s">
        <v>1810</v>
      </c>
      <c r="N1045" s="100">
        <f>MONTH(List34[[#This Row],[Tanggal Pengajuan]])</f>
        <v>12</v>
      </c>
      <c r="O1045" s="183"/>
      <c r="P1045" s="105" t="s">
        <v>1763</v>
      </c>
      <c r="Q1045" s="111"/>
      <c r="R1045" s="229"/>
    </row>
    <row r="1046" spans="2:18" ht="30" customHeight="1" x14ac:dyDescent="0.2">
      <c r="B1046" s="102">
        <v>44915</v>
      </c>
      <c r="C1046" s="67"/>
      <c r="D1046" s="103" t="s">
        <v>362</v>
      </c>
      <c r="E1046" s="103" t="s">
        <v>17</v>
      </c>
      <c r="F1046" s="105" t="s">
        <v>18</v>
      </c>
      <c r="G1046" s="23">
        <f>IFERROR(VLOOKUP(List34[[#This Row],[Site / Lokasi]],[7]Data!B:C,2,0),0)</f>
        <v>0</v>
      </c>
      <c r="H1046" s="271">
        <v>3276000</v>
      </c>
      <c r="I1046" s="258">
        <f>List34[[#This Row],[Pengajuan Donasi]]</f>
        <v>3276000</v>
      </c>
      <c r="J1046" s="213" t="str">
        <f>IF(List34[[#This Row],[Tanggal Trf]]&gt;0,"Done","-")</f>
        <v>Done</v>
      </c>
      <c r="K1046" s="103" t="s">
        <v>1768</v>
      </c>
      <c r="L1046" s="223">
        <v>44916</v>
      </c>
      <c r="M1046" s="105" t="s">
        <v>1810</v>
      </c>
      <c r="N1046" s="100">
        <f>MONTH(List34[[#This Row],[Tanggal Pengajuan]])</f>
        <v>12</v>
      </c>
      <c r="O1046" s="183"/>
      <c r="P1046" s="105" t="s">
        <v>1763</v>
      </c>
      <c r="Q1046" s="111"/>
      <c r="R1046" s="229"/>
    </row>
    <row r="1047" spans="2:18" ht="30" customHeight="1" x14ac:dyDescent="0.2">
      <c r="B1047" s="102">
        <v>44915</v>
      </c>
      <c r="C1047" s="67"/>
      <c r="D1047" s="103" t="s">
        <v>860</v>
      </c>
      <c r="E1047" s="103" t="s">
        <v>17</v>
      </c>
      <c r="F1047" s="105" t="s">
        <v>18</v>
      </c>
      <c r="G1047" s="23">
        <f>IFERROR(VLOOKUP(List34[[#This Row],[Site / Lokasi]],[7]Data!B:C,2,0),0)</f>
        <v>0</v>
      </c>
      <c r="H1047" s="271">
        <v>238800</v>
      </c>
      <c r="I1047" s="258">
        <f>List34[[#This Row],[Pengajuan Donasi]]</f>
        <v>238800</v>
      </c>
      <c r="J1047" s="213" t="str">
        <f>IF(List34[[#This Row],[Tanggal Trf]]&gt;0,"Done","-")</f>
        <v>Done</v>
      </c>
      <c r="K1047" s="103" t="s">
        <v>1768</v>
      </c>
      <c r="L1047" s="223">
        <v>44916</v>
      </c>
      <c r="M1047" s="105" t="s">
        <v>1810</v>
      </c>
      <c r="N1047" s="100">
        <f>MONTH(List34[[#This Row],[Tanggal Pengajuan]])</f>
        <v>12</v>
      </c>
      <c r="O1047" s="183"/>
      <c r="P1047" s="105" t="s">
        <v>1763</v>
      </c>
      <c r="Q1047" s="111"/>
      <c r="R1047" s="229"/>
    </row>
    <row r="1048" spans="2:18" ht="30" customHeight="1" x14ac:dyDescent="0.2">
      <c r="B1048" s="102">
        <v>44915</v>
      </c>
      <c r="C1048" s="67"/>
      <c r="D1048" s="103" t="s">
        <v>862</v>
      </c>
      <c r="E1048" s="103" t="s">
        <v>17</v>
      </c>
      <c r="F1048" s="105" t="s">
        <v>18</v>
      </c>
      <c r="G1048" s="23">
        <f>IFERROR(VLOOKUP(List34[[#This Row],[Site / Lokasi]],[7]Data!B:C,2,0),0)</f>
        <v>0</v>
      </c>
      <c r="H1048" s="271">
        <v>1816500</v>
      </c>
      <c r="I1048" s="258">
        <f>List34[[#This Row],[Pengajuan Donasi]]</f>
        <v>1816500</v>
      </c>
      <c r="J1048" s="213" t="str">
        <f>IF(List34[[#This Row],[Tanggal Trf]]&gt;0,"Done","-")</f>
        <v>Done</v>
      </c>
      <c r="K1048" s="103" t="s">
        <v>1768</v>
      </c>
      <c r="L1048" s="223">
        <v>44916</v>
      </c>
      <c r="M1048" s="105" t="s">
        <v>1810</v>
      </c>
      <c r="N1048" s="100">
        <f>MONTH(List34[[#This Row],[Tanggal Pengajuan]])</f>
        <v>12</v>
      </c>
      <c r="O1048" s="183"/>
      <c r="P1048" s="105" t="s">
        <v>1763</v>
      </c>
      <c r="Q1048" s="111"/>
      <c r="R1048" s="229"/>
    </row>
    <row r="1049" spans="2:18" ht="30" customHeight="1" x14ac:dyDescent="0.2">
      <c r="B1049" s="102">
        <v>44915</v>
      </c>
      <c r="C1049" s="67"/>
      <c r="D1049" s="103" t="s">
        <v>864</v>
      </c>
      <c r="E1049" s="103" t="s">
        <v>17</v>
      </c>
      <c r="F1049" s="105" t="s">
        <v>18</v>
      </c>
      <c r="G1049" s="23">
        <f>IFERROR(VLOOKUP(List34[[#This Row],[Site / Lokasi]],[7]Data!B:C,2,0),0)</f>
        <v>0</v>
      </c>
      <c r="H1049" s="271">
        <v>1155000</v>
      </c>
      <c r="I1049" s="258">
        <f>List34[[#This Row],[Pengajuan Donasi]]</f>
        <v>1155000</v>
      </c>
      <c r="J1049" s="213" t="str">
        <f>IF(List34[[#This Row],[Tanggal Trf]]&gt;0,"Done","-")</f>
        <v>Done</v>
      </c>
      <c r="K1049" s="103" t="s">
        <v>1768</v>
      </c>
      <c r="L1049" s="223">
        <v>44916</v>
      </c>
      <c r="M1049" s="105" t="s">
        <v>1810</v>
      </c>
      <c r="N1049" s="100">
        <f>MONTH(List34[[#This Row],[Tanggal Pengajuan]])</f>
        <v>12</v>
      </c>
      <c r="O1049" s="183"/>
      <c r="P1049" s="105" t="s">
        <v>1763</v>
      </c>
      <c r="Q1049" s="111"/>
      <c r="R1049" s="229"/>
    </row>
    <row r="1050" spans="2:18" ht="30" customHeight="1" x14ac:dyDescent="0.2">
      <c r="B1050" s="102">
        <v>44915</v>
      </c>
      <c r="C1050" s="67"/>
      <c r="D1050" s="103" t="s">
        <v>865</v>
      </c>
      <c r="E1050" s="103" t="s">
        <v>17</v>
      </c>
      <c r="F1050" s="105" t="s">
        <v>18</v>
      </c>
      <c r="G1050" s="23">
        <f>IFERROR(VLOOKUP(List34[[#This Row],[Site / Lokasi]],[7]Data!B:C,2,0),0)</f>
        <v>0</v>
      </c>
      <c r="H1050" s="271">
        <v>908250</v>
      </c>
      <c r="I1050" s="258">
        <f>List34[[#This Row],[Pengajuan Donasi]]</f>
        <v>908250</v>
      </c>
      <c r="J1050" s="213" t="str">
        <f>IF(List34[[#This Row],[Tanggal Trf]]&gt;0,"Done","-")</f>
        <v>Done</v>
      </c>
      <c r="K1050" s="103" t="s">
        <v>1768</v>
      </c>
      <c r="L1050" s="223">
        <v>44916</v>
      </c>
      <c r="M1050" s="105" t="s">
        <v>1810</v>
      </c>
      <c r="N1050" s="100">
        <f>MONTH(List34[[#This Row],[Tanggal Pengajuan]])</f>
        <v>12</v>
      </c>
      <c r="O1050" s="183"/>
      <c r="P1050" s="105" t="s">
        <v>1763</v>
      </c>
      <c r="Q1050" s="111"/>
      <c r="R1050" s="229"/>
    </row>
    <row r="1051" spans="2:18" ht="30" customHeight="1" x14ac:dyDescent="0.2">
      <c r="B1051" s="102">
        <v>44915</v>
      </c>
      <c r="C1051" s="67"/>
      <c r="D1051" s="103" t="s">
        <v>866</v>
      </c>
      <c r="E1051" s="103" t="s">
        <v>17</v>
      </c>
      <c r="F1051" s="105" t="s">
        <v>18</v>
      </c>
      <c r="G1051" s="23">
        <f>IFERROR(VLOOKUP(List34[[#This Row],[Site / Lokasi]],[7]Data!B:C,2,0),0)</f>
        <v>0</v>
      </c>
      <c r="H1051" s="271">
        <v>2724750</v>
      </c>
      <c r="I1051" s="258">
        <f>List34[[#This Row],[Pengajuan Donasi]]</f>
        <v>2724750</v>
      </c>
      <c r="J1051" s="213" t="str">
        <f>IF(List34[[#This Row],[Tanggal Trf]]&gt;0,"Done","-")</f>
        <v>Done</v>
      </c>
      <c r="K1051" s="103" t="s">
        <v>1768</v>
      </c>
      <c r="L1051" s="223">
        <v>44916</v>
      </c>
      <c r="M1051" s="105" t="s">
        <v>1810</v>
      </c>
      <c r="N1051" s="100">
        <f>MONTH(List34[[#This Row],[Tanggal Pengajuan]])</f>
        <v>12</v>
      </c>
      <c r="O1051" s="183"/>
      <c r="P1051" s="105" t="s">
        <v>1763</v>
      </c>
      <c r="Q1051" s="111"/>
      <c r="R1051" s="229"/>
    </row>
    <row r="1052" spans="2:18" ht="30" customHeight="1" x14ac:dyDescent="0.2">
      <c r="B1052" s="102">
        <v>44915</v>
      </c>
      <c r="C1052" s="67"/>
      <c r="D1052" s="103" t="s">
        <v>1099</v>
      </c>
      <c r="E1052" s="103" t="s">
        <v>17</v>
      </c>
      <c r="F1052" s="105" t="s">
        <v>18</v>
      </c>
      <c r="G1052" s="23">
        <f>IFERROR(VLOOKUP(List34[[#This Row],[Site / Lokasi]],[7]Data!B:C,2,0),0)</f>
        <v>0</v>
      </c>
      <c r="H1052" s="271">
        <v>4184250</v>
      </c>
      <c r="I1052" s="258">
        <f>List34[[#This Row],[Pengajuan Donasi]]</f>
        <v>4184250</v>
      </c>
      <c r="J1052" s="213" t="str">
        <f>IF(List34[[#This Row],[Tanggal Trf]]&gt;0,"Done","-")</f>
        <v>Done</v>
      </c>
      <c r="K1052" s="103" t="s">
        <v>1768</v>
      </c>
      <c r="L1052" s="223">
        <v>44916</v>
      </c>
      <c r="M1052" s="105" t="s">
        <v>1810</v>
      </c>
      <c r="N1052" s="100">
        <f>MONTH(List34[[#This Row],[Tanggal Pengajuan]])</f>
        <v>12</v>
      </c>
      <c r="O1052" s="183"/>
      <c r="P1052" s="105" t="s">
        <v>1763</v>
      </c>
      <c r="Q1052" s="111"/>
      <c r="R1052" s="229"/>
    </row>
    <row r="1053" spans="2:18" ht="30" customHeight="1" x14ac:dyDescent="0.2">
      <c r="B1053" s="102">
        <v>44915</v>
      </c>
      <c r="C1053" s="67" t="s">
        <v>1779</v>
      </c>
      <c r="D1053" s="103" t="s">
        <v>868</v>
      </c>
      <c r="E1053" s="103" t="s">
        <v>17</v>
      </c>
      <c r="F1053" s="105" t="s">
        <v>18</v>
      </c>
      <c r="G1053" s="23">
        <f>IFERROR(VLOOKUP(List34[[#This Row],[Site / Lokasi]],[7]Data!B:C,2,0),0)</f>
        <v>0</v>
      </c>
      <c r="H1053" s="271">
        <v>2500000</v>
      </c>
      <c r="I1053" s="258">
        <f>List34[[#This Row],[Pengajuan Donasi]]</f>
        <v>2500000</v>
      </c>
      <c r="J1053" s="213" t="str">
        <f>IF(List34[[#This Row],[Tanggal Trf]]&gt;0,"Done","-")</f>
        <v>Done</v>
      </c>
      <c r="K1053" s="103" t="s">
        <v>1788</v>
      </c>
      <c r="L1053" s="223">
        <v>44916</v>
      </c>
      <c r="M1053" s="100" t="s">
        <v>1213</v>
      </c>
      <c r="N1053" s="100">
        <f>MONTH(List34[[#This Row],[Tanggal Pengajuan]])</f>
        <v>12</v>
      </c>
      <c r="O1053" s="183"/>
      <c r="P1053" s="105" t="s">
        <v>1763</v>
      </c>
      <c r="Q1053" s="111"/>
      <c r="R1053" s="229"/>
    </row>
    <row r="1054" spans="2:18" ht="30" customHeight="1" x14ac:dyDescent="0.2">
      <c r="B1054" s="102">
        <v>44915</v>
      </c>
      <c r="C1054" s="67"/>
      <c r="D1054" s="103" t="s">
        <v>867</v>
      </c>
      <c r="E1054" s="103" t="s">
        <v>17</v>
      </c>
      <c r="F1054" s="105" t="s">
        <v>18</v>
      </c>
      <c r="G1054" s="23">
        <f>IFERROR(VLOOKUP(List34[[#This Row],[Site / Lokasi]],[7]Data!B:C,2,0),0)</f>
        <v>0</v>
      </c>
      <c r="H1054" s="271">
        <v>6000000</v>
      </c>
      <c r="I1054" s="258">
        <f>List34[[#This Row],[Pengajuan Donasi]]</f>
        <v>6000000</v>
      </c>
      <c r="J1054" s="213" t="str">
        <f>IF(List34[[#This Row],[Tanggal Trf]]&gt;0,"Done","-")</f>
        <v>Done</v>
      </c>
      <c r="K1054" s="103" t="s">
        <v>1788</v>
      </c>
      <c r="L1054" s="223">
        <v>44916</v>
      </c>
      <c r="M1054" s="100" t="s">
        <v>1213</v>
      </c>
      <c r="N1054" s="100">
        <f>MONTH(List34[[#This Row],[Tanggal Pengajuan]])</f>
        <v>12</v>
      </c>
      <c r="O1054" s="183"/>
      <c r="P1054" s="105" t="s">
        <v>1763</v>
      </c>
      <c r="Q1054" s="111"/>
      <c r="R1054" s="229"/>
    </row>
    <row r="1055" spans="2:18" ht="30" customHeight="1" x14ac:dyDescent="0.2">
      <c r="B1055" s="102">
        <v>44915</v>
      </c>
      <c r="C1055" s="67"/>
      <c r="D1055" s="103" t="s">
        <v>850</v>
      </c>
      <c r="E1055" s="103" t="s">
        <v>17</v>
      </c>
      <c r="F1055" s="105" t="s">
        <v>18</v>
      </c>
      <c r="G1055" s="23">
        <f>IFERROR(VLOOKUP(List34[[#This Row],[Site / Lokasi]],[7]Data!B:C,2,0),0)</f>
        <v>0</v>
      </c>
      <c r="H1055" s="271">
        <v>2500000</v>
      </c>
      <c r="I1055" s="258">
        <f>List34[[#This Row],[Pengajuan Donasi]]</f>
        <v>2500000</v>
      </c>
      <c r="J1055" s="213" t="str">
        <f>IF(List34[[#This Row],[Tanggal Trf]]&gt;0,"Done","-")</f>
        <v>Done</v>
      </c>
      <c r="K1055" s="103" t="s">
        <v>1788</v>
      </c>
      <c r="L1055" s="223">
        <v>44916</v>
      </c>
      <c r="M1055" s="100" t="s">
        <v>1213</v>
      </c>
      <c r="N1055" s="100">
        <f>MONTH(List34[[#This Row],[Tanggal Pengajuan]])</f>
        <v>12</v>
      </c>
      <c r="O1055" s="183"/>
      <c r="P1055" s="105" t="s">
        <v>1763</v>
      </c>
      <c r="Q1055" s="111"/>
      <c r="R1055" s="229"/>
    </row>
    <row r="1056" spans="2:18" ht="30" customHeight="1" x14ac:dyDescent="0.2">
      <c r="B1056" s="102">
        <v>44915</v>
      </c>
      <c r="C1056" s="67"/>
      <c r="D1056" s="103" t="s">
        <v>851</v>
      </c>
      <c r="E1056" s="103" t="s">
        <v>17</v>
      </c>
      <c r="F1056" s="105" t="s">
        <v>18</v>
      </c>
      <c r="G1056" s="23">
        <f>IFERROR(VLOOKUP(List34[[#This Row],[Site / Lokasi]],[7]Data!B:C,2,0),0)</f>
        <v>0</v>
      </c>
      <c r="H1056" s="271">
        <v>6000000</v>
      </c>
      <c r="I1056" s="258">
        <f>List34[[#This Row],[Pengajuan Donasi]]</f>
        <v>6000000</v>
      </c>
      <c r="J1056" s="213" t="str">
        <f>IF(List34[[#This Row],[Tanggal Trf]]&gt;0,"Done","-")</f>
        <v>Done</v>
      </c>
      <c r="K1056" s="103" t="s">
        <v>1788</v>
      </c>
      <c r="L1056" s="223">
        <v>44916</v>
      </c>
      <c r="M1056" s="100" t="s">
        <v>1213</v>
      </c>
      <c r="N1056" s="100">
        <f>MONTH(List34[[#This Row],[Tanggal Pengajuan]])</f>
        <v>12</v>
      </c>
      <c r="O1056" s="183"/>
      <c r="P1056" s="105" t="s">
        <v>1763</v>
      </c>
      <c r="Q1056" s="111"/>
      <c r="R1056" s="229"/>
    </row>
    <row r="1057" spans="2:18" ht="30" customHeight="1" x14ac:dyDescent="0.2">
      <c r="B1057" s="102">
        <v>44915</v>
      </c>
      <c r="C1057" s="67"/>
      <c r="D1057" s="103" t="s">
        <v>854</v>
      </c>
      <c r="E1057" s="103" t="s">
        <v>17</v>
      </c>
      <c r="F1057" s="105" t="s">
        <v>18</v>
      </c>
      <c r="G1057" s="23">
        <f>IFERROR(VLOOKUP(List34[[#This Row],[Site / Lokasi]],[7]Data!B:C,2,0),0)</f>
        <v>0</v>
      </c>
      <c r="H1057" s="271">
        <v>6000000</v>
      </c>
      <c r="I1057" s="258">
        <f>List34[[#This Row],[Pengajuan Donasi]]</f>
        <v>6000000</v>
      </c>
      <c r="J1057" s="213" t="str">
        <f>IF(List34[[#This Row],[Tanggal Trf]]&gt;0,"Done","-")</f>
        <v>Done</v>
      </c>
      <c r="K1057" s="103" t="s">
        <v>1788</v>
      </c>
      <c r="L1057" s="223">
        <v>44916</v>
      </c>
      <c r="M1057" s="100" t="s">
        <v>1213</v>
      </c>
      <c r="N1057" s="100">
        <f>MONTH(List34[[#This Row],[Tanggal Pengajuan]])</f>
        <v>12</v>
      </c>
      <c r="O1057" s="183"/>
      <c r="P1057" s="105" t="s">
        <v>1763</v>
      </c>
      <c r="Q1057" s="111"/>
      <c r="R1057" s="229"/>
    </row>
    <row r="1058" spans="2:18" ht="30" customHeight="1" x14ac:dyDescent="0.2">
      <c r="B1058" s="102">
        <v>44915</v>
      </c>
      <c r="C1058" s="67"/>
      <c r="D1058" s="103" t="s">
        <v>855</v>
      </c>
      <c r="E1058" s="103" t="s">
        <v>17</v>
      </c>
      <c r="F1058" s="105" t="s">
        <v>18</v>
      </c>
      <c r="G1058" s="23">
        <f>IFERROR(VLOOKUP(List34[[#This Row],[Site / Lokasi]],[7]Data!B:C,2,0),0)</f>
        <v>0</v>
      </c>
      <c r="H1058" s="271">
        <v>6000000</v>
      </c>
      <c r="I1058" s="258">
        <f>List34[[#This Row],[Pengajuan Donasi]]</f>
        <v>6000000</v>
      </c>
      <c r="J1058" s="213" t="str">
        <f>IF(List34[[#This Row],[Tanggal Trf]]&gt;0,"Done","-")</f>
        <v>Done</v>
      </c>
      <c r="K1058" s="103" t="s">
        <v>1788</v>
      </c>
      <c r="L1058" s="223">
        <v>44916</v>
      </c>
      <c r="M1058" s="100" t="s">
        <v>1213</v>
      </c>
      <c r="N1058" s="100">
        <f>MONTH(List34[[#This Row],[Tanggal Pengajuan]])</f>
        <v>12</v>
      </c>
      <c r="O1058" s="183"/>
      <c r="P1058" s="105" t="s">
        <v>1763</v>
      </c>
      <c r="Q1058" s="111"/>
      <c r="R1058" s="229"/>
    </row>
    <row r="1059" spans="2:18" ht="30" customHeight="1" x14ac:dyDescent="0.2">
      <c r="B1059" s="102">
        <v>44915</v>
      </c>
      <c r="C1059" s="67"/>
      <c r="D1059" s="103" t="s">
        <v>858</v>
      </c>
      <c r="E1059" s="103" t="s">
        <v>17</v>
      </c>
      <c r="F1059" s="105" t="s">
        <v>18</v>
      </c>
      <c r="G1059" s="23">
        <f>IFERROR(VLOOKUP(List34[[#This Row],[Site / Lokasi]],[7]Data!B:C,2,0),0)</f>
        <v>0</v>
      </c>
      <c r="H1059" s="271">
        <v>6000000</v>
      </c>
      <c r="I1059" s="258">
        <f>List34[[#This Row],[Pengajuan Donasi]]</f>
        <v>6000000</v>
      </c>
      <c r="J1059" s="213" t="str">
        <f>IF(List34[[#This Row],[Tanggal Trf]]&gt;0,"Done","-")</f>
        <v>Done</v>
      </c>
      <c r="K1059" s="103" t="s">
        <v>1788</v>
      </c>
      <c r="L1059" s="223">
        <v>44916</v>
      </c>
      <c r="M1059" s="100" t="s">
        <v>1213</v>
      </c>
      <c r="N1059" s="100">
        <f>MONTH(List34[[#This Row],[Tanggal Pengajuan]])</f>
        <v>12</v>
      </c>
      <c r="O1059" s="183"/>
      <c r="P1059" s="105" t="s">
        <v>1763</v>
      </c>
      <c r="Q1059" s="111"/>
      <c r="R1059" s="229"/>
    </row>
    <row r="1060" spans="2:18" ht="30" customHeight="1" x14ac:dyDescent="0.2">
      <c r="B1060" s="102">
        <v>44915</v>
      </c>
      <c r="C1060" s="67"/>
      <c r="D1060" s="103" t="s">
        <v>391</v>
      </c>
      <c r="E1060" s="103" t="s">
        <v>17</v>
      </c>
      <c r="F1060" s="105" t="s">
        <v>18</v>
      </c>
      <c r="G1060" s="23">
        <f>IFERROR(VLOOKUP(List34[[#This Row],[Site / Lokasi]],[7]Data!B:C,2,0),0)</f>
        <v>0</v>
      </c>
      <c r="H1060" s="271">
        <v>6000000</v>
      </c>
      <c r="I1060" s="258">
        <f>List34[[#This Row],[Pengajuan Donasi]]</f>
        <v>6000000</v>
      </c>
      <c r="J1060" s="213" t="str">
        <f>IF(List34[[#This Row],[Tanggal Trf]]&gt;0,"Done","-")</f>
        <v>Done</v>
      </c>
      <c r="K1060" s="103" t="s">
        <v>1788</v>
      </c>
      <c r="L1060" s="223">
        <v>44916</v>
      </c>
      <c r="M1060" s="100" t="s">
        <v>1213</v>
      </c>
      <c r="N1060" s="100">
        <f>MONTH(List34[[#This Row],[Tanggal Pengajuan]])</f>
        <v>12</v>
      </c>
      <c r="O1060" s="183"/>
      <c r="P1060" s="105" t="s">
        <v>1763</v>
      </c>
      <c r="Q1060" s="111"/>
      <c r="R1060" s="229"/>
    </row>
    <row r="1061" spans="2:18" ht="30" customHeight="1" x14ac:dyDescent="0.2">
      <c r="B1061" s="102">
        <v>44915</v>
      </c>
      <c r="C1061" s="67"/>
      <c r="D1061" s="103" t="s">
        <v>1115</v>
      </c>
      <c r="E1061" s="103" t="s">
        <v>17</v>
      </c>
      <c r="F1061" s="105" t="s">
        <v>18</v>
      </c>
      <c r="G1061" s="23">
        <f>IFERROR(VLOOKUP(List34[[#This Row],[Site / Lokasi]],[7]Data!B:C,2,0),0)</f>
        <v>0</v>
      </c>
      <c r="H1061" s="271">
        <v>6000000</v>
      </c>
      <c r="I1061" s="258">
        <f>List34[[#This Row],[Pengajuan Donasi]]</f>
        <v>6000000</v>
      </c>
      <c r="J1061" s="213" t="str">
        <f>IF(List34[[#This Row],[Tanggal Trf]]&gt;0,"Done","-")</f>
        <v>Done</v>
      </c>
      <c r="K1061" s="103" t="s">
        <v>1788</v>
      </c>
      <c r="L1061" s="223">
        <v>44916</v>
      </c>
      <c r="M1061" s="100" t="s">
        <v>1213</v>
      </c>
      <c r="N1061" s="100">
        <f>MONTH(List34[[#This Row],[Tanggal Pengajuan]])</f>
        <v>12</v>
      </c>
      <c r="O1061" s="183"/>
      <c r="P1061" s="105" t="s">
        <v>1763</v>
      </c>
      <c r="Q1061" s="111"/>
      <c r="R1061" s="229"/>
    </row>
    <row r="1062" spans="2:18" ht="30" customHeight="1" x14ac:dyDescent="0.2">
      <c r="B1062" s="102">
        <v>44915</v>
      </c>
      <c r="C1062" s="67" t="s">
        <v>1780</v>
      </c>
      <c r="D1062" s="103" t="s">
        <v>228</v>
      </c>
      <c r="E1062" s="103" t="s">
        <v>17</v>
      </c>
      <c r="F1062" s="105" t="s">
        <v>18</v>
      </c>
      <c r="G1062" s="23">
        <f>IFERROR(VLOOKUP(List34[[#This Row],[Site / Lokasi]],[7]Data!B:C,2,0),0)</f>
        <v>0</v>
      </c>
      <c r="H1062" s="271">
        <v>2999000</v>
      </c>
      <c r="I1062" s="258">
        <f>List34[[#This Row],[Pengajuan Donasi]]</f>
        <v>2999000</v>
      </c>
      <c r="J1062" s="213" t="str">
        <f>IF(List34[[#This Row],[Tanggal Trf]]&gt;0,"Done","-")</f>
        <v>Done</v>
      </c>
      <c r="K1062" s="103" t="s">
        <v>1769</v>
      </c>
      <c r="L1062" s="223">
        <v>44916</v>
      </c>
      <c r="M1062" s="105" t="s">
        <v>683</v>
      </c>
      <c r="N1062" s="100">
        <f>MONTH(List34[[#This Row],[Tanggal Pengajuan]])</f>
        <v>12</v>
      </c>
      <c r="O1062" s="183"/>
      <c r="P1062" s="105" t="s">
        <v>1763</v>
      </c>
      <c r="Q1062" s="111"/>
      <c r="R1062" s="229"/>
    </row>
    <row r="1063" spans="2:18" ht="30" customHeight="1" x14ac:dyDescent="0.2">
      <c r="B1063" s="102">
        <v>44915</v>
      </c>
      <c r="C1063" s="67"/>
      <c r="D1063" s="103" t="s">
        <v>868</v>
      </c>
      <c r="E1063" s="103" t="s">
        <v>17</v>
      </c>
      <c r="F1063" s="105" t="s">
        <v>18</v>
      </c>
      <c r="G1063" s="23">
        <f>IFERROR(VLOOKUP(List34[[#This Row],[Site / Lokasi]],[7]Data!B:C,2,0),0)</f>
        <v>0</v>
      </c>
      <c r="H1063" s="271">
        <v>2999000</v>
      </c>
      <c r="I1063" s="258">
        <f>List34[[#This Row],[Pengajuan Donasi]]</f>
        <v>2999000</v>
      </c>
      <c r="J1063" s="213" t="str">
        <f>IF(List34[[#This Row],[Tanggal Trf]]&gt;0,"Done","-")</f>
        <v>Done</v>
      </c>
      <c r="K1063" s="103" t="s">
        <v>1769</v>
      </c>
      <c r="L1063" s="223">
        <v>44916</v>
      </c>
      <c r="M1063" s="105" t="s">
        <v>683</v>
      </c>
      <c r="N1063" s="100">
        <f>MONTH(List34[[#This Row],[Tanggal Pengajuan]])</f>
        <v>12</v>
      </c>
      <c r="O1063" s="183"/>
      <c r="P1063" s="105" t="s">
        <v>1763</v>
      </c>
      <c r="Q1063" s="111"/>
      <c r="R1063" s="229"/>
    </row>
    <row r="1064" spans="2:18" ht="30" customHeight="1" x14ac:dyDescent="0.2">
      <c r="B1064" s="102">
        <v>44915</v>
      </c>
      <c r="C1064" s="67" t="s">
        <v>1781</v>
      </c>
      <c r="D1064" s="103" t="s">
        <v>228</v>
      </c>
      <c r="E1064" s="103" t="s">
        <v>17</v>
      </c>
      <c r="F1064" s="105" t="s">
        <v>18</v>
      </c>
      <c r="G1064" s="23">
        <f>IFERROR(VLOOKUP(List34[[#This Row],[Site / Lokasi]],[7]Data!B:C,2,0),0)</f>
        <v>0</v>
      </c>
      <c r="H1064" s="271">
        <v>493500</v>
      </c>
      <c r="I1064" s="258">
        <f>List34[[#This Row],[Pengajuan Donasi]]</f>
        <v>493500</v>
      </c>
      <c r="J1064" s="213" t="str">
        <f>IF(List34[[#This Row],[Tanggal Trf]]&gt;0,"Done","-")</f>
        <v>Done</v>
      </c>
      <c r="K1064" s="103" t="s">
        <v>1770</v>
      </c>
      <c r="L1064" s="223">
        <v>44916</v>
      </c>
      <c r="M1064" s="105" t="s">
        <v>683</v>
      </c>
      <c r="N1064" s="100">
        <f>MONTH(List34[[#This Row],[Tanggal Pengajuan]])</f>
        <v>12</v>
      </c>
      <c r="O1064" s="183"/>
      <c r="P1064" s="105" t="s">
        <v>1763</v>
      </c>
      <c r="Q1064" s="111"/>
      <c r="R1064" s="229"/>
    </row>
    <row r="1065" spans="2:18" ht="30" customHeight="1" x14ac:dyDescent="0.2">
      <c r="B1065" s="102">
        <v>44915</v>
      </c>
      <c r="C1065" s="67"/>
      <c r="D1065" s="103" t="s">
        <v>860</v>
      </c>
      <c r="E1065" s="103" t="s">
        <v>17</v>
      </c>
      <c r="F1065" s="105" t="s">
        <v>18</v>
      </c>
      <c r="G1065" s="23">
        <f>IFERROR(VLOOKUP(List34[[#This Row],[Site / Lokasi]],[7]Data!B:C,2,0),0)</f>
        <v>0</v>
      </c>
      <c r="H1065" s="271">
        <v>959000</v>
      </c>
      <c r="I1065" s="258">
        <f>List34[[#This Row],[Pengajuan Donasi]]</f>
        <v>959000</v>
      </c>
      <c r="J1065" s="213" t="str">
        <f>IF(List34[[#This Row],[Tanggal Trf]]&gt;0,"Done","-")</f>
        <v>Done</v>
      </c>
      <c r="K1065" s="103" t="s">
        <v>1770</v>
      </c>
      <c r="L1065" s="223">
        <v>44916</v>
      </c>
      <c r="M1065" s="105" t="s">
        <v>683</v>
      </c>
      <c r="N1065" s="100">
        <f>MONTH(List34[[#This Row],[Tanggal Pengajuan]])</f>
        <v>12</v>
      </c>
      <c r="O1065" s="183"/>
      <c r="P1065" s="105" t="s">
        <v>1763</v>
      </c>
      <c r="Q1065" s="111"/>
      <c r="R1065" s="229"/>
    </row>
    <row r="1066" spans="2:18" ht="30" customHeight="1" x14ac:dyDescent="0.2">
      <c r="B1066" s="102">
        <v>44915</v>
      </c>
      <c r="C1066" s="67" t="s">
        <v>1782</v>
      </c>
      <c r="D1066" s="103" t="s">
        <v>852</v>
      </c>
      <c r="E1066" s="103" t="s">
        <v>17</v>
      </c>
      <c r="F1066" s="105" t="s">
        <v>18</v>
      </c>
      <c r="G1066" s="23">
        <f>IFERROR(VLOOKUP(List34[[#This Row],[Site / Lokasi]],[7]Data!B:C,2,0),0)</f>
        <v>0</v>
      </c>
      <c r="H1066" s="271">
        <v>5559670</v>
      </c>
      <c r="I1066" s="258">
        <f>List34[[#This Row],[Pengajuan Donasi]]</f>
        <v>5559670</v>
      </c>
      <c r="J1066" s="213" t="str">
        <f>IF(List34[[#This Row],[Tanggal Trf]]&gt;0,"Done","-")</f>
        <v>Done</v>
      </c>
      <c r="K1066" s="103" t="s">
        <v>1771</v>
      </c>
      <c r="L1066" s="223">
        <v>44916</v>
      </c>
      <c r="M1066" s="105" t="s">
        <v>683</v>
      </c>
      <c r="N1066" s="100">
        <f>MONTH(List34[[#This Row],[Tanggal Pengajuan]])</f>
        <v>12</v>
      </c>
      <c r="O1066" s="183"/>
      <c r="P1066" s="105" t="s">
        <v>1763</v>
      </c>
      <c r="Q1066" s="111"/>
      <c r="R1066" s="229"/>
    </row>
    <row r="1067" spans="2:18" ht="30" customHeight="1" x14ac:dyDescent="0.2">
      <c r="B1067" s="102">
        <v>44915</v>
      </c>
      <c r="C1067" s="67"/>
      <c r="D1067" s="103" t="s">
        <v>861</v>
      </c>
      <c r="E1067" s="103" t="s">
        <v>17</v>
      </c>
      <c r="F1067" s="105" t="s">
        <v>18</v>
      </c>
      <c r="G1067" s="23">
        <f>IFERROR(VLOOKUP(List34[[#This Row],[Site / Lokasi]],[7]Data!B:C,2,0),0)</f>
        <v>0</v>
      </c>
      <c r="H1067" s="271">
        <v>8086000</v>
      </c>
      <c r="I1067" s="258">
        <f>List34[[#This Row],[Pengajuan Donasi]]</f>
        <v>8086000</v>
      </c>
      <c r="J1067" s="213" t="str">
        <f>IF(List34[[#This Row],[Tanggal Trf]]&gt;0,"Done","-")</f>
        <v>Done</v>
      </c>
      <c r="K1067" s="103" t="s">
        <v>1771</v>
      </c>
      <c r="L1067" s="223">
        <v>44916</v>
      </c>
      <c r="M1067" s="105" t="s">
        <v>683</v>
      </c>
      <c r="N1067" s="100">
        <f>MONTH(List34[[#This Row],[Tanggal Pengajuan]])</f>
        <v>12</v>
      </c>
      <c r="O1067" s="183"/>
      <c r="P1067" s="105" t="s">
        <v>1763</v>
      </c>
      <c r="Q1067" s="111"/>
      <c r="R1067" s="229"/>
    </row>
    <row r="1068" spans="2:18" ht="30" customHeight="1" x14ac:dyDescent="0.2">
      <c r="B1068" s="102">
        <v>44915</v>
      </c>
      <c r="C1068" s="67" t="s">
        <v>1783</v>
      </c>
      <c r="D1068" s="103" t="s">
        <v>872</v>
      </c>
      <c r="E1068" s="103" t="s">
        <v>17</v>
      </c>
      <c r="F1068" s="105" t="s">
        <v>18</v>
      </c>
      <c r="G1068" s="23">
        <f>IFERROR(VLOOKUP(List34[[#This Row],[Site / Lokasi]],[7]Data!B:C,2,0),0)</f>
        <v>0</v>
      </c>
      <c r="H1068" s="271">
        <v>1021000</v>
      </c>
      <c r="I1068" s="258">
        <f>List34[[#This Row],[Pengajuan Donasi]]</f>
        <v>1021000</v>
      </c>
      <c r="J1068" s="213" t="str">
        <f>IF(List34[[#This Row],[Tanggal Trf]]&gt;0,"Done","-")</f>
        <v>Done</v>
      </c>
      <c r="K1068" s="103" t="s">
        <v>1772</v>
      </c>
      <c r="L1068" s="223">
        <v>44916</v>
      </c>
      <c r="M1068" s="105" t="s">
        <v>683</v>
      </c>
      <c r="N1068" s="100">
        <f>MONTH(List34[[#This Row],[Tanggal Pengajuan]])</f>
        <v>12</v>
      </c>
      <c r="O1068" s="183"/>
      <c r="P1068" s="105" t="s">
        <v>1763</v>
      </c>
      <c r="Q1068" s="111"/>
      <c r="R1068" s="229"/>
    </row>
    <row r="1069" spans="2:18" ht="30" customHeight="1" x14ac:dyDescent="0.2">
      <c r="B1069" s="102">
        <v>44915</v>
      </c>
      <c r="C1069" s="67"/>
      <c r="D1069" s="103" t="s">
        <v>868</v>
      </c>
      <c r="E1069" s="103" t="s">
        <v>17</v>
      </c>
      <c r="F1069" s="105" t="s">
        <v>18</v>
      </c>
      <c r="G1069" s="23">
        <f>IFERROR(VLOOKUP(List34[[#This Row],[Site / Lokasi]],[7]Data!B:C,2,0),0)</f>
        <v>0</v>
      </c>
      <c r="H1069" s="271">
        <v>1021000</v>
      </c>
      <c r="I1069" s="258">
        <f>List34[[#This Row],[Pengajuan Donasi]]</f>
        <v>1021000</v>
      </c>
      <c r="J1069" s="213" t="str">
        <f>IF(List34[[#This Row],[Tanggal Trf]]&gt;0,"Done","-")</f>
        <v>Done</v>
      </c>
      <c r="K1069" s="103" t="s">
        <v>1772</v>
      </c>
      <c r="L1069" s="223">
        <v>44916</v>
      </c>
      <c r="M1069" s="105" t="s">
        <v>683</v>
      </c>
      <c r="N1069" s="100">
        <f>MONTH(List34[[#This Row],[Tanggal Pengajuan]])</f>
        <v>12</v>
      </c>
      <c r="O1069" s="183"/>
      <c r="P1069" s="105" t="s">
        <v>1763</v>
      </c>
      <c r="Q1069" s="111"/>
      <c r="R1069" s="229"/>
    </row>
    <row r="1070" spans="2:18" ht="30" customHeight="1" x14ac:dyDescent="0.2">
      <c r="B1070" s="102">
        <v>44915</v>
      </c>
      <c r="C1070" s="67"/>
      <c r="D1070" s="103" t="s">
        <v>852</v>
      </c>
      <c r="E1070" s="103" t="s">
        <v>17</v>
      </c>
      <c r="F1070" s="105" t="s">
        <v>18</v>
      </c>
      <c r="G1070" s="23">
        <f>IFERROR(VLOOKUP(List34[[#This Row],[Site / Lokasi]],[7]Data!B:C,2,0),0)</f>
        <v>0</v>
      </c>
      <c r="H1070" s="271">
        <v>2041000</v>
      </c>
      <c r="I1070" s="258">
        <f>List34[[#This Row],[Pengajuan Donasi]]</f>
        <v>2041000</v>
      </c>
      <c r="J1070" s="213" t="str">
        <f>IF(List34[[#This Row],[Tanggal Trf]]&gt;0,"Done","-")</f>
        <v>Done</v>
      </c>
      <c r="K1070" s="103" t="s">
        <v>1772</v>
      </c>
      <c r="L1070" s="223">
        <v>44916</v>
      </c>
      <c r="M1070" s="105" t="s">
        <v>683</v>
      </c>
      <c r="N1070" s="100">
        <f>MONTH(List34[[#This Row],[Tanggal Pengajuan]])</f>
        <v>12</v>
      </c>
      <c r="O1070" s="183"/>
      <c r="P1070" s="105" t="s">
        <v>1763</v>
      </c>
      <c r="Q1070" s="111"/>
      <c r="R1070" s="229"/>
    </row>
    <row r="1071" spans="2:18" ht="30" customHeight="1" x14ac:dyDescent="0.2">
      <c r="B1071" s="102">
        <v>44915</v>
      </c>
      <c r="C1071" s="67"/>
      <c r="D1071" s="103" t="s">
        <v>362</v>
      </c>
      <c r="E1071" s="103" t="s">
        <v>17</v>
      </c>
      <c r="F1071" s="105" t="s">
        <v>18</v>
      </c>
      <c r="G1071" s="23">
        <f>IFERROR(VLOOKUP(List34[[#This Row],[Site / Lokasi]],[7]Data!B:C,2,0),0)</f>
        <v>0</v>
      </c>
      <c r="H1071" s="271">
        <v>952000</v>
      </c>
      <c r="I1071" s="258">
        <f>List34[[#This Row],[Pengajuan Donasi]]</f>
        <v>952000</v>
      </c>
      <c r="J1071" s="213" t="str">
        <f>IF(List34[[#This Row],[Tanggal Trf]]&gt;0,"Done","-")</f>
        <v>Done</v>
      </c>
      <c r="K1071" s="103" t="s">
        <v>1772</v>
      </c>
      <c r="L1071" s="223">
        <v>44916</v>
      </c>
      <c r="M1071" s="105" t="s">
        <v>683</v>
      </c>
      <c r="N1071" s="100">
        <f>MONTH(List34[[#This Row],[Tanggal Pengajuan]])</f>
        <v>12</v>
      </c>
      <c r="O1071" s="183"/>
      <c r="P1071" s="105" t="s">
        <v>1763</v>
      </c>
      <c r="Q1071" s="111"/>
      <c r="R1071" s="229"/>
    </row>
    <row r="1072" spans="2:18" ht="30" customHeight="1" x14ac:dyDescent="0.2">
      <c r="B1072" s="102">
        <v>44915</v>
      </c>
      <c r="C1072" s="67" t="s">
        <v>1784</v>
      </c>
      <c r="D1072" s="103" t="s">
        <v>863</v>
      </c>
      <c r="E1072" s="103" t="s">
        <v>17</v>
      </c>
      <c r="F1072" s="105" t="s">
        <v>18</v>
      </c>
      <c r="G1072" s="23">
        <f>IFERROR(VLOOKUP(List34[[#This Row],[Site / Lokasi]],[7]Data!B:C,2,0),0)</f>
        <v>0</v>
      </c>
      <c r="H1072" s="271">
        <v>4672500</v>
      </c>
      <c r="I1072" s="258">
        <f>List34[[#This Row],[Pengajuan Donasi]]</f>
        <v>4672500</v>
      </c>
      <c r="J1072" s="213" t="str">
        <f>IF(List34[[#This Row],[Tanggal Trf]]&gt;0,"Done","-")</f>
        <v>Done</v>
      </c>
      <c r="K1072" s="103" t="s">
        <v>1773</v>
      </c>
      <c r="L1072" s="223">
        <v>44918</v>
      </c>
      <c r="M1072" s="105" t="s">
        <v>683</v>
      </c>
      <c r="N1072" s="100">
        <f>MONTH(List34[[#This Row],[Tanggal Pengajuan]])</f>
        <v>12</v>
      </c>
      <c r="O1072" s="183"/>
      <c r="P1072" s="105" t="s">
        <v>1763</v>
      </c>
      <c r="Q1072" s="111"/>
      <c r="R1072" s="229"/>
    </row>
    <row r="1073" spans="2:18" ht="30" customHeight="1" x14ac:dyDescent="0.2">
      <c r="B1073" s="102">
        <v>44916</v>
      </c>
      <c r="C1073" s="67" t="s">
        <v>1785</v>
      </c>
      <c r="D1073" s="103" t="s">
        <v>1753</v>
      </c>
      <c r="E1073" s="103" t="s">
        <v>1055</v>
      </c>
      <c r="F1073" s="105" t="s">
        <v>28</v>
      </c>
      <c r="G1073" s="23">
        <f>IFERROR(VLOOKUP(List34[[#This Row],[Site / Lokasi]],[7]Data!B:C,2,0),0)</f>
        <v>0</v>
      </c>
      <c r="H1073" s="271">
        <v>100000000</v>
      </c>
      <c r="I1073" s="258">
        <f>List34[[#This Row],[Pengajuan Donasi]]</f>
        <v>100000000</v>
      </c>
      <c r="J1073" s="213" t="str">
        <f>IF(List34[[#This Row],[Tanggal Trf]]&gt;0,"Done","-")</f>
        <v>Done</v>
      </c>
      <c r="K1073" s="103" t="s">
        <v>1753</v>
      </c>
      <c r="L1073" s="223">
        <v>44924</v>
      </c>
      <c r="M1073" s="105" t="s">
        <v>1811</v>
      </c>
      <c r="N1073" s="100">
        <f>MONTH(List34[[#This Row],[Tanggal Pengajuan]])</f>
        <v>12</v>
      </c>
      <c r="O1073" s="183"/>
      <c r="P1073" s="105"/>
      <c r="Q1073" s="111"/>
      <c r="R1073" s="229"/>
    </row>
    <row r="1074" spans="2:18" ht="30" customHeight="1" x14ac:dyDescent="0.2">
      <c r="B1074" s="102">
        <v>44916</v>
      </c>
      <c r="C1074" s="67" t="s">
        <v>1786</v>
      </c>
      <c r="D1074" s="103" t="s">
        <v>1774</v>
      </c>
      <c r="E1074" s="103" t="s">
        <v>1054</v>
      </c>
      <c r="F1074" s="105" t="s">
        <v>18</v>
      </c>
      <c r="G1074" s="23">
        <f>IFERROR(VLOOKUP(List34[[#This Row],[Site / Lokasi]],[7]Data!B:C,2,0),0)</f>
        <v>0</v>
      </c>
      <c r="H1074" s="271">
        <v>0</v>
      </c>
      <c r="I1074" s="258">
        <f>List34[[#This Row],[Pengajuan Donasi]]</f>
        <v>0</v>
      </c>
      <c r="J1074" s="213" t="str">
        <f>IF(List34[[#This Row],[Tanggal Trf]]&gt;0,"Done","-")</f>
        <v>Done</v>
      </c>
      <c r="K1074" s="103" t="s">
        <v>1774</v>
      </c>
      <c r="L1074" s="223">
        <v>44918</v>
      </c>
      <c r="M1074" s="105" t="s">
        <v>683</v>
      </c>
      <c r="N1074" s="100">
        <f>MONTH(List34[[#This Row],[Tanggal Pengajuan]])</f>
        <v>12</v>
      </c>
      <c r="O1074" s="183"/>
      <c r="P1074" s="105" t="s">
        <v>1763</v>
      </c>
      <c r="Q1074" s="111"/>
      <c r="R1074" s="229"/>
    </row>
    <row r="1075" spans="2:18" ht="30" customHeight="1" x14ac:dyDescent="0.2">
      <c r="B1075" s="102">
        <v>44916</v>
      </c>
      <c r="C1075" s="67" t="s">
        <v>1787</v>
      </c>
      <c r="D1075" s="103" t="s">
        <v>1775</v>
      </c>
      <c r="E1075" s="103" t="s">
        <v>1054</v>
      </c>
      <c r="F1075" s="105" t="s">
        <v>18</v>
      </c>
      <c r="G1075" s="23">
        <f>IFERROR(VLOOKUP(List34[[#This Row],[Site / Lokasi]],[7]Data!B:C,2,0),0)</f>
        <v>0</v>
      </c>
      <c r="H1075" s="271">
        <v>0</v>
      </c>
      <c r="I1075" s="258">
        <f>List34[[#This Row],[Pengajuan Donasi]]</f>
        <v>0</v>
      </c>
      <c r="J1075" s="213" t="str">
        <f>IF(List34[[#This Row],[Tanggal Trf]]&gt;0,"Done","-")</f>
        <v>Done</v>
      </c>
      <c r="K1075" s="103" t="s">
        <v>1775</v>
      </c>
      <c r="L1075" s="223">
        <v>44918</v>
      </c>
      <c r="M1075" s="105" t="s">
        <v>778</v>
      </c>
      <c r="N1075" s="100">
        <f>MONTH(List34[[#This Row],[Tanggal Pengajuan]])</f>
        <v>12</v>
      </c>
      <c r="O1075" s="183"/>
      <c r="P1075" s="105" t="s">
        <v>1763</v>
      </c>
      <c r="Q1075" s="111"/>
      <c r="R1075" s="229"/>
    </row>
    <row r="1076" spans="2:18" ht="30" customHeight="1" x14ac:dyDescent="0.2">
      <c r="B1076" s="102">
        <v>44917</v>
      </c>
      <c r="C1076" s="67" t="s">
        <v>1798</v>
      </c>
      <c r="D1076" s="103" t="s">
        <v>1789</v>
      </c>
      <c r="E1076" s="103" t="s">
        <v>1054</v>
      </c>
      <c r="F1076" s="105" t="s">
        <v>28</v>
      </c>
      <c r="G1076" s="23">
        <f>IFERROR(VLOOKUP(List34[[#This Row],[Site / Lokasi]],[7]Data!B:C,2,0),0)</f>
        <v>0</v>
      </c>
      <c r="H1076" s="271">
        <v>0</v>
      </c>
      <c r="I1076" s="258">
        <f>List34[[#This Row],[Pengajuan Donasi]]</f>
        <v>0</v>
      </c>
      <c r="J1076" s="213" t="str">
        <f>IF(List34[[#This Row],[Tanggal Trf]]&gt;0,"Done","-")</f>
        <v>Done</v>
      </c>
      <c r="K1076" s="103" t="s">
        <v>1789</v>
      </c>
      <c r="L1076" s="223">
        <v>44918</v>
      </c>
      <c r="M1076" s="105" t="s">
        <v>732</v>
      </c>
      <c r="N1076" s="100">
        <f>MONTH(List34[[#This Row],[Tanggal Pengajuan]])</f>
        <v>12</v>
      </c>
      <c r="O1076" s="183"/>
      <c r="P1076" s="105"/>
      <c r="Q1076" s="111"/>
      <c r="R1076" s="229"/>
    </row>
    <row r="1077" spans="2:18" ht="30" customHeight="1" x14ac:dyDescent="0.2">
      <c r="B1077" s="102">
        <v>44917</v>
      </c>
      <c r="C1077" s="67" t="s">
        <v>1799</v>
      </c>
      <c r="D1077" s="103" t="s">
        <v>1790</v>
      </c>
      <c r="E1077" s="103" t="s">
        <v>1054</v>
      </c>
      <c r="F1077" s="105" t="s">
        <v>18</v>
      </c>
      <c r="G1077" s="23">
        <f>IFERROR(VLOOKUP(List34[[#This Row],[Site / Lokasi]],[7]Data!B:C,2,0),0)</f>
        <v>0</v>
      </c>
      <c r="H1077" s="271">
        <v>0</v>
      </c>
      <c r="I1077" s="258">
        <f>List34[[#This Row],[Pengajuan Donasi]]</f>
        <v>0</v>
      </c>
      <c r="J1077" s="213" t="str">
        <f>IF(List34[[#This Row],[Tanggal Trf]]&gt;0,"Done","-")</f>
        <v>-</v>
      </c>
      <c r="K1077" s="103" t="s">
        <v>1790</v>
      </c>
      <c r="L1077" s="223"/>
      <c r="M1077" s="105" t="s">
        <v>732</v>
      </c>
      <c r="N1077" s="100">
        <f>MONTH(List34[[#This Row],[Tanggal Pengajuan]])</f>
        <v>12</v>
      </c>
      <c r="O1077" s="183"/>
      <c r="P1077" s="105"/>
      <c r="Q1077" s="111"/>
      <c r="R1077" s="229"/>
    </row>
    <row r="1078" spans="2:18" ht="30" customHeight="1" x14ac:dyDescent="0.2">
      <c r="B1078" s="102">
        <v>44917</v>
      </c>
      <c r="C1078" s="67" t="s">
        <v>1800</v>
      </c>
      <c r="D1078" s="103" t="s">
        <v>1791</v>
      </c>
      <c r="E1078" s="103" t="s">
        <v>1054</v>
      </c>
      <c r="F1078" s="105" t="s">
        <v>18</v>
      </c>
      <c r="G1078" s="23">
        <f>IFERROR(VLOOKUP(List34[[#This Row],[Site / Lokasi]],[7]Data!B:C,2,0),0)</f>
        <v>0</v>
      </c>
      <c r="H1078" s="271">
        <v>0</v>
      </c>
      <c r="I1078" s="258">
        <f>List34[[#This Row],[Pengajuan Donasi]]</f>
        <v>0</v>
      </c>
      <c r="J1078" s="213" t="str">
        <f>IF(List34[[#This Row],[Tanggal Trf]]&gt;0,"Done","-")</f>
        <v>-</v>
      </c>
      <c r="K1078" s="103" t="s">
        <v>1791</v>
      </c>
      <c r="L1078" s="223"/>
      <c r="M1078" s="105" t="s">
        <v>732</v>
      </c>
      <c r="N1078" s="100">
        <f>MONTH(List34[[#This Row],[Tanggal Pengajuan]])</f>
        <v>12</v>
      </c>
      <c r="O1078" s="183"/>
      <c r="P1078" s="105"/>
      <c r="Q1078" s="111"/>
      <c r="R1078" s="229"/>
    </row>
    <row r="1079" spans="2:18" ht="30" customHeight="1" x14ac:dyDescent="0.2">
      <c r="B1079" s="102">
        <v>44917</v>
      </c>
      <c r="C1079" s="67" t="s">
        <v>1801</v>
      </c>
      <c r="D1079" s="103" t="s">
        <v>238</v>
      </c>
      <c r="E1079" s="103" t="s">
        <v>17</v>
      </c>
      <c r="F1079" s="105" t="s">
        <v>18</v>
      </c>
      <c r="G1079" s="23">
        <f>IFERROR(VLOOKUP(List34[[#This Row],[Site / Lokasi]],[7]Data!B:C,2,0),0)</f>
        <v>0</v>
      </c>
      <c r="H1079" s="271">
        <v>2675200</v>
      </c>
      <c r="I1079" s="258">
        <f>List34[[#This Row],[Pengajuan Donasi]]</f>
        <v>2675200</v>
      </c>
      <c r="J1079" s="213" t="str">
        <f>IF(List34[[#This Row],[Tanggal Trf]]&gt;0,"Done","-")</f>
        <v>Done</v>
      </c>
      <c r="K1079" s="103" t="s">
        <v>1792</v>
      </c>
      <c r="L1079" s="223">
        <v>44918</v>
      </c>
      <c r="M1079" s="105" t="s">
        <v>1810</v>
      </c>
      <c r="N1079" s="100">
        <f>MONTH(List34[[#This Row],[Tanggal Pengajuan]])</f>
        <v>12</v>
      </c>
      <c r="O1079" s="183"/>
      <c r="P1079" s="105" t="s">
        <v>1763</v>
      </c>
      <c r="Q1079" s="111"/>
      <c r="R1079" s="229"/>
    </row>
    <row r="1080" spans="2:18" ht="30" customHeight="1" x14ac:dyDescent="0.2">
      <c r="B1080" s="102">
        <v>44917</v>
      </c>
      <c r="C1080" s="67"/>
      <c r="D1080" s="103" t="s">
        <v>853</v>
      </c>
      <c r="E1080" s="103" t="s">
        <v>17</v>
      </c>
      <c r="F1080" s="105" t="s">
        <v>18</v>
      </c>
      <c r="G1080" s="23">
        <f>IFERROR(VLOOKUP(List34[[#This Row],[Site / Lokasi]],[7]Data!B:C,2,0),0)</f>
        <v>0</v>
      </c>
      <c r="H1080" s="271">
        <v>2675200</v>
      </c>
      <c r="I1080" s="258">
        <f>List34[[#This Row],[Pengajuan Donasi]]</f>
        <v>2675200</v>
      </c>
      <c r="J1080" s="213" t="str">
        <f>IF(List34[[#This Row],[Tanggal Trf]]&gt;0,"Done","-")</f>
        <v>Done</v>
      </c>
      <c r="K1080" s="103" t="s">
        <v>1792</v>
      </c>
      <c r="L1080" s="223">
        <v>44918</v>
      </c>
      <c r="M1080" s="105" t="s">
        <v>1810</v>
      </c>
      <c r="N1080" s="100">
        <f>MONTH(List34[[#This Row],[Tanggal Pengajuan]])</f>
        <v>12</v>
      </c>
      <c r="O1080" s="183"/>
      <c r="P1080" s="105" t="s">
        <v>1763</v>
      </c>
      <c r="Q1080" s="111"/>
      <c r="R1080" s="229"/>
    </row>
    <row r="1081" spans="2:18" ht="30" customHeight="1" x14ac:dyDescent="0.2">
      <c r="B1081" s="102">
        <v>44917</v>
      </c>
      <c r="C1081" s="67"/>
      <c r="D1081" s="103" t="s">
        <v>860</v>
      </c>
      <c r="E1081" s="103" t="s">
        <v>17</v>
      </c>
      <c r="F1081" s="105" t="s">
        <v>18</v>
      </c>
      <c r="G1081" s="23">
        <f>IFERROR(VLOOKUP(List34[[#This Row],[Site / Lokasi]],[7]Data!B:C,2,0),0)</f>
        <v>0</v>
      </c>
      <c r="H1081" s="271">
        <v>4012800</v>
      </c>
      <c r="I1081" s="258">
        <f>List34[[#This Row],[Pengajuan Donasi]]</f>
        <v>4012800</v>
      </c>
      <c r="J1081" s="213" t="str">
        <f>IF(List34[[#This Row],[Tanggal Trf]]&gt;0,"Done","-")</f>
        <v>Done</v>
      </c>
      <c r="K1081" s="103" t="s">
        <v>1792</v>
      </c>
      <c r="L1081" s="223">
        <v>44918</v>
      </c>
      <c r="M1081" s="105" t="s">
        <v>1810</v>
      </c>
      <c r="N1081" s="100">
        <f>MONTH(List34[[#This Row],[Tanggal Pengajuan]])</f>
        <v>12</v>
      </c>
      <c r="O1081" s="183"/>
      <c r="P1081" s="105" t="s">
        <v>1763</v>
      </c>
      <c r="Q1081" s="111"/>
      <c r="R1081" s="229"/>
    </row>
    <row r="1082" spans="2:18" ht="30" customHeight="1" x14ac:dyDescent="0.2">
      <c r="B1082" s="102">
        <v>44917</v>
      </c>
      <c r="C1082" s="67" t="s">
        <v>1802</v>
      </c>
      <c r="D1082" s="103" t="s">
        <v>853</v>
      </c>
      <c r="E1082" s="103" t="s">
        <v>17</v>
      </c>
      <c r="F1082" s="105" t="s">
        <v>18</v>
      </c>
      <c r="G1082" s="23">
        <f>IFERROR(VLOOKUP(List34[[#This Row],[Site / Lokasi]],[7]Data!B:C,2,0),0)</f>
        <v>0</v>
      </c>
      <c r="H1082" s="271">
        <f>3600000</f>
        <v>3600000</v>
      </c>
      <c r="I1082" s="258">
        <f>List34[[#This Row],[Pengajuan Donasi]]</f>
        <v>3600000</v>
      </c>
      <c r="J1082" s="213" t="str">
        <f>IF(List34[[#This Row],[Tanggal Trf]]&gt;0,"Done","-")</f>
        <v>Done</v>
      </c>
      <c r="K1082" s="103" t="s">
        <v>1793</v>
      </c>
      <c r="L1082" s="223">
        <v>44918</v>
      </c>
      <c r="M1082" s="105" t="s">
        <v>1813</v>
      </c>
      <c r="N1082" s="100">
        <f>MONTH(List34[[#This Row],[Tanggal Pengajuan]])</f>
        <v>12</v>
      </c>
      <c r="O1082" s="183"/>
      <c r="P1082" s="105" t="s">
        <v>1763</v>
      </c>
      <c r="Q1082" s="111"/>
      <c r="R1082" s="229"/>
    </row>
    <row r="1083" spans="2:18" ht="30" customHeight="1" x14ac:dyDescent="0.2">
      <c r="B1083" s="102">
        <v>44917</v>
      </c>
      <c r="C1083" s="67"/>
      <c r="D1083" s="103" t="s">
        <v>328</v>
      </c>
      <c r="E1083" s="103" t="s">
        <v>17</v>
      </c>
      <c r="F1083" s="105" t="s">
        <v>18</v>
      </c>
      <c r="G1083" s="23">
        <f>IFERROR(VLOOKUP(List34[[#This Row],[Site / Lokasi]],[7]Data!B:C,2,0),0)</f>
        <v>0</v>
      </c>
      <c r="H1083" s="271">
        <f>3600000</f>
        <v>3600000</v>
      </c>
      <c r="I1083" s="258">
        <f>List34[[#This Row],[Pengajuan Donasi]]</f>
        <v>3600000</v>
      </c>
      <c r="J1083" s="213" t="str">
        <f>IF(List34[[#This Row],[Tanggal Trf]]&gt;0,"Done","-")</f>
        <v>Done</v>
      </c>
      <c r="K1083" s="103" t="s">
        <v>1793</v>
      </c>
      <c r="L1083" s="223">
        <v>44918</v>
      </c>
      <c r="M1083" s="105" t="s">
        <v>1813</v>
      </c>
      <c r="N1083" s="100">
        <f>MONTH(List34[[#This Row],[Tanggal Pengajuan]])</f>
        <v>12</v>
      </c>
      <c r="O1083" s="183"/>
      <c r="P1083" s="105" t="s">
        <v>1763</v>
      </c>
      <c r="Q1083" s="111"/>
      <c r="R1083" s="229"/>
    </row>
    <row r="1084" spans="2:18" ht="30" customHeight="1" x14ac:dyDescent="0.2">
      <c r="B1084" s="102">
        <v>44917</v>
      </c>
      <c r="C1084" s="67" t="s">
        <v>1803</v>
      </c>
      <c r="D1084" s="103" t="s">
        <v>869</v>
      </c>
      <c r="E1084" s="103" t="s">
        <v>17</v>
      </c>
      <c r="F1084" s="105" t="s">
        <v>18</v>
      </c>
      <c r="G1084" s="23">
        <f>IFERROR(VLOOKUP(List34[[#This Row],[Site / Lokasi]],[7]Data!B:C,2,0),0)</f>
        <v>0</v>
      </c>
      <c r="H1084" s="271">
        <f>3963964+(3963964*11%)</f>
        <v>4400000.04</v>
      </c>
      <c r="I1084" s="258">
        <f>List34[[#This Row],[Pengajuan Donasi]]</f>
        <v>4400000.04</v>
      </c>
      <c r="J1084" s="213" t="str">
        <f>IF(List34[[#This Row],[Tanggal Trf]]&gt;0,"Done","-")</f>
        <v>Done</v>
      </c>
      <c r="K1084" s="103" t="s">
        <v>1794</v>
      </c>
      <c r="L1084" s="223">
        <v>44918</v>
      </c>
      <c r="M1084" s="105" t="s">
        <v>1812</v>
      </c>
      <c r="N1084" s="100">
        <f>MONTH(List34[[#This Row],[Tanggal Pengajuan]])</f>
        <v>12</v>
      </c>
      <c r="O1084" s="183"/>
      <c r="P1084" s="105" t="s">
        <v>1763</v>
      </c>
      <c r="Q1084" s="111"/>
      <c r="R1084" s="229"/>
    </row>
    <row r="1085" spans="2:18" ht="30" customHeight="1" x14ac:dyDescent="0.2">
      <c r="B1085" s="102">
        <v>44917</v>
      </c>
      <c r="C1085" s="67"/>
      <c r="D1085" s="103" t="s">
        <v>856</v>
      </c>
      <c r="E1085" s="103" t="s">
        <v>17</v>
      </c>
      <c r="F1085" s="105" t="s">
        <v>18</v>
      </c>
      <c r="G1085" s="23">
        <f>IFERROR(VLOOKUP(List34[[#This Row],[Site / Lokasi]],[7]Data!B:C,2,0),0)</f>
        <v>0</v>
      </c>
      <c r="H1085" s="271">
        <f>1550000+(1550000*11%)</f>
        <v>1720500</v>
      </c>
      <c r="I1085" s="258">
        <f>List34[[#This Row],[Pengajuan Donasi]]</f>
        <v>1720500</v>
      </c>
      <c r="J1085" s="213" t="str">
        <f>IF(List34[[#This Row],[Tanggal Trf]]&gt;0,"Done","-")</f>
        <v>Done</v>
      </c>
      <c r="K1085" s="103" t="s">
        <v>1794</v>
      </c>
      <c r="L1085" s="223">
        <v>44918</v>
      </c>
      <c r="M1085" s="105" t="s">
        <v>1812</v>
      </c>
      <c r="N1085" s="100">
        <f>MONTH(List34[[#This Row],[Tanggal Pengajuan]])</f>
        <v>12</v>
      </c>
      <c r="O1085" s="183"/>
      <c r="P1085" s="105" t="s">
        <v>1763</v>
      </c>
      <c r="Q1085" s="111"/>
      <c r="R1085" s="229"/>
    </row>
    <row r="1086" spans="2:18" ht="30" customHeight="1" x14ac:dyDescent="0.2">
      <c r="B1086" s="102">
        <v>44917</v>
      </c>
      <c r="C1086" s="67"/>
      <c r="D1086" s="103" t="s">
        <v>862</v>
      </c>
      <c r="E1086" s="103" t="s">
        <v>17</v>
      </c>
      <c r="F1086" s="105" t="s">
        <v>18</v>
      </c>
      <c r="G1086" s="23">
        <f>IFERROR(VLOOKUP(List34[[#This Row],[Site / Lokasi]],[7]Data!B:C,2,0),0)</f>
        <v>0</v>
      </c>
      <c r="H1086" s="271">
        <f>1612613+(1612613*11%)</f>
        <v>1790000.43</v>
      </c>
      <c r="I1086" s="258">
        <f>List34[[#This Row],[Pengajuan Donasi]]</f>
        <v>1790000.43</v>
      </c>
      <c r="J1086" s="213" t="str">
        <f>IF(List34[[#This Row],[Tanggal Trf]]&gt;0,"Done","-")</f>
        <v>Done</v>
      </c>
      <c r="K1086" s="103" t="s">
        <v>1794</v>
      </c>
      <c r="L1086" s="223">
        <v>44918</v>
      </c>
      <c r="M1086" s="105" t="s">
        <v>1812</v>
      </c>
      <c r="N1086" s="100">
        <f>MONTH(List34[[#This Row],[Tanggal Pengajuan]])</f>
        <v>12</v>
      </c>
      <c r="O1086" s="183"/>
      <c r="P1086" s="105" t="s">
        <v>1763</v>
      </c>
      <c r="Q1086" s="111"/>
      <c r="R1086" s="229"/>
    </row>
    <row r="1087" spans="2:18" ht="30" customHeight="1" x14ac:dyDescent="0.2">
      <c r="B1087" s="102">
        <v>44918</v>
      </c>
      <c r="C1087" s="67" t="s">
        <v>1804</v>
      </c>
      <c r="D1087" s="103" t="s">
        <v>849</v>
      </c>
      <c r="E1087" s="103" t="s">
        <v>17</v>
      </c>
      <c r="F1087" s="105" t="s">
        <v>18</v>
      </c>
      <c r="G1087" s="23">
        <f>IFERROR(VLOOKUP(List34[[#This Row],[Site / Lokasi]],[7]Data!B:C,2,0),0)</f>
        <v>0</v>
      </c>
      <c r="H1087" s="271">
        <v>2561000</v>
      </c>
      <c r="I1087" s="258">
        <f>List34[[#This Row],[Pengajuan Donasi]]</f>
        <v>2561000</v>
      </c>
      <c r="J1087" s="213" t="str">
        <f>IF(List34[[#This Row],[Tanggal Trf]]&gt;0,"Done","-")</f>
        <v>Done</v>
      </c>
      <c r="K1087" s="103" t="s">
        <v>1795</v>
      </c>
      <c r="L1087" s="223">
        <v>44918</v>
      </c>
      <c r="M1087" s="105" t="s">
        <v>683</v>
      </c>
      <c r="N1087" s="100">
        <f>MONTH(List34[[#This Row],[Tanggal Pengajuan]])</f>
        <v>12</v>
      </c>
      <c r="O1087" s="183"/>
      <c r="P1087" s="105" t="s">
        <v>1763</v>
      </c>
      <c r="Q1087" s="111"/>
      <c r="R1087" s="229"/>
    </row>
    <row r="1088" spans="2:18" ht="30" customHeight="1" x14ac:dyDescent="0.2">
      <c r="B1088" s="102">
        <v>44918</v>
      </c>
      <c r="C1088" s="67"/>
      <c r="D1088" s="103" t="s">
        <v>856</v>
      </c>
      <c r="E1088" s="103" t="s">
        <v>17</v>
      </c>
      <c r="F1088" s="105" t="s">
        <v>18</v>
      </c>
      <c r="G1088" s="23">
        <f>IFERROR(VLOOKUP(List34[[#This Row],[Site / Lokasi]],[7]Data!B:C,2,0),0)</f>
        <v>0</v>
      </c>
      <c r="H1088" s="271">
        <v>679000</v>
      </c>
      <c r="I1088" s="258">
        <f>List34[[#This Row],[Pengajuan Donasi]]</f>
        <v>679000</v>
      </c>
      <c r="J1088" s="213" t="str">
        <f>IF(List34[[#This Row],[Tanggal Trf]]&gt;0,"Done","-")</f>
        <v>Done</v>
      </c>
      <c r="K1088" s="103" t="s">
        <v>1795</v>
      </c>
      <c r="L1088" s="223">
        <v>44918</v>
      </c>
      <c r="M1088" s="105" t="s">
        <v>683</v>
      </c>
      <c r="N1088" s="100">
        <f>MONTH(List34[[#This Row],[Tanggal Pengajuan]])</f>
        <v>12</v>
      </c>
      <c r="O1088" s="183"/>
      <c r="P1088" s="105" t="s">
        <v>1763</v>
      </c>
      <c r="Q1088" s="111"/>
      <c r="R1088" s="229"/>
    </row>
    <row r="1089" spans="2:18" ht="30" customHeight="1" x14ac:dyDescent="0.2">
      <c r="B1089" s="102">
        <v>44918</v>
      </c>
      <c r="C1089" s="67"/>
      <c r="D1089" s="103" t="s">
        <v>864</v>
      </c>
      <c r="E1089" s="103" t="s">
        <v>17</v>
      </c>
      <c r="F1089" s="105" t="s">
        <v>18</v>
      </c>
      <c r="G1089" s="23">
        <f>IFERROR(VLOOKUP(List34[[#This Row],[Site / Lokasi]],[7]Data!B:C,2,0),0)</f>
        <v>0</v>
      </c>
      <c r="H1089" s="271">
        <v>4857500</v>
      </c>
      <c r="I1089" s="258">
        <f>List34[[#This Row],[Pengajuan Donasi]]</f>
        <v>4857500</v>
      </c>
      <c r="J1089" s="213" t="str">
        <f>IF(List34[[#This Row],[Tanggal Trf]]&gt;0,"Done","-")</f>
        <v>Done</v>
      </c>
      <c r="K1089" s="103" t="s">
        <v>1795</v>
      </c>
      <c r="L1089" s="223">
        <v>44918</v>
      </c>
      <c r="M1089" s="105" t="s">
        <v>683</v>
      </c>
      <c r="N1089" s="100">
        <f>MONTH(List34[[#This Row],[Tanggal Pengajuan]])</f>
        <v>12</v>
      </c>
      <c r="O1089" s="183"/>
      <c r="P1089" s="105" t="s">
        <v>1763</v>
      </c>
      <c r="Q1089" s="111"/>
      <c r="R1089" s="229"/>
    </row>
    <row r="1090" spans="2:18" ht="30" customHeight="1" x14ac:dyDescent="0.2">
      <c r="B1090" s="102">
        <v>44918</v>
      </c>
      <c r="C1090" s="67"/>
      <c r="D1090" s="103" t="s">
        <v>1115</v>
      </c>
      <c r="E1090" s="103" t="s">
        <v>17</v>
      </c>
      <c r="F1090" s="105" t="s">
        <v>18</v>
      </c>
      <c r="G1090" s="23">
        <f>IFERROR(VLOOKUP(List34[[#This Row],[Site / Lokasi]],[7]Data!B:C,2,0),0)</f>
        <v>0</v>
      </c>
      <c r="H1090" s="271">
        <v>671000</v>
      </c>
      <c r="I1090" s="258">
        <f>List34[[#This Row],[Pengajuan Donasi]]</f>
        <v>671000</v>
      </c>
      <c r="J1090" s="213" t="str">
        <f>IF(List34[[#This Row],[Tanggal Trf]]&gt;0,"Done","-")</f>
        <v>Done</v>
      </c>
      <c r="K1090" s="103" t="s">
        <v>1795</v>
      </c>
      <c r="L1090" s="223">
        <v>44918</v>
      </c>
      <c r="M1090" s="105" t="s">
        <v>683</v>
      </c>
      <c r="N1090" s="100">
        <f>MONTH(List34[[#This Row],[Tanggal Pengajuan]])</f>
        <v>12</v>
      </c>
      <c r="O1090" s="183"/>
      <c r="P1090" s="105" t="s">
        <v>1763</v>
      </c>
      <c r="Q1090" s="111"/>
      <c r="R1090" s="229"/>
    </row>
    <row r="1091" spans="2:18" ht="30" customHeight="1" x14ac:dyDescent="0.2">
      <c r="B1091" s="102">
        <v>44918</v>
      </c>
      <c r="C1091" s="67" t="s">
        <v>1805</v>
      </c>
      <c r="D1091" s="103" t="s">
        <v>229</v>
      </c>
      <c r="E1091" s="103" t="s">
        <v>17</v>
      </c>
      <c r="F1091" s="105" t="s">
        <v>18</v>
      </c>
      <c r="G1091" s="23">
        <f>IFERROR(VLOOKUP(List34[[#This Row],[Site / Lokasi]],[7]Data!B:C,2,0),0)</f>
        <v>0</v>
      </c>
      <c r="H1091" s="271">
        <v>1063500</v>
      </c>
      <c r="I1091" s="258">
        <f>List34[[#This Row],[Pengajuan Donasi]]</f>
        <v>1063500</v>
      </c>
      <c r="J1091" s="213" t="str">
        <f>IF(List34[[#This Row],[Tanggal Trf]]&gt;0,"Done","-")</f>
        <v>Done</v>
      </c>
      <c r="K1091" s="103" t="s">
        <v>1796</v>
      </c>
      <c r="L1091" s="223">
        <v>44924</v>
      </c>
      <c r="M1091" s="105" t="s">
        <v>683</v>
      </c>
      <c r="N1091" s="100">
        <f>MONTH(List34[[#This Row],[Tanggal Pengajuan]])</f>
        <v>12</v>
      </c>
      <c r="O1091" s="183"/>
      <c r="P1091" s="105" t="s">
        <v>1763</v>
      </c>
      <c r="Q1091" s="111"/>
      <c r="R1091" s="229"/>
    </row>
    <row r="1092" spans="2:18" ht="30" customHeight="1" x14ac:dyDescent="0.2">
      <c r="B1092" s="102">
        <v>44918</v>
      </c>
      <c r="C1092" s="67"/>
      <c r="D1092" s="103" t="s">
        <v>848</v>
      </c>
      <c r="E1092" s="103" t="s">
        <v>17</v>
      </c>
      <c r="F1092" s="105" t="s">
        <v>18</v>
      </c>
      <c r="G1092" s="23">
        <f>IFERROR(VLOOKUP(List34[[#This Row],[Site / Lokasi]],[7]Data!B:C,2,0),0)</f>
        <v>0</v>
      </c>
      <c r="H1092" s="271">
        <v>5302000</v>
      </c>
      <c r="I1092" s="258">
        <f>List34[[#This Row],[Pengajuan Donasi]]</f>
        <v>5302000</v>
      </c>
      <c r="J1092" s="213" t="str">
        <f>IF(List34[[#This Row],[Tanggal Trf]]&gt;0,"Done","-")</f>
        <v>Done</v>
      </c>
      <c r="K1092" s="103" t="s">
        <v>1796</v>
      </c>
      <c r="L1092" s="223">
        <v>44924</v>
      </c>
      <c r="M1092" s="105" t="s">
        <v>683</v>
      </c>
      <c r="N1092" s="100">
        <f>MONTH(List34[[#This Row],[Tanggal Pengajuan]])</f>
        <v>12</v>
      </c>
      <c r="O1092" s="183"/>
      <c r="P1092" s="105" t="s">
        <v>1763</v>
      </c>
      <c r="Q1092" s="111"/>
      <c r="R1092" s="229"/>
    </row>
    <row r="1093" spans="2:18" ht="30" customHeight="1" x14ac:dyDescent="0.2">
      <c r="B1093" s="102">
        <v>44918</v>
      </c>
      <c r="C1093" s="67"/>
      <c r="D1093" s="103" t="s">
        <v>849</v>
      </c>
      <c r="E1093" s="103" t="s">
        <v>17</v>
      </c>
      <c r="F1093" s="105" t="s">
        <v>18</v>
      </c>
      <c r="G1093" s="23">
        <f>IFERROR(VLOOKUP(List34[[#This Row],[Site / Lokasi]],[7]Data!B:C,2,0),0)</f>
        <v>0</v>
      </c>
      <c r="H1093" s="271">
        <v>3154000</v>
      </c>
      <c r="I1093" s="258">
        <f>List34[[#This Row],[Pengajuan Donasi]]</f>
        <v>3154000</v>
      </c>
      <c r="J1093" s="213" t="str">
        <f>IF(List34[[#This Row],[Tanggal Trf]]&gt;0,"Done","-")</f>
        <v>Done</v>
      </c>
      <c r="K1093" s="103" t="s">
        <v>1796</v>
      </c>
      <c r="L1093" s="223">
        <v>44924</v>
      </c>
      <c r="M1093" s="105" t="s">
        <v>683</v>
      </c>
      <c r="N1093" s="100">
        <f>MONTH(List34[[#This Row],[Tanggal Pengajuan]])</f>
        <v>12</v>
      </c>
      <c r="O1093" s="183"/>
      <c r="P1093" s="105" t="s">
        <v>1763</v>
      </c>
      <c r="Q1093" s="111"/>
      <c r="R1093" s="229"/>
    </row>
    <row r="1094" spans="2:18" ht="30" customHeight="1" x14ac:dyDescent="0.2">
      <c r="B1094" s="102">
        <v>44918</v>
      </c>
      <c r="C1094" s="67"/>
      <c r="D1094" s="103" t="s">
        <v>362</v>
      </c>
      <c r="E1094" s="103" t="s">
        <v>17</v>
      </c>
      <c r="F1094" s="105" t="s">
        <v>18</v>
      </c>
      <c r="G1094" s="23">
        <f>IFERROR(VLOOKUP(List34[[#This Row],[Site / Lokasi]],[7]Data!B:C,2,0),0)</f>
        <v>0</v>
      </c>
      <c r="H1094" s="271">
        <v>2126000</v>
      </c>
      <c r="I1094" s="258">
        <f>List34[[#This Row],[Pengajuan Donasi]]</f>
        <v>2126000</v>
      </c>
      <c r="J1094" s="213" t="str">
        <f>IF(List34[[#This Row],[Tanggal Trf]]&gt;0,"Done","-")</f>
        <v>Done</v>
      </c>
      <c r="K1094" s="103" t="s">
        <v>1796</v>
      </c>
      <c r="L1094" s="223">
        <v>44924</v>
      </c>
      <c r="M1094" s="105" t="s">
        <v>683</v>
      </c>
      <c r="N1094" s="100">
        <f>MONTH(List34[[#This Row],[Tanggal Pengajuan]])</f>
        <v>12</v>
      </c>
      <c r="O1094" s="183"/>
      <c r="P1094" s="105" t="s">
        <v>1763</v>
      </c>
      <c r="Q1094" s="111"/>
      <c r="R1094" s="229"/>
    </row>
    <row r="1095" spans="2:18" ht="30" customHeight="1" x14ac:dyDescent="0.2">
      <c r="B1095" s="102">
        <v>44918</v>
      </c>
      <c r="C1095" s="67"/>
      <c r="D1095" s="103" t="s">
        <v>864</v>
      </c>
      <c r="E1095" s="103" t="s">
        <v>17</v>
      </c>
      <c r="F1095" s="105" t="s">
        <v>18</v>
      </c>
      <c r="G1095" s="23">
        <f>IFERROR(VLOOKUP(List34[[#This Row],[Site / Lokasi]],[7]Data!B:C,2,0),0)</f>
        <v>0</v>
      </c>
      <c r="H1095" s="271">
        <v>424500</v>
      </c>
      <c r="I1095" s="258">
        <f>List34[[#This Row],[Pengajuan Donasi]]</f>
        <v>424500</v>
      </c>
      <c r="J1095" s="213" t="str">
        <f>IF(List34[[#This Row],[Tanggal Trf]]&gt;0,"Done","-")</f>
        <v>Done</v>
      </c>
      <c r="K1095" s="103" t="s">
        <v>1796</v>
      </c>
      <c r="L1095" s="223">
        <v>44924</v>
      </c>
      <c r="M1095" s="105" t="s">
        <v>683</v>
      </c>
      <c r="N1095" s="100">
        <f>MONTH(List34[[#This Row],[Tanggal Pengajuan]])</f>
        <v>12</v>
      </c>
      <c r="O1095" s="183"/>
      <c r="P1095" s="105" t="s">
        <v>1763</v>
      </c>
      <c r="Q1095" s="111"/>
      <c r="R1095" s="229"/>
    </row>
    <row r="1096" spans="2:18" ht="30" customHeight="1" x14ac:dyDescent="0.2">
      <c r="B1096" s="102">
        <v>44918</v>
      </c>
      <c r="C1096" s="67"/>
      <c r="D1096" s="103" t="s">
        <v>865</v>
      </c>
      <c r="E1096" s="103" t="s">
        <v>17</v>
      </c>
      <c r="F1096" s="105" t="s">
        <v>18</v>
      </c>
      <c r="G1096" s="23">
        <f>IFERROR(VLOOKUP(List34[[#This Row],[Site / Lokasi]],[7]Data!B:C,2,0),0)</f>
        <v>0</v>
      </c>
      <c r="H1096" s="271">
        <v>2126000</v>
      </c>
      <c r="I1096" s="258">
        <f>List34[[#This Row],[Pengajuan Donasi]]</f>
        <v>2126000</v>
      </c>
      <c r="J1096" s="213" t="str">
        <f>IF(List34[[#This Row],[Tanggal Trf]]&gt;0,"Done","-")</f>
        <v>Done</v>
      </c>
      <c r="K1096" s="103" t="s">
        <v>1796</v>
      </c>
      <c r="L1096" s="223">
        <v>44924</v>
      </c>
      <c r="M1096" s="105" t="s">
        <v>683</v>
      </c>
      <c r="N1096" s="100">
        <f>MONTH(List34[[#This Row],[Tanggal Pengajuan]])</f>
        <v>12</v>
      </c>
      <c r="O1096" s="183"/>
      <c r="P1096" s="105" t="s">
        <v>1763</v>
      </c>
      <c r="Q1096" s="111"/>
      <c r="R1096" s="229"/>
    </row>
    <row r="1097" spans="2:18" ht="30" customHeight="1" x14ac:dyDescent="0.2">
      <c r="B1097" s="102">
        <v>44918</v>
      </c>
      <c r="C1097" s="67"/>
      <c r="D1097" s="103" t="s">
        <v>866</v>
      </c>
      <c r="E1097" s="103" t="s">
        <v>17</v>
      </c>
      <c r="F1097" s="105" t="s">
        <v>18</v>
      </c>
      <c r="G1097" s="23">
        <f>IFERROR(VLOOKUP(List34[[#This Row],[Site / Lokasi]],[7]Data!B:C,2,0),0)</f>
        <v>0</v>
      </c>
      <c r="H1097" s="271">
        <v>2105000</v>
      </c>
      <c r="I1097" s="258">
        <f>List34[[#This Row],[Pengajuan Donasi]]</f>
        <v>2105000</v>
      </c>
      <c r="J1097" s="213" t="str">
        <f>IF(List34[[#This Row],[Tanggal Trf]]&gt;0,"Done","-")</f>
        <v>Done</v>
      </c>
      <c r="K1097" s="103" t="s">
        <v>1796</v>
      </c>
      <c r="L1097" s="223">
        <v>44924</v>
      </c>
      <c r="M1097" s="105" t="s">
        <v>683</v>
      </c>
      <c r="N1097" s="100">
        <f>MONTH(List34[[#This Row],[Tanggal Pengajuan]])</f>
        <v>12</v>
      </c>
      <c r="O1097" s="183"/>
      <c r="P1097" s="105" t="s">
        <v>1763</v>
      </c>
      <c r="Q1097" s="111"/>
      <c r="R1097" s="229"/>
    </row>
    <row r="1098" spans="2:18" ht="30" customHeight="1" x14ac:dyDescent="0.2">
      <c r="B1098" s="102">
        <v>44918</v>
      </c>
      <c r="C1098" s="67"/>
      <c r="D1098" s="103" t="s">
        <v>1099</v>
      </c>
      <c r="E1098" s="103" t="s">
        <v>17</v>
      </c>
      <c r="F1098" s="105" t="s">
        <v>18</v>
      </c>
      <c r="G1098" s="23">
        <f>IFERROR(VLOOKUP(List34[[#This Row],[Site / Lokasi]],[7]Data!B:C,2,0),0)</f>
        <v>0</v>
      </c>
      <c r="H1098" s="271">
        <v>2126000</v>
      </c>
      <c r="I1098" s="258">
        <f>List34[[#This Row],[Pengajuan Donasi]]</f>
        <v>2126000</v>
      </c>
      <c r="J1098" s="213" t="str">
        <f>IF(List34[[#This Row],[Tanggal Trf]]&gt;0,"Done","-")</f>
        <v>Done</v>
      </c>
      <c r="K1098" s="103" t="s">
        <v>1796</v>
      </c>
      <c r="L1098" s="223">
        <v>44924</v>
      </c>
      <c r="M1098" s="105" t="s">
        <v>683</v>
      </c>
      <c r="N1098" s="100">
        <f>MONTH(List34[[#This Row],[Tanggal Pengajuan]])</f>
        <v>12</v>
      </c>
      <c r="O1098" s="183"/>
      <c r="P1098" s="105" t="s">
        <v>1763</v>
      </c>
      <c r="Q1098" s="111"/>
      <c r="R1098" s="229"/>
    </row>
    <row r="1099" spans="2:18" ht="30" customHeight="1" x14ac:dyDescent="0.2">
      <c r="B1099" s="102">
        <v>44918</v>
      </c>
      <c r="C1099" s="67" t="s">
        <v>1806</v>
      </c>
      <c r="D1099" s="103" t="s">
        <v>856</v>
      </c>
      <c r="E1099" s="103" t="s">
        <v>17</v>
      </c>
      <c r="F1099" s="105" t="s">
        <v>18</v>
      </c>
      <c r="G1099" s="23">
        <f>IFERROR(VLOOKUP(List34[[#This Row],[Site / Lokasi]],[7]Data!B:C,2,0),0)</f>
        <v>0</v>
      </c>
      <c r="H1099" s="271">
        <v>3809100</v>
      </c>
      <c r="I1099" s="258">
        <f>List34[[#This Row],[Pengajuan Donasi]]</f>
        <v>3809100</v>
      </c>
      <c r="J1099" s="213" t="str">
        <f>IF(List34[[#This Row],[Tanggal Trf]]&gt;0,"Done","-")</f>
        <v>Done</v>
      </c>
      <c r="K1099" s="103" t="s">
        <v>1797</v>
      </c>
      <c r="L1099" s="223">
        <v>44924</v>
      </c>
      <c r="M1099" s="105" t="s">
        <v>683</v>
      </c>
      <c r="N1099" s="100">
        <f>MONTH(List34[[#This Row],[Tanggal Pengajuan]])</f>
        <v>12</v>
      </c>
      <c r="O1099" s="183"/>
      <c r="P1099" s="105" t="s">
        <v>1763</v>
      </c>
      <c r="Q1099" s="111"/>
      <c r="R1099" s="229"/>
    </row>
    <row r="1100" spans="2:18" ht="30" customHeight="1" x14ac:dyDescent="0.2">
      <c r="B1100" s="102">
        <v>44918</v>
      </c>
      <c r="C1100" s="67"/>
      <c r="D1100" s="103" t="s">
        <v>863</v>
      </c>
      <c r="E1100" s="103" t="s">
        <v>17</v>
      </c>
      <c r="F1100" s="105" t="s">
        <v>18</v>
      </c>
      <c r="G1100" s="23">
        <f>IFERROR(VLOOKUP(List34[[#This Row],[Site / Lokasi]],[7]Data!B:C,2,0),0)</f>
        <v>0</v>
      </c>
      <c r="H1100" s="271">
        <v>2027000</v>
      </c>
      <c r="I1100" s="258">
        <f>List34[[#This Row],[Pengajuan Donasi]]</f>
        <v>2027000</v>
      </c>
      <c r="J1100" s="213" t="str">
        <f>IF(List34[[#This Row],[Tanggal Trf]]&gt;0,"Done","-")</f>
        <v>Done</v>
      </c>
      <c r="K1100" s="103" t="s">
        <v>1797</v>
      </c>
      <c r="L1100" s="223">
        <v>44924</v>
      </c>
      <c r="M1100" s="105" t="s">
        <v>683</v>
      </c>
      <c r="N1100" s="100">
        <f>MONTH(List34[[#This Row],[Tanggal Pengajuan]])</f>
        <v>12</v>
      </c>
      <c r="O1100" s="183"/>
      <c r="P1100" s="105" t="s">
        <v>1763</v>
      </c>
      <c r="Q1100" s="111"/>
      <c r="R1100" s="229"/>
    </row>
    <row r="1101" spans="2:18" ht="30" customHeight="1" x14ac:dyDescent="0.2">
      <c r="B1101" s="102">
        <v>44918</v>
      </c>
      <c r="C1101" s="67"/>
      <c r="D1101" s="103" t="s">
        <v>866</v>
      </c>
      <c r="E1101" s="103" t="s">
        <v>17</v>
      </c>
      <c r="F1101" s="105" t="s">
        <v>18</v>
      </c>
      <c r="G1101" s="23">
        <f>IFERROR(VLOOKUP(List34[[#This Row],[Site / Lokasi]],[7]Data!B:C,2,0),0)</f>
        <v>0</v>
      </c>
      <c r="H1101" s="271">
        <v>1322000</v>
      </c>
      <c r="I1101" s="258">
        <f>List34[[#This Row],[Pengajuan Donasi]]</f>
        <v>1322000</v>
      </c>
      <c r="J1101" s="213" t="str">
        <f>IF(List34[[#This Row],[Tanggal Trf]]&gt;0,"Done","-")</f>
        <v>Done</v>
      </c>
      <c r="K1101" s="103" t="s">
        <v>1797</v>
      </c>
      <c r="L1101" s="223">
        <v>44924</v>
      </c>
      <c r="M1101" s="105" t="s">
        <v>683</v>
      </c>
      <c r="N1101" s="100">
        <f>MONTH(List34[[#This Row],[Tanggal Pengajuan]])</f>
        <v>12</v>
      </c>
      <c r="O1101" s="183"/>
      <c r="P1101" s="105" t="s">
        <v>1763</v>
      </c>
      <c r="Q1101" s="111"/>
      <c r="R1101" s="229"/>
    </row>
    <row r="1102" spans="2:18" ht="30" customHeight="1" x14ac:dyDescent="0.2">
      <c r="B1102" s="102">
        <v>44923</v>
      </c>
      <c r="C1102" s="67" t="s">
        <v>1808</v>
      </c>
      <c r="D1102" s="103" t="s">
        <v>853</v>
      </c>
      <c r="E1102" s="103" t="s">
        <v>17</v>
      </c>
      <c r="F1102" s="105" t="s">
        <v>18</v>
      </c>
      <c r="G1102" s="23">
        <f>IFERROR(VLOOKUP(List34[[#This Row],[Site / Lokasi]],[7]Data!B:C,2,0),0)</f>
        <v>0</v>
      </c>
      <c r="H1102" s="271">
        <v>229000</v>
      </c>
      <c r="I1102" s="258">
        <f>List34[[#This Row],[Pengajuan Donasi]]</f>
        <v>229000</v>
      </c>
      <c r="J1102" s="213" t="str">
        <f>IF(List34[[#This Row],[Tanggal Trf]]&gt;0,"Done","-")</f>
        <v>Done</v>
      </c>
      <c r="K1102" s="103" t="s">
        <v>1809</v>
      </c>
      <c r="L1102" s="223">
        <v>44935</v>
      </c>
      <c r="M1102" s="105" t="s">
        <v>1813</v>
      </c>
      <c r="N1102" s="100">
        <f>MONTH(List34[[#This Row],[Tanggal Pengajuan]])</f>
        <v>12</v>
      </c>
      <c r="O1102" s="183"/>
      <c r="P1102" s="105" t="s">
        <v>1763</v>
      </c>
      <c r="Q1102" s="111"/>
      <c r="R1102" s="229"/>
    </row>
    <row r="1103" spans="2:18" ht="30" customHeight="1" x14ac:dyDescent="0.2">
      <c r="B1103" s="102">
        <v>44923</v>
      </c>
      <c r="C1103" s="67"/>
      <c r="D1103" s="103" t="s">
        <v>328</v>
      </c>
      <c r="E1103" s="103" t="s">
        <v>17</v>
      </c>
      <c r="F1103" s="105" t="s">
        <v>18</v>
      </c>
      <c r="G1103" s="23">
        <f>IFERROR(VLOOKUP(List34[[#This Row],[Site / Lokasi]],[7]Data!B:C,2,0),0)</f>
        <v>0</v>
      </c>
      <c r="H1103" s="271">
        <v>229000</v>
      </c>
      <c r="I1103" s="258">
        <f>List34[[#This Row],[Pengajuan Donasi]]</f>
        <v>229000</v>
      </c>
      <c r="J1103" s="213" t="str">
        <f>IF(List34[[#This Row],[Tanggal Trf]]&gt;0,"Done","-")</f>
        <v>Done</v>
      </c>
      <c r="K1103" s="103" t="s">
        <v>1809</v>
      </c>
      <c r="L1103" s="223">
        <v>44935</v>
      </c>
      <c r="M1103" s="105" t="s">
        <v>1813</v>
      </c>
      <c r="N1103" s="100">
        <f>MONTH(List34[[#This Row],[Tanggal Pengajuan]])</f>
        <v>12</v>
      </c>
      <c r="O1103" s="183"/>
      <c r="P1103" s="105" t="s">
        <v>1763</v>
      </c>
      <c r="Q1103" s="111"/>
      <c r="R1103" s="229"/>
    </row>
    <row r="1104" spans="2:18" ht="30" customHeight="1" x14ac:dyDescent="0.2">
      <c r="B1104" s="102"/>
      <c r="C1104" s="67"/>
      <c r="D1104" s="103"/>
      <c r="E1104" s="103"/>
      <c r="F1104" s="105"/>
      <c r="G1104" s="23">
        <f>IFERROR(VLOOKUP(List34[[#This Row],[Site / Lokasi]],[7]Data!B:C,2,0),0)</f>
        <v>0</v>
      </c>
      <c r="H1104" s="271"/>
      <c r="I1104" s="258">
        <f>List34[[#This Row],[Pengajuan Donasi]]</f>
        <v>0</v>
      </c>
      <c r="J1104" s="213" t="str">
        <f>IF(List34[[#This Row],[Tanggal Trf]]&gt;0,"Done","-")</f>
        <v>-</v>
      </c>
      <c r="K1104" s="440"/>
      <c r="L1104" s="223"/>
      <c r="M1104" s="105"/>
      <c r="N1104" s="100">
        <f>MONTH(List34[[#This Row],[Tanggal Pengajuan]])</f>
        <v>1</v>
      </c>
      <c r="O1104" s="183"/>
      <c r="P1104" s="105"/>
      <c r="Q1104" s="111"/>
      <c r="R1104" s="229"/>
    </row>
    <row r="1105" spans="2:18" ht="30" customHeight="1" x14ac:dyDescent="0.2">
      <c r="B1105" s="102"/>
      <c r="C1105" s="67"/>
      <c r="D1105" s="103"/>
      <c r="E1105" s="103"/>
      <c r="F1105" s="105"/>
      <c r="G1105" s="23"/>
      <c r="H1105" s="271"/>
      <c r="I1105" s="258">
        <f>List34[[#This Row],[Pengajuan Donasi]]</f>
        <v>0</v>
      </c>
      <c r="J1105" s="213" t="str">
        <f>IF(List34[[#This Row],[Tanggal Trf]]&gt;0,"Done","-")</f>
        <v>-</v>
      </c>
      <c r="K1105" s="440"/>
      <c r="L1105" s="223"/>
      <c r="M1105" s="105"/>
      <c r="N1105" s="100">
        <f>MONTH(List34[[#This Row],[Tanggal Pengajuan]])</f>
        <v>1</v>
      </c>
      <c r="O1105" s="183"/>
      <c r="P1105" s="105"/>
      <c r="Q1105" s="111"/>
      <c r="R1105" s="229"/>
    </row>
    <row r="1106" spans="2:18" ht="30" customHeight="1" x14ac:dyDescent="0.2">
      <c r="B1106" s="102"/>
      <c r="C1106" s="67"/>
      <c r="D1106" s="103"/>
      <c r="E1106" s="103"/>
      <c r="F1106" s="105"/>
      <c r="G1106" s="23"/>
      <c r="H1106" s="271"/>
      <c r="I1106" s="258">
        <f>List34[[#This Row],[Pengajuan Donasi]]</f>
        <v>0</v>
      </c>
      <c r="J1106" s="213" t="str">
        <f>IF(List34[[#This Row],[Tanggal Trf]]&gt;0,"Done","-")</f>
        <v>-</v>
      </c>
      <c r="K1106" s="440"/>
      <c r="L1106" s="214"/>
      <c r="M1106" s="105"/>
      <c r="N1106" s="100">
        <f>MONTH(List34[[#This Row],[Tanggal Pengajuan]])</f>
        <v>1</v>
      </c>
      <c r="O1106" s="183"/>
      <c r="P1106" s="105"/>
      <c r="Q1106" s="111"/>
      <c r="R1106" s="229"/>
    </row>
    <row r="1107" spans="2:18" ht="30" customHeight="1" x14ac:dyDescent="0.2">
      <c r="B1107" s="1023"/>
      <c r="C1107" s="1024"/>
      <c r="D1107" s="1025"/>
      <c r="E1107" s="1025"/>
      <c r="F1107" s="1025" t="s">
        <v>156</v>
      </c>
      <c r="G1107" s="1026">
        <f>SUBTOTAL(109,List34[[Jumlah Anak ]])</f>
        <v>29468</v>
      </c>
      <c r="H1107" s="1027">
        <f>SUBTOTAL(109,List34[Pengajuan Donasi])</f>
        <v>5567269847.4700003</v>
      </c>
      <c r="I1107" s="1028">
        <f>SUBTOTAL(109,List34[Jumlah Transfer])</f>
        <v>5567296847.4700003</v>
      </c>
      <c r="J1107" s="1037"/>
      <c r="K1107" s="1025"/>
      <c r="L1107" s="1029"/>
      <c r="M1107" s="1025"/>
      <c r="N1107" s="1025"/>
      <c r="O1107" s="1023"/>
      <c r="P1107" s="1025"/>
      <c r="Q1107" s="1030"/>
      <c r="R1107" s="1025"/>
    </row>
    <row r="1108" spans="2:18" ht="30" customHeight="1" x14ac:dyDescent="0.2">
      <c r="G1108" s="81"/>
      <c r="H1108" s="268">
        <f>List34[[#Totals],[Pengajuan Donasi]]-Category!AZ338</f>
        <v>-26999.999999046326</v>
      </c>
      <c r="I1108" s="152">
        <f>+List34[[#Totals],[Pengajuan Donasi]]-List34[[#Totals],[Jumlah Transfer]]</f>
        <v>-27000</v>
      </c>
    </row>
    <row r="1109" spans="2:18" ht="30" customHeight="1" x14ac:dyDescent="0.2">
      <c r="J1109" s="286"/>
    </row>
    <row r="1110" spans="2:18" ht="30" customHeight="1" x14ac:dyDescent="0.2">
      <c r="G1110" s="82"/>
      <c r="H1110" s="272"/>
      <c r="I1110" s="272"/>
      <c r="J1110" s="218"/>
    </row>
    <row r="1111" spans="2:18" ht="30" customHeight="1" x14ac:dyDescent="0.2">
      <c r="J1111" s="286"/>
    </row>
    <row r="1112" spans="2:18" ht="30" customHeight="1" x14ac:dyDescent="0.2">
      <c r="J1112" s="218"/>
    </row>
    <row r="1113" spans="2:18" ht="30" customHeight="1" x14ac:dyDescent="0.2">
      <c r="J1113" s="218"/>
    </row>
  </sheetData>
  <conditionalFormatting sqref="C871:C877">
    <cfRule type="duplicateValues" dxfId="75" priority="1"/>
  </conditionalFormatting>
  <dataValidations count="8">
    <dataValidation allowBlank="1" showInputMessage="1" showErrorMessage="1" prompt="Enter First Name in this column under this heading" sqref="D2" xr:uid="{00000000-0002-0000-0700-000000000000}"/>
    <dataValidation allowBlank="1" showInputMessage="1" showErrorMessage="1" prompt="Enter Last Name in this column under this heading. Use heading filters to find specific entries" sqref="B2:B4" xr:uid="{00000000-0002-0000-0700-000001000000}"/>
    <dataValidation errorStyle="warning" allowBlank="1" showInputMessage="1" showErrorMessage="1" error="If the card was received, select Yes from the list. Select CANCEL, press ALT+DOWN ARROW for options, then DOWN ARROW and ENTER to make selection" sqref="N1108:P1048576 N35:P35 M28:M30 M21 M113:M115 O134:O155 M32 L110:L112 L116 L135 P77:P79 M23 M275:M276 L296 P53:P55 P57:P59 P61:P63 P65:P67 P69:P71 P73:P75 P81:P85 N36:O83 P1:P51 M52:M84 N1:O34 O84:O132 M152:M153 O277:O278 M36 M361:M362 L87:L108 M465:M466 M556 O536:O1106 N84:N1106" xr:uid="{00000000-0002-0000-0700-000002000000}"/>
    <dataValidation allowBlank="1" showInputMessage="1" showErrorMessage="1" prompt="Enter Address in this column under this heading" sqref="E2:F2" xr:uid="{00000000-0002-0000-0700-000003000000}"/>
    <dataValidation allowBlank="1" showInputMessage="1" showErrorMessage="1" prompt="Create a Christmas Card List in this worksheet. Enter Year in cell at right and details in List table" sqref="A1" xr:uid="{00000000-0002-0000-0700-000004000000}"/>
    <dataValidation allowBlank="1" showInputMessage="1" showErrorMessage="1" prompt="Title of this worksheet is in this cell. Enter details in table below" sqref="C1" xr:uid="{00000000-0002-0000-0700-000005000000}"/>
    <dataValidation allowBlank="1" showInputMessage="1" showErrorMessage="1" prompt="Enter Year in this cell. Poinsettia is also in this cell. Title of this worksheet is in cell at right" sqref="B1" xr:uid="{00000000-0002-0000-0700-000006000000}"/>
    <dataValidation allowBlank="1" showInputMessage="1" showErrorMessage="1" prompt="Enter City, State, and Zip Code in this column under this heading" sqref="C2:C20" xr:uid="{00000000-0002-0000-0700-000007000000}"/>
  </dataValidations>
  <printOptions horizontalCentered="1"/>
  <pageMargins left="0.19685039370078741" right="0.19685039370078741" top="0.35" bottom="0.32" header="0.27" footer="0.22"/>
  <pageSetup paperSize="9" scale="59" fitToHeight="0" orientation="landscape" r:id="rId1"/>
  <headerFooter differentFirst="1">
    <oddFooter>Page &amp;P of &amp;N</oddFooter>
  </headerFooter>
  <drawing r:id="rId2"/>
  <legacyDrawing r:id="rId3"/>
  <tableParts count="1">
    <tablePart r:id="rId4"/>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U754"/>
  <sheetViews>
    <sheetView zoomScale="68" zoomScaleNormal="68" workbookViewId="0">
      <selection activeCell="D41" sqref="D41"/>
    </sheetView>
  </sheetViews>
  <sheetFormatPr defaultRowHeight="15" x14ac:dyDescent="0.2"/>
  <cols>
    <col min="1" max="1" width="19.1015625" bestFit="1" customWidth="1"/>
    <col min="2" max="2" width="21.25390625" bestFit="1" customWidth="1"/>
    <col min="3" max="3" width="60.265625" customWidth="1"/>
    <col min="4" max="4" width="29.59375" bestFit="1" customWidth="1"/>
    <col min="5" max="5" width="14.52734375" bestFit="1" customWidth="1"/>
    <col min="6" max="6" width="6.05078125" bestFit="1" customWidth="1"/>
    <col min="7" max="7" width="19.90625" bestFit="1" customWidth="1"/>
    <col min="8" max="8" width="17.890625" hidden="1" customWidth="1"/>
    <col min="9" max="9" width="7.12890625" hidden="1" customWidth="1"/>
    <col min="10" max="10" width="41.296875" hidden="1" customWidth="1"/>
    <col min="11" max="11" width="21.1171875" hidden="1" customWidth="1"/>
    <col min="12" max="12" width="89.1875" hidden="1" customWidth="1"/>
    <col min="13" max="13" width="2.5546875" hidden="1" customWidth="1"/>
    <col min="14" max="14" width="13.98828125" hidden="1" customWidth="1"/>
    <col min="15" max="15" width="36.9921875" hidden="1" customWidth="1"/>
    <col min="16" max="16" width="0" hidden="1" customWidth="1"/>
    <col min="17" max="17" width="4.83984375" hidden="1" customWidth="1"/>
    <col min="18" max="18" width="6.3203125" hidden="1" customWidth="1"/>
    <col min="19" max="19" width="13.5859375" hidden="1" customWidth="1"/>
    <col min="20" max="21" width="19.90625" bestFit="1" customWidth="1"/>
  </cols>
  <sheetData>
    <row r="2" spans="1:20" s="4" customFormat="1" ht="30" customHeight="1" x14ac:dyDescent="0.2">
      <c r="A2" s="13"/>
      <c r="B2" s="189" t="s">
        <v>676</v>
      </c>
      <c r="C2" s="164" t="s">
        <v>960</v>
      </c>
      <c r="D2" s="164" t="s">
        <v>960</v>
      </c>
      <c r="E2" s="164" t="s">
        <v>960</v>
      </c>
      <c r="F2" s="178"/>
      <c r="G2" s="261" t="s">
        <v>960</v>
      </c>
      <c r="H2" s="258" t="e">
        <f>List34[[#This Row],[Pengajuan Donasi]]</f>
        <v>#VALUE!</v>
      </c>
      <c r="I2" s="216" t="e">
        <f>IF(List34[[#This Row],[Tanggal Trf]]&gt;0,"Done","-")</f>
        <v>#VALUE!</v>
      </c>
      <c r="J2" s="439" t="s">
        <v>677</v>
      </c>
      <c r="K2" s="273" t="s">
        <v>960</v>
      </c>
      <c r="L2" s="193" t="s">
        <v>960</v>
      </c>
      <c r="M2" s="193" t="e">
        <f>MONTH(List34[[#This Row],[Tanggal Pengajuan]])</f>
        <v>#VALUE!</v>
      </c>
      <c r="N2" s="274"/>
      <c r="O2" s="193"/>
      <c r="P2" s="110"/>
      <c r="Q2" s="230" t="s">
        <v>958</v>
      </c>
      <c r="S2" s="275" t="e">
        <f>+List34[[#This Row],[Pengajuan Donasi]]-List34[[#This Row],[Jumlah Transfer]]</f>
        <v>#VALUE!</v>
      </c>
      <c r="T2" s="275"/>
    </row>
    <row r="3" spans="1:20" s="4" customFormat="1" ht="36" customHeight="1" x14ac:dyDescent="0.2">
      <c r="A3" s="13">
        <v>44715</v>
      </c>
      <c r="B3" s="189" t="s">
        <v>1089</v>
      </c>
      <c r="C3" s="164" t="s">
        <v>1098</v>
      </c>
      <c r="D3" s="164" t="s">
        <v>960</v>
      </c>
      <c r="E3" s="164" t="s">
        <v>960</v>
      </c>
      <c r="F3" s="470"/>
      <c r="G3" s="261">
        <v>0</v>
      </c>
      <c r="H3" s="261">
        <f>List34[[#This Row],[Pengajuan Donasi]]</f>
        <v>100000000</v>
      </c>
      <c r="I3" s="216" t="str">
        <f>IF(List34[[#This Row],[Tanggal Trf]]&gt;0,"Done","-")</f>
        <v>Done</v>
      </c>
      <c r="J3" s="439"/>
      <c r="K3" s="220"/>
      <c r="L3" s="193" t="s">
        <v>960</v>
      </c>
      <c r="M3" s="193">
        <f>MONTH(List34[[#This Row],[Tanggal Pengajuan]])</f>
        <v>1</v>
      </c>
      <c r="N3" s="62" t="s">
        <v>960</v>
      </c>
      <c r="O3" s="193" t="s">
        <v>1222</v>
      </c>
      <c r="P3" s="110"/>
      <c r="Q3" s="230" t="s">
        <v>958</v>
      </c>
      <c r="S3" s="275">
        <f>+List34[[#This Row],[Pengajuan Donasi]]-List34[[#This Row],[Jumlah Transfer]]</f>
        <v>0</v>
      </c>
      <c r="T3" s="275"/>
    </row>
    <row r="4" spans="1:20" s="8" customFormat="1" ht="36" customHeight="1" x14ac:dyDescent="0.2">
      <c r="A4" s="700"/>
      <c r="B4" s="701"/>
      <c r="C4" s="405"/>
      <c r="D4" s="405"/>
      <c r="E4" s="405"/>
      <c r="F4" s="702"/>
      <c r="G4" s="703"/>
      <c r="H4" s="703"/>
      <c r="I4" s="704"/>
      <c r="J4" s="705"/>
      <c r="K4" s="706"/>
      <c r="L4" s="405"/>
      <c r="M4" s="405"/>
      <c r="N4" s="707"/>
      <c r="O4" s="405"/>
      <c r="P4" s="708"/>
      <c r="Q4" s="709"/>
      <c r="S4" s="639"/>
      <c r="T4" s="639"/>
    </row>
    <row r="5" spans="1:20" s="4" customFormat="1" ht="30" customHeight="1" x14ac:dyDescent="0.2">
      <c r="A5" s="13">
        <v>44567</v>
      </c>
      <c r="B5" s="189" t="s">
        <v>663</v>
      </c>
      <c r="C5" s="164" t="s">
        <v>35</v>
      </c>
      <c r="D5" s="164" t="s">
        <v>179</v>
      </c>
      <c r="E5" s="164" t="s">
        <v>18</v>
      </c>
      <c r="F5" s="178"/>
      <c r="G5" s="261"/>
      <c r="H5" s="261">
        <f>List34[[#This Row],[Pengajuan Donasi]]</f>
        <v>6000000</v>
      </c>
      <c r="I5" s="216" t="str">
        <f>IF(List34[[#This Row],[Tanggal Trf]]&gt;0,"Done","-")</f>
        <v>Done</v>
      </c>
      <c r="J5" s="439" t="s">
        <v>673</v>
      </c>
      <c r="K5" s="273" t="s">
        <v>960</v>
      </c>
      <c r="L5" s="193" t="s">
        <v>136</v>
      </c>
      <c r="M5" s="193">
        <f>MONTH(List34[[#This Row],[Tanggal Pengajuan]])</f>
        <v>1</v>
      </c>
      <c r="N5" s="274"/>
      <c r="O5" s="193" t="s">
        <v>651</v>
      </c>
      <c r="P5" s="110"/>
      <c r="Q5" s="230" t="s">
        <v>958</v>
      </c>
      <c r="S5" s="275">
        <f>+List34[[#This Row],[Pengajuan Donasi]]-List34[[#This Row],[Jumlah Transfer]]</f>
        <v>0</v>
      </c>
      <c r="T5" s="275"/>
    </row>
    <row r="6" spans="1:20" s="4" customFormat="1" ht="30" customHeight="1" x14ac:dyDescent="0.2">
      <c r="A6" s="210">
        <v>44746</v>
      </c>
      <c r="B6" s="189" t="s">
        <v>1148</v>
      </c>
      <c r="C6" s="164" t="s">
        <v>1170</v>
      </c>
      <c r="D6" s="164" t="s">
        <v>179</v>
      </c>
      <c r="E6" s="164" t="s">
        <v>18</v>
      </c>
      <c r="F6" s="470"/>
      <c r="G6" s="261">
        <v>0</v>
      </c>
      <c r="H6" s="261">
        <f>List34[[#This Row],[Pengajuan Donasi]]</f>
        <v>5000000</v>
      </c>
      <c r="I6" s="253" t="str">
        <f>IF(List34[[#This Row],[Tanggal Trf]]&gt;0,"Done","-")</f>
        <v>Done</v>
      </c>
      <c r="J6" s="447" t="s">
        <v>960</v>
      </c>
      <c r="K6" s="711"/>
      <c r="L6" s="164" t="s">
        <v>493</v>
      </c>
      <c r="M6" s="193">
        <f>MONTH(List34[[#This Row],[Tanggal Pengajuan]])</f>
        <v>1</v>
      </c>
      <c r="N6" s="274"/>
      <c r="O6" s="193" t="s">
        <v>1179</v>
      </c>
      <c r="P6" s="198"/>
      <c r="Q6" s="230" t="s">
        <v>958</v>
      </c>
      <c r="S6" s="275">
        <f>+List34[[#This Row],[Pengajuan Donasi]]-List34[[#This Row],[Jumlah Transfer]]</f>
        <v>0</v>
      </c>
      <c r="T6" s="275"/>
    </row>
    <row r="7" spans="1:20" s="4" customFormat="1" ht="30" customHeight="1" x14ac:dyDescent="0.2">
      <c r="A7" s="210">
        <v>44746</v>
      </c>
      <c r="B7" s="189" t="s">
        <v>1149</v>
      </c>
      <c r="C7" s="164" t="s">
        <v>1171</v>
      </c>
      <c r="D7" s="164" t="s">
        <v>179</v>
      </c>
      <c r="E7" s="164" t="s">
        <v>18</v>
      </c>
      <c r="F7" s="470"/>
      <c r="G7" s="261">
        <v>0</v>
      </c>
      <c r="H7" s="261">
        <f>List34[[#This Row],[Pengajuan Donasi]]</f>
        <v>1000000</v>
      </c>
      <c r="I7" s="253" t="str">
        <f>IF(List34[[#This Row],[Tanggal Trf]]&gt;0,"Done","-")</f>
        <v>Done</v>
      </c>
      <c r="J7" s="447" t="s">
        <v>960</v>
      </c>
      <c r="K7" s="711"/>
      <c r="L7" s="164" t="s">
        <v>893</v>
      </c>
      <c r="M7" s="193">
        <f>MONTH(List34[[#This Row],[Tanggal Pengajuan]])</f>
        <v>1</v>
      </c>
      <c r="N7" s="194"/>
      <c r="O7" s="193" t="s">
        <v>1179</v>
      </c>
      <c r="P7" s="198"/>
      <c r="Q7" s="230" t="s">
        <v>958</v>
      </c>
      <c r="S7" s="275">
        <f>+List34[[#This Row],[Pengajuan Donasi]]-List34[[#This Row],[Jumlah Transfer]]</f>
        <v>0</v>
      </c>
      <c r="T7" s="275"/>
    </row>
    <row r="8" spans="1:20" s="8" customFormat="1" ht="30" customHeight="1" x14ac:dyDescent="0.2">
      <c r="A8" s="713"/>
      <c r="B8" s="701"/>
      <c r="C8" s="405"/>
      <c r="D8" s="405"/>
      <c r="E8" s="405"/>
      <c r="F8" s="702"/>
      <c r="G8" s="703"/>
      <c r="H8" s="703"/>
      <c r="I8" s="704"/>
      <c r="J8" s="705"/>
      <c r="K8" s="714"/>
      <c r="L8" s="405"/>
      <c r="M8" s="405"/>
      <c r="N8" s="715"/>
      <c r="O8" s="405"/>
      <c r="P8" s="716"/>
      <c r="Q8" s="709"/>
      <c r="S8" s="639"/>
      <c r="T8" s="639"/>
    </row>
    <row r="9" spans="1:20" s="4" customFormat="1" ht="30" customHeight="1" x14ac:dyDescent="0.2">
      <c r="A9" s="13">
        <v>44582</v>
      </c>
      <c r="B9" s="66" t="s">
        <v>679</v>
      </c>
      <c r="C9" s="14" t="s">
        <v>87</v>
      </c>
      <c r="D9" s="14" t="s">
        <v>179</v>
      </c>
      <c r="E9" s="14" t="s">
        <v>18</v>
      </c>
      <c r="F9" s="15">
        <v>24</v>
      </c>
      <c r="G9" s="258">
        <v>2400000</v>
      </c>
      <c r="H9" s="258">
        <f>List34[[#This Row],[Pengajuan Donasi]]</f>
        <v>1000000</v>
      </c>
      <c r="I9" s="214" t="str">
        <f>IF(List34[[#This Row],[Tanggal Trf]]&gt;0,"Done","-")</f>
        <v>Done</v>
      </c>
      <c r="J9" s="437" t="s">
        <v>691</v>
      </c>
      <c r="K9" s="220">
        <v>44588</v>
      </c>
      <c r="L9" s="14" t="s">
        <v>493</v>
      </c>
      <c r="M9" s="100">
        <f>MONTH(List34[[#This Row],[Tanggal Pengajuan]])</f>
        <v>1</v>
      </c>
      <c r="N9" s="62">
        <v>44691</v>
      </c>
      <c r="O9" s="100" t="s">
        <v>687</v>
      </c>
      <c r="P9" s="110"/>
      <c r="Q9" s="230" t="s">
        <v>958</v>
      </c>
      <c r="S9" s="275">
        <f>+List34[[#This Row],[Pengajuan Donasi]]-List34[[#This Row],[Jumlah Transfer]]</f>
        <v>0</v>
      </c>
      <c r="T9" s="275"/>
    </row>
    <row r="10" spans="1:20" s="4" customFormat="1" ht="30" customHeight="1" x14ac:dyDescent="0.2">
      <c r="A10" s="13">
        <v>44601</v>
      </c>
      <c r="B10" s="66" t="s">
        <v>725</v>
      </c>
      <c r="C10" s="14" t="s">
        <v>87</v>
      </c>
      <c r="D10" s="14" t="s">
        <v>179</v>
      </c>
      <c r="E10" s="14" t="s">
        <v>18</v>
      </c>
      <c r="F10" s="15">
        <v>24</v>
      </c>
      <c r="G10" s="258">
        <v>2400000</v>
      </c>
      <c r="H10" s="258">
        <f>List34[[#This Row],[Pengajuan Donasi]]</f>
        <v>1000000</v>
      </c>
      <c r="I10" s="214" t="str">
        <f>IF(List34[[#This Row],[Tanggal Trf]]&gt;0,"Done","-")</f>
        <v>Done</v>
      </c>
      <c r="J10" s="437" t="s">
        <v>731</v>
      </c>
      <c r="K10" s="220">
        <v>44622</v>
      </c>
      <c r="L10" s="14" t="s">
        <v>493</v>
      </c>
      <c r="M10" s="100">
        <f>MONTH(List34[[#This Row],[Tanggal Pengajuan]])</f>
        <v>1</v>
      </c>
      <c r="N10" s="62">
        <v>44691</v>
      </c>
      <c r="O10" s="100" t="s">
        <v>707</v>
      </c>
      <c r="P10" s="110"/>
      <c r="Q10" s="230" t="s">
        <v>958</v>
      </c>
      <c r="S10" s="275">
        <f>+List34[[#This Row],[Pengajuan Donasi]]-List34[[#This Row],[Jumlah Transfer]]</f>
        <v>0</v>
      </c>
      <c r="T10" s="275"/>
    </row>
    <row r="11" spans="1:20" s="4" customFormat="1" ht="30" customHeight="1" x14ac:dyDescent="0.2">
      <c r="A11" s="13">
        <v>44638</v>
      </c>
      <c r="B11" s="66" t="s">
        <v>774</v>
      </c>
      <c r="C11" s="14" t="s">
        <v>87</v>
      </c>
      <c r="D11" s="14" t="s">
        <v>179</v>
      </c>
      <c r="E11" s="14" t="s">
        <v>18</v>
      </c>
      <c r="F11" s="15">
        <v>24</v>
      </c>
      <c r="G11" s="258">
        <v>2400000</v>
      </c>
      <c r="H11" s="258">
        <v>2400000</v>
      </c>
      <c r="I11" s="214" t="str">
        <f>IF(List34[[#This Row],[Tanggal Trf]]&gt;0,"Done","-")</f>
        <v>Done</v>
      </c>
      <c r="J11" s="437"/>
      <c r="K11" s="220">
        <v>44648</v>
      </c>
      <c r="L11" s="14" t="s">
        <v>493</v>
      </c>
      <c r="M11" s="100">
        <f>MONTH(List34[[#This Row],[Tanggal Pengajuan]])</f>
        <v>1</v>
      </c>
      <c r="N11" s="62">
        <v>44691</v>
      </c>
      <c r="O11" s="100" t="s">
        <v>746</v>
      </c>
      <c r="P11" s="110"/>
      <c r="Q11" s="230" t="s">
        <v>958</v>
      </c>
      <c r="S11" s="275">
        <f>+List34[[#This Row],[Pengajuan Donasi]]-List34[[#This Row],[Jumlah Transfer]]</f>
        <v>0</v>
      </c>
      <c r="T11" s="275"/>
    </row>
    <row r="12" spans="1:20" s="4" customFormat="1" ht="30" customHeight="1" x14ac:dyDescent="0.2">
      <c r="A12" s="13">
        <v>44659</v>
      </c>
      <c r="B12" s="66" t="s">
        <v>797</v>
      </c>
      <c r="C12" s="14" t="s">
        <v>87</v>
      </c>
      <c r="D12" s="14" t="s">
        <v>179</v>
      </c>
      <c r="E12" s="14" t="s">
        <v>18</v>
      </c>
      <c r="F12" s="15">
        <v>24</v>
      </c>
      <c r="G12" s="258">
        <v>2400000</v>
      </c>
      <c r="H12" s="258">
        <f>List34[[#This Row],[Pengajuan Donasi]]</f>
        <v>1000000</v>
      </c>
      <c r="I12" s="214" t="str">
        <f>IF(List34[[#This Row],[Tanggal Trf]]&gt;0,"Done","-")</f>
        <v>Done</v>
      </c>
      <c r="J12" s="437"/>
      <c r="K12" s="220">
        <v>44666</v>
      </c>
      <c r="L12" s="14" t="s">
        <v>493</v>
      </c>
      <c r="M12" s="100">
        <f>MONTH(List34[[#This Row],[Tanggal Pengajuan]])</f>
        <v>1</v>
      </c>
      <c r="N12" s="62">
        <v>44677</v>
      </c>
      <c r="O12" s="20" t="s">
        <v>795</v>
      </c>
      <c r="P12" s="110"/>
      <c r="Q12" s="230" t="s">
        <v>958</v>
      </c>
      <c r="S12" s="275">
        <f>+List34[[#This Row],[Pengajuan Donasi]]-List34[[#This Row],[Jumlah Transfer]]</f>
        <v>0</v>
      </c>
      <c r="T12" s="275"/>
    </row>
    <row r="13" spans="1:20" s="4" customFormat="1" ht="30" customHeight="1" x14ac:dyDescent="0.2">
      <c r="A13" s="13">
        <v>44687</v>
      </c>
      <c r="B13" s="66" t="s">
        <v>943</v>
      </c>
      <c r="C13" s="14" t="s">
        <v>87</v>
      </c>
      <c r="D13" s="14" t="s">
        <v>179</v>
      </c>
      <c r="E13" s="14" t="s">
        <v>18</v>
      </c>
      <c r="F13" s="15">
        <v>24</v>
      </c>
      <c r="G13" s="258">
        <v>2400000</v>
      </c>
      <c r="H13" s="258">
        <f>List34[[#This Row],[Pengajuan Donasi]]</f>
        <v>1000000</v>
      </c>
      <c r="I13" s="214" t="str">
        <f>IF(List34[[#This Row],[Tanggal Trf]]&gt;0,"Done","-")</f>
        <v>Done</v>
      </c>
      <c r="J13" s="437"/>
      <c r="K13" s="220">
        <v>44705</v>
      </c>
      <c r="L13" s="14" t="s">
        <v>493</v>
      </c>
      <c r="M13" s="100">
        <f>MONTH(List34[[#This Row],[Tanggal Pengajuan]])</f>
        <v>1</v>
      </c>
      <c r="N13" s="62">
        <v>44746</v>
      </c>
      <c r="O13" s="100" t="s">
        <v>932</v>
      </c>
      <c r="P13" s="110"/>
      <c r="Q13" s="230" t="s">
        <v>958</v>
      </c>
      <c r="S13" s="275">
        <f>+List34[[#This Row],[Pengajuan Donasi]]-List34[[#This Row],[Jumlah Transfer]]</f>
        <v>0</v>
      </c>
      <c r="T13" s="275">
        <f>SUM(G9:G13)</f>
        <v>12000000</v>
      </c>
    </row>
    <row r="14" spans="1:20" s="4" customFormat="1" ht="30" customHeight="1" x14ac:dyDescent="0.2">
      <c r="A14" s="13">
        <v>44746</v>
      </c>
      <c r="B14" s="66" t="s">
        <v>1134</v>
      </c>
      <c r="C14" s="14" t="s">
        <v>53</v>
      </c>
      <c r="D14" s="14" t="s">
        <v>179</v>
      </c>
      <c r="E14" s="14" t="s">
        <v>28</v>
      </c>
      <c r="F14" s="471">
        <v>47</v>
      </c>
      <c r="G14" s="258">
        <v>15851950</v>
      </c>
      <c r="H14" s="258">
        <f>List34[[#This Row],[Pengajuan Donasi]]</f>
        <v>1000000</v>
      </c>
      <c r="I14" s="214" t="str">
        <f>IF(List34[[#This Row],[Tanggal Trf]]&gt;0,"Done","-")</f>
        <v>Done</v>
      </c>
      <c r="J14" s="437" t="s">
        <v>1157</v>
      </c>
      <c r="K14" s="640">
        <v>44764</v>
      </c>
      <c r="L14" s="14" t="s">
        <v>1178</v>
      </c>
      <c r="M14" s="100">
        <f>MONTH(List34[[#This Row],[Tanggal Pengajuan]])</f>
        <v>1</v>
      </c>
      <c r="N14" s="62"/>
      <c r="O14" s="100" t="s">
        <v>1180</v>
      </c>
      <c r="P14" s="110"/>
      <c r="Q14" s="230" t="s">
        <v>958</v>
      </c>
      <c r="S14" s="275">
        <f>+List34[[#This Row],[Pengajuan Donasi]]-List34[[#This Row],[Jumlah Transfer]]</f>
        <v>0</v>
      </c>
      <c r="T14" s="275">
        <f>+G14</f>
        <v>15851950</v>
      </c>
    </row>
    <row r="15" spans="1:20" s="4" customFormat="1" ht="30" customHeight="1" x14ac:dyDescent="0.2">
      <c r="A15" s="13">
        <v>44614</v>
      </c>
      <c r="B15" s="66" t="s">
        <v>729</v>
      </c>
      <c r="C15" s="14" t="s">
        <v>106</v>
      </c>
      <c r="D15" s="14" t="s">
        <v>179</v>
      </c>
      <c r="E15" s="14" t="s">
        <v>18</v>
      </c>
      <c r="F15" s="15">
        <v>85</v>
      </c>
      <c r="G15" s="258">
        <v>79550000</v>
      </c>
      <c r="H15" s="258">
        <f>List34[[#This Row],[Pengajuan Donasi]]</f>
        <v>750000</v>
      </c>
      <c r="I15" s="214" t="str">
        <f>IF(List34[[#This Row],[Tanggal Trf]]&gt;0,"Done","-")</f>
        <v>Done</v>
      </c>
      <c r="J15" s="437" t="s">
        <v>731</v>
      </c>
      <c r="K15" s="220">
        <v>44622</v>
      </c>
      <c r="L15" s="14" t="s">
        <v>734</v>
      </c>
      <c r="M15" s="100">
        <f>MONTH(List34[[#This Row],[Tanggal Pengajuan]])</f>
        <v>1</v>
      </c>
      <c r="N15" s="62">
        <v>44691</v>
      </c>
      <c r="O15" s="100" t="s">
        <v>707</v>
      </c>
      <c r="P15" s="110"/>
      <c r="Q15" s="230" t="s">
        <v>958</v>
      </c>
      <c r="S15" s="275">
        <f>+List34[[#This Row],[Pengajuan Donasi]]-List34[[#This Row],[Jumlah Transfer]]</f>
        <v>0</v>
      </c>
      <c r="T15" s="275"/>
    </row>
    <row r="16" spans="1:20" s="4" customFormat="1" ht="30" customHeight="1" x14ac:dyDescent="0.2">
      <c r="A16" s="13">
        <v>44635</v>
      </c>
      <c r="B16" s="66" t="s">
        <v>766</v>
      </c>
      <c r="C16" s="14" t="s">
        <v>106</v>
      </c>
      <c r="D16" s="14" t="s">
        <v>179</v>
      </c>
      <c r="E16" s="14" t="s">
        <v>18</v>
      </c>
      <c r="F16" s="15">
        <v>85</v>
      </c>
      <c r="G16" s="258">
        <v>7300000</v>
      </c>
      <c r="H16" s="258">
        <v>7300000</v>
      </c>
      <c r="I16" s="214" t="str">
        <f>IF(List34[[#This Row],[Tanggal Trf]]&gt;0,"Done","-")</f>
        <v>Done</v>
      </c>
      <c r="J16" s="437"/>
      <c r="K16" s="220">
        <v>44638</v>
      </c>
      <c r="L16" s="14" t="s">
        <v>767</v>
      </c>
      <c r="M16" s="100">
        <f>MONTH(List34[[#This Row],[Tanggal Pengajuan]])</f>
        <v>1</v>
      </c>
      <c r="N16" s="62">
        <v>44691</v>
      </c>
      <c r="O16" s="100" t="s">
        <v>746</v>
      </c>
      <c r="P16" s="110"/>
      <c r="Q16" s="230" t="s">
        <v>958</v>
      </c>
      <c r="S16" s="275">
        <f>+List34[[#This Row],[Pengajuan Donasi]]-List34[[#This Row],[Jumlah Transfer]]</f>
        <v>0</v>
      </c>
      <c r="T16" s="275"/>
    </row>
    <row r="17" spans="1:20" s="4" customFormat="1" ht="30" customHeight="1" x14ac:dyDescent="0.2">
      <c r="A17" s="13">
        <v>44659</v>
      </c>
      <c r="B17" s="66" t="s">
        <v>802</v>
      </c>
      <c r="C17" s="14" t="s">
        <v>106</v>
      </c>
      <c r="D17" s="14" t="s">
        <v>179</v>
      </c>
      <c r="E17" s="14" t="s">
        <v>18</v>
      </c>
      <c r="F17" s="15">
        <v>85</v>
      </c>
      <c r="G17" s="258">
        <v>18700000</v>
      </c>
      <c r="H17" s="258">
        <f>List34[[#This Row],[Pengajuan Donasi]]</f>
        <v>1000000</v>
      </c>
      <c r="I17" s="214" t="str">
        <f>IF(List34[[#This Row],[Tanggal Trf]]&gt;0,"Done","-")</f>
        <v>Done</v>
      </c>
      <c r="J17" s="437"/>
      <c r="K17" s="220">
        <v>44663</v>
      </c>
      <c r="L17" s="14" t="s">
        <v>893</v>
      </c>
      <c r="M17" s="100">
        <f>MONTH(List34[[#This Row],[Tanggal Pengajuan]])</f>
        <v>1</v>
      </c>
      <c r="N17" s="62">
        <v>44677</v>
      </c>
      <c r="O17" s="100" t="s">
        <v>795</v>
      </c>
      <c r="P17" s="110"/>
      <c r="Q17" s="230" t="s">
        <v>958</v>
      </c>
      <c r="S17" s="275">
        <f>+List34[[#This Row],[Pengajuan Donasi]]-List34[[#This Row],[Jumlah Transfer]]</f>
        <v>0</v>
      </c>
      <c r="T17" s="275"/>
    </row>
    <row r="18" spans="1:20" s="4" customFormat="1" ht="30" customHeight="1" x14ac:dyDescent="0.2">
      <c r="A18" s="13">
        <v>44687</v>
      </c>
      <c r="B18" s="66" t="s">
        <v>941</v>
      </c>
      <c r="C18" s="14" t="s">
        <v>106</v>
      </c>
      <c r="D18" s="14" t="s">
        <v>179</v>
      </c>
      <c r="E18" s="14" t="s">
        <v>18</v>
      </c>
      <c r="F18" s="15">
        <v>85</v>
      </c>
      <c r="G18" s="258">
        <v>18700000</v>
      </c>
      <c r="H18" s="258">
        <f>List34[[#This Row],[Pengajuan Donasi]]</f>
        <v>1000000</v>
      </c>
      <c r="I18" s="214" t="str">
        <f>IF(List34[[#This Row],[Tanggal Trf]]&gt;0,"Done","-")</f>
        <v>Done</v>
      </c>
      <c r="J18" s="437"/>
      <c r="K18" s="220">
        <v>44705</v>
      </c>
      <c r="L18" s="14" t="s">
        <v>893</v>
      </c>
      <c r="M18" s="100">
        <f>MONTH(List34[[#This Row],[Tanggal Pengajuan]])</f>
        <v>1</v>
      </c>
      <c r="N18" s="62">
        <v>44700</v>
      </c>
      <c r="O18" s="100" t="s">
        <v>932</v>
      </c>
      <c r="P18" s="110"/>
      <c r="Q18" s="230" t="s">
        <v>958</v>
      </c>
      <c r="S18" s="275">
        <f>+List34[[#This Row],[Pengajuan Donasi]]-List34[[#This Row],[Jumlah Transfer]]</f>
        <v>0</v>
      </c>
      <c r="T18" s="275"/>
    </row>
    <row r="19" spans="1:20" s="4" customFormat="1" ht="30" customHeight="1" x14ac:dyDescent="0.2">
      <c r="A19" s="13">
        <v>44715</v>
      </c>
      <c r="B19" s="189" t="s">
        <v>1090</v>
      </c>
      <c r="C19" s="164" t="s">
        <v>1117</v>
      </c>
      <c r="D19" s="164" t="s">
        <v>179</v>
      </c>
      <c r="E19" s="164" t="s">
        <v>18</v>
      </c>
      <c r="F19" s="178"/>
      <c r="G19" s="261">
        <v>0</v>
      </c>
      <c r="H19" s="261">
        <f>List34[[#This Row],[Pengajuan Donasi]]</f>
        <v>10000000</v>
      </c>
      <c r="I19" s="216" t="str">
        <f>IF(List34[[#This Row],[Tanggal Trf]]&gt;0,"Done","-")</f>
        <v>Done</v>
      </c>
      <c r="J19" s="439"/>
      <c r="K19" s="273"/>
      <c r="L19" s="164" t="s">
        <v>893</v>
      </c>
      <c r="M19" s="193">
        <f>MONTH(List34[[#This Row],[Tanggal Pengajuan]])</f>
        <v>1</v>
      </c>
      <c r="N19" s="274" t="s">
        <v>960</v>
      </c>
      <c r="O19" s="193" t="s">
        <v>1222</v>
      </c>
      <c r="P19" s="110"/>
      <c r="Q19" s="230" t="s">
        <v>958</v>
      </c>
      <c r="S19" s="275">
        <f>+List34[[#This Row],[Pengajuan Donasi]]-List34[[#This Row],[Jumlah Transfer]]</f>
        <v>0</v>
      </c>
      <c r="T19" s="275">
        <f>SUM(G15:G19)</f>
        <v>124250000</v>
      </c>
    </row>
    <row r="20" spans="1:20" s="4" customFormat="1" ht="30" customHeight="1" x14ac:dyDescent="0.2">
      <c r="A20" s="13">
        <v>44582</v>
      </c>
      <c r="B20" s="66" t="s">
        <v>678</v>
      </c>
      <c r="C20" s="14" t="s">
        <v>48</v>
      </c>
      <c r="D20" s="14" t="s">
        <v>179</v>
      </c>
      <c r="E20" s="14" t="s">
        <v>18</v>
      </c>
      <c r="F20" s="15">
        <v>39</v>
      </c>
      <c r="G20" s="258">
        <v>3325000</v>
      </c>
      <c r="H20" s="258">
        <f>List34[[#This Row],[Pengajuan Donasi]]</f>
        <v>0</v>
      </c>
      <c r="I20" s="214" t="str">
        <f>IF(List34[[#This Row],[Tanggal Trf]]&gt;0,"Done","-")</f>
        <v>Done</v>
      </c>
      <c r="J20" s="437" t="s">
        <v>690</v>
      </c>
      <c r="K20" s="220">
        <v>44589</v>
      </c>
      <c r="L20" s="100" t="s">
        <v>445</v>
      </c>
      <c r="M20" s="100">
        <f>MONTH(List34[[#This Row],[Tanggal Pengajuan]])</f>
        <v>1</v>
      </c>
      <c r="N20" s="62"/>
      <c r="O20" s="100" t="s">
        <v>687</v>
      </c>
      <c r="P20" s="110"/>
      <c r="Q20" s="230" t="s">
        <v>958</v>
      </c>
      <c r="S20" s="275">
        <f>+List34[[#This Row],[Pengajuan Donasi]]-List34[[#This Row],[Jumlah Transfer]]</f>
        <v>0</v>
      </c>
      <c r="T20" s="275"/>
    </row>
    <row r="21" spans="1:20" s="4" customFormat="1" ht="30" customHeight="1" x14ac:dyDescent="0.2">
      <c r="A21" s="13">
        <v>44599</v>
      </c>
      <c r="B21" s="66" t="s">
        <v>715</v>
      </c>
      <c r="C21" s="14" t="s">
        <v>48</v>
      </c>
      <c r="D21" s="103" t="s">
        <v>179</v>
      </c>
      <c r="E21" s="103" t="s">
        <v>18</v>
      </c>
      <c r="F21" s="15">
        <v>39</v>
      </c>
      <c r="G21" s="258">
        <v>3325000</v>
      </c>
      <c r="H21" s="258">
        <f>List34[[#This Row],[Pengajuan Donasi]]</f>
        <v>10000000</v>
      </c>
      <c r="I21" s="214" t="str">
        <f>IF(List34[[#This Row],[Tanggal Trf]]&gt;0,"Done","-")</f>
        <v>Done</v>
      </c>
      <c r="J21" s="437"/>
      <c r="K21" s="220">
        <v>44599</v>
      </c>
      <c r="L21" s="100" t="s">
        <v>445</v>
      </c>
      <c r="M21" s="100">
        <f>MONTH(List34[[#This Row],[Tanggal Pengajuan]])</f>
        <v>1</v>
      </c>
      <c r="N21" s="62"/>
      <c r="O21" s="100" t="s">
        <v>707</v>
      </c>
      <c r="P21" s="110"/>
      <c r="Q21" s="230" t="s">
        <v>958</v>
      </c>
      <c r="S21" s="275">
        <f>+List34[[#This Row],[Pengajuan Donasi]]-List34[[#This Row],[Jumlah Transfer]]</f>
        <v>0</v>
      </c>
      <c r="T21" s="275"/>
    </row>
    <row r="22" spans="1:20" s="4" customFormat="1" ht="30" customHeight="1" x14ac:dyDescent="0.2">
      <c r="A22" s="13">
        <v>44638</v>
      </c>
      <c r="B22" s="596" t="s">
        <v>772</v>
      </c>
      <c r="C22" s="14" t="s">
        <v>48</v>
      </c>
      <c r="D22" s="14" t="s">
        <v>179</v>
      </c>
      <c r="E22" s="14" t="s">
        <v>18</v>
      </c>
      <c r="F22" s="15">
        <v>39</v>
      </c>
      <c r="G22" s="258">
        <v>3325000</v>
      </c>
      <c r="H22" s="258">
        <v>3325000</v>
      </c>
      <c r="I22" s="214" t="str">
        <f>IF(List34[[#This Row],[Tanggal Trf]]&gt;0,"Done","-")</f>
        <v>Done</v>
      </c>
      <c r="J22" s="437"/>
      <c r="K22" s="220">
        <v>44645</v>
      </c>
      <c r="L22" s="100" t="s">
        <v>445</v>
      </c>
      <c r="M22" s="100">
        <f>MONTH(List34[[#This Row],[Tanggal Pengajuan]])</f>
        <v>1</v>
      </c>
      <c r="N22" s="62"/>
      <c r="O22" s="100" t="s">
        <v>746</v>
      </c>
      <c r="P22" s="110"/>
      <c r="Q22" s="230" t="s">
        <v>958</v>
      </c>
      <c r="S22" s="275">
        <f>+List34[[#This Row],[Pengajuan Donasi]]-List34[[#This Row],[Jumlah Transfer]]</f>
        <v>0</v>
      </c>
      <c r="T22" s="275"/>
    </row>
    <row r="23" spans="1:20" s="4" customFormat="1" ht="30" customHeight="1" x14ac:dyDescent="0.2">
      <c r="A23" s="13">
        <v>44659</v>
      </c>
      <c r="B23" s="596" t="s">
        <v>798</v>
      </c>
      <c r="C23" s="14" t="s">
        <v>48</v>
      </c>
      <c r="D23" s="14" t="s">
        <v>179</v>
      </c>
      <c r="E23" s="103" t="s">
        <v>18</v>
      </c>
      <c r="F23" s="15">
        <v>39</v>
      </c>
      <c r="G23" s="258">
        <v>3325000</v>
      </c>
      <c r="H23" s="258">
        <f>List34[[#This Row],[Pengajuan Donasi]]</f>
        <v>0</v>
      </c>
      <c r="I23" s="214" t="str">
        <f>IF(List34[[#This Row],[Tanggal Trf]]&gt;0,"Done","-")</f>
        <v>-</v>
      </c>
      <c r="J23" s="440"/>
      <c r="K23" s="221">
        <v>44663</v>
      </c>
      <c r="L23" s="100" t="s">
        <v>445</v>
      </c>
      <c r="M23" s="100">
        <f>MONTH(List34[[#This Row],[Tanggal Pengajuan]])</f>
        <v>1</v>
      </c>
      <c r="N23" s="183">
        <v>44677</v>
      </c>
      <c r="O23" s="100" t="s">
        <v>795</v>
      </c>
      <c r="P23" s="110"/>
      <c r="Q23" s="230" t="s">
        <v>958</v>
      </c>
      <c r="S23" s="275">
        <f>+List34[[#This Row],[Pengajuan Donasi]]-List34[[#This Row],[Jumlah Transfer]]</f>
        <v>0</v>
      </c>
      <c r="T23" s="275"/>
    </row>
    <row r="24" spans="1:20" s="4" customFormat="1" ht="30" customHeight="1" x14ac:dyDescent="0.2">
      <c r="A24" s="13">
        <v>44687</v>
      </c>
      <c r="B24" s="66" t="s">
        <v>942</v>
      </c>
      <c r="C24" s="14" t="s">
        <v>48</v>
      </c>
      <c r="D24" s="14" t="s">
        <v>179</v>
      </c>
      <c r="E24" s="103" t="s">
        <v>18</v>
      </c>
      <c r="F24" s="15">
        <v>39</v>
      </c>
      <c r="G24" s="258">
        <v>3325000</v>
      </c>
      <c r="H24" s="258">
        <f>List34[[#This Row],[Pengajuan Donasi]]</f>
        <v>5000000</v>
      </c>
      <c r="I24" s="214" t="str">
        <f>IF(List34[[#This Row],[Tanggal Trf]]&gt;0,"Done","-")</f>
        <v>Done</v>
      </c>
      <c r="J24" s="437"/>
      <c r="K24" s="221">
        <v>44705</v>
      </c>
      <c r="L24" s="100" t="s">
        <v>445</v>
      </c>
      <c r="M24" s="100">
        <f>MONTH(List34[[#This Row],[Tanggal Pengajuan]])</f>
        <v>1</v>
      </c>
      <c r="N24" s="183">
        <v>44746</v>
      </c>
      <c r="O24" s="100" t="s">
        <v>932</v>
      </c>
      <c r="P24" s="110"/>
      <c r="Q24" s="230" t="s">
        <v>958</v>
      </c>
      <c r="S24" s="275">
        <f>+List34[[#This Row],[Pengajuan Donasi]]-List34[[#This Row],[Jumlah Transfer]]</f>
        <v>0</v>
      </c>
      <c r="T24" s="275"/>
    </row>
    <row r="25" spans="1:20" s="4" customFormat="1" ht="30" customHeight="1" x14ac:dyDescent="0.2">
      <c r="A25" s="13">
        <v>44715</v>
      </c>
      <c r="B25" s="66" t="s">
        <v>1091</v>
      </c>
      <c r="C25" s="14" t="s">
        <v>48</v>
      </c>
      <c r="D25" s="14" t="s">
        <v>179</v>
      </c>
      <c r="E25" s="103" t="s">
        <v>18</v>
      </c>
      <c r="F25" s="15">
        <v>39</v>
      </c>
      <c r="G25" s="258">
        <v>3325000</v>
      </c>
      <c r="H25" s="258">
        <f>List34[[#This Row],[Pengajuan Donasi]]</f>
        <v>10000000</v>
      </c>
      <c r="I25" s="214" t="str">
        <f>IF(List34[[#This Row],[Tanggal Trf]]&gt;0,"Done","-")</f>
        <v>Done</v>
      </c>
      <c r="J25" s="437"/>
      <c r="K25" s="221">
        <v>44721</v>
      </c>
      <c r="L25" s="100" t="s">
        <v>445</v>
      </c>
      <c r="M25" s="100">
        <f>MONTH(List34[[#This Row],[Tanggal Pengajuan]])</f>
        <v>1</v>
      </c>
      <c r="N25" s="183">
        <v>44748</v>
      </c>
      <c r="O25" s="100" t="s">
        <v>1116</v>
      </c>
      <c r="P25" s="110"/>
      <c r="Q25" s="230" t="s">
        <v>958</v>
      </c>
      <c r="S25" s="275">
        <f>+List34[[#This Row],[Pengajuan Donasi]]-List34[[#This Row],[Jumlah Transfer]]</f>
        <v>0</v>
      </c>
      <c r="T25" s="275"/>
    </row>
    <row r="26" spans="1:20" s="4" customFormat="1" ht="30" customHeight="1" x14ac:dyDescent="0.2">
      <c r="A26" s="13">
        <v>44746</v>
      </c>
      <c r="B26" s="66" t="s">
        <v>1135</v>
      </c>
      <c r="C26" s="14" t="s">
        <v>48</v>
      </c>
      <c r="D26" s="14" t="s">
        <v>179</v>
      </c>
      <c r="E26" s="103" t="s">
        <v>18</v>
      </c>
      <c r="F26" s="471">
        <v>47</v>
      </c>
      <c r="G26" s="258">
        <v>14274000</v>
      </c>
      <c r="H26" s="258">
        <f>List34[[#This Row],[Pengajuan Donasi]]</f>
        <v>10000000</v>
      </c>
      <c r="I26" s="214" t="str">
        <f>IF(List34[[#This Row],[Tanggal Trf]]&gt;0,"Done","-")</f>
        <v>Done</v>
      </c>
      <c r="J26" s="437" t="s">
        <v>1158</v>
      </c>
      <c r="K26" s="484">
        <v>44764</v>
      </c>
      <c r="L26" s="100" t="s">
        <v>445</v>
      </c>
      <c r="M26" s="100">
        <f>MONTH(List34[[#This Row],[Tanggal Pengajuan]])</f>
        <v>1</v>
      </c>
      <c r="N26" s="183"/>
      <c r="O26" s="100" t="s">
        <v>1180</v>
      </c>
      <c r="P26" s="110"/>
      <c r="Q26" s="230" t="s">
        <v>958</v>
      </c>
      <c r="S26" s="275">
        <f>+List34[[#This Row],[Pengajuan Donasi]]-List34[[#This Row],[Jumlah Transfer]]</f>
        <v>0</v>
      </c>
      <c r="T26" s="275"/>
    </row>
    <row r="27" spans="1:20" s="4" customFormat="1" ht="30" customHeight="1" x14ac:dyDescent="0.2">
      <c r="A27" s="13">
        <v>44775</v>
      </c>
      <c r="B27" s="66" t="s">
        <v>1192</v>
      </c>
      <c r="C27" s="14" t="s">
        <v>48</v>
      </c>
      <c r="D27" s="14" t="s">
        <v>179</v>
      </c>
      <c r="E27" s="103" t="s">
        <v>18</v>
      </c>
      <c r="F27" s="471">
        <v>47</v>
      </c>
      <c r="G27" s="258">
        <v>3820000</v>
      </c>
      <c r="H27" s="258">
        <f>List34[[#This Row],[Pengajuan Donasi]]</f>
        <v>0</v>
      </c>
      <c r="I27" s="214" t="str">
        <f>IF(List34[[#This Row],[Tanggal Trf]]&gt;0,"Done","-")</f>
        <v>Done</v>
      </c>
      <c r="J27" s="100" t="s">
        <v>1207</v>
      </c>
      <c r="K27" s="484">
        <v>44792</v>
      </c>
      <c r="L27" s="100" t="s">
        <v>445</v>
      </c>
      <c r="M27" s="100">
        <f>MONTH(List34[[#This Row],[Tanggal Pengajuan]])</f>
        <v>1</v>
      </c>
      <c r="N27" s="183"/>
      <c r="O27" s="100" t="s">
        <v>1268</v>
      </c>
      <c r="P27" s="110"/>
      <c r="Q27" s="230" t="s">
        <v>958</v>
      </c>
      <c r="S27" s="275">
        <f>+List34[[#This Row],[Pengajuan Donasi]]-List34[[#This Row],[Jumlah Transfer]]</f>
        <v>0</v>
      </c>
      <c r="T27" s="275">
        <f>SUM(G20:G27)</f>
        <v>38044000</v>
      </c>
    </row>
    <row r="28" spans="1:20" s="4" customFormat="1" ht="30" customHeight="1" x14ac:dyDescent="0.2">
      <c r="A28" s="13">
        <v>44567</v>
      </c>
      <c r="B28" s="66" t="s">
        <v>666</v>
      </c>
      <c r="C28" s="14" t="s">
        <v>25</v>
      </c>
      <c r="D28" s="14" t="s">
        <v>179</v>
      </c>
      <c r="E28" s="14" t="s">
        <v>18</v>
      </c>
      <c r="F28" s="15">
        <v>12</v>
      </c>
      <c r="G28" s="258">
        <v>2520000</v>
      </c>
      <c r="H28" s="258">
        <f>List34[[#This Row],[Pengajuan Donasi]]</f>
        <v>8500000</v>
      </c>
      <c r="I28" s="214" t="str">
        <f>IF(List34[[#This Row],[Tanggal Trf]]&gt;0,"Done","-")</f>
        <v>Done</v>
      </c>
      <c r="J28" s="437" t="s">
        <v>686</v>
      </c>
      <c r="K28" s="221">
        <v>44580</v>
      </c>
      <c r="L28" s="100" t="s">
        <v>667</v>
      </c>
      <c r="M28" s="100">
        <f>MONTH(List34[[#This Row],[Tanggal Pengajuan]])</f>
        <v>1</v>
      </c>
      <c r="N28" s="183">
        <v>44704</v>
      </c>
      <c r="O28" s="100" t="s">
        <v>651</v>
      </c>
      <c r="P28" s="110"/>
      <c r="Q28" s="231" t="s">
        <v>966</v>
      </c>
      <c r="S28" s="275">
        <f>+List34[[#This Row],[Pengajuan Donasi]]-List34[[#This Row],[Jumlah Transfer]]</f>
        <v>0</v>
      </c>
      <c r="T28" s="275"/>
    </row>
    <row r="29" spans="1:20" s="4" customFormat="1" ht="30" customHeight="1" x14ac:dyDescent="0.2">
      <c r="A29" s="13">
        <v>44596</v>
      </c>
      <c r="B29" s="66" t="s">
        <v>710</v>
      </c>
      <c r="C29" s="14" t="s">
        <v>25</v>
      </c>
      <c r="D29" s="14" t="s">
        <v>179</v>
      </c>
      <c r="E29" s="14" t="s">
        <v>18</v>
      </c>
      <c r="F29" s="15">
        <v>12</v>
      </c>
      <c r="G29" s="258">
        <v>2520000</v>
      </c>
      <c r="H29" s="258">
        <f>List34[[#This Row],[Pengajuan Donasi]]</f>
        <v>5500000</v>
      </c>
      <c r="I29" s="214" t="str">
        <f>IF(List34[[#This Row],[Tanggal Trf]]&gt;0,"Done","-")</f>
        <v>Done</v>
      </c>
      <c r="J29" s="437" t="s">
        <v>686</v>
      </c>
      <c r="K29" s="221">
        <v>44599</v>
      </c>
      <c r="L29" s="100" t="s">
        <v>667</v>
      </c>
      <c r="M29" s="100">
        <f>MONTH(List34[[#This Row],[Tanggal Pengajuan]])</f>
        <v>1</v>
      </c>
      <c r="N29" s="183">
        <v>44704</v>
      </c>
      <c r="O29" s="100" t="s">
        <v>707</v>
      </c>
      <c r="P29" s="110"/>
      <c r="Q29" s="230" t="s">
        <v>958</v>
      </c>
      <c r="S29" s="275">
        <f>+List34[[#This Row],[Pengajuan Donasi]]-List34[[#This Row],[Jumlah Transfer]]</f>
        <v>0</v>
      </c>
      <c r="T29" s="275"/>
    </row>
    <row r="30" spans="1:20" s="4" customFormat="1" ht="30" customHeight="1" x14ac:dyDescent="0.2">
      <c r="A30" s="13">
        <v>44624</v>
      </c>
      <c r="B30" s="66" t="s">
        <v>329</v>
      </c>
      <c r="C30" s="14" t="s">
        <v>25</v>
      </c>
      <c r="D30" s="14" t="s">
        <v>179</v>
      </c>
      <c r="E30" s="14" t="s">
        <v>18</v>
      </c>
      <c r="F30" s="15">
        <v>12</v>
      </c>
      <c r="G30" s="258">
        <v>2520000</v>
      </c>
      <c r="H30" s="258">
        <v>2520000</v>
      </c>
      <c r="I30" s="214" t="str">
        <f>IF(List34[[#This Row],[Tanggal Trf]]&gt;0,"Done","-")</f>
        <v>Done</v>
      </c>
      <c r="J30" s="437"/>
      <c r="K30" s="221">
        <v>44631</v>
      </c>
      <c r="L30" s="100" t="s">
        <v>667</v>
      </c>
      <c r="M30" s="100">
        <f>MONTH(List34[[#This Row],[Tanggal Pengajuan]])</f>
        <v>1</v>
      </c>
      <c r="N30" s="183">
        <v>44704</v>
      </c>
      <c r="O30" s="100" t="s">
        <v>746</v>
      </c>
      <c r="P30" s="110"/>
      <c r="Q30" s="230" t="s">
        <v>958</v>
      </c>
      <c r="S30" s="275">
        <f>+List34[[#This Row],[Pengajuan Donasi]]-List34[[#This Row],[Jumlah Transfer]]</f>
        <v>0</v>
      </c>
      <c r="T30" s="275"/>
    </row>
    <row r="31" spans="1:20" s="4" customFormat="1" ht="30" customHeight="1" x14ac:dyDescent="0.2">
      <c r="A31" s="13">
        <v>44658</v>
      </c>
      <c r="B31" s="66" t="s">
        <v>812</v>
      </c>
      <c r="C31" s="14" t="s">
        <v>25</v>
      </c>
      <c r="D31" s="14" t="s">
        <v>179</v>
      </c>
      <c r="E31" s="14" t="s">
        <v>18</v>
      </c>
      <c r="F31" s="15">
        <v>12</v>
      </c>
      <c r="G31" s="258">
        <v>2520000</v>
      </c>
      <c r="H31" s="258">
        <f>List34[[#This Row],[Pengajuan Donasi]]</f>
        <v>2520000</v>
      </c>
      <c r="I31" s="214" t="str">
        <f>IF(List34[[#This Row],[Tanggal Trf]]&gt;0,"Done","-")</f>
        <v>Done</v>
      </c>
      <c r="J31" s="437" t="s">
        <v>686</v>
      </c>
      <c r="K31" s="221">
        <v>44663</v>
      </c>
      <c r="L31" s="100" t="s">
        <v>667</v>
      </c>
      <c r="M31" s="100">
        <f>MONTH(List34[[#This Row],[Tanggal Pengajuan]])</f>
        <v>1</v>
      </c>
      <c r="N31" s="183">
        <v>44676</v>
      </c>
      <c r="O31" s="100" t="s">
        <v>795</v>
      </c>
      <c r="P31" s="110"/>
      <c r="Q31" s="230" t="s">
        <v>958</v>
      </c>
      <c r="S31" s="275">
        <f>+List34[[#This Row],[Pengajuan Donasi]]-List34[[#This Row],[Jumlah Transfer]]</f>
        <v>0</v>
      </c>
      <c r="T31" s="275"/>
    </row>
    <row r="32" spans="1:20" s="4" customFormat="1" ht="30" customHeight="1" x14ac:dyDescent="0.2">
      <c r="A32" s="13">
        <v>44687</v>
      </c>
      <c r="B32" s="66" t="s">
        <v>935</v>
      </c>
      <c r="C32" s="14" t="s">
        <v>25</v>
      </c>
      <c r="D32" s="103" t="s">
        <v>179</v>
      </c>
      <c r="E32" s="14" t="s">
        <v>18</v>
      </c>
      <c r="F32" s="15">
        <v>12</v>
      </c>
      <c r="G32" s="258">
        <v>2520000</v>
      </c>
      <c r="H32" s="258">
        <f>List34[[#This Row],[Pengajuan Donasi]]</f>
        <v>16029000</v>
      </c>
      <c r="I32" s="214" t="str">
        <f>IF(List34[[#This Row],[Tanggal Trf]]&gt;0,"Done","-")</f>
        <v>Done</v>
      </c>
      <c r="J32" s="437" t="s">
        <v>686</v>
      </c>
      <c r="K32" s="221">
        <v>44693</v>
      </c>
      <c r="L32" s="100" t="s">
        <v>667</v>
      </c>
      <c r="M32" s="100">
        <f>MONTH(List34[[#This Row],[Tanggal Pengajuan]])</f>
        <v>1</v>
      </c>
      <c r="N32" s="183">
        <v>44698</v>
      </c>
      <c r="O32" s="100" t="s">
        <v>932</v>
      </c>
      <c r="P32" s="110"/>
      <c r="Q32" s="230" t="s">
        <v>958</v>
      </c>
      <c r="S32" s="275">
        <f>+List34[[#This Row],[Pengajuan Donasi]]-List34[[#This Row],[Jumlah Transfer]]</f>
        <v>0</v>
      </c>
      <c r="T32" s="275"/>
    </row>
    <row r="33" spans="1:20" s="4" customFormat="1" ht="30" customHeight="1" x14ac:dyDescent="0.2">
      <c r="A33" s="13">
        <v>44715</v>
      </c>
      <c r="B33" s="66" t="s">
        <v>1087</v>
      </c>
      <c r="C33" s="14" t="s">
        <v>25</v>
      </c>
      <c r="D33" s="14" t="s">
        <v>179</v>
      </c>
      <c r="E33" s="14" t="s">
        <v>18</v>
      </c>
      <c r="F33" s="15">
        <v>12</v>
      </c>
      <c r="G33" s="258">
        <v>2520000</v>
      </c>
      <c r="H33" s="258">
        <f>List34[[#This Row],[Pengajuan Donasi]]</f>
        <v>7950000</v>
      </c>
      <c r="I33" s="213" t="str">
        <f>IF(List34[[#This Row],[Tanggal Trf]]&gt;0,"Done","-")</f>
        <v>Done</v>
      </c>
      <c r="J33" s="437" t="s">
        <v>686</v>
      </c>
      <c r="K33" s="221">
        <v>44721</v>
      </c>
      <c r="L33" s="100" t="s">
        <v>667</v>
      </c>
      <c r="M33" s="100">
        <f>MONTH(List34[[#This Row],[Tanggal Pengajuan]])</f>
        <v>1</v>
      </c>
      <c r="N33" s="183">
        <v>44748</v>
      </c>
      <c r="O33" s="100" t="s">
        <v>1116</v>
      </c>
      <c r="P33" s="110"/>
      <c r="Q33" s="230" t="s">
        <v>958</v>
      </c>
      <c r="S33" s="275">
        <f>+List34[[#This Row],[Pengajuan Donasi]]-List34[[#This Row],[Jumlah Transfer]]</f>
        <v>0</v>
      </c>
      <c r="T33" s="275"/>
    </row>
    <row r="34" spans="1:20" s="4" customFormat="1" ht="30" customHeight="1" x14ac:dyDescent="0.2">
      <c r="A34" s="210">
        <v>44746</v>
      </c>
      <c r="B34" s="189" t="s">
        <v>1146</v>
      </c>
      <c r="C34" s="164" t="s">
        <v>25</v>
      </c>
      <c r="D34" s="164" t="s">
        <v>179</v>
      </c>
      <c r="E34" s="164" t="s">
        <v>18</v>
      </c>
      <c r="F34" s="470"/>
      <c r="G34" s="261">
        <v>0</v>
      </c>
      <c r="H34" s="261" t="str">
        <f>List34[[#This Row],[Pengajuan Donasi]]</f>
        <v>-</v>
      </c>
      <c r="I34" s="216" t="str">
        <f>IF(List34[[#This Row],[Tanggal Trf]]&gt;0,"Done","-")</f>
        <v>Done</v>
      </c>
      <c r="J34" s="439" t="s">
        <v>1169</v>
      </c>
      <c r="K34" s="615"/>
      <c r="L34" s="712" t="s">
        <v>667</v>
      </c>
      <c r="M34" s="193">
        <f>MONTH(List34[[#This Row],[Tanggal Pengajuan]])</f>
        <v>1</v>
      </c>
      <c r="N34" s="194"/>
      <c r="O34" s="193" t="s">
        <v>1189</v>
      </c>
      <c r="P34" s="110"/>
      <c r="Q34" s="230" t="s">
        <v>958</v>
      </c>
      <c r="S34" s="275" t="e">
        <f>+List34[[#This Row],[Pengajuan Donasi]]-List34[[#This Row],[Jumlah Transfer]]</f>
        <v>#VALUE!</v>
      </c>
      <c r="T34" s="275">
        <f>SUM(G28:G34)</f>
        <v>15120000</v>
      </c>
    </row>
    <row r="35" spans="1:20" s="4" customFormat="1" ht="30" customHeight="1" x14ac:dyDescent="0.2">
      <c r="A35" s="276">
        <v>44588</v>
      </c>
      <c r="B35" s="277" t="s">
        <v>694</v>
      </c>
      <c r="C35" s="278" t="s">
        <v>114</v>
      </c>
      <c r="D35" s="278" t="s">
        <v>179</v>
      </c>
      <c r="E35" s="278" t="s">
        <v>18</v>
      </c>
      <c r="F35" s="279"/>
      <c r="G35" s="280">
        <v>0</v>
      </c>
      <c r="H35" s="280">
        <v>0</v>
      </c>
      <c r="I35" s="605" t="str">
        <f>IF(List34[[#This Row],[Tanggal Trf]]&gt;0,"Done","-")</f>
        <v>Done</v>
      </c>
      <c r="J35" s="443" t="s">
        <v>1020</v>
      </c>
      <c r="K35" s="283" t="s">
        <v>960</v>
      </c>
      <c r="L35" s="282" t="s">
        <v>695</v>
      </c>
      <c r="M35" s="282">
        <f>MONTH(List34[[#This Row],[Tanggal Pengajuan]])</f>
        <v>1</v>
      </c>
      <c r="N35" s="284"/>
      <c r="O35" s="282" t="s">
        <v>687</v>
      </c>
      <c r="P35" s="110"/>
      <c r="Q35" s="231" t="s">
        <v>966</v>
      </c>
      <c r="S35" s="275">
        <f>+List34[[#This Row],[Pengajuan Donasi]]-List34[[#This Row],[Jumlah Transfer]]</f>
        <v>0</v>
      </c>
      <c r="T35" s="275"/>
    </row>
    <row r="36" spans="1:20" s="4" customFormat="1" ht="30" customHeight="1" x14ac:dyDescent="0.2">
      <c r="A36" s="13">
        <v>44607</v>
      </c>
      <c r="B36" s="66" t="s">
        <v>728</v>
      </c>
      <c r="C36" s="14" t="s">
        <v>114</v>
      </c>
      <c r="D36" s="14" t="s">
        <v>179</v>
      </c>
      <c r="E36" s="14" t="s">
        <v>18</v>
      </c>
      <c r="F36" s="15">
        <v>115</v>
      </c>
      <c r="G36" s="258">
        <v>11875000</v>
      </c>
      <c r="H36" s="258">
        <f>List34[[#This Row],[Pengajuan Donasi]]</f>
        <v>2400000</v>
      </c>
      <c r="I36" s="214" t="str">
        <f>IF(List34[[#This Row],[Tanggal Trf]]&gt;0,"Done","-")</f>
        <v>Done</v>
      </c>
      <c r="J36" s="437" t="s">
        <v>736</v>
      </c>
      <c r="K36" s="221">
        <v>44630</v>
      </c>
      <c r="L36" s="100" t="s">
        <v>733</v>
      </c>
      <c r="M36" s="100">
        <f>MONTH(List34[[#This Row],[Tanggal Pengajuan]])</f>
        <v>1</v>
      </c>
      <c r="N36" s="183"/>
      <c r="O36" s="100" t="s">
        <v>707</v>
      </c>
      <c r="P36" s="110"/>
      <c r="Q36" s="230" t="s">
        <v>958</v>
      </c>
      <c r="S36" s="275">
        <f>+List34[[#This Row],[Pengajuan Donasi]]-List34[[#This Row],[Jumlah Transfer]]</f>
        <v>0</v>
      </c>
      <c r="T36" s="275"/>
    </row>
    <row r="37" spans="1:20" s="4" customFormat="1" ht="30" customHeight="1" x14ac:dyDescent="0.2">
      <c r="A37" s="13">
        <v>44631</v>
      </c>
      <c r="B37" s="66" t="s">
        <v>763</v>
      </c>
      <c r="C37" s="14" t="s">
        <v>114</v>
      </c>
      <c r="D37" s="14" t="s">
        <v>179</v>
      </c>
      <c r="E37" s="14" t="s">
        <v>18</v>
      </c>
      <c r="F37" s="15"/>
      <c r="G37" s="258">
        <v>11875000</v>
      </c>
      <c r="H37" s="258">
        <v>11875000</v>
      </c>
      <c r="I37" s="214" t="str">
        <f>IF(List34[[#This Row],[Tanggal Trf]]&gt;0,"Done","-")</f>
        <v>Done</v>
      </c>
      <c r="J37" s="437"/>
      <c r="K37" s="221">
        <v>44631</v>
      </c>
      <c r="L37" s="100" t="s">
        <v>733</v>
      </c>
      <c r="M37" s="100">
        <f>MONTH(List34[[#This Row],[Tanggal Pengajuan]])</f>
        <v>1</v>
      </c>
      <c r="N37" s="183"/>
      <c r="O37" s="100" t="s">
        <v>746</v>
      </c>
      <c r="P37" s="110"/>
      <c r="Q37" s="230" t="s">
        <v>958</v>
      </c>
      <c r="S37" s="275">
        <f>+List34[[#This Row],[Pengajuan Donasi]]-List34[[#This Row],[Jumlah Transfer]]</f>
        <v>0</v>
      </c>
      <c r="T37" s="275"/>
    </row>
    <row r="38" spans="1:20" s="4" customFormat="1" ht="30" customHeight="1" x14ac:dyDescent="0.2">
      <c r="A38" s="13">
        <v>44659</v>
      </c>
      <c r="B38" s="66" t="s">
        <v>801</v>
      </c>
      <c r="C38" s="103" t="s">
        <v>114</v>
      </c>
      <c r="D38" s="14" t="s">
        <v>179</v>
      </c>
      <c r="E38" s="14" t="s">
        <v>18</v>
      </c>
      <c r="F38" s="15">
        <v>115</v>
      </c>
      <c r="G38" s="258">
        <v>11875000</v>
      </c>
      <c r="H38" s="258">
        <f>List34[[#This Row],[Pengajuan Donasi]]</f>
        <v>500000</v>
      </c>
      <c r="I38" s="213" t="str">
        <f>IF(List34[[#This Row],[Tanggal Trf]]&gt;0,"Done","-")</f>
        <v>Done</v>
      </c>
      <c r="J38" s="437"/>
      <c r="K38" s="221">
        <v>44663</v>
      </c>
      <c r="L38" s="100" t="s">
        <v>733</v>
      </c>
      <c r="M38" s="100">
        <f>MONTH(List34[[#This Row],[Tanggal Pengajuan]])</f>
        <v>1</v>
      </c>
      <c r="N38" s="183">
        <v>44677</v>
      </c>
      <c r="O38" s="100" t="s">
        <v>795</v>
      </c>
      <c r="P38" s="110"/>
      <c r="Q38" s="230" t="s">
        <v>958</v>
      </c>
      <c r="S38" s="275">
        <f>+List34[[#This Row],[Pengajuan Donasi]]-List34[[#This Row],[Jumlah Transfer]]</f>
        <v>0</v>
      </c>
      <c r="T38" s="275"/>
    </row>
    <row r="39" spans="1:20" s="4" customFormat="1" ht="30" customHeight="1" x14ac:dyDescent="0.2">
      <c r="A39" s="13">
        <v>44687</v>
      </c>
      <c r="B39" s="66" t="s">
        <v>938</v>
      </c>
      <c r="C39" s="103" t="s">
        <v>114</v>
      </c>
      <c r="D39" s="14" t="s">
        <v>179</v>
      </c>
      <c r="E39" s="14" t="s">
        <v>18</v>
      </c>
      <c r="F39" s="15">
        <v>115</v>
      </c>
      <c r="G39" s="258">
        <v>11875000</v>
      </c>
      <c r="H39" s="258">
        <f>List34[[#This Row],[Pengajuan Donasi]]</f>
        <v>500000</v>
      </c>
      <c r="I39" s="213" t="str">
        <f>IF(List34[[#This Row],[Tanggal Trf]]&gt;0,"Done","-")</f>
        <v>Done</v>
      </c>
      <c r="J39" s="437"/>
      <c r="K39" s="221">
        <v>44705</v>
      </c>
      <c r="L39" s="100" t="s">
        <v>733</v>
      </c>
      <c r="M39" s="100">
        <f>MONTH(List34[[#This Row],[Tanggal Pengajuan]])</f>
        <v>1</v>
      </c>
      <c r="N39" s="183">
        <v>44722</v>
      </c>
      <c r="O39" s="100" t="s">
        <v>932</v>
      </c>
      <c r="P39" s="111"/>
      <c r="Q39" s="230" t="s">
        <v>958</v>
      </c>
      <c r="S39" s="275">
        <f>+List34[[#This Row],[Pengajuan Donasi]]-List34[[#This Row],[Jumlah Transfer]]</f>
        <v>0</v>
      </c>
      <c r="T39" s="275"/>
    </row>
    <row r="40" spans="1:20" s="4" customFormat="1" ht="30" customHeight="1" x14ac:dyDescent="0.2">
      <c r="A40" s="13">
        <v>44715</v>
      </c>
      <c r="B40" s="66" t="s">
        <v>1092</v>
      </c>
      <c r="C40" s="103" t="s">
        <v>114</v>
      </c>
      <c r="D40" s="14" t="s">
        <v>179</v>
      </c>
      <c r="E40" s="14" t="s">
        <v>18</v>
      </c>
      <c r="F40" s="15">
        <v>115</v>
      </c>
      <c r="G40" s="258">
        <v>11875000</v>
      </c>
      <c r="H40" s="258">
        <f>List34[[#This Row],[Pengajuan Donasi]]</f>
        <v>500000</v>
      </c>
      <c r="I40" s="213" t="str">
        <f>IF(List34[[#This Row],[Tanggal Trf]]&gt;0,"Done","-")</f>
        <v>Done</v>
      </c>
      <c r="J40" s="437"/>
      <c r="K40" s="221">
        <v>44721</v>
      </c>
      <c r="L40" s="100" t="s">
        <v>733</v>
      </c>
      <c r="M40" s="100">
        <f>MONTH(List34[[#This Row],[Tanggal Pengajuan]])</f>
        <v>1</v>
      </c>
      <c r="N40" s="183">
        <v>44748</v>
      </c>
      <c r="O40" s="100" t="s">
        <v>1116</v>
      </c>
      <c r="P40" s="111"/>
      <c r="Q40" s="230" t="s">
        <v>958</v>
      </c>
      <c r="S40" s="275">
        <f>+List34[[#This Row],[Pengajuan Donasi]]-List34[[#This Row],[Jumlah Transfer]]</f>
        <v>0</v>
      </c>
      <c r="T40" s="275"/>
    </row>
    <row r="41" spans="1:20" s="4" customFormat="1" ht="30" customHeight="1" x14ac:dyDescent="0.2">
      <c r="A41" s="210">
        <v>44746</v>
      </c>
      <c r="B41" s="189" t="s">
        <v>1150</v>
      </c>
      <c r="C41" s="168" t="s">
        <v>114</v>
      </c>
      <c r="D41" s="164" t="s">
        <v>179</v>
      </c>
      <c r="E41" s="164" t="s">
        <v>18</v>
      </c>
      <c r="F41" s="470"/>
      <c r="G41" s="261">
        <v>0</v>
      </c>
      <c r="H41" s="261">
        <f>List34[[#This Row],[Pengajuan Donasi]]</f>
        <v>500000</v>
      </c>
      <c r="I41" s="253" t="str">
        <f>IF(List34[[#This Row],[Tanggal Trf]]&gt;0,"Done","-")</f>
        <v>Done</v>
      </c>
      <c r="J41" s="439" t="s">
        <v>1172</v>
      </c>
      <c r="K41" s="615"/>
      <c r="L41" s="193" t="s">
        <v>733</v>
      </c>
      <c r="M41" s="193">
        <f>MONTH(List34[[#This Row],[Tanggal Pengajuan]])</f>
        <v>1</v>
      </c>
      <c r="N41" s="194"/>
      <c r="O41" s="193" t="s">
        <v>1189</v>
      </c>
      <c r="P41" s="111"/>
      <c r="Q41" s="230" t="s">
        <v>958</v>
      </c>
      <c r="S41" s="275">
        <f>+List34[[#This Row],[Pengajuan Donasi]]-List34[[#This Row],[Jumlah Transfer]]</f>
        <v>0</v>
      </c>
      <c r="T41" s="275">
        <f>SUM(G35:G41)</f>
        <v>59375000</v>
      </c>
    </row>
    <row r="42" spans="1:20" s="4" customFormat="1" ht="30" customHeight="1" x14ac:dyDescent="0.2">
      <c r="A42" s="13">
        <v>44595</v>
      </c>
      <c r="B42" s="66" t="s">
        <v>705</v>
      </c>
      <c r="C42" s="103" t="s">
        <v>486</v>
      </c>
      <c r="D42" s="14" t="s">
        <v>179</v>
      </c>
      <c r="E42" s="14" t="s">
        <v>18</v>
      </c>
      <c r="F42" s="15">
        <v>44</v>
      </c>
      <c r="G42" s="258">
        <v>5280000</v>
      </c>
      <c r="H42" s="258">
        <f>List34[[#This Row],[Pengajuan Donasi]]</f>
        <v>500000</v>
      </c>
      <c r="I42" s="213" t="str">
        <f>IF(List34[[#This Row],[Tanggal Trf]]&gt;0,"Done","-")</f>
        <v>Done</v>
      </c>
      <c r="J42" s="437" t="s">
        <v>706</v>
      </c>
      <c r="K42" s="221">
        <v>44599</v>
      </c>
      <c r="L42" s="100" t="s">
        <v>709</v>
      </c>
      <c r="M42" s="100">
        <f>MONTH(List34[[#This Row],[Tanggal Pengajuan]])</f>
        <v>1</v>
      </c>
      <c r="N42" s="183"/>
      <c r="O42" s="100" t="s">
        <v>708</v>
      </c>
      <c r="P42" s="111"/>
      <c r="Q42" s="230" t="s">
        <v>958</v>
      </c>
      <c r="S42" s="275">
        <f>+List34[[#This Row],[Pengajuan Donasi]]-List34[[#This Row],[Jumlah Transfer]]</f>
        <v>0</v>
      </c>
      <c r="T42" s="275"/>
    </row>
    <row r="43" spans="1:20" s="4" customFormat="1" ht="30" customHeight="1" x14ac:dyDescent="0.2">
      <c r="A43" s="13">
        <v>44624</v>
      </c>
      <c r="B43" s="66" t="s">
        <v>750</v>
      </c>
      <c r="C43" s="103" t="s">
        <v>486</v>
      </c>
      <c r="D43" s="14" t="s">
        <v>179</v>
      </c>
      <c r="E43" s="14" t="s">
        <v>18</v>
      </c>
      <c r="F43" s="15">
        <v>44</v>
      </c>
      <c r="G43" s="258">
        <v>2640000</v>
      </c>
      <c r="H43" s="258">
        <v>2640000</v>
      </c>
      <c r="I43" s="213" t="str">
        <f>IF(List34[[#This Row],[Tanggal Trf]]&gt;0,"Done","-")</f>
        <v>Done</v>
      </c>
      <c r="J43" s="437"/>
      <c r="K43" s="221">
        <v>44630</v>
      </c>
      <c r="L43" s="100" t="s">
        <v>709</v>
      </c>
      <c r="M43" s="100">
        <f>MONTH(List34[[#This Row],[Tanggal Pengajuan]])</f>
        <v>1</v>
      </c>
      <c r="N43" s="183"/>
      <c r="O43" s="100" t="s">
        <v>746</v>
      </c>
      <c r="P43" s="111"/>
      <c r="Q43" s="230" t="s">
        <v>958</v>
      </c>
      <c r="S43" s="275">
        <f>+List34[[#This Row],[Pengajuan Donasi]]-List34[[#This Row],[Jumlah Transfer]]</f>
        <v>0</v>
      </c>
      <c r="T43" s="275"/>
    </row>
    <row r="44" spans="1:20" s="4" customFormat="1" ht="30" customHeight="1" x14ac:dyDescent="0.2">
      <c r="A44" s="13">
        <v>44658</v>
      </c>
      <c r="B44" s="66" t="s">
        <v>805</v>
      </c>
      <c r="C44" s="103" t="s">
        <v>486</v>
      </c>
      <c r="D44" s="14" t="s">
        <v>179</v>
      </c>
      <c r="E44" s="14" t="s">
        <v>18</v>
      </c>
      <c r="F44" s="15">
        <v>44</v>
      </c>
      <c r="G44" s="258">
        <v>2640000</v>
      </c>
      <c r="H44" s="258">
        <f>List34[[#This Row],[Pengajuan Donasi]]</f>
        <v>500000</v>
      </c>
      <c r="I44" s="213" t="str">
        <f>IF(List34[[#This Row],[Tanggal Trf]]&gt;0,"Done","-")</f>
        <v>Done</v>
      </c>
      <c r="J44" s="437"/>
      <c r="K44" s="221">
        <v>44663</v>
      </c>
      <c r="L44" s="100" t="s">
        <v>709</v>
      </c>
      <c r="M44" s="100">
        <f>MONTH(List34[[#This Row],[Tanggal Pengajuan]])</f>
        <v>1</v>
      </c>
      <c r="N44" s="183">
        <v>44673</v>
      </c>
      <c r="O44" s="100" t="s">
        <v>795</v>
      </c>
      <c r="P44" s="111"/>
      <c r="Q44" s="230" t="s">
        <v>958</v>
      </c>
      <c r="S44" s="275">
        <f>+List34[[#This Row],[Pengajuan Donasi]]-List34[[#This Row],[Jumlah Transfer]]</f>
        <v>0</v>
      </c>
      <c r="T44" s="275"/>
    </row>
    <row r="45" spans="1:20" s="4" customFormat="1" ht="30" customHeight="1" x14ac:dyDescent="0.2">
      <c r="A45" s="13">
        <v>44687</v>
      </c>
      <c r="B45" s="66" t="s">
        <v>933</v>
      </c>
      <c r="C45" s="103" t="s">
        <v>486</v>
      </c>
      <c r="D45" s="14" t="s">
        <v>179</v>
      </c>
      <c r="E45" s="14" t="s">
        <v>18</v>
      </c>
      <c r="F45" s="15">
        <v>44</v>
      </c>
      <c r="G45" s="258">
        <v>2640000</v>
      </c>
      <c r="H45" s="258">
        <f>List34[[#This Row],[Pengajuan Donasi]]</f>
        <v>500000</v>
      </c>
      <c r="I45" s="213" t="str">
        <f>IF(List34[[#This Row],[Tanggal Trf]]&gt;0,"Done","-")</f>
        <v>Done</v>
      </c>
      <c r="J45" s="437"/>
      <c r="K45" s="221">
        <v>44693</v>
      </c>
      <c r="L45" s="100" t="s">
        <v>709</v>
      </c>
      <c r="M45" s="100">
        <f>MONTH(List34[[#This Row],[Tanggal Pengajuan]])</f>
        <v>1</v>
      </c>
      <c r="N45" s="183">
        <v>44694</v>
      </c>
      <c r="O45" s="100" t="s">
        <v>932</v>
      </c>
      <c r="P45" s="111"/>
      <c r="Q45" s="230" t="s">
        <v>958</v>
      </c>
      <c r="S45" s="275">
        <f>+List34[[#This Row],[Pengajuan Donasi]]-List34[[#This Row],[Jumlah Transfer]]</f>
        <v>0</v>
      </c>
      <c r="T45" s="275"/>
    </row>
    <row r="46" spans="1:20" s="4" customFormat="1" ht="30" customHeight="1" x14ac:dyDescent="0.2">
      <c r="A46" s="13">
        <v>44715</v>
      </c>
      <c r="B46" s="66" t="s">
        <v>1079</v>
      </c>
      <c r="C46" s="103" t="s">
        <v>486</v>
      </c>
      <c r="D46" s="14" t="s">
        <v>179</v>
      </c>
      <c r="E46" s="14" t="s">
        <v>18</v>
      </c>
      <c r="F46" s="15">
        <v>44</v>
      </c>
      <c r="G46" s="258">
        <v>2640000</v>
      </c>
      <c r="H46" s="258">
        <f>List34[[#This Row],[Pengajuan Donasi]]</f>
        <v>500000</v>
      </c>
      <c r="I46" s="213" t="str">
        <f>IF(List34[[#This Row],[Tanggal Trf]]&gt;0,"Done","-")</f>
        <v>Done</v>
      </c>
      <c r="J46" s="437"/>
      <c r="K46" s="221">
        <v>44721</v>
      </c>
      <c r="L46" s="100" t="s">
        <v>709</v>
      </c>
      <c r="M46" s="100">
        <f>MONTH(List34[[#This Row],[Tanggal Pengajuan]])</f>
        <v>1</v>
      </c>
      <c r="N46" s="183">
        <v>44748</v>
      </c>
      <c r="O46" s="100" t="s">
        <v>1116</v>
      </c>
      <c r="P46" s="111"/>
      <c r="Q46" s="230" t="s">
        <v>958</v>
      </c>
      <c r="S46" s="275">
        <f>+List34[[#This Row],[Pengajuan Donasi]]-List34[[#This Row],[Jumlah Transfer]]</f>
        <v>0</v>
      </c>
      <c r="T46" s="275">
        <f>SUM(G42:G46)</f>
        <v>15840000</v>
      </c>
    </row>
    <row r="47" spans="1:20" s="4" customFormat="1" ht="30" customHeight="1" x14ac:dyDescent="0.2">
      <c r="A47" s="13">
        <v>44575</v>
      </c>
      <c r="B47" s="66" t="s">
        <v>669</v>
      </c>
      <c r="C47" s="103" t="s">
        <v>60</v>
      </c>
      <c r="D47" s="14" t="s">
        <v>179</v>
      </c>
      <c r="E47" s="14" t="s">
        <v>18</v>
      </c>
      <c r="F47" s="15">
        <v>37</v>
      </c>
      <c r="G47" s="258">
        <v>16029000</v>
      </c>
      <c r="H47" s="258">
        <f>List34[[#This Row],[Pengajuan Donasi]]</f>
        <v>500000</v>
      </c>
      <c r="I47" s="213" t="str">
        <f>IF(List34[[#This Row],[Tanggal Trf]]&gt;0,"Done","-")</f>
        <v>Done</v>
      </c>
      <c r="J47" s="437" t="s">
        <v>688</v>
      </c>
      <c r="K47" s="221">
        <v>44588</v>
      </c>
      <c r="L47" s="100" t="s">
        <v>674</v>
      </c>
      <c r="M47" s="100">
        <f>MONTH(List34[[#This Row],[Tanggal Pengajuan]])</f>
        <v>1</v>
      </c>
      <c r="N47" s="183"/>
      <c r="O47" s="100" t="s">
        <v>687</v>
      </c>
      <c r="P47" s="111"/>
      <c r="Q47" s="230" t="s">
        <v>958</v>
      </c>
      <c r="S47" s="275">
        <f>+List34[[#This Row],[Pengajuan Donasi]]-List34[[#This Row],[Jumlah Transfer]]</f>
        <v>0</v>
      </c>
      <c r="T47" s="275"/>
    </row>
    <row r="48" spans="1:20" s="4" customFormat="1" ht="30" customHeight="1" x14ac:dyDescent="0.2">
      <c r="A48" s="13">
        <v>44600</v>
      </c>
      <c r="B48" s="66" t="s">
        <v>724</v>
      </c>
      <c r="C48" s="103" t="s">
        <v>60</v>
      </c>
      <c r="D48" s="14" t="s">
        <v>179</v>
      </c>
      <c r="E48" s="14" t="s">
        <v>18</v>
      </c>
      <c r="F48" s="15">
        <v>37</v>
      </c>
      <c r="G48" s="258">
        <v>1200000</v>
      </c>
      <c r="H48" s="258">
        <f>List34[[#This Row],[Pengajuan Donasi]]</f>
        <v>500000</v>
      </c>
      <c r="I48" s="213" t="str">
        <f>IF(List34[[#This Row],[Tanggal Trf]]&gt;0,"Done","-")</f>
        <v>Done</v>
      </c>
      <c r="J48" s="437"/>
      <c r="K48" s="221">
        <v>44612</v>
      </c>
      <c r="L48" s="100" t="s">
        <v>674</v>
      </c>
      <c r="M48" s="100">
        <f>MONTH(List34[[#This Row],[Tanggal Pengajuan]])</f>
        <v>1</v>
      </c>
      <c r="N48" s="183"/>
      <c r="O48" s="100" t="s">
        <v>707</v>
      </c>
      <c r="P48" s="111"/>
      <c r="Q48" s="230" t="s">
        <v>958</v>
      </c>
      <c r="S48" s="275">
        <f>+List34[[#This Row],[Pengajuan Donasi]]-List34[[#This Row],[Jumlah Transfer]]</f>
        <v>0</v>
      </c>
      <c r="T48" s="275"/>
    </row>
    <row r="49" spans="1:20" s="4" customFormat="1" ht="30" customHeight="1" x14ac:dyDescent="0.2">
      <c r="A49" s="13">
        <v>44631</v>
      </c>
      <c r="B49" s="66" t="s">
        <v>764</v>
      </c>
      <c r="C49" s="103" t="s">
        <v>60</v>
      </c>
      <c r="D49" s="14" t="s">
        <v>179</v>
      </c>
      <c r="E49" s="14" t="s">
        <v>18</v>
      </c>
      <c r="F49" s="15"/>
      <c r="G49" s="258">
        <v>1200000</v>
      </c>
      <c r="H49" s="258">
        <v>1200000</v>
      </c>
      <c r="I49" s="213" t="str">
        <f>IF(List34[[#This Row],[Tanggal Trf]]&gt;0,"Done","-")</f>
        <v>Done</v>
      </c>
      <c r="J49" s="445"/>
      <c r="K49" s="221">
        <v>44648</v>
      </c>
      <c r="L49" s="100" t="s">
        <v>674</v>
      </c>
      <c r="M49" s="100">
        <f>MONTH(List34[[#This Row],[Tanggal Pengajuan]])</f>
        <v>1</v>
      </c>
      <c r="N49" s="183"/>
      <c r="O49" s="100" t="s">
        <v>746</v>
      </c>
      <c r="P49" s="202"/>
      <c r="Q49" s="230" t="s">
        <v>958</v>
      </c>
      <c r="S49" s="275">
        <f>+List34[[#This Row],[Pengajuan Donasi]]-List34[[#This Row],[Jumlah Transfer]]</f>
        <v>0</v>
      </c>
      <c r="T49" s="275"/>
    </row>
    <row r="50" spans="1:20" s="4" customFormat="1" ht="30" customHeight="1" x14ac:dyDescent="0.2">
      <c r="A50" s="13">
        <v>44659</v>
      </c>
      <c r="B50" s="66" t="s">
        <v>800</v>
      </c>
      <c r="C50" s="103" t="s">
        <v>60</v>
      </c>
      <c r="D50" s="14" t="s">
        <v>179</v>
      </c>
      <c r="E50" s="14" t="s">
        <v>18</v>
      </c>
      <c r="F50" s="15">
        <v>37</v>
      </c>
      <c r="G50" s="258">
        <v>1200000</v>
      </c>
      <c r="H50" s="258">
        <f>List34[[#This Row],[Pengajuan Donasi]]</f>
        <v>500000</v>
      </c>
      <c r="I50" s="213" t="str">
        <f>IF(List34[[#This Row],[Tanggal Trf]]&gt;0,"Done","-")</f>
        <v>Done</v>
      </c>
      <c r="J50" s="445"/>
      <c r="K50" s="221">
        <v>44670</v>
      </c>
      <c r="L50" s="100" t="s">
        <v>674</v>
      </c>
      <c r="M50" s="100">
        <f>MONTH(List34[[#This Row],[Tanggal Pengajuan]])</f>
        <v>1</v>
      </c>
      <c r="N50" s="183">
        <v>44677</v>
      </c>
      <c r="O50" s="100" t="s">
        <v>795</v>
      </c>
      <c r="P50" s="202"/>
      <c r="Q50" s="230" t="s">
        <v>958</v>
      </c>
      <c r="S50" s="275">
        <f>+List34[[#This Row],[Pengajuan Donasi]]-List34[[#This Row],[Jumlah Transfer]]</f>
        <v>0</v>
      </c>
      <c r="T50" s="275"/>
    </row>
    <row r="51" spans="1:20" s="4" customFormat="1" ht="30" customHeight="1" x14ac:dyDescent="0.2">
      <c r="A51" s="13">
        <v>44687</v>
      </c>
      <c r="B51" s="66" t="s">
        <v>939</v>
      </c>
      <c r="C51" s="103" t="s">
        <v>60</v>
      </c>
      <c r="D51" s="14" t="s">
        <v>179</v>
      </c>
      <c r="E51" s="14" t="s">
        <v>18</v>
      </c>
      <c r="F51" s="15">
        <v>37</v>
      </c>
      <c r="G51" s="258">
        <v>1200000</v>
      </c>
      <c r="H51" s="258">
        <f>List34[[#This Row],[Pengajuan Donasi]]</f>
        <v>500000</v>
      </c>
      <c r="I51" s="213" t="str">
        <f>IF(List34[[#This Row],[Tanggal Trf]]&gt;0,"Done","-")</f>
        <v>Done</v>
      </c>
      <c r="J51" s="437"/>
      <c r="K51" s="221">
        <v>44705</v>
      </c>
      <c r="L51" s="100" t="s">
        <v>674</v>
      </c>
      <c r="M51" s="100">
        <f>MONTH(List34[[#This Row],[Tanggal Pengajuan]])</f>
        <v>1</v>
      </c>
      <c r="N51" s="183">
        <v>44746</v>
      </c>
      <c r="O51" s="100" t="s">
        <v>932</v>
      </c>
      <c r="P51" s="111"/>
      <c r="Q51" s="230" t="s">
        <v>958</v>
      </c>
      <c r="S51" s="275">
        <f>+List34[[#This Row],[Pengajuan Donasi]]-List34[[#This Row],[Jumlah Transfer]]</f>
        <v>0</v>
      </c>
      <c r="T51" s="275"/>
    </row>
    <row r="52" spans="1:20" s="4" customFormat="1" ht="30" customHeight="1" x14ac:dyDescent="0.2">
      <c r="A52" s="13">
        <v>44715</v>
      </c>
      <c r="B52" s="66" t="s">
        <v>1093</v>
      </c>
      <c r="C52" s="103" t="s">
        <v>60</v>
      </c>
      <c r="D52" s="14" t="s">
        <v>179</v>
      </c>
      <c r="E52" s="14" t="s">
        <v>18</v>
      </c>
      <c r="F52" s="15">
        <v>37</v>
      </c>
      <c r="G52" s="258">
        <v>1200000</v>
      </c>
      <c r="H52" s="258">
        <f>List34[[#This Row],[Pengajuan Donasi]]</f>
        <v>6000600</v>
      </c>
      <c r="I52" s="213" t="str">
        <f>IF(List34[[#This Row],[Tanggal Trf]]&gt;0,"Done","-")</f>
        <v>Done</v>
      </c>
      <c r="J52" s="445"/>
      <c r="K52" s="221">
        <v>44721</v>
      </c>
      <c r="L52" s="100" t="s">
        <v>674</v>
      </c>
      <c r="M52" s="100">
        <f>MONTH(List34[[#This Row],[Tanggal Pengajuan]])</f>
        <v>1</v>
      </c>
      <c r="N52" s="183">
        <v>44748</v>
      </c>
      <c r="O52" s="100" t="s">
        <v>1116</v>
      </c>
      <c r="P52" s="202"/>
      <c r="Q52" s="230" t="s">
        <v>958</v>
      </c>
      <c r="S52" s="275">
        <f>+List34[[#This Row],[Pengajuan Donasi]]-List34[[#This Row],[Jumlah Transfer]]</f>
        <v>0</v>
      </c>
      <c r="T52" s="275"/>
    </row>
    <row r="53" spans="1:20" s="4" customFormat="1" ht="30" customHeight="1" x14ac:dyDescent="0.2">
      <c r="A53" s="210">
        <v>44746</v>
      </c>
      <c r="B53" s="189" t="s">
        <v>1151</v>
      </c>
      <c r="C53" s="168" t="s">
        <v>60</v>
      </c>
      <c r="D53" s="168" t="s">
        <v>179</v>
      </c>
      <c r="E53" s="164" t="s">
        <v>18</v>
      </c>
      <c r="F53" s="470"/>
      <c r="G53" s="261">
        <v>0</v>
      </c>
      <c r="H53" s="261">
        <f>List34[[#This Row],[Pengajuan Donasi]]</f>
        <v>6000400</v>
      </c>
      <c r="I53" s="253" t="str">
        <f>IF(List34[[#This Row],[Tanggal Trf]]&gt;0,"Done","-")</f>
        <v>Done</v>
      </c>
      <c r="J53" s="710" t="s">
        <v>1173</v>
      </c>
      <c r="K53" s="615"/>
      <c r="L53" s="193" t="s">
        <v>674</v>
      </c>
      <c r="M53" s="193">
        <f>MONTH(List34[[#This Row],[Tanggal Pengajuan]])</f>
        <v>1</v>
      </c>
      <c r="N53" s="194"/>
      <c r="O53" s="193" t="s">
        <v>1189</v>
      </c>
      <c r="P53" s="110"/>
      <c r="Q53" s="230" t="s">
        <v>958</v>
      </c>
      <c r="S53" s="275">
        <f>+List34[[#This Row],[Pengajuan Donasi]]-List34[[#This Row],[Jumlah Transfer]]</f>
        <v>0</v>
      </c>
      <c r="T53" s="275">
        <f>SUM(G47:G53)</f>
        <v>22029000</v>
      </c>
    </row>
    <row r="54" spans="1:20" s="4" customFormat="1" ht="30" customHeight="1" x14ac:dyDescent="0.2">
      <c r="A54" s="13">
        <v>44579</v>
      </c>
      <c r="B54" s="66" t="s">
        <v>668</v>
      </c>
      <c r="C54" s="103" t="s">
        <v>129</v>
      </c>
      <c r="D54" s="103" t="s">
        <v>179</v>
      </c>
      <c r="E54" s="14" t="s">
        <v>18</v>
      </c>
      <c r="F54" s="15">
        <v>32</v>
      </c>
      <c r="G54" s="258">
        <v>7950000</v>
      </c>
      <c r="H54" s="258">
        <f>List34[[#This Row],[Pengajuan Donasi]]</f>
        <v>5999200</v>
      </c>
      <c r="I54" s="213" t="str">
        <f>IF(List34[[#This Row],[Tanggal Trf]]&gt;0,"Done","-")</f>
        <v>Done</v>
      </c>
      <c r="J54" s="445" t="s">
        <v>689</v>
      </c>
      <c r="K54" s="221">
        <v>44588</v>
      </c>
      <c r="L54" s="626" t="s">
        <v>675</v>
      </c>
      <c r="M54" s="100">
        <f>MONTH(List34[[#This Row],[Tanggal Pengajuan]])</f>
        <v>1</v>
      </c>
      <c r="N54" s="183"/>
      <c r="O54" s="100" t="s">
        <v>651</v>
      </c>
      <c r="P54" s="111"/>
      <c r="Q54" s="230" t="s">
        <v>958</v>
      </c>
      <c r="S54" s="275">
        <f>+List34[[#This Row],[Pengajuan Donasi]]-List34[[#This Row],[Jumlah Transfer]]</f>
        <v>0</v>
      </c>
      <c r="T54" s="275"/>
    </row>
    <row r="55" spans="1:20" s="4" customFormat="1" ht="30" customHeight="1" x14ac:dyDescent="0.2">
      <c r="A55" s="13">
        <v>44599</v>
      </c>
      <c r="B55" s="66" t="s">
        <v>717</v>
      </c>
      <c r="C55" s="103" t="s">
        <v>129</v>
      </c>
      <c r="D55" s="103" t="s">
        <v>179</v>
      </c>
      <c r="E55" s="14" t="s">
        <v>18</v>
      </c>
      <c r="F55" s="469">
        <v>0</v>
      </c>
      <c r="G55" s="258">
        <v>7950000</v>
      </c>
      <c r="H55" s="258">
        <f>List34[[#This Row],[Pengajuan Donasi]]</f>
        <v>6000600</v>
      </c>
      <c r="I55" s="213" t="str">
        <f>IF(List34[[#This Row],[Tanggal Trf]]&gt;0,"Done","-")</f>
        <v>Done</v>
      </c>
      <c r="J55" s="445"/>
      <c r="K55" s="221">
        <v>44607</v>
      </c>
      <c r="L55" s="100" t="s">
        <v>675</v>
      </c>
      <c r="M55" s="100">
        <f>MONTH(List34[[#This Row],[Tanggal Pengajuan]])</f>
        <v>1</v>
      </c>
      <c r="N55" s="183"/>
      <c r="O55" s="100" t="s">
        <v>707</v>
      </c>
      <c r="P55" s="111"/>
      <c r="Q55" s="230" t="s">
        <v>958</v>
      </c>
      <c r="S55" s="275">
        <f>+List34[[#This Row],[Pengajuan Donasi]]-List34[[#This Row],[Jumlah Transfer]]</f>
        <v>0</v>
      </c>
      <c r="T55" s="275"/>
    </row>
    <row r="56" spans="1:20" s="4" customFormat="1" ht="30" customHeight="1" x14ac:dyDescent="0.2">
      <c r="A56" s="13">
        <v>44638</v>
      </c>
      <c r="B56" s="66" t="s">
        <v>773</v>
      </c>
      <c r="C56" s="103" t="s">
        <v>129</v>
      </c>
      <c r="D56" s="103" t="s">
        <v>179</v>
      </c>
      <c r="E56" s="14" t="s">
        <v>18</v>
      </c>
      <c r="F56" s="15">
        <v>32</v>
      </c>
      <c r="G56" s="258">
        <v>7950000</v>
      </c>
      <c r="H56" s="258">
        <v>7950000</v>
      </c>
      <c r="I56" s="213" t="str">
        <f>IF(List34[[#This Row],[Tanggal Trf]]&gt;0,"Done","-")</f>
        <v>Done</v>
      </c>
      <c r="J56" s="445" t="s">
        <v>689</v>
      </c>
      <c r="K56" s="221">
        <v>44645</v>
      </c>
      <c r="L56" s="626" t="s">
        <v>675</v>
      </c>
      <c r="M56" s="100">
        <f>MONTH(List34[[#This Row],[Tanggal Pengajuan]])</f>
        <v>1</v>
      </c>
      <c r="N56" s="183"/>
      <c r="O56" s="100" t="s">
        <v>746</v>
      </c>
      <c r="P56" s="111"/>
      <c r="Q56" s="230" t="s">
        <v>958</v>
      </c>
      <c r="S56" s="275">
        <f>+List34[[#This Row],[Pengajuan Donasi]]-List34[[#This Row],[Jumlah Transfer]]</f>
        <v>0</v>
      </c>
      <c r="T56" s="275"/>
    </row>
    <row r="57" spans="1:20" s="4" customFormat="1" ht="30" customHeight="1" x14ac:dyDescent="0.2">
      <c r="A57" s="13">
        <v>44659</v>
      </c>
      <c r="B57" s="66" t="s">
        <v>799</v>
      </c>
      <c r="C57" s="103" t="s">
        <v>129</v>
      </c>
      <c r="D57" s="103" t="s">
        <v>179</v>
      </c>
      <c r="E57" s="14" t="s">
        <v>18</v>
      </c>
      <c r="F57" s="15">
        <v>32</v>
      </c>
      <c r="G57" s="258">
        <v>7950000</v>
      </c>
      <c r="H57" s="258">
        <f>List34[[#This Row],[Pengajuan Donasi]]</f>
        <v>6000300</v>
      </c>
      <c r="I57" s="213" t="str">
        <f>IF(List34[[#This Row],[Tanggal Trf]]&gt;0,"Done","-")</f>
        <v>Done</v>
      </c>
      <c r="J57" s="445"/>
      <c r="K57" s="221">
        <v>44663</v>
      </c>
      <c r="L57" s="100" t="s">
        <v>675</v>
      </c>
      <c r="M57" s="100">
        <f>MONTH(List34[[#This Row],[Tanggal Pengajuan]])</f>
        <v>1</v>
      </c>
      <c r="N57" s="183">
        <v>44677</v>
      </c>
      <c r="O57" s="100" t="s">
        <v>795</v>
      </c>
      <c r="P57" s="111"/>
      <c r="Q57" s="230" t="s">
        <v>958</v>
      </c>
      <c r="S57" s="275">
        <f>+List34[[#This Row],[Pengajuan Donasi]]-List34[[#This Row],[Jumlah Transfer]]</f>
        <v>0</v>
      </c>
      <c r="T57" s="275"/>
    </row>
    <row r="58" spans="1:20" s="4" customFormat="1" ht="30" customHeight="1" x14ac:dyDescent="0.2">
      <c r="A58" s="13">
        <v>44687</v>
      </c>
      <c r="B58" s="66" t="s">
        <v>940</v>
      </c>
      <c r="C58" s="103" t="s">
        <v>129</v>
      </c>
      <c r="D58" s="103" t="s">
        <v>179</v>
      </c>
      <c r="E58" s="14" t="s">
        <v>18</v>
      </c>
      <c r="F58" s="15">
        <v>32</v>
      </c>
      <c r="G58" s="258">
        <v>7950000</v>
      </c>
      <c r="H58" s="258">
        <f>List34[[#This Row],[Pengajuan Donasi]]</f>
        <v>6000700</v>
      </c>
      <c r="I58" s="213" t="str">
        <f>IF(List34[[#This Row],[Tanggal Trf]]&gt;0,"Done","-")</f>
        <v>Done</v>
      </c>
      <c r="J58" s="445"/>
      <c r="K58" s="221">
        <v>44705</v>
      </c>
      <c r="L58" s="100" t="s">
        <v>675</v>
      </c>
      <c r="M58" s="100">
        <f>MONTH(List34[[#This Row],[Tanggal Pengajuan]])</f>
        <v>1</v>
      </c>
      <c r="N58" s="183">
        <v>44746</v>
      </c>
      <c r="O58" s="100" t="s">
        <v>932</v>
      </c>
      <c r="P58" s="111"/>
      <c r="Q58" s="230" t="s">
        <v>958</v>
      </c>
      <c r="S58" s="275">
        <f>+List34[[#This Row],[Pengajuan Donasi]]-List34[[#This Row],[Jumlah Transfer]]</f>
        <v>0</v>
      </c>
      <c r="T58" s="275"/>
    </row>
    <row r="59" spans="1:20" s="4" customFormat="1" ht="30" customHeight="1" x14ac:dyDescent="0.2">
      <c r="A59" s="13">
        <v>44715</v>
      </c>
      <c r="B59" s="66" t="s">
        <v>1094</v>
      </c>
      <c r="C59" s="103" t="s">
        <v>129</v>
      </c>
      <c r="D59" s="103" t="s">
        <v>179</v>
      </c>
      <c r="E59" s="14" t="s">
        <v>18</v>
      </c>
      <c r="F59" s="15">
        <v>32</v>
      </c>
      <c r="G59" s="258">
        <v>7950000</v>
      </c>
      <c r="H59" s="258">
        <f>List34[[#This Row],[Pengajuan Donasi]]</f>
        <v>6000500</v>
      </c>
      <c r="I59" s="213" t="str">
        <f>IF(List34[[#This Row],[Tanggal Trf]]&gt;0,"Done","-")</f>
        <v>Done</v>
      </c>
      <c r="J59" s="445"/>
      <c r="K59" s="221">
        <v>44721</v>
      </c>
      <c r="L59" s="100" t="s">
        <v>675</v>
      </c>
      <c r="M59" s="100">
        <f>MONTH(List34[[#This Row],[Tanggal Pengajuan]])</f>
        <v>1</v>
      </c>
      <c r="N59" s="183">
        <v>44749</v>
      </c>
      <c r="O59" s="100" t="s">
        <v>1116</v>
      </c>
      <c r="P59" s="111"/>
      <c r="Q59" s="230" t="s">
        <v>958</v>
      </c>
      <c r="S59" s="275">
        <f>+List34[[#This Row],[Pengajuan Donasi]]-List34[[#This Row],[Jumlah Transfer]]</f>
        <v>0</v>
      </c>
      <c r="T59" s="275"/>
    </row>
    <row r="60" spans="1:20" s="4" customFormat="1" ht="30" customHeight="1" x14ac:dyDescent="0.2">
      <c r="A60" s="210">
        <v>44746</v>
      </c>
      <c r="B60" s="189" t="s">
        <v>1152</v>
      </c>
      <c r="C60" s="168" t="s">
        <v>129</v>
      </c>
      <c r="D60" s="168" t="s">
        <v>179</v>
      </c>
      <c r="E60" s="164" t="s">
        <v>18</v>
      </c>
      <c r="F60" s="470"/>
      <c r="G60" s="261">
        <v>0</v>
      </c>
      <c r="H60" s="261">
        <f>List34[[#This Row],[Pengajuan Donasi]]</f>
        <v>5999600</v>
      </c>
      <c r="I60" s="253" t="str">
        <f>IF(List34[[#This Row],[Tanggal Trf]]&gt;0,"Done","-")</f>
        <v>Done</v>
      </c>
      <c r="J60" s="447" t="s">
        <v>1174</v>
      </c>
      <c r="K60" s="615"/>
      <c r="L60" s="193" t="s">
        <v>675</v>
      </c>
      <c r="M60" s="193">
        <f>MONTH(List34[[#This Row],[Tanggal Pengajuan]])</f>
        <v>1</v>
      </c>
      <c r="N60" s="194"/>
      <c r="O60" s="193" t="s">
        <v>1189</v>
      </c>
      <c r="P60" s="111"/>
      <c r="Q60" s="230" t="s">
        <v>958</v>
      </c>
      <c r="S60" s="275">
        <f>+List34[[#This Row],[Pengajuan Donasi]]-List34[[#This Row],[Jumlah Transfer]]</f>
        <v>0</v>
      </c>
      <c r="T60" s="275">
        <f>SUM(G54:G60)</f>
        <v>47700000</v>
      </c>
    </row>
    <row r="61" spans="1:20" s="8" customFormat="1" ht="30" customHeight="1" x14ac:dyDescent="0.2">
      <c r="A61" s="644"/>
      <c r="B61" s="645"/>
      <c r="C61" s="406"/>
      <c r="D61" s="406"/>
      <c r="E61" s="406"/>
      <c r="F61" s="646"/>
      <c r="G61" s="647"/>
      <c r="H61" s="647"/>
      <c r="I61" s="648"/>
      <c r="J61" s="406"/>
      <c r="K61" s="649"/>
      <c r="L61" s="406"/>
      <c r="M61" s="406"/>
      <c r="N61" s="650"/>
      <c r="O61" s="406"/>
      <c r="P61" s="651"/>
      <c r="Q61" s="652"/>
      <c r="S61" s="639"/>
      <c r="T61" s="639"/>
    </row>
    <row r="62" spans="1:20" s="8" customFormat="1" ht="30" customHeight="1" x14ac:dyDescent="0.2">
      <c r="A62" s="653"/>
      <c r="B62" s="654"/>
      <c r="C62" s="618"/>
      <c r="D62" s="618"/>
      <c r="E62" s="618"/>
      <c r="F62" s="655"/>
      <c r="G62" s="639">
        <f>SUM(G1:G61)</f>
        <v>350209950</v>
      </c>
      <c r="H62" s="603"/>
      <c r="I62" s="656"/>
      <c r="J62" s="618"/>
      <c r="K62" s="657"/>
      <c r="L62" s="618"/>
      <c r="M62" s="618"/>
      <c r="N62" s="658"/>
      <c r="O62" s="618"/>
      <c r="P62" s="659"/>
      <c r="Q62" s="660"/>
      <c r="S62" s="639"/>
      <c r="T62" s="639">
        <f>SUM(T1:T61)</f>
        <v>350209950</v>
      </c>
    </row>
    <row r="63" spans="1:20" s="8" customFormat="1" ht="30" customHeight="1" x14ac:dyDescent="0.2">
      <c r="A63" s="653"/>
      <c r="B63" s="654"/>
      <c r="C63" s="618"/>
      <c r="D63" s="618"/>
      <c r="E63" s="618"/>
      <c r="F63" s="655"/>
      <c r="G63" s="639"/>
      <c r="H63" s="603"/>
      <c r="I63" s="656"/>
      <c r="J63" s="618"/>
      <c r="K63" s="657"/>
      <c r="L63" s="618"/>
      <c r="M63" s="618"/>
      <c r="N63" s="658"/>
      <c r="O63" s="618"/>
      <c r="P63" s="659"/>
      <c r="Q63" s="660"/>
      <c r="S63" s="639"/>
      <c r="T63" s="639">
        <f>+T62-'S1 - S2  2022'!O3</f>
        <v>-66280000</v>
      </c>
    </row>
    <row r="64" spans="1:20" s="8" customFormat="1" ht="30" customHeight="1" x14ac:dyDescent="0.2">
      <c r="A64" s="653"/>
      <c r="B64" s="654"/>
      <c r="C64" s="618"/>
      <c r="D64" s="618"/>
      <c r="E64" s="618"/>
      <c r="F64" s="655"/>
      <c r="G64" s="639"/>
      <c r="H64" s="603"/>
      <c r="I64" s="656"/>
      <c r="J64" s="618"/>
      <c r="K64" s="657"/>
      <c r="L64" s="618"/>
      <c r="M64" s="618"/>
      <c r="N64" s="658"/>
      <c r="O64" s="618"/>
      <c r="P64" s="659"/>
      <c r="Q64" s="660"/>
      <c r="S64" s="639"/>
      <c r="T64" s="639"/>
    </row>
    <row r="65" spans="1:20" s="641" customFormat="1" ht="30" customHeight="1" x14ac:dyDescent="0.2">
      <c r="A65" s="661"/>
      <c r="B65" s="662"/>
      <c r="C65" s="663"/>
      <c r="D65" s="663"/>
      <c r="E65" s="663"/>
      <c r="F65" s="664"/>
      <c r="G65" s="665"/>
      <c r="H65" s="665"/>
      <c r="I65" s="666"/>
      <c r="J65" s="663"/>
      <c r="K65" s="667"/>
      <c r="L65" s="663"/>
      <c r="M65" s="663"/>
      <c r="N65" s="668"/>
      <c r="O65" s="663"/>
      <c r="P65" s="669"/>
      <c r="Q65" s="670"/>
      <c r="S65" s="642"/>
      <c r="T65" s="642"/>
    </row>
    <row r="66" spans="1:20" s="4" customFormat="1" ht="30" customHeight="1" x14ac:dyDescent="0.2">
      <c r="A66" s="627">
        <v>44700</v>
      </c>
      <c r="B66" s="628" t="s">
        <v>1005</v>
      </c>
      <c r="C66" s="629" t="s">
        <v>1004</v>
      </c>
      <c r="D66" s="629" t="s">
        <v>107</v>
      </c>
      <c r="E66" s="630" t="s">
        <v>28</v>
      </c>
      <c r="F66" s="631"/>
      <c r="G66" s="632">
        <v>35000000</v>
      </c>
      <c r="H66" s="632">
        <f>List34[[#This Row],[Pengajuan Donasi]]</f>
        <v>5998900</v>
      </c>
      <c r="I66" s="633" t="str">
        <f>IF(List34[[#This Row],[Tanggal Trf]]&gt;0,"Done","-")</f>
        <v>Done</v>
      </c>
      <c r="J66" s="609"/>
      <c r="K66" s="634">
        <v>44638</v>
      </c>
      <c r="L66" s="635" t="s">
        <v>760</v>
      </c>
      <c r="M66" s="635">
        <f>MONTH(List34[[#This Row],[Tanggal Pengajuan]])</f>
        <v>1</v>
      </c>
      <c r="N66" s="636"/>
      <c r="O66" s="635" t="s">
        <v>746</v>
      </c>
      <c r="P66" s="637"/>
      <c r="Q66" s="638" t="s">
        <v>958</v>
      </c>
      <c r="S66" s="275">
        <f>+List34[[#This Row],[Pengajuan Donasi]]-List34[[#This Row],[Jumlah Transfer]]</f>
        <v>0</v>
      </c>
      <c r="T66" s="275">
        <f>+G66</f>
        <v>35000000</v>
      </c>
    </row>
    <row r="67" spans="1:20" s="4" customFormat="1" ht="30" customHeight="1" x14ac:dyDescent="0.2">
      <c r="A67" s="13">
        <v>44795</v>
      </c>
      <c r="B67" s="66" t="s">
        <v>1274</v>
      </c>
      <c r="C67" s="103" t="s">
        <v>1278</v>
      </c>
      <c r="D67" s="103" t="s">
        <v>107</v>
      </c>
      <c r="E67" s="14" t="s">
        <v>28</v>
      </c>
      <c r="F67" s="471">
        <v>113</v>
      </c>
      <c r="G67" s="258">
        <v>25000000</v>
      </c>
      <c r="H67" s="258">
        <f>List34[[#This Row],[Pengajuan Donasi]]</f>
        <v>5999100</v>
      </c>
      <c r="I67" s="213" t="str">
        <f>IF(List34[[#This Row],[Tanggal Trf]]&gt;0,"Done","-")</f>
        <v>Done</v>
      </c>
      <c r="J67" s="445"/>
      <c r="K67" s="221">
        <v>44706</v>
      </c>
      <c r="L67" s="100" t="s">
        <v>1016</v>
      </c>
      <c r="M67" s="100">
        <f>MONTH(List34[[#This Row],[Tanggal Pengajuan]])</f>
        <v>1</v>
      </c>
      <c r="N67" s="183">
        <v>44706</v>
      </c>
      <c r="O67" s="100" t="s">
        <v>932</v>
      </c>
      <c r="P67" s="111"/>
      <c r="Q67" s="230" t="s">
        <v>958</v>
      </c>
      <c r="S67" s="275">
        <f>+List34[[#This Row],[Pengajuan Donasi]]-List34[[#This Row],[Jumlah Transfer]]</f>
        <v>0</v>
      </c>
      <c r="T67" s="275">
        <f t="shared" ref="T67:T76" si="0">+G67</f>
        <v>25000000</v>
      </c>
    </row>
    <row r="68" spans="1:20" s="4" customFormat="1" ht="30" customHeight="1" x14ac:dyDescent="0.2">
      <c r="A68" s="13">
        <v>44804</v>
      </c>
      <c r="B68" s="66" t="s">
        <v>1304</v>
      </c>
      <c r="C68" s="103" t="s">
        <v>1302</v>
      </c>
      <c r="D68" s="103" t="s">
        <v>107</v>
      </c>
      <c r="E68" s="14" t="s">
        <v>28</v>
      </c>
      <c r="F68" s="471">
        <v>25732</v>
      </c>
      <c r="G68" s="258">
        <v>50000000</v>
      </c>
      <c r="H68" s="258">
        <f>List34[[#This Row],[Pengajuan Donasi]]</f>
        <v>6000700</v>
      </c>
      <c r="I68" s="213" t="str">
        <f>IF(List34[[#This Row],[Tanggal Trf]]&gt;0,"Done","-")</f>
        <v>Done</v>
      </c>
      <c r="J68" s="445"/>
      <c r="K68" s="221">
        <v>44715</v>
      </c>
      <c r="L68" s="100" t="s">
        <v>1067</v>
      </c>
      <c r="M68" s="200">
        <f>MONTH(List34[[#This Row],[Tanggal Pengajuan]])</f>
        <v>1</v>
      </c>
      <c r="N68" s="183">
        <v>44747</v>
      </c>
      <c r="O68" s="100" t="s">
        <v>932</v>
      </c>
      <c r="P68" s="111"/>
      <c r="Q68" s="230" t="s">
        <v>958</v>
      </c>
      <c r="S68" s="275">
        <f>+List34[[#This Row],[Pengajuan Donasi]]-List34[[#This Row],[Jumlah Transfer]]</f>
        <v>0</v>
      </c>
      <c r="T68" s="275">
        <f t="shared" si="0"/>
        <v>50000000</v>
      </c>
    </row>
    <row r="69" spans="1:20" s="4" customFormat="1" ht="30" customHeight="1" x14ac:dyDescent="0.2">
      <c r="A69" s="13">
        <v>44792</v>
      </c>
      <c r="B69" s="66" t="s">
        <v>1272</v>
      </c>
      <c r="C69" s="103" t="s">
        <v>1280</v>
      </c>
      <c r="D69" s="103" t="s">
        <v>107</v>
      </c>
      <c r="E69" s="14" t="s">
        <v>28</v>
      </c>
      <c r="F69" s="471">
        <v>330</v>
      </c>
      <c r="G69" s="258">
        <v>40000000</v>
      </c>
      <c r="H69" s="258">
        <f>List34[[#This Row],[Pengajuan Donasi]]</f>
        <v>5999000</v>
      </c>
      <c r="I69" s="213" t="str">
        <f>IF(List34[[#This Row],[Tanggal Trf]]&gt;0,"Done","-")</f>
        <v>Done</v>
      </c>
      <c r="J69" s="445"/>
      <c r="K69" s="484">
        <v>44802</v>
      </c>
      <c r="L69" s="100" t="s">
        <v>1067</v>
      </c>
      <c r="M69" s="100">
        <f>MONTH(List34[[#This Row],[Tanggal Pengajuan]])</f>
        <v>1</v>
      </c>
      <c r="N69" s="183"/>
      <c r="O69" s="100" t="s">
        <v>888</v>
      </c>
      <c r="P69" s="111"/>
      <c r="Q69" s="230" t="s">
        <v>958</v>
      </c>
      <c r="S69" s="275">
        <f>+List34[[#This Row],[Pengajuan Donasi]]-List34[[#This Row],[Jumlah Transfer]]</f>
        <v>0</v>
      </c>
      <c r="T69" s="275">
        <f t="shared" si="0"/>
        <v>40000000</v>
      </c>
    </row>
    <row r="70" spans="1:20" s="4" customFormat="1" ht="30" customHeight="1" x14ac:dyDescent="0.2">
      <c r="A70" s="13">
        <v>44804</v>
      </c>
      <c r="B70" s="66" t="s">
        <v>1305</v>
      </c>
      <c r="C70" s="103" t="s">
        <v>1303</v>
      </c>
      <c r="D70" s="103" t="s">
        <v>107</v>
      </c>
      <c r="E70" s="14" t="s">
        <v>28</v>
      </c>
      <c r="F70" s="471">
        <v>42</v>
      </c>
      <c r="G70" s="258">
        <v>25000000</v>
      </c>
      <c r="H70" s="258">
        <f>List34[[#This Row],[Pengajuan Donasi]]</f>
        <v>6000200</v>
      </c>
      <c r="I70" s="213" t="str">
        <f>IF(List34[[#This Row],[Tanggal Trf]]&gt;0,"Done","-")</f>
        <v>Done</v>
      </c>
      <c r="J70" s="445"/>
      <c r="K70" s="484">
        <v>44802</v>
      </c>
      <c r="L70" s="100" t="s">
        <v>1284</v>
      </c>
      <c r="M70" s="100">
        <f>MONTH(List34[[#This Row],[Tanggal Pengajuan]])</f>
        <v>1</v>
      </c>
      <c r="N70" s="183"/>
      <c r="O70" s="100" t="s">
        <v>888</v>
      </c>
      <c r="P70" s="111"/>
      <c r="Q70" s="230" t="s">
        <v>958</v>
      </c>
      <c r="S70" s="275">
        <f>+List34[[#This Row],[Pengajuan Donasi]]-List34[[#This Row],[Jumlah Transfer]]</f>
        <v>0</v>
      </c>
      <c r="T70" s="275">
        <f t="shared" si="0"/>
        <v>25000000</v>
      </c>
    </row>
    <row r="71" spans="1:20" s="4" customFormat="1" ht="30" customHeight="1" x14ac:dyDescent="0.2">
      <c r="A71" s="13">
        <v>44803</v>
      </c>
      <c r="B71" s="66" t="s">
        <v>1298</v>
      </c>
      <c r="C71" s="103" t="s">
        <v>1293</v>
      </c>
      <c r="D71" s="103" t="s">
        <v>107</v>
      </c>
      <c r="E71" s="14" t="s">
        <v>28</v>
      </c>
      <c r="F71" s="471"/>
      <c r="G71" s="258">
        <v>25000000</v>
      </c>
      <c r="H71" s="258">
        <f>List34[[#This Row],[Pengajuan Donasi]]</f>
        <v>5999000</v>
      </c>
      <c r="I71" s="213" t="str">
        <f>IF(List34[[#This Row],[Tanggal Trf]]&gt;0,"Done","-")</f>
        <v>Done</v>
      </c>
      <c r="J71" s="445"/>
      <c r="K71" s="484">
        <v>44802</v>
      </c>
      <c r="L71" s="100" t="s">
        <v>1282</v>
      </c>
      <c r="M71" s="100">
        <f>MONTH(List34[[#This Row],[Tanggal Pengajuan]])</f>
        <v>1</v>
      </c>
      <c r="N71" s="183"/>
      <c r="O71" s="100" t="s">
        <v>888</v>
      </c>
      <c r="P71" s="111"/>
      <c r="Q71" s="230" t="s">
        <v>958</v>
      </c>
      <c r="S71" s="275">
        <f>+List34[[#This Row],[Pengajuan Donasi]]-List34[[#This Row],[Jumlah Transfer]]</f>
        <v>0</v>
      </c>
      <c r="T71" s="275">
        <f t="shared" si="0"/>
        <v>25000000</v>
      </c>
    </row>
    <row r="72" spans="1:20" s="4" customFormat="1" ht="30" customHeight="1" x14ac:dyDescent="0.2">
      <c r="A72" s="13">
        <v>44792</v>
      </c>
      <c r="B72" s="66" t="s">
        <v>1271</v>
      </c>
      <c r="C72" s="103" t="s">
        <v>1276</v>
      </c>
      <c r="D72" s="103" t="s">
        <v>107</v>
      </c>
      <c r="E72" s="14" t="s">
        <v>28</v>
      </c>
      <c r="F72" s="471"/>
      <c r="G72" s="258">
        <v>25000000</v>
      </c>
      <c r="H72" s="258">
        <f>List34[[#This Row],[Pengajuan Donasi]]</f>
        <v>6000800</v>
      </c>
      <c r="I72" s="213" t="str">
        <f>IF(List34[[#This Row],[Tanggal Trf]]&gt;0,"Done","-")</f>
        <v>Done</v>
      </c>
      <c r="J72" s="445"/>
      <c r="K72" s="484">
        <v>44802</v>
      </c>
      <c r="L72" s="100" t="s">
        <v>1281</v>
      </c>
      <c r="M72" s="100">
        <f>MONTH(List34[[#This Row],[Tanggal Pengajuan]])</f>
        <v>1</v>
      </c>
      <c r="N72" s="183"/>
      <c r="O72" s="100" t="s">
        <v>888</v>
      </c>
      <c r="P72" s="111"/>
      <c r="Q72" s="230" t="s">
        <v>958</v>
      </c>
      <c r="S72" s="275">
        <f>+List34[[#This Row],[Pengajuan Donasi]]-List34[[#This Row],[Jumlah Transfer]]</f>
        <v>0</v>
      </c>
      <c r="T72" s="275">
        <f t="shared" si="0"/>
        <v>25000000</v>
      </c>
    </row>
    <row r="73" spans="1:20" s="4" customFormat="1" ht="30" customHeight="1" x14ac:dyDescent="0.2">
      <c r="A73" s="13">
        <v>44708</v>
      </c>
      <c r="B73" s="66" t="s">
        <v>1061</v>
      </c>
      <c r="C73" s="103" t="s">
        <v>1065</v>
      </c>
      <c r="D73" s="103" t="s">
        <v>107</v>
      </c>
      <c r="E73" s="14" t="s">
        <v>28</v>
      </c>
      <c r="F73" s="15">
        <v>0</v>
      </c>
      <c r="G73" s="258">
        <v>35000000</v>
      </c>
      <c r="H73" s="258">
        <f>List34[[#This Row],[Pengajuan Donasi]]</f>
        <v>5999100</v>
      </c>
      <c r="I73" s="213" t="str">
        <f>IF(List34[[#This Row],[Tanggal Trf]]&gt;0,"Done","-")</f>
        <v>Done</v>
      </c>
      <c r="J73" s="445"/>
      <c r="K73" s="484">
        <v>44806</v>
      </c>
      <c r="L73" s="100" t="s">
        <v>1283</v>
      </c>
      <c r="M73" s="100">
        <f>MONTH(List34[[#This Row],[Tanggal Pengajuan]])</f>
        <v>1</v>
      </c>
      <c r="N73" s="183"/>
      <c r="O73" s="100" t="s">
        <v>888</v>
      </c>
      <c r="P73" s="111"/>
      <c r="Q73" s="230" t="s">
        <v>958</v>
      </c>
      <c r="S73" s="275">
        <f>+List34[[#This Row],[Pengajuan Donasi]]-List34[[#This Row],[Jumlah Transfer]]</f>
        <v>0</v>
      </c>
      <c r="T73" s="275">
        <f t="shared" si="0"/>
        <v>35000000</v>
      </c>
    </row>
    <row r="74" spans="1:20" s="4" customFormat="1" ht="30" customHeight="1" x14ac:dyDescent="0.2">
      <c r="A74" s="13">
        <v>44795</v>
      </c>
      <c r="B74" s="66" t="s">
        <v>1275</v>
      </c>
      <c r="C74" s="103" t="s">
        <v>1279</v>
      </c>
      <c r="D74" s="103" t="s">
        <v>107</v>
      </c>
      <c r="E74" s="14" t="s">
        <v>28</v>
      </c>
      <c r="F74" s="471">
        <v>2700</v>
      </c>
      <c r="G74" s="258">
        <v>35000000</v>
      </c>
      <c r="H74" s="258">
        <f>List34[[#This Row],[Pengajuan Donasi]]</f>
        <v>6000200</v>
      </c>
      <c r="I74" s="213" t="str">
        <f>IF(List34[[#This Row],[Tanggal Trf]]&gt;0,"Done","-")</f>
        <v>Done</v>
      </c>
      <c r="J74" s="445"/>
      <c r="K74" s="484">
        <v>44809</v>
      </c>
      <c r="L74" s="100" t="s">
        <v>1299</v>
      </c>
      <c r="M74" s="100">
        <f>MONTH(List34[[#This Row],[Tanggal Pengajuan]])</f>
        <v>1</v>
      </c>
      <c r="N74" s="183"/>
      <c r="O74" s="100" t="s">
        <v>1308</v>
      </c>
      <c r="P74" s="111"/>
      <c r="Q74" s="230" t="s">
        <v>958</v>
      </c>
      <c r="S74" s="275">
        <f>+List34[[#This Row],[Pengajuan Donasi]]-List34[[#This Row],[Jumlah Transfer]]</f>
        <v>0</v>
      </c>
      <c r="T74" s="275">
        <f t="shared" si="0"/>
        <v>35000000</v>
      </c>
    </row>
    <row r="75" spans="1:20" s="4" customFormat="1" ht="30" customHeight="1" x14ac:dyDescent="0.2">
      <c r="A75" s="13">
        <v>44792</v>
      </c>
      <c r="B75" s="66" t="s">
        <v>1273</v>
      </c>
      <c r="C75" s="103" t="s">
        <v>1277</v>
      </c>
      <c r="D75" s="103" t="s">
        <v>107</v>
      </c>
      <c r="E75" s="14" t="s">
        <v>28</v>
      </c>
      <c r="F75" s="471">
        <v>126</v>
      </c>
      <c r="G75" s="258">
        <v>25000000</v>
      </c>
      <c r="H75" s="258">
        <f>List34[[#This Row],[Pengajuan Donasi]]</f>
        <v>5998600</v>
      </c>
      <c r="I75" s="213" t="str">
        <f>IF(List34[[#This Row],[Tanggal Trf]]&gt;0,"Done","-")</f>
        <v>Done</v>
      </c>
      <c r="J75" s="445"/>
      <c r="K75" s="484">
        <v>44809</v>
      </c>
      <c r="L75" s="100" t="s">
        <v>1306</v>
      </c>
      <c r="M75" s="100">
        <f>MONTH(List34[[#This Row],[Tanggal Pengajuan]])</f>
        <v>1</v>
      </c>
      <c r="N75" s="183"/>
      <c r="O75" s="100" t="s">
        <v>1308</v>
      </c>
      <c r="P75" s="111"/>
      <c r="Q75" s="230" t="s">
        <v>958</v>
      </c>
      <c r="S75" s="275">
        <f>+List34[[#This Row],[Pengajuan Donasi]]-List34[[#This Row],[Jumlah Transfer]]</f>
        <v>0</v>
      </c>
      <c r="T75" s="275">
        <f t="shared" si="0"/>
        <v>25000000</v>
      </c>
    </row>
    <row r="76" spans="1:20" s="4" customFormat="1" ht="30" customHeight="1" x14ac:dyDescent="0.2">
      <c r="A76" s="13">
        <v>44624</v>
      </c>
      <c r="B76" s="66" t="s">
        <v>759</v>
      </c>
      <c r="C76" s="103" t="s">
        <v>1076</v>
      </c>
      <c r="D76" s="103" t="s">
        <v>107</v>
      </c>
      <c r="E76" s="14" t="s">
        <v>28</v>
      </c>
      <c r="F76" s="15"/>
      <c r="G76" s="258">
        <v>35000000</v>
      </c>
      <c r="H76" s="258">
        <v>35000000</v>
      </c>
      <c r="I76" s="213" t="str">
        <f>IF(List34[[#This Row],[Tanggal Trf]]&gt;0,"Done","-")</f>
        <v>Done</v>
      </c>
      <c r="J76" s="445"/>
      <c r="K76" s="484">
        <v>44811</v>
      </c>
      <c r="L76" s="100" t="s">
        <v>1307</v>
      </c>
      <c r="M76" s="100">
        <f>MONTH(List34[[#This Row],[Tanggal Pengajuan]])</f>
        <v>1</v>
      </c>
      <c r="N76" s="183"/>
      <c r="O76" s="100" t="s">
        <v>1308</v>
      </c>
      <c r="P76" s="111"/>
      <c r="Q76" s="230" t="s">
        <v>958</v>
      </c>
      <c r="S76" s="275">
        <f>+List34[[#This Row],[Pengajuan Donasi]]-List34[[#This Row],[Jumlah Transfer]]</f>
        <v>0</v>
      </c>
      <c r="T76" s="275">
        <f t="shared" si="0"/>
        <v>35000000</v>
      </c>
    </row>
    <row r="77" spans="1:20" s="8" customFormat="1" ht="30" customHeight="1" x14ac:dyDescent="0.2">
      <c r="A77" s="644"/>
      <c r="B77" s="645"/>
      <c r="C77" s="406"/>
      <c r="D77" s="406"/>
      <c r="E77" s="406"/>
      <c r="F77" s="646"/>
      <c r="G77" s="647"/>
      <c r="H77" s="647"/>
      <c r="I77" s="648"/>
      <c r="J77" s="671"/>
      <c r="K77" s="649"/>
      <c r="L77" s="406"/>
      <c r="M77" s="406"/>
      <c r="N77" s="650"/>
      <c r="O77" s="406"/>
      <c r="P77" s="651"/>
      <c r="Q77" s="652"/>
      <c r="S77" s="639"/>
      <c r="T77" s="639"/>
    </row>
    <row r="78" spans="1:20" s="8" customFormat="1" ht="30" customHeight="1" x14ac:dyDescent="0.2">
      <c r="A78" s="653"/>
      <c r="B78" s="654"/>
      <c r="C78" s="618"/>
      <c r="D78" s="618"/>
      <c r="E78" s="618"/>
      <c r="F78" s="655"/>
      <c r="G78" s="603">
        <f>SUM(G66:G77)</f>
        <v>355000000</v>
      </c>
      <c r="H78" s="603"/>
      <c r="I78" s="656"/>
      <c r="J78" s="672"/>
      <c r="K78" s="657"/>
      <c r="L78" s="618"/>
      <c r="M78" s="618"/>
      <c r="N78" s="658"/>
      <c r="O78" s="618"/>
      <c r="P78" s="659"/>
      <c r="Q78" s="660"/>
      <c r="S78" s="639"/>
      <c r="T78" s="603">
        <f>SUM(T66:T77)</f>
        <v>355000000</v>
      </c>
    </row>
    <row r="79" spans="1:20" s="8" customFormat="1" ht="30" customHeight="1" x14ac:dyDescent="0.2">
      <c r="A79" s="653"/>
      <c r="B79" s="654"/>
      <c r="C79" s="618"/>
      <c r="D79" s="618"/>
      <c r="E79" s="618"/>
      <c r="F79" s="655"/>
      <c r="G79" s="603">
        <f>+G78-'S1 - S2  2022'!O5</f>
        <v>-112315000</v>
      </c>
      <c r="H79" s="603"/>
      <c r="I79" s="656"/>
      <c r="J79" s="672"/>
      <c r="K79" s="657"/>
      <c r="L79" s="618"/>
      <c r="M79" s="618"/>
      <c r="N79" s="658"/>
      <c r="O79" s="618"/>
      <c r="P79" s="659"/>
      <c r="Q79" s="660"/>
      <c r="S79" s="639"/>
      <c r="T79" s="639"/>
    </row>
    <row r="80" spans="1:20" s="8" customFormat="1" ht="30" customHeight="1" x14ac:dyDescent="0.2">
      <c r="A80" s="653"/>
      <c r="B80" s="654"/>
      <c r="C80" s="618"/>
      <c r="D80" s="618"/>
      <c r="E80" s="618"/>
      <c r="F80" s="655"/>
      <c r="G80" s="603"/>
      <c r="H80" s="603"/>
      <c r="I80" s="656"/>
      <c r="J80" s="672"/>
      <c r="K80" s="657"/>
      <c r="L80" s="618"/>
      <c r="M80" s="618"/>
      <c r="N80" s="658"/>
      <c r="O80" s="618"/>
      <c r="P80" s="659"/>
      <c r="Q80" s="660"/>
      <c r="S80" s="639"/>
      <c r="T80" s="639"/>
    </row>
    <row r="81" spans="1:20" s="8" customFormat="1" ht="30" customHeight="1" x14ac:dyDescent="0.2">
      <c r="A81" s="661"/>
      <c r="B81" s="662"/>
      <c r="C81" s="618"/>
      <c r="D81" s="618"/>
      <c r="E81" s="663"/>
      <c r="F81" s="664"/>
      <c r="G81" s="665"/>
      <c r="H81" s="665"/>
      <c r="I81" s="666"/>
      <c r="J81" s="673"/>
      <c r="K81" s="657"/>
      <c r="L81" s="663"/>
      <c r="M81" s="663"/>
      <c r="N81" s="658"/>
      <c r="O81" s="663"/>
      <c r="P81" s="659"/>
      <c r="Q81" s="670"/>
      <c r="S81" s="639"/>
      <c r="T81" s="639"/>
    </row>
    <row r="82" spans="1:20" s="4" customFormat="1" ht="30" customHeight="1" x14ac:dyDescent="0.2">
      <c r="A82" s="13">
        <v>44566</v>
      </c>
      <c r="B82" s="66" t="s">
        <v>646</v>
      </c>
      <c r="C82" s="103" t="s">
        <v>704</v>
      </c>
      <c r="D82" s="103" t="s">
        <v>26</v>
      </c>
      <c r="E82" s="14" t="s">
        <v>28</v>
      </c>
      <c r="F82" s="15">
        <v>0</v>
      </c>
      <c r="G82" s="258">
        <v>20000000</v>
      </c>
      <c r="H82" s="258">
        <f>List34[[#This Row],[Pengajuan Donasi]]</f>
        <v>6000400</v>
      </c>
      <c r="I82" s="213" t="str">
        <f>IF(List34[[#This Row],[Tanggal Trf]]&gt;0,"Done","-")</f>
        <v>Done</v>
      </c>
      <c r="J82" s="445" t="s">
        <v>25</v>
      </c>
      <c r="K82" s="221">
        <v>44568</v>
      </c>
      <c r="L82" s="100" t="s">
        <v>647</v>
      </c>
      <c r="M82" s="100">
        <f>MONTH(List34[[#This Row],[Tanggal Pengajuan]])</f>
        <v>1</v>
      </c>
      <c r="N82" s="183"/>
      <c r="O82" s="100" t="s">
        <v>648</v>
      </c>
      <c r="P82" s="111"/>
      <c r="Q82" s="230" t="s">
        <v>958</v>
      </c>
      <c r="S82" s="275">
        <f>+List34[[#This Row],[Pengajuan Donasi]]-List34[[#This Row],[Jumlah Transfer]]</f>
        <v>0</v>
      </c>
      <c r="T82" s="275">
        <f t="shared" ref="T82:T90" si="1">+G82</f>
        <v>20000000</v>
      </c>
    </row>
    <row r="83" spans="1:20" s="4" customFormat="1" ht="30" customHeight="1" x14ac:dyDescent="0.2">
      <c r="A83" s="13">
        <v>44635</v>
      </c>
      <c r="B83" s="66"/>
      <c r="C83" s="103" t="s">
        <v>1069</v>
      </c>
      <c r="D83" s="103" t="s">
        <v>26</v>
      </c>
      <c r="E83" s="14" t="s">
        <v>28</v>
      </c>
      <c r="F83" s="15">
        <v>0</v>
      </c>
      <c r="G83" s="258">
        <v>5219000</v>
      </c>
      <c r="H83" s="258">
        <f>List34[[#This Row],[Pengajuan Donasi]]</f>
        <v>33150000</v>
      </c>
      <c r="I83" s="213" t="str">
        <f>IF(List34[[#This Row],[Tanggal Trf]]&gt;0,"Done","-")</f>
        <v>Done</v>
      </c>
      <c r="J83" s="720"/>
      <c r="K83" s="221">
        <v>44640</v>
      </c>
      <c r="L83" s="421" t="s">
        <v>769</v>
      </c>
      <c r="M83" s="100">
        <f>MONTH(List34[[#This Row],[Tanggal Pengajuan]])</f>
        <v>1</v>
      </c>
      <c r="N83" s="183"/>
      <c r="O83" s="100" t="s">
        <v>746</v>
      </c>
      <c r="P83" s="111"/>
      <c r="Q83" s="230" t="s">
        <v>958</v>
      </c>
      <c r="S83" s="275">
        <f>+List34[[#This Row],[Pengajuan Donasi]]-List34[[#This Row],[Jumlah Transfer]]</f>
        <v>0</v>
      </c>
      <c r="T83" s="275">
        <f t="shared" si="1"/>
        <v>5219000</v>
      </c>
    </row>
    <row r="84" spans="1:20" s="4" customFormat="1" ht="30" customHeight="1" x14ac:dyDescent="0.2">
      <c r="A84" s="13">
        <v>44635</v>
      </c>
      <c r="B84" s="66" t="s">
        <v>768</v>
      </c>
      <c r="C84" s="103" t="s">
        <v>1068</v>
      </c>
      <c r="D84" s="103" t="s">
        <v>26</v>
      </c>
      <c r="E84" s="14" t="s">
        <v>28</v>
      </c>
      <c r="F84" s="15"/>
      <c r="G84" s="258">
        <v>12210000</v>
      </c>
      <c r="H84" s="258">
        <f>List34[[#This Row],[Pengajuan Donasi]]</f>
        <v>0</v>
      </c>
      <c r="I84" s="213" t="str">
        <f>IF(List34[[#This Row],[Tanggal Trf]]&gt;0,"Done","-")</f>
        <v>Done</v>
      </c>
      <c r="J84" s="720"/>
      <c r="K84" s="221">
        <v>44640</v>
      </c>
      <c r="L84" s="421" t="s">
        <v>769</v>
      </c>
      <c r="M84" s="100">
        <f>MONTH(List34[[#This Row],[Tanggal Pengajuan]])</f>
        <v>1</v>
      </c>
      <c r="N84" s="183"/>
      <c r="O84" s="100" t="s">
        <v>746</v>
      </c>
      <c r="P84" s="111"/>
      <c r="Q84" s="230" t="s">
        <v>958</v>
      </c>
      <c r="S84" s="275">
        <f>+List34[[#This Row],[Pengajuan Donasi]]-List34[[#This Row],[Jumlah Transfer]]</f>
        <v>0</v>
      </c>
      <c r="T84" s="275">
        <f t="shared" si="1"/>
        <v>12210000</v>
      </c>
    </row>
    <row r="85" spans="1:20" s="4" customFormat="1" ht="30" customHeight="1" x14ac:dyDescent="0.2">
      <c r="A85" s="13">
        <v>44659</v>
      </c>
      <c r="B85" s="66" t="s">
        <v>815</v>
      </c>
      <c r="C85" s="103" t="s">
        <v>959</v>
      </c>
      <c r="D85" s="103" t="s">
        <v>26</v>
      </c>
      <c r="E85" s="14" t="s">
        <v>28</v>
      </c>
      <c r="F85" s="15"/>
      <c r="G85" s="258">
        <v>5036300</v>
      </c>
      <c r="H85" s="258">
        <v>5063300</v>
      </c>
      <c r="I85" s="213" t="str">
        <f>IF(List34[[#This Row],[Tanggal Trf]]&gt;0,"Done","-")</f>
        <v>Done</v>
      </c>
      <c r="J85" s="445" t="s">
        <v>25</v>
      </c>
      <c r="K85" s="221">
        <v>44663</v>
      </c>
      <c r="L85" s="100" t="s">
        <v>683</v>
      </c>
      <c r="M85" s="100">
        <f>MONTH(List34[[#This Row],[Tanggal Pengajuan]])</f>
        <v>1</v>
      </c>
      <c r="N85" s="183">
        <v>44705</v>
      </c>
      <c r="O85" s="100" t="s">
        <v>795</v>
      </c>
      <c r="P85" s="111"/>
      <c r="Q85" s="230" t="s">
        <v>958</v>
      </c>
      <c r="S85" s="275">
        <f>+List34[[#This Row],[Pengajuan Donasi]]-List34[[#This Row],[Jumlah Transfer]]</f>
        <v>0</v>
      </c>
      <c r="T85" s="275">
        <f t="shared" si="1"/>
        <v>5036300</v>
      </c>
    </row>
    <row r="86" spans="1:20" s="4" customFormat="1" ht="30" customHeight="1" x14ac:dyDescent="0.2">
      <c r="A86" s="13">
        <v>44589</v>
      </c>
      <c r="B86" s="66" t="s">
        <v>698</v>
      </c>
      <c r="C86" s="103" t="s">
        <v>963</v>
      </c>
      <c r="D86" s="103" t="s">
        <v>26</v>
      </c>
      <c r="E86" s="14" t="s">
        <v>28</v>
      </c>
      <c r="F86" s="15"/>
      <c r="G86" s="258">
        <v>5000000</v>
      </c>
      <c r="H86" s="258">
        <f>List34[[#This Row],[Pengajuan Donasi]]</f>
        <v>5000000</v>
      </c>
      <c r="I86" s="213" t="str">
        <f>IF(List34[[#This Row],[Tanggal Trf]]&gt;0,"Done","-")</f>
        <v>Done</v>
      </c>
      <c r="J86" s="445" t="s">
        <v>699</v>
      </c>
      <c r="K86" s="221">
        <v>44607</v>
      </c>
      <c r="L86" s="100" t="s">
        <v>693</v>
      </c>
      <c r="M86" s="100">
        <f>MONTH(List34[[#This Row],[Tanggal Pengajuan]])</f>
        <v>1</v>
      </c>
      <c r="N86" s="183"/>
      <c r="O86" s="100" t="s">
        <v>651</v>
      </c>
      <c r="P86" s="111"/>
      <c r="Q86" s="230" t="s">
        <v>958</v>
      </c>
      <c r="S86" s="275">
        <f>+List34[[#This Row],[Pengajuan Donasi]]-List34[[#This Row],[Jumlah Transfer]]</f>
        <v>0</v>
      </c>
      <c r="T86" s="275">
        <f t="shared" si="1"/>
        <v>5000000</v>
      </c>
    </row>
    <row r="87" spans="1:20" s="4" customFormat="1" ht="30" customHeight="1" x14ac:dyDescent="0.2">
      <c r="A87" s="13">
        <v>44592</v>
      </c>
      <c r="B87" s="66" t="s">
        <v>700</v>
      </c>
      <c r="C87" s="103" t="s">
        <v>964</v>
      </c>
      <c r="D87" s="103" t="s">
        <v>26</v>
      </c>
      <c r="E87" s="14" t="s">
        <v>28</v>
      </c>
      <c r="F87" s="15"/>
      <c r="G87" s="258">
        <v>35000000</v>
      </c>
      <c r="H87" s="258">
        <f>List34[[#This Row],[Pengajuan Donasi]]</f>
        <v>35000000</v>
      </c>
      <c r="I87" s="213" t="str">
        <f>IF(List34[[#This Row],[Tanggal Trf]]&gt;0,"Done","-")</f>
        <v>Done</v>
      </c>
      <c r="J87" s="445" t="s">
        <v>965</v>
      </c>
      <c r="K87" s="221">
        <v>44599</v>
      </c>
      <c r="L87" s="100" t="s">
        <v>674</v>
      </c>
      <c r="M87" s="100">
        <f>MONTH(List34[[#This Row],[Tanggal Pengajuan]])</f>
        <v>1</v>
      </c>
      <c r="N87" s="183"/>
      <c r="O87" s="100" t="s">
        <v>651</v>
      </c>
      <c r="P87" s="111"/>
      <c r="Q87" s="230" t="s">
        <v>958</v>
      </c>
      <c r="S87" s="275">
        <f>+List34[[#This Row],[Pengajuan Donasi]]-List34[[#This Row],[Jumlah Transfer]]</f>
        <v>0</v>
      </c>
      <c r="T87" s="275">
        <f t="shared" si="1"/>
        <v>35000000</v>
      </c>
    </row>
    <row r="88" spans="1:20" s="4" customFormat="1" ht="30" customHeight="1" x14ac:dyDescent="0.2">
      <c r="A88" s="13">
        <v>44691</v>
      </c>
      <c r="B88" s="66" t="s">
        <v>999</v>
      </c>
      <c r="C88" s="103" t="s">
        <v>995</v>
      </c>
      <c r="D88" s="103" t="s">
        <v>26</v>
      </c>
      <c r="E88" s="14" t="s">
        <v>28</v>
      </c>
      <c r="F88" s="15"/>
      <c r="G88" s="258">
        <v>10000000</v>
      </c>
      <c r="H88" s="258">
        <f>List34[[#This Row],[Pengajuan Donasi]]</f>
        <v>5280000</v>
      </c>
      <c r="I88" s="213" t="str">
        <f>IF(List34[[#This Row],[Tanggal Trf]]&gt;0,"Done","-")</f>
        <v>Done</v>
      </c>
      <c r="J88" s="445"/>
      <c r="K88" s="221">
        <v>44693</v>
      </c>
      <c r="L88" s="100" t="s">
        <v>1001</v>
      </c>
      <c r="M88" s="100">
        <f>MONTH(List34[[#This Row],[Tanggal Pengajuan]])</f>
        <v>2</v>
      </c>
      <c r="N88" s="183">
        <v>44698</v>
      </c>
      <c r="O88" s="100" t="s">
        <v>932</v>
      </c>
      <c r="P88" s="111"/>
      <c r="Q88" s="230" t="s">
        <v>958</v>
      </c>
      <c r="S88" s="275">
        <f>+List34[[#This Row],[Pengajuan Donasi]]-List34[[#This Row],[Jumlah Transfer]]</f>
        <v>0</v>
      </c>
      <c r="T88" s="275">
        <f t="shared" si="1"/>
        <v>10000000</v>
      </c>
    </row>
    <row r="89" spans="1:20" s="4" customFormat="1" ht="30" customHeight="1" x14ac:dyDescent="0.2">
      <c r="A89" s="13">
        <v>44659</v>
      </c>
      <c r="B89" s="66"/>
      <c r="C89" s="103" t="s">
        <v>1074</v>
      </c>
      <c r="D89" s="103" t="s">
        <v>26</v>
      </c>
      <c r="E89" s="14" t="s">
        <v>28</v>
      </c>
      <c r="F89" s="15">
        <v>0</v>
      </c>
      <c r="G89" s="258">
        <v>3280000</v>
      </c>
      <c r="H89" s="258">
        <f>List34[[#This Row],[Pengajuan Donasi]]</f>
        <v>2520000</v>
      </c>
      <c r="I89" s="213" t="str">
        <f>IF(List34[[#This Row],[Tanggal Trf]]&gt;0,"Done","-")</f>
        <v>Done</v>
      </c>
      <c r="J89" s="445"/>
      <c r="K89" s="221">
        <v>44663</v>
      </c>
      <c r="L89" s="100" t="s">
        <v>683</v>
      </c>
      <c r="M89" s="100">
        <f>MONTH(List34[[#This Row],[Tanggal Pengajuan]])</f>
        <v>2</v>
      </c>
      <c r="N89" s="183">
        <v>44678</v>
      </c>
      <c r="O89" s="100" t="s">
        <v>795</v>
      </c>
      <c r="P89" s="111"/>
      <c r="Q89" s="230" t="s">
        <v>958</v>
      </c>
      <c r="S89" s="275">
        <f>+List34[[#This Row],[Pengajuan Donasi]]-List34[[#This Row],[Jumlah Transfer]]</f>
        <v>0</v>
      </c>
      <c r="T89" s="275">
        <f t="shared" si="1"/>
        <v>3280000</v>
      </c>
    </row>
    <row r="90" spans="1:20" s="4" customFormat="1" ht="30" customHeight="1" x14ac:dyDescent="0.2">
      <c r="A90" s="13">
        <v>44659</v>
      </c>
      <c r="B90" s="66" t="s">
        <v>794</v>
      </c>
      <c r="C90" s="103" t="s">
        <v>1073</v>
      </c>
      <c r="D90" s="103" t="s">
        <v>26</v>
      </c>
      <c r="E90" s="14" t="s">
        <v>28</v>
      </c>
      <c r="F90" s="15"/>
      <c r="G90" s="258">
        <v>3540000</v>
      </c>
      <c r="H90" s="258">
        <f>List34[[#This Row],[Pengajuan Donasi]]</f>
        <v>6000000</v>
      </c>
      <c r="I90" s="213" t="str">
        <f>IF(List34[[#This Row],[Tanggal Trf]]&gt;0,"Done","-")</f>
        <v>Done</v>
      </c>
      <c r="J90" s="445" t="s">
        <v>25</v>
      </c>
      <c r="K90" s="221">
        <v>44663</v>
      </c>
      <c r="L90" s="100" t="s">
        <v>683</v>
      </c>
      <c r="M90" s="100">
        <f>MONTH(List34[[#This Row],[Tanggal Pengajuan]])</f>
        <v>2</v>
      </c>
      <c r="N90" s="183">
        <v>44678</v>
      </c>
      <c r="O90" s="100" t="s">
        <v>795</v>
      </c>
      <c r="P90" s="111"/>
      <c r="Q90" s="230" t="s">
        <v>958</v>
      </c>
      <c r="S90" s="275">
        <f>+List34[[#This Row],[Pengajuan Donasi]]-List34[[#This Row],[Jumlah Transfer]]</f>
        <v>0</v>
      </c>
      <c r="T90" s="275">
        <f t="shared" si="1"/>
        <v>3540000</v>
      </c>
    </row>
    <row r="91" spans="1:20" s="4" customFormat="1" ht="30" customHeight="1" x14ac:dyDescent="0.2">
      <c r="A91" s="13">
        <v>44588</v>
      </c>
      <c r="B91" s="66" t="s">
        <v>684</v>
      </c>
      <c r="C91" s="103" t="s">
        <v>703</v>
      </c>
      <c r="D91" s="103" t="s">
        <v>26</v>
      </c>
      <c r="E91" s="14" t="s">
        <v>28</v>
      </c>
      <c r="F91" s="15"/>
      <c r="G91" s="258">
        <v>33150000</v>
      </c>
      <c r="H91" s="258">
        <f>List34[[#This Row],[Pengajuan Donasi]]</f>
        <v>5000000</v>
      </c>
      <c r="I91" s="213" t="str">
        <f>IF(List34[[#This Row],[Tanggal Trf]]&gt;0,"Done","-")</f>
        <v>Done</v>
      </c>
      <c r="J91" s="445" t="s">
        <v>685</v>
      </c>
      <c r="K91" s="221">
        <v>44590</v>
      </c>
      <c r="L91" s="100" t="s">
        <v>693</v>
      </c>
      <c r="M91" s="100">
        <f>MONTH(List34[[#This Row],[Tanggal Pengajuan]])</f>
        <v>2</v>
      </c>
      <c r="N91" s="183"/>
      <c r="O91" s="100" t="s">
        <v>687</v>
      </c>
      <c r="P91" s="111"/>
      <c r="Q91" s="230" t="s">
        <v>958</v>
      </c>
      <c r="S91" s="275">
        <f>+List34[[#This Row],[Pengajuan Donasi]]-List34[[#This Row],[Jumlah Transfer]]</f>
        <v>0</v>
      </c>
      <c r="T91" s="275">
        <f>+G91</f>
        <v>33150000</v>
      </c>
    </row>
    <row r="92" spans="1:20" s="4" customFormat="1" ht="30" customHeight="1" x14ac:dyDescent="0.2">
      <c r="A92" s="13">
        <v>44734</v>
      </c>
      <c r="B92" s="66" t="s">
        <v>1108</v>
      </c>
      <c r="C92" s="103" t="s">
        <v>1104</v>
      </c>
      <c r="D92" s="103" t="s">
        <v>26</v>
      </c>
      <c r="E92" s="14" t="s">
        <v>28</v>
      </c>
      <c r="F92" s="471"/>
      <c r="G92" s="258">
        <v>1508700</v>
      </c>
      <c r="H92" s="258">
        <f>List34[[#This Row],[Pengajuan Donasi]]</f>
        <v>1000000</v>
      </c>
      <c r="I92" s="213" t="str">
        <f>IF(List34[[#This Row],[Tanggal Trf]]&gt;0,"Done","-")</f>
        <v>Done</v>
      </c>
      <c r="J92" s="445"/>
      <c r="K92" s="484">
        <v>44736</v>
      </c>
      <c r="L92" s="100" t="s">
        <v>683</v>
      </c>
      <c r="M92" s="100">
        <f>MONTH(List34[[#This Row],[Tanggal Pengajuan]])</f>
        <v>2</v>
      </c>
      <c r="N92" s="183">
        <v>44749</v>
      </c>
      <c r="O92" s="100" t="s">
        <v>1116</v>
      </c>
      <c r="P92" s="202"/>
      <c r="Q92" s="230" t="s">
        <v>958</v>
      </c>
      <c r="S92" s="275">
        <f>+List34[[#This Row],[Pengajuan Donasi]]-List34[[#This Row],[Jumlah Transfer]]</f>
        <v>0</v>
      </c>
      <c r="T92" s="275">
        <f>+G92</f>
        <v>1508700</v>
      </c>
    </row>
    <row r="93" spans="1:20" s="4" customFormat="1" ht="30" customHeight="1" x14ac:dyDescent="0.2">
      <c r="A93" s="13">
        <v>44638</v>
      </c>
      <c r="B93" s="66"/>
      <c r="C93" s="103" t="s">
        <v>1071</v>
      </c>
      <c r="D93" s="103" t="s">
        <v>26</v>
      </c>
      <c r="E93" s="14" t="s">
        <v>28</v>
      </c>
      <c r="F93" s="15">
        <v>0</v>
      </c>
      <c r="G93" s="258">
        <v>5000942</v>
      </c>
      <c r="H93" s="258">
        <f>List34[[#This Row],[Pengajuan Donasi]]</f>
        <v>1000000</v>
      </c>
      <c r="I93" s="213" t="str">
        <f>IF(List34[[#This Row],[Tanggal Trf]]&gt;0,"Done","-")</f>
        <v>Done</v>
      </c>
      <c r="J93" s="445"/>
      <c r="K93" s="221">
        <v>44645</v>
      </c>
      <c r="L93" s="100" t="s">
        <v>771</v>
      </c>
      <c r="M93" s="100">
        <f>MONTH(List34[[#This Row],[Tanggal Pengajuan]])</f>
        <v>2</v>
      </c>
      <c r="N93" s="183"/>
      <c r="O93" s="100" t="s">
        <v>746</v>
      </c>
      <c r="P93" s="198"/>
      <c r="Q93" s="230" t="s">
        <v>958</v>
      </c>
      <c r="S93" s="275">
        <f>+List34[[#This Row],[Pengajuan Donasi]]-List34[[#This Row],[Jumlah Transfer]]</f>
        <v>0</v>
      </c>
      <c r="T93" s="275">
        <f>+G93</f>
        <v>5000942</v>
      </c>
    </row>
    <row r="94" spans="1:20" s="4" customFormat="1" ht="30" customHeight="1" x14ac:dyDescent="0.2">
      <c r="A94" s="13">
        <v>44638</v>
      </c>
      <c r="B94" s="66" t="s">
        <v>770</v>
      </c>
      <c r="C94" s="14" t="s">
        <v>1070</v>
      </c>
      <c r="D94" s="14" t="s">
        <v>26</v>
      </c>
      <c r="E94" s="14" t="s">
        <v>28</v>
      </c>
      <c r="F94" s="15"/>
      <c r="G94" s="258">
        <v>9884882</v>
      </c>
      <c r="H94" s="258">
        <f>List34[[#This Row],[Pengajuan Donasi]]</f>
        <v>1000000</v>
      </c>
      <c r="I94" s="213" t="str">
        <f>IF(List34[[#This Row],[Tanggal Trf]]&gt;0,"Done","-")</f>
        <v>Done</v>
      </c>
      <c r="J94" s="437" t="s">
        <v>1072</v>
      </c>
      <c r="K94" s="221">
        <v>44645</v>
      </c>
      <c r="L94" s="100" t="s">
        <v>771</v>
      </c>
      <c r="M94" s="100">
        <f>MONTH(List34[[#This Row],[Tanggal Pengajuan]])</f>
        <v>2</v>
      </c>
      <c r="N94" s="183"/>
      <c r="O94" s="100" t="s">
        <v>746</v>
      </c>
      <c r="P94" s="110"/>
      <c r="Q94" s="230" t="s">
        <v>958</v>
      </c>
      <c r="S94" s="275">
        <f>+List34[[#This Row],[Pengajuan Donasi]]-List34[[#This Row],[Jumlah Transfer]]</f>
        <v>0</v>
      </c>
      <c r="T94" s="275">
        <f>+G94</f>
        <v>9884882</v>
      </c>
    </row>
    <row r="95" spans="1:20" s="4" customFormat="1" ht="30" customHeight="1" x14ac:dyDescent="0.2">
      <c r="A95" s="13">
        <v>44638</v>
      </c>
      <c r="B95" s="66"/>
      <c r="C95" s="14" t="s">
        <v>1075</v>
      </c>
      <c r="D95" s="14" t="s">
        <v>26</v>
      </c>
      <c r="E95" s="14" t="s">
        <v>28</v>
      </c>
      <c r="F95" s="15">
        <v>0</v>
      </c>
      <c r="G95" s="258">
        <f>312500+6000</f>
        <v>318500</v>
      </c>
      <c r="H95" s="258">
        <f>List34[[#This Row],[Pengajuan Donasi]]</f>
        <v>1000000</v>
      </c>
      <c r="I95" s="213" t="str">
        <f>IF(List34[[#This Row],[Tanggal Trf]]&gt;0,"Done","-")</f>
        <v>Done</v>
      </c>
      <c r="J95" s="437"/>
      <c r="K95" s="221">
        <v>44645</v>
      </c>
      <c r="L95" s="100" t="s">
        <v>771</v>
      </c>
      <c r="M95" s="100">
        <f>MONTH(List34[[#This Row],[Tanggal Pengajuan]])</f>
        <v>2</v>
      </c>
      <c r="N95" s="183"/>
      <c r="O95" s="100" t="s">
        <v>746</v>
      </c>
      <c r="P95" s="285"/>
      <c r="Q95" s="230" t="s">
        <v>958</v>
      </c>
      <c r="S95" s="275">
        <f>+List34[[#This Row],[Pengajuan Donasi]]-List34[[#This Row],[Jumlah Transfer]]</f>
        <v>0</v>
      </c>
      <c r="T95" s="275">
        <f>+G95</f>
        <v>318500</v>
      </c>
    </row>
    <row r="96" spans="1:20" s="4" customFormat="1" ht="30" customHeight="1" x14ac:dyDescent="0.2">
      <c r="A96" s="13">
        <v>44566</v>
      </c>
      <c r="B96" s="66"/>
      <c r="C96" s="14" t="s">
        <v>951</v>
      </c>
      <c r="D96" s="14" t="s">
        <v>26</v>
      </c>
      <c r="E96" s="14" t="s">
        <v>18</v>
      </c>
      <c r="F96" s="469">
        <v>1</v>
      </c>
      <c r="G96" s="260">
        <v>1000000</v>
      </c>
      <c r="H96" s="258">
        <f>List34[[#This Row],[Pengajuan Donasi]]</f>
        <v>1000000</v>
      </c>
      <c r="I96" s="213" t="str">
        <f>IF(List34[[#This Row],[Tanggal Trf]]&gt;0,"Done","-")</f>
        <v>Done</v>
      </c>
      <c r="J96" s="437"/>
      <c r="K96" s="221">
        <v>44580</v>
      </c>
      <c r="L96" s="619" t="s">
        <v>466</v>
      </c>
      <c r="M96" s="100">
        <f>MONTH(List34[[#This Row],[Tanggal Pengajuan]])</f>
        <v>2</v>
      </c>
      <c r="N96" s="183"/>
      <c r="O96" s="100" t="s">
        <v>651</v>
      </c>
      <c r="P96" s="110"/>
      <c r="Q96" s="230" t="s">
        <v>958</v>
      </c>
      <c r="S96" s="275">
        <f>+List34[[#This Row],[Pengajuan Donasi]]-List34[[#This Row],[Jumlah Transfer]]</f>
        <v>0</v>
      </c>
      <c r="T96" s="275"/>
    </row>
    <row r="97" spans="1:20" s="4" customFormat="1" ht="30" customHeight="1" x14ac:dyDescent="0.2">
      <c r="A97" s="13">
        <v>44596</v>
      </c>
      <c r="B97" s="66"/>
      <c r="C97" s="14" t="s">
        <v>951</v>
      </c>
      <c r="D97" s="14" t="s">
        <v>26</v>
      </c>
      <c r="E97" s="14" t="s">
        <v>18</v>
      </c>
      <c r="F97" s="15">
        <v>1</v>
      </c>
      <c r="G97" s="264">
        <v>1000000</v>
      </c>
      <c r="H97" s="258">
        <f>List34[[#This Row],[Pengajuan Donasi]]</f>
        <v>1000000</v>
      </c>
      <c r="I97" s="213" t="str">
        <f>IF(List34[[#This Row],[Tanggal Trf]]&gt;0,"Done","-")</f>
        <v>Done</v>
      </c>
      <c r="J97" s="437" t="s">
        <v>701</v>
      </c>
      <c r="K97" s="221">
        <v>44607</v>
      </c>
      <c r="L97" s="622" t="s">
        <v>466</v>
      </c>
      <c r="M97" s="100">
        <f>MONTH(List34[[#This Row],[Tanggal Pengajuan]])</f>
        <v>2</v>
      </c>
      <c r="N97" s="183"/>
      <c r="O97" s="100" t="s">
        <v>707</v>
      </c>
      <c r="P97" s="110"/>
      <c r="Q97" s="230" t="s">
        <v>958</v>
      </c>
      <c r="S97" s="275">
        <f>+List34[[#This Row],[Pengajuan Donasi]]-List34[[#This Row],[Jumlah Transfer]]</f>
        <v>0</v>
      </c>
      <c r="T97" s="275"/>
    </row>
    <row r="98" spans="1:20" s="4" customFormat="1" ht="30" customHeight="1" x14ac:dyDescent="0.2">
      <c r="A98" s="13">
        <v>44624</v>
      </c>
      <c r="B98" s="66"/>
      <c r="C98" s="14" t="s">
        <v>951</v>
      </c>
      <c r="D98" s="14" t="s">
        <v>26</v>
      </c>
      <c r="E98" s="14" t="s">
        <v>18</v>
      </c>
      <c r="F98" s="15">
        <v>1</v>
      </c>
      <c r="G98" s="264">
        <v>1000000</v>
      </c>
      <c r="H98" s="258">
        <f>List34[[#This Row],[Pengajuan Donasi]]</f>
        <v>1000000</v>
      </c>
      <c r="I98" s="213" t="str">
        <f>IF(List34[[#This Row],[Tanggal Trf]]&gt;0,"Done","-")</f>
        <v>Done</v>
      </c>
      <c r="J98" s="437"/>
      <c r="K98" s="221">
        <v>44630</v>
      </c>
      <c r="L98" s="622" t="s">
        <v>466</v>
      </c>
      <c r="M98" s="100">
        <f>MONTH(List34[[#This Row],[Tanggal Pengajuan]])</f>
        <v>2</v>
      </c>
      <c r="N98" s="183"/>
      <c r="O98" s="100" t="s">
        <v>746</v>
      </c>
      <c r="P98" s="110"/>
      <c r="Q98" s="230" t="s">
        <v>958</v>
      </c>
      <c r="S98" s="275">
        <f>+List34[[#This Row],[Pengajuan Donasi]]-List34[[#This Row],[Jumlah Transfer]]</f>
        <v>0</v>
      </c>
      <c r="T98" s="275"/>
    </row>
    <row r="99" spans="1:20" s="4" customFormat="1" ht="30" customHeight="1" x14ac:dyDescent="0.2">
      <c r="A99" s="13">
        <v>44658</v>
      </c>
      <c r="B99" s="66"/>
      <c r="C99" s="14" t="s">
        <v>951</v>
      </c>
      <c r="D99" s="14" t="s">
        <v>26</v>
      </c>
      <c r="E99" s="14" t="s">
        <v>18</v>
      </c>
      <c r="F99" s="15">
        <v>1</v>
      </c>
      <c r="G99" s="297">
        <v>1000000</v>
      </c>
      <c r="H99" s="258">
        <f>List34[[#This Row],[Pengajuan Donasi]]</f>
        <v>1000000</v>
      </c>
      <c r="I99" s="213" t="str">
        <f>IF(List34[[#This Row],[Tanggal Trf]]&gt;0,"Done","-")</f>
        <v>Done</v>
      </c>
      <c r="J99" s="437"/>
      <c r="K99" s="221">
        <v>44666</v>
      </c>
      <c r="L99" s="619" t="s">
        <v>466</v>
      </c>
      <c r="M99" s="100">
        <f>MONTH(List34[[#This Row],[Tanggal Pengajuan]])</f>
        <v>2</v>
      </c>
      <c r="N99" s="183">
        <v>44673</v>
      </c>
      <c r="O99" s="100" t="s">
        <v>795</v>
      </c>
      <c r="P99" s="110"/>
      <c r="Q99" s="230" t="s">
        <v>958</v>
      </c>
      <c r="S99" s="275">
        <f>+List34[[#This Row],[Pengajuan Donasi]]-List34[[#This Row],[Jumlah Transfer]]</f>
        <v>0</v>
      </c>
      <c r="T99" s="275"/>
    </row>
    <row r="100" spans="1:20" s="4" customFormat="1" ht="30" customHeight="1" x14ac:dyDescent="0.2">
      <c r="A100" s="13">
        <v>44687</v>
      </c>
      <c r="B100" s="66"/>
      <c r="C100" s="14" t="s">
        <v>951</v>
      </c>
      <c r="D100" s="14" t="s">
        <v>26</v>
      </c>
      <c r="E100" s="14" t="s">
        <v>18</v>
      </c>
      <c r="F100" s="15">
        <v>1</v>
      </c>
      <c r="G100" s="269">
        <v>1000000</v>
      </c>
      <c r="H100" s="258">
        <f>List34[[#This Row],[Pengajuan Donasi]]</f>
        <v>750000</v>
      </c>
      <c r="I100" s="213" t="str">
        <f>IF(List34[[#This Row],[Tanggal Trf]]&gt;0,"Done","-")</f>
        <v>Done</v>
      </c>
      <c r="J100" s="437"/>
      <c r="K100" s="221">
        <v>44693</v>
      </c>
      <c r="L100" s="619" t="s">
        <v>466</v>
      </c>
      <c r="M100" s="100">
        <f>MONTH(List34[[#This Row],[Tanggal Pengajuan]])</f>
        <v>2</v>
      </c>
      <c r="N100" s="183">
        <v>44694</v>
      </c>
      <c r="O100" s="100" t="s">
        <v>932</v>
      </c>
      <c r="P100" s="110"/>
      <c r="Q100" s="230" t="s">
        <v>958</v>
      </c>
      <c r="S100" s="275">
        <f>+List34[[#This Row],[Pengajuan Donasi]]-List34[[#This Row],[Jumlah Transfer]]</f>
        <v>0</v>
      </c>
      <c r="T100" s="275"/>
    </row>
    <row r="101" spans="1:20" s="4" customFormat="1" ht="30" customHeight="1" x14ac:dyDescent="0.2">
      <c r="A101" s="13">
        <v>44715</v>
      </c>
      <c r="B101" s="66"/>
      <c r="C101" s="14" t="s">
        <v>951</v>
      </c>
      <c r="D101" s="14" t="s">
        <v>26</v>
      </c>
      <c r="E101" s="14" t="s">
        <v>18</v>
      </c>
      <c r="F101" s="15">
        <v>1</v>
      </c>
      <c r="G101" s="378">
        <v>1000000</v>
      </c>
      <c r="H101" s="258">
        <f>List34[[#This Row],[Pengajuan Donasi]]</f>
        <v>750000</v>
      </c>
      <c r="I101" s="213" t="str">
        <f>IF(List34[[#This Row],[Tanggal Trf]]&gt;0,"Done","-")</f>
        <v>Done</v>
      </c>
      <c r="J101" s="437"/>
      <c r="K101" s="221">
        <v>44722</v>
      </c>
      <c r="L101" s="619" t="s">
        <v>466</v>
      </c>
      <c r="M101" s="100">
        <f>MONTH(List34[[#This Row],[Tanggal Pengajuan]])</f>
        <v>2</v>
      </c>
      <c r="N101" s="183">
        <v>44747</v>
      </c>
      <c r="O101" s="100" t="s">
        <v>1116</v>
      </c>
      <c r="P101" s="110"/>
      <c r="Q101" s="230" t="s">
        <v>958</v>
      </c>
      <c r="S101" s="275">
        <f>+List34[[#This Row],[Pengajuan Donasi]]-List34[[#This Row],[Jumlah Transfer]]</f>
        <v>0</v>
      </c>
      <c r="T101" s="275"/>
    </row>
    <row r="102" spans="1:20" s="4" customFormat="1" ht="30" customHeight="1" x14ac:dyDescent="0.2">
      <c r="A102" s="13">
        <v>44746</v>
      </c>
      <c r="B102" s="66"/>
      <c r="C102" s="14" t="s">
        <v>951</v>
      </c>
      <c r="D102" s="14" t="s">
        <v>26</v>
      </c>
      <c r="E102" s="14" t="s">
        <v>18</v>
      </c>
      <c r="F102" s="471">
        <v>1</v>
      </c>
      <c r="G102" s="258">
        <v>1000000</v>
      </c>
      <c r="H102" s="258">
        <f>List34[[#This Row],[Pengajuan Donasi]]</f>
        <v>1000000</v>
      </c>
      <c r="I102" s="213" t="str">
        <f>IF(List34[[#This Row],[Tanggal Trf]]&gt;0,"Done","-")</f>
        <v>Done</v>
      </c>
      <c r="J102" s="437" t="s">
        <v>1160</v>
      </c>
      <c r="K102" s="484">
        <v>44764</v>
      </c>
      <c r="L102" s="14" t="s">
        <v>466</v>
      </c>
      <c r="M102" s="100">
        <f>MONTH(List34[[#This Row],[Tanggal Pengajuan]])</f>
        <v>2</v>
      </c>
      <c r="N102" s="183"/>
      <c r="O102" s="100" t="s">
        <v>1180</v>
      </c>
      <c r="P102" s="110"/>
      <c r="Q102" s="230" t="s">
        <v>958</v>
      </c>
      <c r="S102" s="275">
        <f>+List34[[#This Row],[Pengajuan Donasi]]-List34[[#This Row],[Jumlah Transfer]]</f>
        <v>0</v>
      </c>
      <c r="T102" s="275"/>
    </row>
    <row r="103" spans="1:20" s="4" customFormat="1" ht="30" customHeight="1" x14ac:dyDescent="0.2">
      <c r="A103" s="13">
        <v>44775</v>
      </c>
      <c r="B103" s="66"/>
      <c r="C103" s="14" t="s">
        <v>951</v>
      </c>
      <c r="D103" s="14" t="s">
        <v>26</v>
      </c>
      <c r="E103" s="14" t="s">
        <v>18</v>
      </c>
      <c r="F103" s="471">
        <v>1</v>
      </c>
      <c r="G103" s="258">
        <v>1000000</v>
      </c>
      <c r="H103" s="258">
        <f>List34[[#This Row],[Pengajuan Donasi]]</f>
        <v>1000000</v>
      </c>
      <c r="I103" s="213" t="str">
        <f>IF(List34[[#This Row],[Tanggal Trf]]&gt;0,"Done","-")</f>
        <v>Done</v>
      </c>
      <c r="J103" s="100" t="s">
        <v>1209</v>
      </c>
      <c r="K103" s="484">
        <v>44792</v>
      </c>
      <c r="L103" s="14" t="s">
        <v>466</v>
      </c>
      <c r="M103" s="100">
        <f>MONTH(List34[[#This Row],[Tanggal Pengajuan]])</f>
        <v>2</v>
      </c>
      <c r="N103" s="183"/>
      <c r="O103" s="100" t="s">
        <v>1268</v>
      </c>
      <c r="P103" s="110"/>
      <c r="Q103" s="230" t="s">
        <v>958</v>
      </c>
      <c r="S103" s="275">
        <f>+List34[[#This Row],[Pengajuan Donasi]]-List34[[#This Row],[Jumlah Transfer]]</f>
        <v>0</v>
      </c>
      <c r="T103" s="275"/>
    </row>
    <row r="104" spans="1:20" s="4" customFormat="1" ht="30" customHeight="1" x14ac:dyDescent="0.2">
      <c r="A104" s="13">
        <v>44566</v>
      </c>
      <c r="B104" s="66" t="s">
        <v>652</v>
      </c>
      <c r="C104" s="14" t="s">
        <v>876</v>
      </c>
      <c r="D104" s="14" t="s">
        <v>26</v>
      </c>
      <c r="E104" s="14" t="s">
        <v>18</v>
      </c>
      <c r="F104" s="469">
        <v>1</v>
      </c>
      <c r="G104" s="259">
        <v>5000000</v>
      </c>
      <c r="H104" s="258">
        <f>List34[[#This Row],[Pengajuan Donasi]]</f>
        <v>10000000</v>
      </c>
      <c r="I104" s="215" t="str">
        <f>IF(List34[[#This Row],[Tanggal Trf]]&gt;0,"Done","-")</f>
        <v>Done</v>
      </c>
      <c r="J104" s="608"/>
      <c r="K104" s="221">
        <v>44580</v>
      </c>
      <c r="L104" s="203" t="s">
        <v>448</v>
      </c>
      <c r="M104" s="20">
        <f>MONTH(List34[[#This Row],[Tanggal Pengajuan]])</f>
        <v>2</v>
      </c>
      <c r="N104" s="183"/>
      <c r="O104" s="100" t="s">
        <v>651</v>
      </c>
      <c r="P104" s="110"/>
      <c r="Q104" s="230" t="s">
        <v>958</v>
      </c>
      <c r="S104" s="275">
        <f>+List34[[#This Row],[Pengajuan Donasi]]-List34[[#This Row],[Jumlah Transfer]]</f>
        <v>0</v>
      </c>
      <c r="T104" s="275"/>
    </row>
    <row r="105" spans="1:20" s="4" customFormat="1" ht="30" customHeight="1" x14ac:dyDescent="0.2">
      <c r="A105" s="13">
        <v>44596</v>
      </c>
      <c r="B105" s="66" t="s">
        <v>712</v>
      </c>
      <c r="C105" s="14" t="s">
        <v>876</v>
      </c>
      <c r="D105" s="14" t="s">
        <v>26</v>
      </c>
      <c r="E105" s="14" t="s">
        <v>18</v>
      </c>
      <c r="F105" s="15">
        <v>1</v>
      </c>
      <c r="G105" s="263">
        <v>5000000</v>
      </c>
      <c r="H105" s="258">
        <f>List34[[#This Row],[Pengajuan Donasi]]</f>
        <v>3325000</v>
      </c>
      <c r="I105" s="213" t="str">
        <f>IF(List34[[#This Row],[Tanggal Trf]]&gt;0,"Done","-")</f>
        <v>Done</v>
      </c>
      <c r="J105" s="437" t="s">
        <v>701</v>
      </c>
      <c r="K105" s="221">
        <v>44607</v>
      </c>
      <c r="L105" s="203" t="s">
        <v>448</v>
      </c>
      <c r="M105" s="100">
        <f>MONTH(List34[[#This Row],[Tanggal Pengajuan]])</f>
        <v>2</v>
      </c>
      <c r="N105" s="183"/>
      <c r="O105" s="100" t="s">
        <v>707</v>
      </c>
      <c r="P105" s="110"/>
      <c r="Q105" s="230" t="s">
        <v>958</v>
      </c>
      <c r="S105" s="275">
        <f>+List34[[#This Row],[Pengajuan Donasi]]-List34[[#This Row],[Jumlah Transfer]]</f>
        <v>0</v>
      </c>
      <c r="T105" s="275"/>
    </row>
    <row r="106" spans="1:20" s="4" customFormat="1" ht="30" customHeight="1" x14ac:dyDescent="0.2">
      <c r="A106" s="13">
        <v>44624</v>
      </c>
      <c r="B106" s="66" t="s">
        <v>748</v>
      </c>
      <c r="C106" s="14" t="s">
        <v>876</v>
      </c>
      <c r="D106" s="14" t="s">
        <v>26</v>
      </c>
      <c r="E106" s="14" t="s">
        <v>18</v>
      </c>
      <c r="F106" s="15">
        <v>1</v>
      </c>
      <c r="G106" s="263">
        <v>5000000</v>
      </c>
      <c r="H106" s="263">
        <v>5000000</v>
      </c>
      <c r="I106" s="213" t="str">
        <f>IF(List34[[#This Row],[Tanggal Trf]]&gt;0,"Done","-")</f>
        <v>Done</v>
      </c>
      <c r="J106" s="437"/>
      <c r="K106" s="221">
        <v>44630</v>
      </c>
      <c r="L106" s="203" t="s">
        <v>448</v>
      </c>
      <c r="M106" s="100">
        <f>MONTH(List34[[#This Row],[Tanggal Pengajuan]])</f>
        <v>2</v>
      </c>
      <c r="N106" s="183"/>
      <c r="O106" s="100" t="s">
        <v>746</v>
      </c>
      <c r="P106" s="110"/>
      <c r="Q106" s="230" t="s">
        <v>958</v>
      </c>
      <c r="S106" s="275">
        <f>+List34[[#This Row],[Pengajuan Donasi]]-List34[[#This Row],[Jumlah Transfer]]</f>
        <v>0</v>
      </c>
      <c r="T106" s="275"/>
    </row>
    <row r="107" spans="1:20" s="4" customFormat="1" ht="30" customHeight="1" x14ac:dyDescent="0.2">
      <c r="A107" s="13">
        <v>44658</v>
      </c>
      <c r="B107" s="66" t="s">
        <v>804</v>
      </c>
      <c r="C107" s="14" t="s">
        <v>876</v>
      </c>
      <c r="D107" s="14" t="s">
        <v>26</v>
      </c>
      <c r="E107" s="14" t="s">
        <v>18</v>
      </c>
      <c r="F107" s="15">
        <v>1</v>
      </c>
      <c r="G107" s="259">
        <v>5000000</v>
      </c>
      <c r="H107" s="258">
        <f>List34[[#This Row],[Pengajuan Donasi]]</f>
        <v>5500000</v>
      </c>
      <c r="I107" s="213" t="str">
        <f>IF(List34[[#This Row],[Tanggal Trf]]&gt;0,"Done","-")</f>
        <v>Done</v>
      </c>
      <c r="J107" s="437"/>
      <c r="K107" s="221">
        <v>44666</v>
      </c>
      <c r="L107" s="203" t="s">
        <v>448</v>
      </c>
      <c r="M107" s="100">
        <f>MONTH(List34[[#This Row],[Tanggal Pengajuan]])</f>
        <v>2</v>
      </c>
      <c r="N107" s="183">
        <v>44673</v>
      </c>
      <c r="O107" s="100" t="s">
        <v>795</v>
      </c>
      <c r="P107" s="110"/>
      <c r="Q107" s="230" t="s">
        <v>958</v>
      </c>
      <c r="S107" s="275">
        <f>+List34[[#This Row],[Pengajuan Donasi]]-List34[[#This Row],[Jumlah Transfer]]</f>
        <v>0</v>
      </c>
      <c r="T107" s="275"/>
    </row>
    <row r="108" spans="1:20" s="4" customFormat="1" ht="30" customHeight="1" x14ac:dyDescent="0.2">
      <c r="A108" s="13">
        <v>44687</v>
      </c>
      <c r="B108" s="598" t="s">
        <v>931</v>
      </c>
      <c r="C108" s="14" t="s">
        <v>950</v>
      </c>
      <c r="D108" s="14" t="s">
        <v>26</v>
      </c>
      <c r="E108" s="14" t="s">
        <v>18</v>
      </c>
      <c r="F108" s="15">
        <v>1</v>
      </c>
      <c r="G108" s="263">
        <v>5000000</v>
      </c>
      <c r="H108" s="258">
        <f>List34[[#This Row],[Pengajuan Donasi]]</f>
        <v>5500000</v>
      </c>
      <c r="I108" s="213" t="str">
        <f>IF(List34[[#This Row],[Tanggal Trf]]&gt;0,"Done","-")</f>
        <v>Done</v>
      </c>
      <c r="J108" s="437"/>
      <c r="K108" s="221">
        <v>44693</v>
      </c>
      <c r="L108" s="203" t="s">
        <v>448</v>
      </c>
      <c r="M108" s="100">
        <f>MONTH(List34[[#This Row],[Tanggal Pengajuan]])</f>
        <v>2</v>
      </c>
      <c r="N108" s="183">
        <v>44694</v>
      </c>
      <c r="O108" s="100" t="s">
        <v>932</v>
      </c>
      <c r="P108" s="110"/>
      <c r="Q108" s="230" t="s">
        <v>958</v>
      </c>
      <c r="S108" s="275">
        <f>+List34[[#This Row],[Pengajuan Donasi]]-List34[[#This Row],[Jumlah Transfer]]</f>
        <v>0</v>
      </c>
      <c r="T108" s="275"/>
    </row>
    <row r="109" spans="1:20" s="4" customFormat="1" ht="30" customHeight="1" x14ac:dyDescent="0.2">
      <c r="A109" s="13">
        <v>44715</v>
      </c>
      <c r="B109" s="66" t="s">
        <v>1078</v>
      </c>
      <c r="C109" s="14" t="s">
        <v>950</v>
      </c>
      <c r="D109" s="14" t="s">
        <v>26</v>
      </c>
      <c r="E109" s="14" t="s">
        <v>18</v>
      </c>
      <c r="F109" s="15">
        <v>1</v>
      </c>
      <c r="G109" s="377">
        <v>5000000</v>
      </c>
      <c r="H109" s="258">
        <f>List34[[#This Row],[Pengajuan Donasi]]</f>
        <v>7950000</v>
      </c>
      <c r="I109" s="213" t="str">
        <f>IF(List34[[#This Row],[Tanggal Trf]]&gt;0,"Done","-")</f>
        <v>Done</v>
      </c>
      <c r="J109" s="437"/>
      <c r="K109" s="221">
        <v>44722</v>
      </c>
      <c r="L109" s="203" t="s">
        <v>448</v>
      </c>
      <c r="M109" s="100">
        <f>MONTH(List34[[#This Row],[Tanggal Pengajuan]])</f>
        <v>2</v>
      </c>
      <c r="N109" s="183">
        <v>44747</v>
      </c>
      <c r="O109" s="100" t="s">
        <v>1116</v>
      </c>
      <c r="P109" s="110"/>
      <c r="Q109" s="230" t="s">
        <v>958</v>
      </c>
      <c r="S109" s="275">
        <f>+List34[[#This Row],[Pengajuan Donasi]]-List34[[#This Row],[Jumlah Transfer]]</f>
        <v>0</v>
      </c>
      <c r="T109" s="275"/>
    </row>
    <row r="110" spans="1:20" s="4" customFormat="1" ht="30" customHeight="1" x14ac:dyDescent="0.2">
      <c r="A110" s="13">
        <v>44746</v>
      </c>
      <c r="B110" s="66" t="s">
        <v>1137</v>
      </c>
      <c r="C110" s="14" t="s">
        <v>950</v>
      </c>
      <c r="D110" s="14" t="s">
        <v>26</v>
      </c>
      <c r="E110" s="14" t="s">
        <v>18</v>
      </c>
      <c r="F110" s="471">
        <v>1</v>
      </c>
      <c r="G110" s="258">
        <v>5000000</v>
      </c>
      <c r="H110" s="258">
        <f>List34[[#This Row],[Pengajuan Donasi]]</f>
        <v>10000000</v>
      </c>
      <c r="I110" s="213" t="str">
        <f>IF(List34[[#This Row],[Tanggal Trf]]&gt;0,"Done","-")</f>
        <v>Done</v>
      </c>
      <c r="J110" s="437" t="s">
        <v>1160</v>
      </c>
      <c r="K110" s="484">
        <v>44764</v>
      </c>
      <c r="L110" s="14" t="s">
        <v>448</v>
      </c>
      <c r="M110" s="100">
        <f>MONTH(List34[[#This Row],[Tanggal Pengajuan]])</f>
        <v>2</v>
      </c>
      <c r="N110" s="183"/>
      <c r="O110" s="100" t="s">
        <v>1180</v>
      </c>
      <c r="P110" s="110"/>
      <c r="Q110" s="230" t="s">
        <v>958</v>
      </c>
      <c r="S110" s="275">
        <f>+List34[[#This Row],[Pengajuan Donasi]]-List34[[#This Row],[Jumlah Transfer]]</f>
        <v>0</v>
      </c>
      <c r="T110" s="275"/>
    </row>
    <row r="111" spans="1:20" s="4" customFormat="1" ht="30" customHeight="1" x14ac:dyDescent="0.2">
      <c r="A111" s="13">
        <v>44775</v>
      </c>
      <c r="B111" s="66" t="s">
        <v>1194</v>
      </c>
      <c r="C111" s="14" t="s">
        <v>950</v>
      </c>
      <c r="D111" s="14" t="s">
        <v>26</v>
      </c>
      <c r="E111" s="14" t="s">
        <v>18</v>
      </c>
      <c r="F111" s="471">
        <v>1</v>
      </c>
      <c r="G111" s="258">
        <v>5000000</v>
      </c>
      <c r="H111" s="258">
        <f>List34[[#This Row],[Pengajuan Donasi]]</f>
        <v>5000000</v>
      </c>
      <c r="I111" s="213" t="str">
        <f>IF(List34[[#This Row],[Tanggal Trf]]&gt;0,"Done","-")</f>
        <v>Done</v>
      </c>
      <c r="J111" s="100" t="s">
        <v>1209</v>
      </c>
      <c r="K111" s="484">
        <v>44792</v>
      </c>
      <c r="L111" s="14" t="s">
        <v>448</v>
      </c>
      <c r="M111" s="100">
        <f>MONTH(List34[[#This Row],[Tanggal Pengajuan]])</f>
        <v>2</v>
      </c>
      <c r="N111" s="183"/>
      <c r="O111" s="100" t="s">
        <v>1268</v>
      </c>
      <c r="P111" s="110"/>
      <c r="Q111" s="230" t="s">
        <v>958</v>
      </c>
      <c r="S111" s="275">
        <f>+List34[[#This Row],[Pengajuan Donasi]]-List34[[#This Row],[Jumlah Transfer]]</f>
        <v>0</v>
      </c>
      <c r="T111" s="275"/>
    </row>
    <row r="112" spans="1:20" s="4" customFormat="1" ht="30" customHeight="1" x14ac:dyDescent="0.2">
      <c r="A112" s="13">
        <v>44775</v>
      </c>
      <c r="B112" s="66"/>
      <c r="C112" s="14" t="s">
        <v>1216</v>
      </c>
      <c r="D112" s="14" t="s">
        <v>26</v>
      </c>
      <c r="E112" s="14" t="s">
        <v>18</v>
      </c>
      <c r="F112" s="471">
        <v>1</v>
      </c>
      <c r="G112" s="258">
        <v>750000</v>
      </c>
      <c r="H112" s="258">
        <f>List34[[#This Row],[Pengajuan Donasi]]</f>
        <v>10000000</v>
      </c>
      <c r="I112" s="213" t="str">
        <f>IF(List34[[#This Row],[Tanggal Trf]]&gt;0,"Done","-")</f>
        <v>Done</v>
      </c>
      <c r="J112" s="100" t="s">
        <v>1209</v>
      </c>
      <c r="K112" s="484">
        <v>44792</v>
      </c>
      <c r="L112" s="14" t="s">
        <v>1219</v>
      </c>
      <c r="M112" s="100">
        <f>MONTH(List34[[#This Row],[Tanggal Pengajuan]])</f>
        <v>2</v>
      </c>
      <c r="N112" s="183"/>
      <c r="O112" s="100" t="s">
        <v>1268</v>
      </c>
      <c r="P112" s="110"/>
      <c r="Q112" s="230" t="s">
        <v>958</v>
      </c>
      <c r="S112" s="275">
        <f>+List34[[#This Row],[Pengajuan Donasi]]-List34[[#This Row],[Jumlah Transfer]]</f>
        <v>0</v>
      </c>
      <c r="T112" s="275"/>
    </row>
    <row r="113" spans="1:20" s="4" customFormat="1" ht="30" customHeight="1" x14ac:dyDescent="0.2">
      <c r="A113" s="13">
        <v>44566</v>
      </c>
      <c r="B113" s="66"/>
      <c r="C113" s="14" t="s">
        <v>877</v>
      </c>
      <c r="D113" s="14" t="s">
        <v>26</v>
      </c>
      <c r="E113" s="14" t="s">
        <v>18</v>
      </c>
      <c r="F113" s="469">
        <v>1</v>
      </c>
      <c r="G113" s="259">
        <v>1000000</v>
      </c>
      <c r="H113" s="258">
        <f>List34[[#This Row],[Pengajuan Donasi]]</f>
        <v>5000000</v>
      </c>
      <c r="I113" s="213" t="str">
        <f>IF(List34[[#This Row],[Tanggal Trf]]&gt;0,"Done","-")</f>
        <v>Done</v>
      </c>
      <c r="J113" s="437"/>
      <c r="K113" s="221">
        <v>44580</v>
      </c>
      <c r="L113" s="184" t="s">
        <v>458</v>
      </c>
      <c r="M113" s="100">
        <f>MONTH(List34[[#This Row],[Tanggal Pengajuan]])</f>
        <v>2</v>
      </c>
      <c r="N113" s="183"/>
      <c r="O113" s="100" t="s">
        <v>651</v>
      </c>
      <c r="P113" s="110"/>
      <c r="Q113" s="230" t="s">
        <v>958</v>
      </c>
      <c r="S113" s="275">
        <f>+List34[[#This Row],[Pengajuan Donasi]]-List34[[#This Row],[Jumlah Transfer]]</f>
        <v>0</v>
      </c>
      <c r="T113" s="275"/>
    </row>
    <row r="114" spans="1:20" s="4" customFormat="1" ht="30" customHeight="1" x14ac:dyDescent="0.2">
      <c r="A114" s="13">
        <v>44596</v>
      </c>
      <c r="B114" s="66"/>
      <c r="C114" s="14" t="s">
        <v>877</v>
      </c>
      <c r="D114" s="14" t="s">
        <v>26</v>
      </c>
      <c r="E114" s="14" t="s">
        <v>18</v>
      </c>
      <c r="F114" s="15">
        <v>1</v>
      </c>
      <c r="G114" s="265">
        <v>1000000</v>
      </c>
      <c r="H114" s="258">
        <f>List34[[#This Row],[Pengajuan Donasi]]</f>
        <v>10000000</v>
      </c>
      <c r="I114" s="213" t="str">
        <f>IF(List34[[#This Row],[Tanggal Trf]]&gt;0,"Done","-")</f>
        <v>Done</v>
      </c>
      <c r="J114" s="437" t="s">
        <v>701</v>
      </c>
      <c r="K114" s="221">
        <v>44607</v>
      </c>
      <c r="L114" s="184" t="s">
        <v>458</v>
      </c>
      <c r="M114" s="100">
        <f>MONTH(List34[[#This Row],[Tanggal Pengajuan]])</f>
        <v>2</v>
      </c>
      <c r="N114" s="183"/>
      <c r="O114" s="100" t="s">
        <v>707</v>
      </c>
      <c r="P114" s="110"/>
      <c r="Q114" s="230" t="s">
        <v>958</v>
      </c>
      <c r="S114" s="275">
        <f>+List34[[#This Row],[Pengajuan Donasi]]-List34[[#This Row],[Jumlah Transfer]]</f>
        <v>0</v>
      </c>
      <c r="T114" s="275"/>
    </row>
    <row r="115" spans="1:20" s="4" customFormat="1" ht="30" customHeight="1" x14ac:dyDescent="0.2">
      <c r="A115" s="13">
        <v>44624</v>
      </c>
      <c r="B115" s="66"/>
      <c r="C115" s="14" t="s">
        <v>877</v>
      </c>
      <c r="D115" s="14" t="s">
        <v>26</v>
      </c>
      <c r="E115" s="14" t="s">
        <v>18</v>
      </c>
      <c r="F115" s="15">
        <v>1</v>
      </c>
      <c r="G115" s="265">
        <v>1000000</v>
      </c>
      <c r="H115" s="258">
        <f>List34[[#This Row],[Pengajuan Donasi]]</f>
        <v>10000000</v>
      </c>
      <c r="I115" s="213" t="str">
        <f>IF(List34[[#This Row],[Tanggal Trf]]&gt;0,"Done","-")</f>
        <v>Done</v>
      </c>
      <c r="J115" s="437"/>
      <c r="K115" s="221">
        <v>44630</v>
      </c>
      <c r="L115" s="620" t="s">
        <v>458</v>
      </c>
      <c r="M115" s="100">
        <f>MONTH(List34[[#This Row],[Tanggal Pengajuan]])</f>
        <v>2</v>
      </c>
      <c r="N115" s="183"/>
      <c r="O115" s="100" t="s">
        <v>746</v>
      </c>
      <c r="P115" s="110"/>
      <c r="Q115" s="230" t="s">
        <v>958</v>
      </c>
      <c r="S115" s="275">
        <f>+List34[[#This Row],[Pengajuan Donasi]]-List34[[#This Row],[Jumlah Transfer]]</f>
        <v>0</v>
      </c>
      <c r="T115" s="275"/>
    </row>
    <row r="116" spans="1:20" s="4" customFormat="1" ht="30" customHeight="1" x14ac:dyDescent="0.2">
      <c r="A116" s="13">
        <v>44658</v>
      </c>
      <c r="B116" s="66"/>
      <c r="C116" s="14" t="s">
        <v>877</v>
      </c>
      <c r="D116" s="14" t="s">
        <v>26</v>
      </c>
      <c r="E116" s="14" t="s">
        <v>18</v>
      </c>
      <c r="F116" s="15">
        <v>1</v>
      </c>
      <c r="G116" s="298">
        <v>1000000</v>
      </c>
      <c r="H116" s="258">
        <f>List34[[#This Row],[Pengajuan Donasi]]</f>
        <v>1200000</v>
      </c>
      <c r="I116" s="213" t="str">
        <f>IF(List34[[#This Row],[Tanggal Trf]]&gt;0,"Done","-")</f>
        <v>Done</v>
      </c>
      <c r="J116" s="437"/>
      <c r="K116" s="221">
        <v>44666</v>
      </c>
      <c r="L116" s="620" t="s">
        <v>458</v>
      </c>
      <c r="M116" s="100">
        <f>MONTH(List34[[#This Row],[Tanggal Pengajuan]])</f>
        <v>2</v>
      </c>
      <c r="N116" s="183">
        <v>44673</v>
      </c>
      <c r="O116" s="100" t="s">
        <v>795</v>
      </c>
      <c r="P116" s="110"/>
      <c r="Q116" s="230" t="s">
        <v>958</v>
      </c>
      <c r="S116" s="275">
        <f>+List34[[#This Row],[Pengajuan Donasi]]-List34[[#This Row],[Jumlah Transfer]]</f>
        <v>0</v>
      </c>
      <c r="T116" s="275"/>
    </row>
    <row r="117" spans="1:20" s="4" customFormat="1" ht="30" customHeight="1" x14ac:dyDescent="0.2">
      <c r="A117" s="13">
        <v>44687</v>
      </c>
      <c r="B117" s="66"/>
      <c r="C117" s="14" t="s">
        <v>877</v>
      </c>
      <c r="D117" s="14" t="s">
        <v>26</v>
      </c>
      <c r="E117" s="14" t="s">
        <v>18</v>
      </c>
      <c r="F117" s="15">
        <v>1</v>
      </c>
      <c r="G117" s="265">
        <v>1000000</v>
      </c>
      <c r="H117" s="258">
        <f>List34[[#This Row],[Pengajuan Donasi]]</f>
        <v>2400000</v>
      </c>
      <c r="I117" s="213" t="str">
        <f>IF(List34[[#This Row],[Tanggal Trf]]&gt;0,"Done","-")</f>
        <v>Done</v>
      </c>
      <c r="J117" s="437"/>
      <c r="K117" s="221">
        <v>44693</v>
      </c>
      <c r="L117" s="620" t="s">
        <v>458</v>
      </c>
      <c r="M117" s="100">
        <f>MONTH(List34[[#This Row],[Tanggal Pengajuan]])</f>
        <v>2</v>
      </c>
      <c r="N117" s="183">
        <v>44694</v>
      </c>
      <c r="O117" s="100" t="s">
        <v>932</v>
      </c>
      <c r="P117" s="110"/>
      <c r="Q117" s="230" t="s">
        <v>958</v>
      </c>
      <c r="S117" s="275">
        <f>+List34[[#This Row],[Pengajuan Donasi]]-List34[[#This Row],[Jumlah Transfer]]</f>
        <v>0</v>
      </c>
      <c r="T117" s="275"/>
    </row>
    <row r="118" spans="1:20" s="4" customFormat="1" ht="30" customHeight="1" x14ac:dyDescent="0.2">
      <c r="A118" s="13">
        <v>44715</v>
      </c>
      <c r="B118" s="66"/>
      <c r="C118" s="14" t="s">
        <v>877</v>
      </c>
      <c r="D118" s="14" t="s">
        <v>26</v>
      </c>
      <c r="E118" s="14" t="s">
        <v>1313</v>
      </c>
      <c r="F118" s="15">
        <v>1</v>
      </c>
      <c r="G118" s="379">
        <v>1000000</v>
      </c>
      <c r="H118" s="258">
        <f>List34[[#This Row],[Pengajuan Donasi]]</f>
        <v>500000</v>
      </c>
      <c r="I118" s="213" t="str">
        <f>IF(List34[[#This Row],[Tanggal Trf]]&gt;0,"Done","-")</f>
        <v>Done</v>
      </c>
      <c r="J118" s="437"/>
      <c r="K118" s="221">
        <v>44722</v>
      </c>
      <c r="L118" s="620" t="s">
        <v>458</v>
      </c>
      <c r="M118" s="100">
        <f>MONTH(List34[[#This Row],[Tanggal Pengajuan]])</f>
        <v>2</v>
      </c>
      <c r="N118" s="183">
        <v>44747</v>
      </c>
      <c r="O118" s="100" t="s">
        <v>1116</v>
      </c>
      <c r="P118" s="110"/>
      <c r="Q118" s="230" t="s">
        <v>958</v>
      </c>
      <c r="S118" s="275">
        <f>+List34[[#This Row],[Pengajuan Donasi]]-List34[[#This Row],[Jumlah Transfer]]</f>
        <v>0</v>
      </c>
      <c r="T118" s="275"/>
    </row>
    <row r="119" spans="1:20" s="4" customFormat="1" ht="30" customHeight="1" x14ac:dyDescent="0.2">
      <c r="A119" s="13">
        <v>44746</v>
      </c>
      <c r="B119" s="66"/>
      <c r="C119" s="14" t="s">
        <v>877</v>
      </c>
      <c r="D119" s="14" t="s">
        <v>26</v>
      </c>
      <c r="E119" s="14" t="s">
        <v>18</v>
      </c>
      <c r="F119" s="471">
        <v>1</v>
      </c>
      <c r="G119" s="258">
        <v>1000000</v>
      </c>
      <c r="H119" s="258">
        <f>List34[[#This Row],[Pengajuan Donasi]]</f>
        <v>500000</v>
      </c>
      <c r="I119" s="213" t="str">
        <f>IF(List34[[#This Row],[Tanggal Trf]]&gt;0,"Done","-")</f>
        <v>Done</v>
      </c>
      <c r="J119" s="437" t="s">
        <v>1160</v>
      </c>
      <c r="K119" s="484">
        <v>44764</v>
      </c>
      <c r="L119" s="100" t="s">
        <v>458</v>
      </c>
      <c r="M119" s="100">
        <f>MONTH(List34[[#This Row],[Tanggal Pengajuan]])</f>
        <v>2</v>
      </c>
      <c r="N119" s="183"/>
      <c r="O119" s="100" t="s">
        <v>1180</v>
      </c>
      <c r="P119" s="110"/>
      <c r="Q119" s="230" t="s">
        <v>958</v>
      </c>
      <c r="S119" s="275">
        <f>+List34[[#This Row],[Pengajuan Donasi]]-List34[[#This Row],[Jumlah Transfer]]</f>
        <v>0</v>
      </c>
      <c r="T119" s="275"/>
    </row>
    <row r="120" spans="1:20" s="4" customFormat="1" ht="30" customHeight="1" x14ac:dyDescent="0.2">
      <c r="A120" s="13">
        <v>44775</v>
      </c>
      <c r="B120" s="67"/>
      <c r="C120" s="14" t="s">
        <v>877</v>
      </c>
      <c r="D120" s="14" t="s">
        <v>26</v>
      </c>
      <c r="E120" s="14" t="s">
        <v>18</v>
      </c>
      <c r="F120" s="471">
        <v>1</v>
      </c>
      <c r="G120" s="258">
        <v>1000000</v>
      </c>
      <c r="H120" s="258">
        <f>List34[[#This Row],[Pengajuan Donasi]]</f>
        <v>500000</v>
      </c>
      <c r="I120" s="213" t="str">
        <f>IF(List34[[#This Row],[Tanggal Trf]]&gt;0,"Done","-")</f>
        <v>Done</v>
      </c>
      <c r="J120" s="100" t="s">
        <v>1209</v>
      </c>
      <c r="K120" s="484">
        <v>44792</v>
      </c>
      <c r="L120" s="100" t="s">
        <v>458</v>
      </c>
      <c r="M120" s="100">
        <f>MONTH(List34[[#This Row],[Tanggal Pengajuan]])</f>
        <v>2</v>
      </c>
      <c r="N120" s="183"/>
      <c r="O120" s="100" t="s">
        <v>1268</v>
      </c>
      <c r="P120" s="110"/>
      <c r="Q120" s="230" t="s">
        <v>958</v>
      </c>
      <c r="S120" s="275">
        <f>+List34[[#This Row],[Pengajuan Donasi]]-List34[[#This Row],[Jumlah Transfer]]</f>
        <v>0</v>
      </c>
      <c r="T120" s="275"/>
    </row>
    <row r="121" spans="1:20" s="4" customFormat="1" ht="30" customHeight="1" x14ac:dyDescent="0.2">
      <c r="A121" s="13">
        <v>44775</v>
      </c>
      <c r="B121" s="67"/>
      <c r="C121" s="14" t="s">
        <v>1214</v>
      </c>
      <c r="D121" s="14" t="s">
        <v>26</v>
      </c>
      <c r="E121" s="14" t="s">
        <v>18</v>
      </c>
      <c r="F121" s="471">
        <v>1</v>
      </c>
      <c r="G121" s="258">
        <v>750000</v>
      </c>
      <c r="H121" s="258">
        <f>List34[[#This Row],[Pengajuan Donasi]]</f>
        <v>500000</v>
      </c>
      <c r="I121" s="213" t="str">
        <f>IF(List34[[#This Row],[Tanggal Trf]]&gt;0,"Done","-")</f>
        <v>Done</v>
      </c>
      <c r="J121" s="100" t="s">
        <v>1209</v>
      </c>
      <c r="K121" s="484">
        <v>44792</v>
      </c>
      <c r="L121" s="100" t="s">
        <v>1217</v>
      </c>
      <c r="M121" s="100">
        <f>MONTH(List34[[#This Row],[Tanggal Pengajuan]])</f>
        <v>2</v>
      </c>
      <c r="N121" s="183"/>
      <c r="O121" s="100" t="s">
        <v>1268</v>
      </c>
      <c r="P121" s="110"/>
      <c r="Q121" s="230" t="s">
        <v>958</v>
      </c>
      <c r="S121" s="275">
        <f>+List34[[#This Row],[Pengajuan Donasi]]-List34[[#This Row],[Jumlah Transfer]]</f>
        <v>0</v>
      </c>
      <c r="T121" s="275"/>
    </row>
    <row r="122" spans="1:20" s="4" customFormat="1" ht="30" customHeight="1" x14ac:dyDescent="0.2">
      <c r="A122" s="13">
        <v>44566</v>
      </c>
      <c r="B122" s="67"/>
      <c r="C122" s="14" t="s">
        <v>879</v>
      </c>
      <c r="D122" s="14" t="s">
        <v>26</v>
      </c>
      <c r="E122" s="14" t="s">
        <v>18</v>
      </c>
      <c r="F122" s="469">
        <v>1</v>
      </c>
      <c r="G122" s="259">
        <v>1000000</v>
      </c>
      <c r="H122" s="258">
        <f>List34[[#This Row],[Pengajuan Donasi]]</f>
        <v>500000</v>
      </c>
      <c r="I122" s="213" t="str">
        <f>IF(List34[[#This Row],[Tanggal Trf]]&gt;0,"Done","-")</f>
        <v>Done</v>
      </c>
      <c r="J122" s="437"/>
      <c r="K122" s="221">
        <v>44580</v>
      </c>
      <c r="L122" s="620" t="s">
        <v>462</v>
      </c>
      <c r="M122" s="100">
        <f>MONTH(List34[[#This Row],[Tanggal Pengajuan]])</f>
        <v>2</v>
      </c>
      <c r="N122" s="183"/>
      <c r="O122" s="100" t="s">
        <v>651</v>
      </c>
      <c r="P122" s="110"/>
      <c r="Q122" s="230" t="s">
        <v>958</v>
      </c>
      <c r="S122" s="275">
        <f>+List34[[#This Row],[Pengajuan Donasi]]-List34[[#This Row],[Jumlah Transfer]]</f>
        <v>0</v>
      </c>
      <c r="T122" s="275"/>
    </row>
    <row r="123" spans="1:20" s="4" customFormat="1" ht="30" customHeight="1" x14ac:dyDescent="0.2">
      <c r="A123" s="13">
        <v>44596</v>
      </c>
      <c r="B123" s="67"/>
      <c r="C123" s="103" t="s">
        <v>879</v>
      </c>
      <c r="D123" s="14" t="s">
        <v>26</v>
      </c>
      <c r="E123" s="14" t="s">
        <v>18</v>
      </c>
      <c r="F123" s="15">
        <v>1</v>
      </c>
      <c r="G123" s="265">
        <v>1000000</v>
      </c>
      <c r="H123" s="258">
        <f>List34[[#This Row],[Pengajuan Donasi]]</f>
        <v>500000</v>
      </c>
      <c r="I123" s="213" t="str">
        <f>IF(List34[[#This Row],[Tanggal Trf]]&gt;0,"Done","-")</f>
        <v>Done</v>
      </c>
      <c r="J123" s="437" t="s">
        <v>701</v>
      </c>
      <c r="K123" s="221">
        <v>44607</v>
      </c>
      <c r="L123" s="620" t="s">
        <v>462</v>
      </c>
      <c r="M123" s="100">
        <f>MONTH(List34[[#This Row],[Tanggal Pengajuan]])</f>
        <v>2</v>
      </c>
      <c r="N123" s="183"/>
      <c r="O123" s="105" t="s">
        <v>707</v>
      </c>
      <c r="P123" s="111"/>
      <c r="Q123" s="230" t="s">
        <v>958</v>
      </c>
      <c r="S123" s="275">
        <f>+List34[[#This Row],[Pengajuan Donasi]]-List34[[#This Row],[Jumlah Transfer]]</f>
        <v>0</v>
      </c>
      <c r="T123" s="275"/>
    </row>
    <row r="124" spans="1:20" s="4" customFormat="1" ht="30" customHeight="1" x14ac:dyDescent="0.2">
      <c r="A124" s="13">
        <v>44624</v>
      </c>
      <c r="B124" s="67"/>
      <c r="C124" s="14" t="s">
        <v>879</v>
      </c>
      <c r="D124" s="14" t="s">
        <v>26</v>
      </c>
      <c r="E124" s="14" t="s">
        <v>18</v>
      </c>
      <c r="F124" s="15">
        <v>1</v>
      </c>
      <c r="G124" s="265">
        <v>1000000</v>
      </c>
      <c r="H124" s="258">
        <f>List34[[#This Row],[Pengajuan Donasi]]</f>
        <v>500000</v>
      </c>
      <c r="I124" s="213" t="str">
        <f>IF(List34[[#This Row],[Tanggal Trf]]&gt;0,"Done","-")</f>
        <v>Done</v>
      </c>
      <c r="J124" s="437"/>
      <c r="K124" s="220">
        <v>44630</v>
      </c>
      <c r="L124" s="620" t="s">
        <v>462</v>
      </c>
      <c r="M124" s="100">
        <f>MONTH(List34[[#This Row],[Tanggal Pengajuan]])</f>
        <v>2</v>
      </c>
      <c r="N124" s="62"/>
      <c r="O124" s="100" t="s">
        <v>746</v>
      </c>
      <c r="P124" s="111"/>
      <c r="Q124" s="230" t="s">
        <v>958</v>
      </c>
      <c r="S124" s="275">
        <f>+List34[[#This Row],[Pengajuan Donasi]]-List34[[#This Row],[Jumlah Transfer]]</f>
        <v>0</v>
      </c>
      <c r="T124" s="275"/>
    </row>
    <row r="125" spans="1:20" s="4" customFormat="1" ht="30" customHeight="1" x14ac:dyDescent="0.2">
      <c r="A125" s="13">
        <v>44658</v>
      </c>
      <c r="B125" s="67"/>
      <c r="C125" s="14" t="s">
        <v>879</v>
      </c>
      <c r="D125" s="14" t="s">
        <v>26</v>
      </c>
      <c r="E125" s="14" t="s">
        <v>18</v>
      </c>
      <c r="F125" s="15">
        <v>1</v>
      </c>
      <c r="G125" s="298">
        <v>1000000</v>
      </c>
      <c r="H125" s="258">
        <f>List34[[#This Row],[Pengajuan Donasi]]</f>
        <v>500000</v>
      </c>
      <c r="I125" s="213" t="str">
        <f>IF(List34[[#This Row],[Tanggal Trf]]&gt;0,"Done","-")</f>
        <v>Done</v>
      </c>
      <c r="J125" s="437"/>
      <c r="K125" s="220">
        <v>44666</v>
      </c>
      <c r="L125" s="620" t="s">
        <v>462</v>
      </c>
      <c r="M125" s="100">
        <f>MONTH(List34[[#This Row],[Tanggal Pengajuan]])</f>
        <v>2</v>
      </c>
      <c r="N125" s="62">
        <v>44673</v>
      </c>
      <c r="O125" s="100" t="s">
        <v>795</v>
      </c>
      <c r="P125" s="111"/>
      <c r="Q125" s="230" t="s">
        <v>958</v>
      </c>
      <c r="S125" s="275">
        <f>+List34[[#This Row],[Pengajuan Donasi]]-List34[[#This Row],[Jumlah Transfer]]</f>
        <v>0</v>
      </c>
      <c r="T125" s="275"/>
    </row>
    <row r="126" spans="1:20" s="4" customFormat="1" ht="30" customHeight="1" x14ac:dyDescent="0.2">
      <c r="A126" s="13">
        <v>44687</v>
      </c>
      <c r="B126" s="67"/>
      <c r="C126" s="14" t="s">
        <v>879</v>
      </c>
      <c r="D126" s="14" t="s">
        <v>26</v>
      </c>
      <c r="E126" s="14" t="s">
        <v>18</v>
      </c>
      <c r="F126" s="15">
        <v>1</v>
      </c>
      <c r="G126" s="265">
        <v>1000000</v>
      </c>
      <c r="H126" s="258">
        <f>List34[[#This Row],[Pengajuan Donasi]]</f>
        <v>500000</v>
      </c>
      <c r="I126" s="213" t="str">
        <f>IF(List34[[#This Row],[Tanggal Trf]]&gt;0,"Done","-")</f>
        <v>Done</v>
      </c>
      <c r="J126" s="437"/>
      <c r="K126" s="220">
        <v>44693</v>
      </c>
      <c r="L126" s="620" t="s">
        <v>462</v>
      </c>
      <c r="M126" s="100">
        <f>MONTH(List34[[#This Row],[Tanggal Pengajuan]])</f>
        <v>2</v>
      </c>
      <c r="N126" s="62">
        <v>44694</v>
      </c>
      <c r="O126" s="100" t="s">
        <v>932</v>
      </c>
      <c r="P126" s="111"/>
      <c r="Q126" s="230" t="s">
        <v>958</v>
      </c>
      <c r="S126" s="275">
        <f>+List34[[#This Row],[Pengajuan Donasi]]-List34[[#This Row],[Jumlah Transfer]]</f>
        <v>0</v>
      </c>
      <c r="T126" s="275"/>
    </row>
    <row r="127" spans="1:20" s="4" customFormat="1" ht="30" customHeight="1" x14ac:dyDescent="0.2">
      <c r="A127" s="13">
        <v>44715</v>
      </c>
      <c r="B127" s="67"/>
      <c r="C127" s="103" t="s">
        <v>879</v>
      </c>
      <c r="D127" s="14" t="s">
        <v>26</v>
      </c>
      <c r="E127" s="14" t="s">
        <v>18</v>
      </c>
      <c r="F127" s="15">
        <v>1</v>
      </c>
      <c r="G127" s="379">
        <v>1000000</v>
      </c>
      <c r="H127" s="258">
        <f>List34[[#This Row],[Pengajuan Donasi]]</f>
        <v>500000</v>
      </c>
      <c r="I127" s="213" t="str">
        <f>IF(List34[[#This Row],[Tanggal Trf]]&gt;0,"Done","-")</f>
        <v>Done</v>
      </c>
      <c r="J127" s="437"/>
      <c r="K127" s="221">
        <v>44722</v>
      </c>
      <c r="L127" s="620" t="s">
        <v>462</v>
      </c>
      <c r="M127" s="100">
        <f>MONTH(List34[[#This Row],[Tanggal Pengajuan]])</f>
        <v>2</v>
      </c>
      <c r="N127" s="183">
        <v>44747</v>
      </c>
      <c r="O127" s="100" t="s">
        <v>1116</v>
      </c>
      <c r="P127" s="111"/>
      <c r="Q127" s="230" t="s">
        <v>958</v>
      </c>
      <c r="S127" s="275">
        <f>+List34[[#This Row],[Pengajuan Donasi]]-List34[[#This Row],[Jumlah Transfer]]</f>
        <v>0</v>
      </c>
      <c r="T127" s="275"/>
    </row>
    <row r="128" spans="1:20" s="4" customFormat="1" ht="30" customHeight="1" x14ac:dyDescent="0.2">
      <c r="A128" s="102">
        <v>44746</v>
      </c>
      <c r="B128" s="67"/>
      <c r="C128" s="103" t="s">
        <v>879</v>
      </c>
      <c r="D128" s="14" t="s">
        <v>26</v>
      </c>
      <c r="E128" s="103" t="s">
        <v>18</v>
      </c>
      <c r="F128" s="471">
        <v>1</v>
      </c>
      <c r="G128" s="267">
        <v>1000000</v>
      </c>
      <c r="H128" s="258">
        <f>List34[[#This Row],[Pengajuan Donasi]]</f>
        <v>500000</v>
      </c>
      <c r="I128" s="214" t="str">
        <f>IF(List34[[#This Row],[Tanggal Trf]]&gt;0,"Done","-")</f>
        <v>Done</v>
      </c>
      <c r="J128" s="440" t="s">
        <v>1160</v>
      </c>
      <c r="K128" s="484">
        <v>44764</v>
      </c>
      <c r="L128" s="105" t="s">
        <v>462</v>
      </c>
      <c r="M128" s="100">
        <f>MONTH(List34[[#This Row],[Tanggal Pengajuan]])</f>
        <v>2</v>
      </c>
      <c r="N128" s="183"/>
      <c r="O128" s="105" t="s">
        <v>1180</v>
      </c>
      <c r="P128" s="110"/>
      <c r="Q128" s="230" t="s">
        <v>958</v>
      </c>
      <c r="S128" s="275">
        <f>+List34[[#This Row],[Pengajuan Donasi]]-List34[[#This Row],[Jumlah Transfer]]</f>
        <v>0</v>
      </c>
      <c r="T128" s="275"/>
    </row>
    <row r="129" spans="1:20" s="4" customFormat="1" ht="30" customHeight="1" x14ac:dyDescent="0.2">
      <c r="A129" s="102">
        <v>44775</v>
      </c>
      <c r="B129" s="67"/>
      <c r="C129" s="103" t="s">
        <v>879</v>
      </c>
      <c r="D129" s="14" t="s">
        <v>26</v>
      </c>
      <c r="E129" s="14" t="s">
        <v>18</v>
      </c>
      <c r="F129" s="471">
        <v>1</v>
      </c>
      <c r="G129" s="258">
        <v>1000000</v>
      </c>
      <c r="H129" s="258">
        <f>List34[[#This Row],[Pengajuan Donasi]]</f>
        <v>500000</v>
      </c>
      <c r="I129" s="214" t="str">
        <f>IF(List34[[#This Row],[Tanggal Trf]]&gt;0,"Done","-")</f>
        <v>Done</v>
      </c>
      <c r="J129" s="105" t="s">
        <v>1209</v>
      </c>
      <c r="K129" s="484">
        <v>44792</v>
      </c>
      <c r="L129" s="105" t="s">
        <v>462</v>
      </c>
      <c r="M129" s="100">
        <f>MONTH(List34[[#This Row],[Tanggal Pengajuan]])</f>
        <v>2</v>
      </c>
      <c r="N129" s="183"/>
      <c r="O129" s="100" t="s">
        <v>1268</v>
      </c>
      <c r="P129" s="110"/>
      <c r="Q129" s="230" t="s">
        <v>958</v>
      </c>
      <c r="S129" s="275">
        <f>+List34[[#This Row],[Pengajuan Donasi]]-List34[[#This Row],[Jumlah Transfer]]</f>
        <v>0</v>
      </c>
      <c r="T129" s="275"/>
    </row>
    <row r="130" spans="1:20" s="4" customFormat="1" ht="30" customHeight="1" x14ac:dyDescent="0.2">
      <c r="A130" s="102">
        <v>44566</v>
      </c>
      <c r="B130" s="67"/>
      <c r="C130" s="103" t="s">
        <v>881</v>
      </c>
      <c r="D130" s="14" t="s">
        <v>26</v>
      </c>
      <c r="E130" s="14" t="s">
        <v>18</v>
      </c>
      <c r="F130" s="469">
        <v>1</v>
      </c>
      <c r="G130" s="259">
        <v>1000000</v>
      </c>
      <c r="H130" s="258">
        <f>List34[[#This Row],[Pengajuan Donasi]]</f>
        <v>500000</v>
      </c>
      <c r="I130" s="214" t="str">
        <f>IF(List34[[#This Row],[Tanggal Trf]]&gt;0,"Done","-")</f>
        <v>Done</v>
      </c>
      <c r="J130" s="440"/>
      <c r="K130" s="221">
        <v>44580</v>
      </c>
      <c r="L130" s="621" t="s">
        <v>476</v>
      </c>
      <c r="M130" s="100">
        <f>MONTH(List34[[#This Row],[Tanggal Pengajuan]])</f>
        <v>2</v>
      </c>
      <c r="N130" s="183"/>
      <c r="O130" s="105" t="s">
        <v>651</v>
      </c>
      <c r="P130" s="111"/>
      <c r="Q130" s="230" t="s">
        <v>958</v>
      </c>
      <c r="S130" s="275">
        <f>+List34[[#This Row],[Pengajuan Donasi]]-List34[[#This Row],[Jumlah Transfer]]</f>
        <v>0</v>
      </c>
      <c r="T130" s="275"/>
    </row>
    <row r="131" spans="1:20" s="4" customFormat="1" ht="30" customHeight="1" x14ac:dyDescent="0.2">
      <c r="A131" s="102">
        <v>44596</v>
      </c>
      <c r="B131" s="67"/>
      <c r="C131" s="103" t="s">
        <v>881</v>
      </c>
      <c r="D131" s="14" t="s">
        <v>26</v>
      </c>
      <c r="E131" s="14" t="s">
        <v>18</v>
      </c>
      <c r="F131" s="15">
        <v>1</v>
      </c>
      <c r="G131" s="265">
        <v>1000000</v>
      </c>
      <c r="H131" s="258">
        <f>List34[[#This Row],[Pengajuan Donasi]]</f>
        <v>500000</v>
      </c>
      <c r="I131" s="214" t="str">
        <f>IF(List34[[#This Row],[Tanggal Trf]]&gt;0,"Done","-")</f>
        <v>Done</v>
      </c>
      <c r="J131" s="440" t="s">
        <v>701</v>
      </c>
      <c r="K131" s="221">
        <v>44607</v>
      </c>
      <c r="L131" s="621" t="s">
        <v>476</v>
      </c>
      <c r="M131" s="100">
        <f>MONTH(List34[[#This Row],[Tanggal Pengajuan]])</f>
        <v>2</v>
      </c>
      <c r="N131" s="183"/>
      <c r="O131" s="105" t="s">
        <v>707</v>
      </c>
      <c r="P131" s="111"/>
      <c r="Q131" s="230" t="s">
        <v>958</v>
      </c>
      <c r="S131" s="275">
        <f>+List34[[#This Row],[Pengajuan Donasi]]-List34[[#This Row],[Jumlah Transfer]]</f>
        <v>0</v>
      </c>
      <c r="T131" s="275"/>
    </row>
    <row r="132" spans="1:20" s="4" customFormat="1" ht="30" customHeight="1" x14ac:dyDescent="0.2">
      <c r="A132" s="102">
        <v>44624</v>
      </c>
      <c r="B132" s="67"/>
      <c r="C132" s="103" t="s">
        <v>881</v>
      </c>
      <c r="D132" s="14" t="s">
        <v>26</v>
      </c>
      <c r="E132" s="14" t="s">
        <v>18</v>
      </c>
      <c r="F132" s="15">
        <v>1</v>
      </c>
      <c r="G132" s="265">
        <v>1000000</v>
      </c>
      <c r="H132" s="258">
        <f>List34[[#This Row],[Pengajuan Donasi]]</f>
        <v>500000</v>
      </c>
      <c r="I132" s="214" t="str">
        <f>IF(List34[[#This Row],[Tanggal Trf]]&gt;0,"Done","-")</f>
        <v>Done</v>
      </c>
      <c r="J132" s="440"/>
      <c r="K132" s="221">
        <v>44630</v>
      </c>
      <c r="L132" s="621" t="s">
        <v>476</v>
      </c>
      <c r="M132" s="100">
        <f>MONTH(List34[[#This Row],[Tanggal Pengajuan]])</f>
        <v>2</v>
      </c>
      <c r="N132" s="183"/>
      <c r="O132" s="105" t="s">
        <v>746</v>
      </c>
      <c r="P132" s="111"/>
      <c r="Q132" s="230" t="s">
        <v>958</v>
      </c>
      <c r="S132" s="275">
        <f>+List34[[#This Row],[Pengajuan Donasi]]-List34[[#This Row],[Jumlah Transfer]]</f>
        <v>0</v>
      </c>
      <c r="T132" s="275"/>
    </row>
    <row r="133" spans="1:20" s="4" customFormat="1" ht="30" customHeight="1" x14ac:dyDescent="0.2">
      <c r="A133" s="102">
        <v>44658</v>
      </c>
      <c r="B133" s="67"/>
      <c r="C133" s="103" t="s">
        <v>881</v>
      </c>
      <c r="D133" s="14" t="s">
        <v>26</v>
      </c>
      <c r="E133" s="14" t="s">
        <v>18</v>
      </c>
      <c r="F133" s="15">
        <v>1</v>
      </c>
      <c r="G133" s="298">
        <v>1000000</v>
      </c>
      <c r="H133" s="258">
        <f>List34[[#This Row],[Pengajuan Donasi]]</f>
        <v>660000</v>
      </c>
      <c r="I133" s="214" t="str">
        <f>IF(List34[[#This Row],[Tanggal Trf]]&gt;0,"Done","-")</f>
        <v>Done</v>
      </c>
      <c r="J133" s="440"/>
      <c r="K133" s="221">
        <v>44666</v>
      </c>
      <c r="L133" s="621" t="s">
        <v>476</v>
      </c>
      <c r="M133" s="100">
        <f>MONTH(List34[[#This Row],[Tanggal Pengajuan]])</f>
        <v>2</v>
      </c>
      <c r="N133" s="183">
        <v>44673</v>
      </c>
      <c r="O133" s="105" t="s">
        <v>795</v>
      </c>
      <c r="P133" s="111"/>
      <c r="Q133" s="230" t="s">
        <v>958</v>
      </c>
      <c r="S133" s="275">
        <f>+List34[[#This Row],[Pengajuan Donasi]]-List34[[#This Row],[Jumlah Transfer]]</f>
        <v>0</v>
      </c>
      <c r="T133" s="275"/>
    </row>
    <row r="134" spans="1:20" s="4" customFormat="1" ht="30" customHeight="1" x14ac:dyDescent="0.2">
      <c r="A134" s="102">
        <v>44687</v>
      </c>
      <c r="B134" s="67"/>
      <c r="C134" s="103" t="s">
        <v>881</v>
      </c>
      <c r="D134" s="14" t="s">
        <v>26</v>
      </c>
      <c r="E134" s="14" t="s">
        <v>18</v>
      </c>
      <c r="F134" s="15">
        <v>1</v>
      </c>
      <c r="G134" s="265">
        <v>1000000</v>
      </c>
      <c r="H134" s="258">
        <f>List34[[#This Row],[Pengajuan Donasi]]</f>
        <v>11875000</v>
      </c>
      <c r="I134" s="214" t="str">
        <f>IF(List34[[#This Row],[Tanggal Trf]]&gt;0,"Done","-")</f>
        <v>Done</v>
      </c>
      <c r="J134" s="440"/>
      <c r="K134" s="221">
        <v>44693</v>
      </c>
      <c r="L134" s="621" t="s">
        <v>476</v>
      </c>
      <c r="M134" s="100">
        <f>MONTH(List34[[#This Row],[Tanggal Pengajuan]])</f>
        <v>2</v>
      </c>
      <c r="N134" s="183">
        <v>44694</v>
      </c>
      <c r="O134" s="105" t="s">
        <v>932</v>
      </c>
      <c r="P134" s="111"/>
      <c r="Q134" s="230" t="s">
        <v>958</v>
      </c>
      <c r="S134" s="275">
        <f>+List34[[#This Row],[Pengajuan Donasi]]-List34[[#This Row],[Jumlah Transfer]]</f>
        <v>0</v>
      </c>
      <c r="T134" s="275"/>
    </row>
    <row r="135" spans="1:20" s="4" customFormat="1" ht="30" customHeight="1" x14ac:dyDescent="0.2">
      <c r="A135" s="102">
        <v>44715</v>
      </c>
      <c r="B135" s="67"/>
      <c r="C135" s="103" t="s">
        <v>881</v>
      </c>
      <c r="D135" s="14" t="s">
        <v>26</v>
      </c>
      <c r="E135" s="14" t="s">
        <v>18</v>
      </c>
      <c r="F135" s="15">
        <v>1</v>
      </c>
      <c r="G135" s="379">
        <v>1000000</v>
      </c>
      <c r="H135" s="258">
        <f>List34[[#This Row],[Pengajuan Donasi]]</f>
        <v>79550000</v>
      </c>
      <c r="I135" s="214" t="str">
        <f>IF(List34[[#This Row],[Tanggal Trf]]&gt;0,"Done","-")</f>
        <v>Done</v>
      </c>
      <c r="J135" s="440"/>
      <c r="K135" s="221">
        <v>44722</v>
      </c>
      <c r="L135" s="621" t="s">
        <v>476</v>
      </c>
      <c r="M135" s="100">
        <f>MONTH(List34[[#This Row],[Tanggal Pengajuan]])</f>
        <v>2</v>
      </c>
      <c r="N135" s="183">
        <v>44747</v>
      </c>
      <c r="O135" s="105" t="s">
        <v>1116</v>
      </c>
      <c r="P135" s="111"/>
      <c r="Q135" s="230" t="s">
        <v>958</v>
      </c>
      <c r="S135" s="275">
        <f>+List34[[#This Row],[Pengajuan Donasi]]-List34[[#This Row],[Jumlah Transfer]]</f>
        <v>0</v>
      </c>
      <c r="T135" s="275"/>
    </row>
    <row r="136" spans="1:20" s="4" customFormat="1" ht="30" customHeight="1" x14ac:dyDescent="0.2">
      <c r="A136" s="102">
        <v>44746</v>
      </c>
      <c r="B136" s="67"/>
      <c r="C136" s="103" t="s">
        <v>881</v>
      </c>
      <c r="D136" s="14" t="s">
        <v>26</v>
      </c>
      <c r="E136" s="14" t="s">
        <v>18</v>
      </c>
      <c r="F136" s="471">
        <v>1</v>
      </c>
      <c r="G136" s="258">
        <v>1000000</v>
      </c>
      <c r="H136" s="258">
        <f>List34[[#This Row],[Pengajuan Donasi]]</f>
        <v>0</v>
      </c>
      <c r="I136" s="214" t="str">
        <f>IF(List34[[#This Row],[Tanggal Trf]]&gt;0,"Done","-")</f>
        <v>Done</v>
      </c>
      <c r="J136" s="440" t="s">
        <v>1160</v>
      </c>
      <c r="K136" s="484">
        <v>44764</v>
      </c>
      <c r="L136" s="105" t="s">
        <v>476</v>
      </c>
      <c r="M136" s="100">
        <f>MONTH(List34[[#This Row],[Tanggal Pengajuan]])</f>
        <v>2</v>
      </c>
      <c r="N136" s="183"/>
      <c r="O136" s="105" t="s">
        <v>1180</v>
      </c>
      <c r="P136" s="111"/>
      <c r="Q136" s="230" t="s">
        <v>958</v>
      </c>
      <c r="S136" s="275">
        <f>+List34[[#This Row],[Pengajuan Donasi]]-List34[[#This Row],[Jumlah Transfer]]</f>
        <v>0</v>
      </c>
      <c r="T136" s="275"/>
    </row>
    <row r="137" spans="1:20" s="4" customFormat="1" ht="30" customHeight="1" x14ac:dyDescent="0.2">
      <c r="A137" s="102">
        <v>44775</v>
      </c>
      <c r="B137" s="67"/>
      <c r="C137" s="103" t="s">
        <v>881</v>
      </c>
      <c r="D137" s="14" t="s">
        <v>26</v>
      </c>
      <c r="E137" s="14" t="s">
        <v>18</v>
      </c>
      <c r="F137" s="471">
        <v>1</v>
      </c>
      <c r="G137" s="258">
        <v>1000000</v>
      </c>
      <c r="H137" s="258">
        <f>List34[[#This Row],[Pengajuan Donasi]]</f>
        <v>2520000</v>
      </c>
      <c r="I137" s="214" t="str">
        <f>IF(List34[[#This Row],[Tanggal Trf]]&gt;0,"Done","-")</f>
        <v>Done</v>
      </c>
      <c r="J137" s="105" t="s">
        <v>1209</v>
      </c>
      <c r="K137" s="484">
        <v>44792</v>
      </c>
      <c r="L137" s="105" t="s">
        <v>476</v>
      </c>
      <c r="M137" s="100">
        <f>MONTH(List34[[#This Row],[Tanggal Pengajuan]])</f>
        <v>3</v>
      </c>
      <c r="N137" s="183"/>
      <c r="O137" s="105" t="s">
        <v>1268</v>
      </c>
      <c r="P137" s="111"/>
      <c r="Q137" s="230" t="s">
        <v>958</v>
      </c>
      <c r="S137" s="275">
        <f>+List34[[#This Row],[Pengajuan Donasi]]-List34[[#This Row],[Jumlah Transfer]]</f>
        <v>0</v>
      </c>
      <c r="T137" s="275"/>
    </row>
    <row r="138" spans="1:20" s="4" customFormat="1" ht="30" customHeight="1" x14ac:dyDescent="0.2">
      <c r="A138" s="102">
        <v>44566</v>
      </c>
      <c r="B138" s="67"/>
      <c r="C138" s="103" t="s">
        <v>882</v>
      </c>
      <c r="D138" s="14" t="s">
        <v>26</v>
      </c>
      <c r="E138" s="14" t="s">
        <v>18</v>
      </c>
      <c r="F138" s="469">
        <v>1</v>
      </c>
      <c r="G138" s="260">
        <v>750000</v>
      </c>
      <c r="H138" s="258">
        <f>List34[[#This Row],[Pengajuan Donasi]]</f>
        <v>6000000</v>
      </c>
      <c r="I138" s="214" t="str">
        <f>IF(List34[[#This Row],[Tanggal Trf]]&gt;0,"Done","-")</f>
        <v>Done</v>
      </c>
      <c r="J138" s="440"/>
      <c r="K138" s="221">
        <v>44580</v>
      </c>
      <c r="L138" s="721" t="s">
        <v>479</v>
      </c>
      <c r="M138" s="100">
        <f>MONTH(List34[[#This Row],[Tanggal Pengajuan]])</f>
        <v>3</v>
      </c>
      <c r="N138" s="183"/>
      <c r="O138" s="105" t="s">
        <v>651</v>
      </c>
      <c r="P138" s="111"/>
      <c r="Q138" s="230" t="s">
        <v>958</v>
      </c>
      <c r="S138" s="275">
        <f>+List34[[#This Row],[Pengajuan Donasi]]-List34[[#This Row],[Jumlah Transfer]]</f>
        <v>0</v>
      </c>
      <c r="T138" s="275"/>
    </row>
    <row r="139" spans="1:20" s="4" customFormat="1" ht="30" customHeight="1" x14ac:dyDescent="0.2">
      <c r="A139" s="102">
        <v>44596</v>
      </c>
      <c r="B139" s="67"/>
      <c r="C139" s="103" t="s">
        <v>882</v>
      </c>
      <c r="D139" s="14" t="s">
        <v>26</v>
      </c>
      <c r="E139" s="14" t="s">
        <v>18</v>
      </c>
      <c r="F139" s="15">
        <v>1</v>
      </c>
      <c r="G139" s="266">
        <v>750000</v>
      </c>
      <c r="H139" s="258">
        <f>List34[[#This Row],[Pengajuan Donasi]]</f>
        <v>5000000</v>
      </c>
      <c r="I139" s="214" t="str">
        <f>IF(List34[[#This Row],[Tanggal Trf]]&gt;0,"Done","-")</f>
        <v>Done</v>
      </c>
      <c r="J139" s="440" t="s">
        <v>701</v>
      </c>
      <c r="K139" s="221">
        <v>44607</v>
      </c>
      <c r="L139" s="617" t="s">
        <v>479</v>
      </c>
      <c r="M139" s="100">
        <f>MONTH(List34[[#This Row],[Tanggal Pengajuan]])</f>
        <v>3</v>
      </c>
      <c r="N139" s="183"/>
      <c r="O139" s="105" t="s">
        <v>707</v>
      </c>
      <c r="P139" s="111"/>
      <c r="Q139" s="230" t="s">
        <v>958</v>
      </c>
      <c r="S139" s="275">
        <f>+List34[[#This Row],[Pengajuan Donasi]]-List34[[#This Row],[Jumlah Transfer]]</f>
        <v>0</v>
      </c>
      <c r="T139" s="275"/>
    </row>
    <row r="140" spans="1:20" s="4" customFormat="1" ht="30" customHeight="1" x14ac:dyDescent="0.2">
      <c r="A140" s="102">
        <v>44624</v>
      </c>
      <c r="B140" s="67"/>
      <c r="C140" s="103" t="s">
        <v>882</v>
      </c>
      <c r="D140" s="14" t="s">
        <v>26</v>
      </c>
      <c r="E140" s="14" t="s">
        <v>18</v>
      </c>
      <c r="F140" s="15">
        <v>1</v>
      </c>
      <c r="G140" s="266">
        <v>750000</v>
      </c>
      <c r="H140" s="258">
        <f>List34[[#This Row],[Pengajuan Donasi]]</f>
        <v>1000000</v>
      </c>
      <c r="I140" s="214" t="str">
        <f>IF(List34[[#This Row],[Tanggal Trf]]&gt;0,"Done","-")</f>
        <v>Done</v>
      </c>
      <c r="J140" s="440"/>
      <c r="K140" s="221">
        <v>44630</v>
      </c>
      <c r="L140" s="617" t="s">
        <v>479</v>
      </c>
      <c r="M140" s="100">
        <f>MONTH(List34[[#This Row],[Tanggal Pengajuan]])</f>
        <v>3</v>
      </c>
      <c r="N140" s="183"/>
      <c r="O140" s="105" t="s">
        <v>746</v>
      </c>
      <c r="P140" s="111"/>
      <c r="Q140" s="230" t="s">
        <v>958</v>
      </c>
      <c r="S140" s="275">
        <f>+List34[[#This Row],[Pengajuan Donasi]]-List34[[#This Row],[Jumlah Transfer]]</f>
        <v>0</v>
      </c>
      <c r="T140" s="275"/>
    </row>
    <row r="141" spans="1:20" s="4" customFormat="1" ht="30" customHeight="1" x14ac:dyDescent="0.2">
      <c r="A141" s="102">
        <v>44658</v>
      </c>
      <c r="B141" s="67"/>
      <c r="C141" s="103" t="s">
        <v>882</v>
      </c>
      <c r="D141" s="14" t="s">
        <v>26</v>
      </c>
      <c r="E141" s="14" t="s">
        <v>18</v>
      </c>
      <c r="F141" s="15">
        <v>1</v>
      </c>
      <c r="G141" s="260">
        <v>750000</v>
      </c>
      <c r="H141" s="258">
        <f>List34[[#This Row],[Pengajuan Donasi]]</f>
        <v>1000000</v>
      </c>
      <c r="I141" s="214" t="str">
        <f>IF(List34[[#This Row],[Tanggal Trf]]&gt;0,"Done","-")</f>
        <v>Done</v>
      </c>
      <c r="J141" s="440"/>
      <c r="K141" s="221">
        <v>44666</v>
      </c>
      <c r="L141" s="721" t="s">
        <v>479</v>
      </c>
      <c r="M141" s="100">
        <f>MONTH(List34[[#This Row],[Tanggal Pengajuan]])</f>
        <v>3</v>
      </c>
      <c r="N141" s="183">
        <v>44673</v>
      </c>
      <c r="O141" s="105" t="s">
        <v>795</v>
      </c>
      <c r="P141" s="111"/>
      <c r="Q141" s="230" t="s">
        <v>958</v>
      </c>
      <c r="S141" s="275">
        <f>+List34[[#This Row],[Pengajuan Donasi]]-List34[[#This Row],[Jumlah Transfer]]</f>
        <v>0</v>
      </c>
      <c r="T141" s="275"/>
    </row>
    <row r="142" spans="1:20" s="4" customFormat="1" ht="30" customHeight="1" x14ac:dyDescent="0.2">
      <c r="A142" s="102">
        <v>44687</v>
      </c>
      <c r="B142" s="67"/>
      <c r="C142" s="103" t="s">
        <v>882</v>
      </c>
      <c r="D142" s="14" t="s">
        <v>26</v>
      </c>
      <c r="E142" s="14" t="s">
        <v>18</v>
      </c>
      <c r="F142" s="15">
        <v>1</v>
      </c>
      <c r="G142" s="270">
        <v>750000</v>
      </c>
      <c r="H142" s="258">
        <f>List34[[#This Row],[Pengajuan Donasi]]</f>
        <v>1000000</v>
      </c>
      <c r="I142" s="214" t="str">
        <f>IF(List34[[#This Row],[Tanggal Trf]]&gt;0,"Done","-")</f>
        <v>Done</v>
      </c>
      <c r="J142" s="440"/>
      <c r="K142" s="221">
        <v>44693</v>
      </c>
      <c r="L142" s="721" t="s">
        <v>479</v>
      </c>
      <c r="M142" s="100">
        <f>MONTH(List34[[#This Row],[Tanggal Pengajuan]])</f>
        <v>3</v>
      </c>
      <c r="N142" s="183">
        <v>44694</v>
      </c>
      <c r="O142" s="105" t="s">
        <v>932</v>
      </c>
      <c r="P142" s="111"/>
      <c r="Q142" s="230" t="s">
        <v>958</v>
      </c>
      <c r="S142" s="275">
        <f>+List34[[#This Row],[Pengajuan Donasi]]-List34[[#This Row],[Jumlah Transfer]]</f>
        <v>0</v>
      </c>
      <c r="T142" s="275"/>
    </row>
    <row r="143" spans="1:20" s="4" customFormat="1" ht="30" customHeight="1" x14ac:dyDescent="0.2">
      <c r="A143" s="102">
        <v>44715</v>
      </c>
      <c r="B143" s="67"/>
      <c r="C143" s="103" t="s">
        <v>882</v>
      </c>
      <c r="D143" s="14" t="s">
        <v>26</v>
      </c>
      <c r="E143" s="14" t="s">
        <v>18</v>
      </c>
      <c r="F143" s="15">
        <v>1</v>
      </c>
      <c r="G143" s="380">
        <v>750000</v>
      </c>
      <c r="H143" s="258">
        <f>List34[[#This Row],[Pengajuan Donasi]]</f>
        <v>1000000</v>
      </c>
      <c r="I143" s="214" t="str">
        <f>IF(List34[[#This Row],[Tanggal Trf]]&gt;0,"Done","-")</f>
        <v>Done</v>
      </c>
      <c r="J143" s="440"/>
      <c r="K143" s="221">
        <v>44722</v>
      </c>
      <c r="L143" s="721" t="s">
        <v>479</v>
      </c>
      <c r="M143" s="100">
        <f>MONTH(List34[[#This Row],[Tanggal Pengajuan]])</f>
        <v>3</v>
      </c>
      <c r="N143" s="183">
        <v>44747</v>
      </c>
      <c r="O143" s="105" t="s">
        <v>1116</v>
      </c>
      <c r="P143" s="111"/>
      <c r="Q143" s="230" t="s">
        <v>958</v>
      </c>
      <c r="S143" s="275">
        <f>+List34[[#This Row],[Pengajuan Donasi]]-List34[[#This Row],[Jumlah Transfer]]</f>
        <v>0</v>
      </c>
      <c r="T143" s="275"/>
    </row>
    <row r="144" spans="1:20" s="4" customFormat="1" ht="30" customHeight="1" x14ac:dyDescent="0.2">
      <c r="A144" s="102">
        <v>44746</v>
      </c>
      <c r="B144" s="67"/>
      <c r="C144" s="103" t="s">
        <v>882</v>
      </c>
      <c r="D144" s="14" t="s">
        <v>26</v>
      </c>
      <c r="E144" s="14" t="s">
        <v>18</v>
      </c>
      <c r="F144" s="471">
        <v>1</v>
      </c>
      <c r="G144" s="258">
        <v>750000</v>
      </c>
      <c r="H144" s="258">
        <f>List34[[#This Row],[Pengajuan Donasi]]</f>
        <v>1000000</v>
      </c>
      <c r="I144" s="213" t="str">
        <f>IF(List34[[#This Row],[Tanggal Trf]]&gt;0,"Done","-")</f>
        <v>Done</v>
      </c>
      <c r="J144" s="437" t="s">
        <v>1160</v>
      </c>
      <c r="K144" s="484">
        <v>44764</v>
      </c>
      <c r="L144" s="100" t="s">
        <v>479</v>
      </c>
      <c r="M144" s="100">
        <f>MONTH(List34[[#This Row],[Tanggal Pengajuan]])</f>
        <v>3</v>
      </c>
      <c r="N144" s="183"/>
      <c r="O144" s="105" t="s">
        <v>1180</v>
      </c>
      <c r="P144" s="111"/>
      <c r="Q144" s="230" t="s">
        <v>958</v>
      </c>
      <c r="S144" s="275">
        <f>+List34[[#This Row],[Pengajuan Donasi]]-List34[[#This Row],[Jumlah Transfer]]</f>
        <v>0</v>
      </c>
      <c r="T144" s="275"/>
    </row>
    <row r="145" spans="1:20" s="4" customFormat="1" ht="30" customHeight="1" x14ac:dyDescent="0.2">
      <c r="A145" s="102">
        <v>44566</v>
      </c>
      <c r="B145" s="67"/>
      <c r="C145" s="103" t="s">
        <v>952</v>
      </c>
      <c r="D145" s="103" t="s">
        <v>26</v>
      </c>
      <c r="E145" s="103" t="s">
        <v>18</v>
      </c>
      <c r="F145" s="469">
        <v>1</v>
      </c>
      <c r="G145" s="718">
        <v>1000000</v>
      </c>
      <c r="H145" s="258">
        <f>List34[[#This Row],[Pengajuan Donasi]]</f>
        <v>1000000</v>
      </c>
      <c r="I145" s="214" t="str">
        <f>IF(List34[[#This Row],[Tanggal Trf]]&gt;0,"Done","-")</f>
        <v>Done</v>
      </c>
      <c r="J145" s="440"/>
      <c r="K145" s="221">
        <v>44580</v>
      </c>
      <c r="L145" s="721" t="s">
        <v>519</v>
      </c>
      <c r="M145" s="100">
        <f>MONTH(List34[[#This Row],[Tanggal Pengajuan]])</f>
        <v>3</v>
      </c>
      <c r="N145" s="183"/>
      <c r="O145" s="105" t="s">
        <v>651</v>
      </c>
      <c r="P145" s="111"/>
      <c r="Q145" s="230" t="s">
        <v>958</v>
      </c>
      <c r="S145" s="275">
        <f>+List34[[#This Row],[Pengajuan Donasi]]-List34[[#This Row],[Jumlah Transfer]]</f>
        <v>0</v>
      </c>
      <c r="T145" s="275"/>
    </row>
    <row r="146" spans="1:20" s="4" customFormat="1" ht="30" customHeight="1" x14ac:dyDescent="0.2">
      <c r="A146" s="102">
        <v>44596</v>
      </c>
      <c r="B146" s="67"/>
      <c r="C146" s="103" t="s">
        <v>952</v>
      </c>
      <c r="D146" s="14" t="s">
        <v>26</v>
      </c>
      <c r="E146" s="14" t="s">
        <v>18</v>
      </c>
      <c r="F146" s="15">
        <v>1</v>
      </c>
      <c r="G146" s="264">
        <v>1000000</v>
      </c>
      <c r="H146" s="258">
        <f>List34[[#This Row],[Pengajuan Donasi]]</f>
        <v>1000000</v>
      </c>
      <c r="I146" s="213" t="str">
        <f>IF(List34[[#This Row],[Tanggal Trf]]&gt;0,"Done","-")</f>
        <v>Done</v>
      </c>
      <c r="J146" s="437" t="s">
        <v>701</v>
      </c>
      <c r="K146" s="221">
        <v>44607</v>
      </c>
      <c r="L146" s="622" t="s">
        <v>519</v>
      </c>
      <c r="M146" s="100">
        <f>MONTH(List34[[#This Row],[Tanggal Pengajuan]])</f>
        <v>3</v>
      </c>
      <c r="N146" s="183"/>
      <c r="O146" s="105" t="s">
        <v>707</v>
      </c>
      <c r="P146" s="111"/>
      <c r="Q146" s="230" t="s">
        <v>958</v>
      </c>
      <c r="S146" s="275">
        <f>+List34[[#This Row],[Pengajuan Donasi]]-List34[[#This Row],[Jumlah Transfer]]</f>
        <v>0</v>
      </c>
      <c r="T146" s="275"/>
    </row>
    <row r="147" spans="1:20" s="4" customFormat="1" ht="30" customHeight="1" x14ac:dyDescent="0.2">
      <c r="A147" s="102">
        <v>44624</v>
      </c>
      <c r="B147" s="67"/>
      <c r="C147" s="14" t="s">
        <v>952</v>
      </c>
      <c r="D147" s="14" t="s">
        <v>26</v>
      </c>
      <c r="E147" s="14" t="s">
        <v>18</v>
      </c>
      <c r="F147" s="15">
        <v>1</v>
      </c>
      <c r="G147" s="601">
        <v>1000000</v>
      </c>
      <c r="H147" s="258">
        <f>List34[[#This Row],[Pengajuan Donasi]]</f>
        <v>1000000</v>
      </c>
      <c r="I147" s="213" t="str">
        <f>IF(List34[[#This Row],[Tanggal Trf]]&gt;0,"Done","-")</f>
        <v>Done</v>
      </c>
      <c r="J147" s="437"/>
      <c r="K147" s="221">
        <v>44630</v>
      </c>
      <c r="L147" s="617" t="s">
        <v>519</v>
      </c>
      <c r="M147" s="100">
        <f>MONTH(List34[[#This Row],[Tanggal Pengajuan]])</f>
        <v>3</v>
      </c>
      <c r="N147" s="183"/>
      <c r="O147" s="105" t="s">
        <v>746</v>
      </c>
      <c r="P147" s="151"/>
      <c r="Q147" s="230" t="s">
        <v>958</v>
      </c>
      <c r="S147" s="275">
        <f>+List34[[#This Row],[Pengajuan Donasi]]-List34[[#This Row],[Jumlah Transfer]]</f>
        <v>0</v>
      </c>
      <c r="T147" s="275"/>
    </row>
    <row r="148" spans="1:20" s="4" customFormat="1" ht="30" customHeight="1" x14ac:dyDescent="0.2">
      <c r="A148" s="102">
        <v>44658</v>
      </c>
      <c r="B148" s="67"/>
      <c r="C148" s="103" t="s">
        <v>952</v>
      </c>
      <c r="D148" s="103" t="s">
        <v>26</v>
      </c>
      <c r="E148" s="103" t="s">
        <v>18</v>
      </c>
      <c r="F148" s="15">
        <v>1</v>
      </c>
      <c r="G148" s="719">
        <v>1000000</v>
      </c>
      <c r="H148" s="267">
        <f>List34[[#This Row],[Pengajuan Donasi]]</f>
        <v>750000</v>
      </c>
      <c r="I148" s="214" t="str">
        <f>IF(List34[[#This Row],[Tanggal Trf]]&gt;0,"Done","-")</f>
        <v>Done</v>
      </c>
      <c r="J148" s="437"/>
      <c r="K148" s="221">
        <v>44666</v>
      </c>
      <c r="L148" s="721" t="s">
        <v>519</v>
      </c>
      <c r="M148" s="100">
        <f>MONTH(List34[[#This Row],[Tanggal Pengajuan]])</f>
        <v>3</v>
      </c>
      <c r="N148" s="183">
        <v>44673</v>
      </c>
      <c r="O148" s="105" t="s">
        <v>795</v>
      </c>
      <c r="P148" s="111"/>
      <c r="Q148" s="230" t="s">
        <v>958</v>
      </c>
      <c r="S148" s="275">
        <f>+List34[[#This Row],[Pengajuan Donasi]]-List34[[#This Row],[Jumlah Transfer]]</f>
        <v>0</v>
      </c>
      <c r="T148" s="275"/>
    </row>
    <row r="149" spans="1:20" s="4" customFormat="1" ht="30" customHeight="1" x14ac:dyDescent="0.2">
      <c r="A149" s="102">
        <v>44687</v>
      </c>
      <c r="B149" s="67"/>
      <c r="C149" s="14" t="s">
        <v>952</v>
      </c>
      <c r="D149" s="14" t="s">
        <v>26</v>
      </c>
      <c r="E149" s="14" t="s">
        <v>18</v>
      </c>
      <c r="F149" s="15">
        <v>1</v>
      </c>
      <c r="G149" s="269">
        <v>1000000</v>
      </c>
      <c r="H149" s="258">
        <f>List34[[#This Row],[Pengajuan Donasi]]</f>
        <v>750000</v>
      </c>
      <c r="I149" s="214" t="str">
        <f>IF(List34[[#This Row],[Tanggal Trf]]&gt;0,"Done","-")</f>
        <v>Done</v>
      </c>
      <c r="J149" s="437"/>
      <c r="K149" s="221">
        <v>44693</v>
      </c>
      <c r="L149" s="721" t="s">
        <v>519</v>
      </c>
      <c r="M149" s="100">
        <f>MONTH(List34[[#This Row],[Tanggal Pengajuan]])</f>
        <v>3</v>
      </c>
      <c r="N149" s="183">
        <v>44694</v>
      </c>
      <c r="O149" s="105" t="s">
        <v>932</v>
      </c>
      <c r="P149" s="111"/>
      <c r="Q149" s="230" t="s">
        <v>958</v>
      </c>
      <c r="S149" s="275">
        <f>+List34[[#This Row],[Pengajuan Donasi]]-List34[[#This Row],[Jumlah Transfer]]</f>
        <v>0</v>
      </c>
      <c r="T149" s="275"/>
    </row>
    <row r="150" spans="1:20" s="4" customFormat="1" ht="30" customHeight="1" x14ac:dyDescent="0.2">
      <c r="A150" s="102">
        <v>44715</v>
      </c>
      <c r="B150" s="67"/>
      <c r="C150" s="14" t="s">
        <v>952</v>
      </c>
      <c r="D150" s="14" t="s">
        <v>26</v>
      </c>
      <c r="E150" s="14" t="s">
        <v>18</v>
      </c>
      <c r="F150" s="15">
        <v>1</v>
      </c>
      <c r="G150" s="378">
        <v>1000000</v>
      </c>
      <c r="H150" s="258">
        <f>List34[[#This Row],[Pengajuan Donasi]]</f>
        <v>1000000</v>
      </c>
      <c r="I150" s="213" t="str">
        <f>IF(List34[[#This Row],[Tanggal Trf]]&gt;0,"Done","-")</f>
        <v>Done</v>
      </c>
      <c r="J150" s="437"/>
      <c r="K150" s="221">
        <v>44722</v>
      </c>
      <c r="L150" s="208" t="s">
        <v>519</v>
      </c>
      <c r="M150" s="100">
        <f>MONTH(List34[[#This Row],[Tanggal Pengajuan]])</f>
        <v>3</v>
      </c>
      <c r="N150" s="183">
        <v>44747</v>
      </c>
      <c r="O150" s="105" t="s">
        <v>1116</v>
      </c>
      <c r="P150" s="111"/>
      <c r="Q150" s="230" t="s">
        <v>958</v>
      </c>
      <c r="S150" s="275">
        <f>+List34[[#This Row],[Pengajuan Donasi]]-List34[[#This Row],[Jumlah Transfer]]</f>
        <v>0</v>
      </c>
      <c r="T150" s="275"/>
    </row>
    <row r="151" spans="1:20" s="4" customFormat="1" ht="30" customHeight="1" x14ac:dyDescent="0.2">
      <c r="A151" s="102">
        <v>44746</v>
      </c>
      <c r="B151" s="67"/>
      <c r="C151" s="14" t="s">
        <v>952</v>
      </c>
      <c r="D151" s="14" t="s">
        <v>26</v>
      </c>
      <c r="E151" s="14" t="s">
        <v>18</v>
      </c>
      <c r="F151" s="471">
        <v>1</v>
      </c>
      <c r="G151" s="258">
        <v>1000000</v>
      </c>
      <c r="H151" s="267">
        <f>List34[[#This Row],[Pengajuan Donasi]]</f>
        <v>1000000</v>
      </c>
      <c r="I151" s="213" t="str">
        <f>IF(List34[[#This Row],[Tanggal Trf]]&gt;0,"Done","-")</f>
        <v>Done</v>
      </c>
      <c r="J151" s="437" t="s">
        <v>1160</v>
      </c>
      <c r="K151" s="484">
        <v>44764</v>
      </c>
      <c r="L151" s="14" t="s">
        <v>519</v>
      </c>
      <c r="M151" s="100">
        <f>MONTH(List34[[#This Row],[Tanggal Pengajuan]])</f>
        <v>3</v>
      </c>
      <c r="N151" s="183"/>
      <c r="O151" s="100" t="s">
        <v>1180</v>
      </c>
      <c r="P151" s="111"/>
      <c r="Q151" s="230" t="s">
        <v>958</v>
      </c>
      <c r="S151" s="275">
        <f>+List34[[#This Row],[Pengajuan Donasi]]-List34[[#This Row],[Jumlah Transfer]]</f>
        <v>0</v>
      </c>
      <c r="T151" s="275"/>
    </row>
    <row r="152" spans="1:20" s="4" customFormat="1" ht="30" customHeight="1" x14ac:dyDescent="0.2">
      <c r="A152" s="102">
        <v>44775</v>
      </c>
      <c r="B152" s="67"/>
      <c r="C152" s="14" t="s">
        <v>952</v>
      </c>
      <c r="D152" s="14" t="s">
        <v>26</v>
      </c>
      <c r="E152" s="14" t="s">
        <v>18</v>
      </c>
      <c r="F152" s="471">
        <v>1</v>
      </c>
      <c r="G152" s="258">
        <v>1000000</v>
      </c>
      <c r="H152" s="267">
        <f>List34[[#This Row],[Pengajuan Donasi]]</f>
        <v>10000000</v>
      </c>
      <c r="I152" s="213" t="str">
        <f>IF(List34[[#This Row],[Tanggal Trf]]&gt;0,"Done","-")</f>
        <v>Done</v>
      </c>
      <c r="J152" s="100" t="s">
        <v>1209</v>
      </c>
      <c r="K152" s="484">
        <v>44792</v>
      </c>
      <c r="L152" s="14" t="s">
        <v>519</v>
      </c>
      <c r="M152" s="100">
        <f>MONTH(List34[[#This Row],[Tanggal Pengajuan]])</f>
        <v>3</v>
      </c>
      <c r="N152" s="183"/>
      <c r="O152" s="100" t="s">
        <v>1268</v>
      </c>
      <c r="P152" s="111"/>
      <c r="Q152" s="230" t="s">
        <v>958</v>
      </c>
      <c r="S152" s="275">
        <f>+List34[[#This Row],[Pengajuan Donasi]]-List34[[#This Row],[Jumlah Transfer]]</f>
        <v>0</v>
      </c>
      <c r="T152" s="275"/>
    </row>
    <row r="153" spans="1:20" s="4" customFormat="1" ht="30" customHeight="1" x14ac:dyDescent="0.2">
      <c r="A153" s="102">
        <v>44624</v>
      </c>
      <c r="B153" s="67" t="s">
        <v>761</v>
      </c>
      <c r="C153" s="14" t="s">
        <v>908</v>
      </c>
      <c r="D153" s="14" t="s">
        <v>26</v>
      </c>
      <c r="E153" s="14" t="s">
        <v>18</v>
      </c>
      <c r="F153" s="15">
        <v>1</v>
      </c>
      <c r="G153" s="258">
        <v>1000000</v>
      </c>
      <c r="H153" s="267">
        <v>1000000</v>
      </c>
      <c r="I153" s="213" t="str">
        <f>IF(List34[[#This Row],[Tanggal Trf]]&gt;0,"Done","-")</f>
        <v>Done</v>
      </c>
      <c r="J153" s="437"/>
      <c r="K153" s="221">
        <v>44631</v>
      </c>
      <c r="L153" s="14" t="s">
        <v>762</v>
      </c>
      <c r="M153" s="100">
        <f>MONTH(List34[[#This Row],[Tanggal Pengajuan]])</f>
        <v>3</v>
      </c>
      <c r="N153" s="183"/>
      <c r="O153" s="100" t="s">
        <v>746</v>
      </c>
      <c r="P153" s="111"/>
      <c r="Q153" s="230" t="s">
        <v>958</v>
      </c>
      <c r="S153" s="275">
        <f>+List34[[#This Row],[Pengajuan Donasi]]-List34[[#This Row],[Jumlah Transfer]]</f>
        <v>0</v>
      </c>
      <c r="T153" s="275"/>
    </row>
    <row r="154" spans="1:20" s="4" customFormat="1" ht="30" customHeight="1" x14ac:dyDescent="0.2">
      <c r="A154" s="102">
        <v>44658</v>
      </c>
      <c r="B154" s="593"/>
      <c r="C154" s="14" t="s">
        <v>908</v>
      </c>
      <c r="D154" s="14" t="s">
        <v>26</v>
      </c>
      <c r="E154" s="14" t="s">
        <v>18</v>
      </c>
      <c r="F154" s="15">
        <v>1</v>
      </c>
      <c r="G154" s="259">
        <v>1000000</v>
      </c>
      <c r="H154" s="267">
        <f>List34[[#This Row],[Pengajuan Donasi]]</f>
        <v>10000000</v>
      </c>
      <c r="I154" s="215" t="str">
        <f>IF(List34[[#This Row],[Tanggal Trf]]&gt;0,"Done","-")</f>
        <v>Done</v>
      </c>
      <c r="J154" s="608"/>
      <c r="K154" s="221">
        <v>44666</v>
      </c>
      <c r="L154" s="176" t="s">
        <v>762</v>
      </c>
      <c r="M154" s="20">
        <f>MONTH(List34[[#This Row],[Tanggal Pengajuan]])</f>
        <v>3</v>
      </c>
      <c r="N154" s="183">
        <v>44673</v>
      </c>
      <c r="O154" s="105" t="s">
        <v>795</v>
      </c>
      <c r="P154" s="111"/>
      <c r="Q154" s="230" t="s">
        <v>958</v>
      </c>
      <c r="S154" s="275">
        <f>+List34[[#This Row],[Pengajuan Donasi]]-List34[[#This Row],[Jumlah Transfer]]</f>
        <v>0</v>
      </c>
      <c r="T154" s="275"/>
    </row>
    <row r="155" spans="1:20" s="4" customFormat="1" ht="30" customHeight="1" x14ac:dyDescent="0.2">
      <c r="A155" s="102">
        <v>44687</v>
      </c>
      <c r="B155" s="67"/>
      <c r="C155" s="14" t="s">
        <v>955</v>
      </c>
      <c r="D155" s="14" t="s">
        <v>26</v>
      </c>
      <c r="E155" s="14" t="s">
        <v>18</v>
      </c>
      <c r="F155" s="15">
        <v>1</v>
      </c>
      <c r="G155" s="263">
        <v>1000000</v>
      </c>
      <c r="H155" s="267">
        <f>List34[[#This Row],[Pengajuan Donasi]]</f>
        <v>5000000</v>
      </c>
      <c r="I155" s="215" t="str">
        <f>IF(List34[[#This Row],[Tanggal Trf]]&gt;0,"Done","-")</f>
        <v>Done</v>
      </c>
      <c r="J155" s="608"/>
      <c r="K155" s="221">
        <v>44693</v>
      </c>
      <c r="L155" s="176" t="s">
        <v>762</v>
      </c>
      <c r="M155" s="20">
        <f>MONTH(List34[[#This Row],[Tanggal Pengajuan]])</f>
        <v>3</v>
      </c>
      <c r="N155" s="183">
        <v>44694</v>
      </c>
      <c r="O155" s="100" t="s">
        <v>932</v>
      </c>
      <c r="P155" s="111"/>
      <c r="Q155" s="230" t="s">
        <v>958</v>
      </c>
      <c r="S155" s="275">
        <f>+List34[[#This Row],[Pengajuan Donasi]]-List34[[#This Row],[Jumlah Transfer]]</f>
        <v>0</v>
      </c>
      <c r="T155" s="275"/>
    </row>
    <row r="156" spans="1:20" s="4" customFormat="1" ht="30" customHeight="1" x14ac:dyDescent="0.2">
      <c r="A156" s="102">
        <v>44715</v>
      </c>
      <c r="B156" s="67"/>
      <c r="C156" s="14" t="s">
        <v>955</v>
      </c>
      <c r="D156" s="14" t="s">
        <v>26</v>
      </c>
      <c r="E156" s="14" t="s">
        <v>18</v>
      </c>
      <c r="F156" s="15">
        <v>1</v>
      </c>
      <c r="G156" s="377">
        <v>1000000</v>
      </c>
      <c r="H156" s="267">
        <f>List34[[#This Row],[Pengajuan Donasi]]</f>
        <v>5000000</v>
      </c>
      <c r="I156" s="213" t="str">
        <f>IF(List34[[#This Row],[Tanggal Trf]]&gt;0,"Done","-")</f>
        <v>Done</v>
      </c>
      <c r="J156" s="437"/>
      <c r="K156" s="221">
        <v>44722</v>
      </c>
      <c r="L156" s="176" t="s">
        <v>762</v>
      </c>
      <c r="M156" s="100">
        <f>MONTH(List34[[#This Row],[Tanggal Pengajuan]])</f>
        <v>3</v>
      </c>
      <c r="N156" s="183">
        <v>44747</v>
      </c>
      <c r="O156" s="100" t="s">
        <v>1116</v>
      </c>
      <c r="P156" s="111"/>
      <c r="Q156" s="230" t="s">
        <v>958</v>
      </c>
      <c r="S156" s="275">
        <f>+List34[[#This Row],[Pengajuan Donasi]]-List34[[#This Row],[Jumlah Transfer]]</f>
        <v>0</v>
      </c>
      <c r="T156" s="275"/>
    </row>
    <row r="157" spans="1:20" s="4" customFormat="1" ht="30" customHeight="1" x14ac:dyDescent="0.2">
      <c r="A157" s="102">
        <v>44746</v>
      </c>
      <c r="B157" s="67"/>
      <c r="C157" s="14" t="s">
        <v>955</v>
      </c>
      <c r="D157" s="14" t="s">
        <v>26</v>
      </c>
      <c r="E157" s="14" t="s">
        <v>18</v>
      </c>
      <c r="F157" s="471">
        <v>1</v>
      </c>
      <c r="G157" s="258">
        <v>1000000</v>
      </c>
      <c r="H157" s="267">
        <f>List34[[#This Row],[Pengajuan Donasi]]</f>
        <v>10000000</v>
      </c>
      <c r="I157" s="213" t="str">
        <f>IF(List34[[#This Row],[Tanggal Trf]]&gt;0,"Done","-")</f>
        <v>Done</v>
      </c>
      <c r="J157" s="437" t="s">
        <v>1160</v>
      </c>
      <c r="K157" s="484">
        <v>44764</v>
      </c>
      <c r="L157" s="14" t="s">
        <v>762</v>
      </c>
      <c r="M157" s="100">
        <f>MONTH(List34[[#This Row],[Tanggal Pengajuan]])</f>
        <v>3</v>
      </c>
      <c r="N157" s="183"/>
      <c r="O157" s="100" t="s">
        <v>1180</v>
      </c>
      <c r="P157" s="111"/>
      <c r="Q157" s="230" t="s">
        <v>958</v>
      </c>
      <c r="S157" s="275">
        <f>+List34[[#This Row],[Pengajuan Donasi]]-List34[[#This Row],[Jumlah Transfer]]</f>
        <v>0</v>
      </c>
      <c r="T157" s="275"/>
    </row>
    <row r="158" spans="1:20" s="4" customFormat="1" ht="30" customHeight="1" x14ac:dyDescent="0.2">
      <c r="A158" s="102">
        <v>44775</v>
      </c>
      <c r="B158" s="67"/>
      <c r="C158" s="14" t="s">
        <v>955</v>
      </c>
      <c r="D158" s="14" t="s">
        <v>26</v>
      </c>
      <c r="E158" s="14" t="s">
        <v>18</v>
      </c>
      <c r="F158" s="471">
        <v>1</v>
      </c>
      <c r="G158" s="258">
        <v>1000000</v>
      </c>
      <c r="H158" s="267">
        <f>List34[[#This Row],[Pengajuan Donasi]]</f>
        <v>10000000</v>
      </c>
      <c r="I158" s="213" t="str">
        <f>IF(List34[[#This Row],[Tanggal Trf]]&gt;0,"Done","-")</f>
        <v>Done</v>
      </c>
      <c r="J158" s="100" t="s">
        <v>1209</v>
      </c>
      <c r="K158" s="484">
        <v>44792</v>
      </c>
      <c r="L158" s="14" t="s">
        <v>762</v>
      </c>
      <c r="M158" s="100">
        <f>MONTH(List34[[#This Row],[Tanggal Pengajuan]])</f>
        <v>3</v>
      </c>
      <c r="N158" s="183"/>
      <c r="O158" s="100" t="s">
        <v>1268</v>
      </c>
      <c r="P158" s="111"/>
      <c r="Q158" s="230" t="s">
        <v>958</v>
      </c>
      <c r="S158" s="275">
        <f>+List34[[#This Row],[Pengajuan Donasi]]-List34[[#This Row],[Jumlah Transfer]]</f>
        <v>0</v>
      </c>
      <c r="T158" s="275"/>
    </row>
    <row r="159" spans="1:20" s="4" customFormat="1" ht="30" customHeight="1" x14ac:dyDescent="0.2">
      <c r="A159" s="102">
        <v>44775</v>
      </c>
      <c r="B159" s="67"/>
      <c r="C159" s="14" t="s">
        <v>1215</v>
      </c>
      <c r="D159" s="14" t="s">
        <v>26</v>
      </c>
      <c r="E159" s="14" t="s">
        <v>18</v>
      </c>
      <c r="F159" s="471">
        <v>1</v>
      </c>
      <c r="G159" s="258">
        <v>750000</v>
      </c>
      <c r="H159" s="267">
        <f>List34[[#This Row],[Pengajuan Donasi]]</f>
        <v>20000000</v>
      </c>
      <c r="I159" s="213" t="str">
        <f>IF(List34[[#This Row],[Tanggal Trf]]&gt;0,"Done","-")</f>
        <v>Done</v>
      </c>
      <c r="J159" s="100" t="s">
        <v>1209</v>
      </c>
      <c r="K159" s="484">
        <v>44792</v>
      </c>
      <c r="L159" s="14" t="s">
        <v>1218</v>
      </c>
      <c r="M159" s="100">
        <f>MONTH(List34[[#This Row],[Tanggal Pengajuan]])</f>
        <v>3</v>
      </c>
      <c r="N159" s="183"/>
      <c r="O159" s="105" t="s">
        <v>1268</v>
      </c>
      <c r="P159" s="111"/>
      <c r="Q159" s="230" t="s">
        <v>958</v>
      </c>
      <c r="S159" s="275">
        <f>+List34[[#This Row],[Pengajuan Donasi]]-List34[[#This Row],[Jumlah Transfer]]</f>
        <v>0</v>
      </c>
      <c r="T159" s="275"/>
    </row>
    <row r="160" spans="1:20" s="4" customFormat="1" ht="30" customHeight="1" x14ac:dyDescent="0.2">
      <c r="A160" s="102">
        <v>44566</v>
      </c>
      <c r="B160" s="593"/>
      <c r="C160" s="14" t="s">
        <v>875</v>
      </c>
      <c r="D160" s="14" t="s">
        <v>26</v>
      </c>
      <c r="E160" s="14" t="s">
        <v>18</v>
      </c>
      <c r="F160" s="469">
        <v>1</v>
      </c>
      <c r="G160" s="260">
        <v>1000000</v>
      </c>
      <c r="H160" s="267">
        <f>List34[[#This Row],[Pengajuan Donasi]]</f>
        <v>500000</v>
      </c>
      <c r="I160" s="215" t="str">
        <f>IF(List34[[#This Row],[Tanggal Trf]]&gt;0,"Done","-")</f>
        <v>Done</v>
      </c>
      <c r="J160" s="608"/>
      <c r="K160" s="221">
        <v>44580</v>
      </c>
      <c r="L160" s="208" t="s">
        <v>453</v>
      </c>
      <c r="M160" s="20">
        <f>MONTH(List34[[#This Row],[Tanggal Pengajuan]])</f>
        <v>3</v>
      </c>
      <c r="N160" s="183"/>
      <c r="O160" s="105" t="s">
        <v>651</v>
      </c>
      <c r="P160" s="111"/>
      <c r="Q160" s="230" t="s">
        <v>958</v>
      </c>
      <c r="S160" s="275">
        <f>+List34[[#This Row],[Pengajuan Donasi]]-List34[[#This Row],[Jumlah Transfer]]</f>
        <v>0</v>
      </c>
      <c r="T160" s="275"/>
    </row>
    <row r="161" spans="1:20" s="4" customFormat="1" ht="30" customHeight="1" x14ac:dyDescent="0.2">
      <c r="A161" s="102">
        <v>44596</v>
      </c>
      <c r="B161" s="66"/>
      <c r="C161" s="14" t="s">
        <v>875</v>
      </c>
      <c r="D161" s="14" t="s">
        <v>26</v>
      </c>
      <c r="E161" s="14" t="s">
        <v>18</v>
      </c>
      <c r="F161" s="15">
        <v>1</v>
      </c>
      <c r="G161" s="264">
        <v>1000000</v>
      </c>
      <c r="H161" s="258">
        <f>List34[[#This Row],[Pengajuan Donasi]]</f>
        <v>500000</v>
      </c>
      <c r="I161" s="213" t="str">
        <f>IF(List34[[#This Row],[Tanggal Trf]]&gt;0,"Done","-")</f>
        <v>Done</v>
      </c>
      <c r="J161" s="445" t="s">
        <v>701</v>
      </c>
      <c r="K161" s="221">
        <v>44607</v>
      </c>
      <c r="L161" s="205" t="s">
        <v>453</v>
      </c>
      <c r="M161" s="100">
        <f>MONTH(List34[[#This Row],[Tanggal Pengajuan]])</f>
        <v>3</v>
      </c>
      <c r="N161" s="183"/>
      <c r="O161" s="105" t="s">
        <v>707</v>
      </c>
      <c r="P161" s="198"/>
      <c r="Q161" s="230" t="s">
        <v>958</v>
      </c>
      <c r="S161" s="275">
        <f>+List34[[#This Row],[Pengajuan Donasi]]-List34[[#This Row],[Jumlah Transfer]]</f>
        <v>0</v>
      </c>
      <c r="T161" s="275"/>
    </row>
    <row r="162" spans="1:20" s="4" customFormat="1" ht="30" customHeight="1" x14ac:dyDescent="0.2">
      <c r="A162" s="102">
        <v>44624</v>
      </c>
      <c r="B162" s="67"/>
      <c r="C162" s="14" t="s">
        <v>875</v>
      </c>
      <c r="D162" s="14" t="s">
        <v>26</v>
      </c>
      <c r="E162" s="14" t="s">
        <v>18</v>
      </c>
      <c r="F162" s="15">
        <v>1</v>
      </c>
      <c r="G162" s="264">
        <v>1000000</v>
      </c>
      <c r="H162" s="267">
        <f>List34[[#This Row],[Pengajuan Donasi]]</f>
        <v>500000</v>
      </c>
      <c r="I162" s="213" t="str">
        <f>IF(List34[[#This Row],[Tanggal Trf]]&gt;0,"Done","-")</f>
        <v>Done</v>
      </c>
      <c r="J162" s="437"/>
      <c r="K162" s="221">
        <v>44630</v>
      </c>
      <c r="L162" s="205" t="s">
        <v>453</v>
      </c>
      <c r="M162" s="100">
        <f>MONTH(List34[[#This Row],[Tanggal Pengajuan]])</f>
        <v>3</v>
      </c>
      <c r="N162" s="183"/>
      <c r="O162" s="105" t="s">
        <v>746</v>
      </c>
      <c r="P162" s="111"/>
      <c r="Q162" s="230" t="s">
        <v>958</v>
      </c>
      <c r="S162" s="275">
        <f>+List34[[#This Row],[Pengajuan Donasi]]-List34[[#This Row],[Jumlah Transfer]]</f>
        <v>0</v>
      </c>
      <c r="T162" s="275"/>
    </row>
    <row r="163" spans="1:20" s="4" customFormat="1" ht="30" customHeight="1" x14ac:dyDescent="0.2">
      <c r="A163" s="102">
        <v>44658</v>
      </c>
      <c r="B163" s="67"/>
      <c r="C163" s="14" t="s">
        <v>875</v>
      </c>
      <c r="D163" s="14" t="s">
        <v>26</v>
      </c>
      <c r="E163" s="14" t="s">
        <v>18</v>
      </c>
      <c r="F163" s="15">
        <v>1</v>
      </c>
      <c r="G163" s="297">
        <v>1000000</v>
      </c>
      <c r="H163" s="267">
        <f>List34[[#This Row],[Pengajuan Donasi]]</f>
        <v>500000</v>
      </c>
      <c r="I163" s="213" t="str">
        <f>IF(List34[[#This Row],[Tanggal Trf]]&gt;0,"Done","-")</f>
        <v>Done</v>
      </c>
      <c r="J163" s="437"/>
      <c r="K163" s="221">
        <v>44666</v>
      </c>
      <c r="L163" s="619" t="s">
        <v>453</v>
      </c>
      <c r="M163" s="100">
        <f>MONTH(List34[[#This Row],[Tanggal Pengajuan]])</f>
        <v>3</v>
      </c>
      <c r="N163" s="183">
        <v>44673</v>
      </c>
      <c r="O163" s="100" t="s">
        <v>795</v>
      </c>
      <c r="P163" s="111"/>
      <c r="Q163" s="230" t="s">
        <v>958</v>
      </c>
      <c r="S163" s="275">
        <f>+List34[[#This Row],[Pengajuan Donasi]]-List34[[#This Row],[Jumlah Transfer]]</f>
        <v>0</v>
      </c>
      <c r="T163" s="275"/>
    </row>
    <row r="164" spans="1:20" s="4" customFormat="1" ht="30" customHeight="1" x14ac:dyDescent="0.2">
      <c r="A164" s="102">
        <v>44687</v>
      </c>
      <c r="B164" s="67"/>
      <c r="C164" s="14" t="s">
        <v>875</v>
      </c>
      <c r="D164" s="103" t="s">
        <v>26</v>
      </c>
      <c r="E164" s="14" t="s">
        <v>18</v>
      </c>
      <c r="F164" s="15">
        <v>1</v>
      </c>
      <c r="G164" s="269">
        <v>1000000</v>
      </c>
      <c r="H164" s="258">
        <f>List34[[#This Row],[Pengajuan Donasi]]</f>
        <v>500000</v>
      </c>
      <c r="I164" s="213" t="str">
        <f>IF(List34[[#This Row],[Tanggal Trf]]&gt;0,"Done","-")</f>
        <v>Done</v>
      </c>
      <c r="J164" s="437"/>
      <c r="K164" s="221">
        <v>44693</v>
      </c>
      <c r="L164" s="619" t="s">
        <v>453</v>
      </c>
      <c r="M164" s="100">
        <f>MONTH(List34[[#This Row],[Tanggal Pengajuan]])</f>
        <v>3</v>
      </c>
      <c r="N164" s="183">
        <v>44694</v>
      </c>
      <c r="O164" s="100" t="s">
        <v>932</v>
      </c>
      <c r="P164" s="111"/>
      <c r="Q164" s="230" t="s">
        <v>958</v>
      </c>
      <c r="S164" s="275">
        <f>+List34[[#This Row],[Pengajuan Donasi]]-List34[[#This Row],[Jumlah Transfer]]</f>
        <v>0</v>
      </c>
      <c r="T164" s="275"/>
    </row>
    <row r="165" spans="1:20" s="4" customFormat="1" ht="30" customHeight="1" x14ac:dyDescent="0.2">
      <c r="A165" s="102">
        <v>44715</v>
      </c>
      <c r="B165" s="67"/>
      <c r="C165" s="14" t="s">
        <v>875</v>
      </c>
      <c r="D165" s="14" t="s">
        <v>26</v>
      </c>
      <c r="E165" s="14" t="s">
        <v>18</v>
      </c>
      <c r="F165" s="15">
        <v>1</v>
      </c>
      <c r="G165" s="378">
        <v>1000000</v>
      </c>
      <c r="H165" s="258">
        <f>List34[[#This Row],[Pengajuan Donasi]]</f>
        <v>500000</v>
      </c>
      <c r="I165" s="213" t="str">
        <f>IF(List34[[#This Row],[Tanggal Trf]]&gt;0,"Done","-")</f>
        <v>Done</v>
      </c>
      <c r="J165" s="437"/>
      <c r="K165" s="221">
        <v>44722</v>
      </c>
      <c r="L165" s="619" t="s">
        <v>453</v>
      </c>
      <c r="M165" s="100">
        <f>MONTH(List34[[#This Row],[Tanggal Pengajuan]])</f>
        <v>3</v>
      </c>
      <c r="N165" s="183">
        <v>44747</v>
      </c>
      <c r="O165" s="100" t="s">
        <v>1116</v>
      </c>
      <c r="P165" s="111"/>
      <c r="Q165" s="230" t="s">
        <v>958</v>
      </c>
      <c r="S165" s="275">
        <f>+List34[[#This Row],[Pengajuan Donasi]]-List34[[#This Row],[Jumlah Transfer]]</f>
        <v>0</v>
      </c>
      <c r="T165" s="275"/>
    </row>
    <row r="166" spans="1:20" s="4" customFormat="1" ht="30" customHeight="1" x14ac:dyDescent="0.2">
      <c r="A166" s="102">
        <v>44746</v>
      </c>
      <c r="B166" s="67"/>
      <c r="C166" s="103" t="s">
        <v>875</v>
      </c>
      <c r="D166" s="103" t="s">
        <v>26</v>
      </c>
      <c r="E166" s="103" t="s">
        <v>18</v>
      </c>
      <c r="F166" s="471">
        <v>1</v>
      </c>
      <c r="G166" s="267">
        <v>1000000</v>
      </c>
      <c r="H166" s="267">
        <f>List34[[#This Row],[Pengajuan Donasi]]</f>
        <v>500000</v>
      </c>
      <c r="I166" s="214" t="str">
        <f>IF(List34[[#This Row],[Tanggal Trf]]&gt;0,"Done","-")</f>
        <v>Done</v>
      </c>
      <c r="J166" s="437" t="s">
        <v>1160</v>
      </c>
      <c r="K166" s="484">
        <v>44764</v>
      </c>
      <c r="L166" s="105" t="s">
        <v>453</v>
      </c>
      <c r="M166" s="100">
        <f>MONTH(List34[[#This Row],[Tanggal Pengajuan]])</f>
        <v>3</v>
      </c>
      <c r="N166" s="183"/>
      <c r="O166" s="105" t="s">
        <v>1180</v>
      </c>
      <c r="P166" s="111"/>
      <c r="Q166" s="230" t="s">
        <v>958</v>
      </c>
      <c r="S166" s="275">
        <f>+List34[[#This Row],[Pengajuan Donasi]]-List34[[#This Row],[Jumlah Transfer]]</f>
        <v>0</v>
      </c>
      <c r="T166" s="275"/>
    </row>
    <row r="167" spans="1:20" s="4" customFormat="1" ht="30" customHeight="1" x14ac:dyDescent="0.2">
      <c r="A167" s="102">
        <v>44775</v>
      </c>
      <c r="B167" s="67"/>
      <c r="C167" s="103" t="s">
        <v>875</v>
      </c>
      <c r="D167" s="103" t="s">
        <v>26</v>
      </c>
      <c r="E167" s="103" t="s">
        <v>18</v>
      </c>
      <c r="F167" s="471">
        <v>1</v>
      </c>
      <c r="G167" s="258">
        <v>1000000</v>
      </c>
      <c r="H167" s="258">
        <f>List34[[#This Row],[Pengajuan Donasi]]</f>
        <v>500000</v>
      </c>
      <c r="I167" s="213" t="str">
        <f>IF(List34[[#This Row],[Tanggal Trf]]&gt;0,"Done","-")</f>
        <v>Done</v>
      </c>
      <c r="J167" s="100" t="s">
        <v>1209</v>
      </c>
      <c r="K167" s="484">
        <v>44792</v>
      </c>
      <c r="L167" s="100" t="s">
        <v>453</v>
      </c>
      <c r="M167" s="100">
        <f>MONTH(List34[[#This Row],[Tanggal Pengajuan]])</f>
        <v>3</v>
      </c>
      <c r="N167" s="183"/>
      <c r="O167" s="105" t="s">
        <v>1268</v>
      </c>
      <c r="P167" s="111"/>
      <c r="Q167" s="230" t="s">
        <v>958</v>
      </c>
      <c r="S167" s="275">
        <f>+List34[[#This Row],[Pengajuan Donasi]]-List34[[#This Row],[Jumlah Transfer]]</f>
        <v>0</v>
      </c>
      <c r="T167" s="275"/>
    </row>
    <row r="168" spans="1:20" s="4" customFormat="1" ht="30" customHeight="1" x14ac:dyDescent="0.2">
      <c r="A168" s="102">
        <v>44566</v>
      </c>
      <c r="B168" s="67"/>
      <c r="C168" s="14" t="s">
        <v>884</v>
      </c>
      <c r="D168" s="103" t="s">
        <v>26</v>
      </c>
      <c r="E168" s="103" t="s">
        <v>18</v>
      </c>
      <c r="F168" s="469">
        <v>1</v>
      </c>
      <c r="G168" s="259">
        <v>1000000</v>
      </c>
      <c r="H168" s="258">
        <f>List34[[#This Row],[Pengajuan Donasi]]</f>
        <v>500000</v>
      </c>
      <c r="I168" s="213" t="str">
        <f>IF(List34[[#This Row],[Tanggal Trf]]&gt;0,"Done","-")</f>
        <v>Done</v>
      </c>
      <c r="J168" s="437"/>
      <c r="K168" s="221">
        <v>44580</v>
      </c>
      <c r="L168" s="722" t="s">
        <v>874</v>
      </c>
      <c r="M168" s="100">
        <f>MONTH(List34[[#This Row],[Tanggal Pengajuan]])</f>
        <v>3</v>
      </c>
      <c r="N168" s="183"/>
      <c r="O168" s="105" t="s">
        <v>651</v>
      </c>
      <c r="P168" s="111"/>
      <c r="Q168" s="230" t="s">
        <v>958</v>
      </c>
      <c r="S168" s="275">
        <f>+List34[[#This Row],[Pengajuan Donasi]]-List34[[#This Row],[Jumlah Transfer]]</f>
        <v>0</v>
      </c>
      <c r="T168" s="275"/>
    </row>
    <row r="169" spans="1:20" s="4" customFormat="1" ht="30" customHeight="1" x14ac:dyDescent="0.2">
      <c r="A169" s="102">
        <v>44596</v>
      </c>
      <c r="B169" s="67"/>
      <c r="C169" s="103" t="s">
        <v>884</v>
      </c>
      <c r="D169" s="14" t="s">
        <v>26</v>
      </c>
      <c r="E169" s="14" t="s">
        <v>18</v>
      </c>
      <c r="F169" s="15">
        <v>1</v>
      </c>
      <c r="G169" s="265">
        <v>1000000</v>
      </c>
      <c r="H169" s="267">
        <f>List34[[#This Row],[Pengajuan Donasi]]</f>
        <v>500000</v>
      </c>
      <c r="I169" s="213" t="str">
        <f>IF(List34[[#This Row],[Tanggal Trf]]&gt;0,"Done","-")</f>
        <v>Done</v>
      </c>
      <c r="J169" s="437" t="s">
        <v>701</v>
      </c>
      <c r="K169" s="221">
        <v>44607</v>
      </c>
      <c r="L169" s="722" t="s">
        <v>874</v>
      </c>
      <c r="M169" s="100">
        <f>MONTH(List34[[#This Row],[Tanggal Pengajuan]])</f>
        <v>3</v>
      </c>
      <c r="N169" s="183"/>
      <c r="O169" s="105" t="s">
        <v>707</v>
      </c>
      <c r="P169" s="111"/>
      <c r="Q169" s="230" t="s">
        <v>958</v>
      </c>
      <c r="S169" s="275">
        <f>+List34[[#This Row],[Pengajuan Donasi]]-List34[[#This Row],[Jumlah Transfer]]</f>
        <v>0</v>
      </c>
      <c r="T169" s="275"/>
    </row>
    <row r="170" spans="1:20" s="4" customFormat="1" ht="30" customHeight="1" x14ac:dyDescent="0.2">
      <c r="A170" s="102">
        <v>44624</v>
      </c>
      <c r="B170" s="67"/>
      <c r="C170" s="103" t="s">
        <v>884</v>
      </c>
      <c r="D170" s="14" t="s">
        <v>26</v>
      </c>
      <c r="E170" s="14" t="s">
        <v>18</v>
      </c>
      <c r="F170" s="15">
        <v>1</v>
      </c>
      <c r="G170" s="265">
        <v>1000000</v>
      </c>
      <c r="H170" s="258">
        <f>List34[[#This Row],[Pengajuan Donasi]]</f>
        <v>500000</v>
      </c>
      <c r="I170" s="213" t="str">
        <f>IF(List34[[#This Row],[Tanggal Trf]]&gt;0,"Done","-")</f>
        <v>Done</v>
      </c>
      <c r="J170" s="437"/>
      <c r="K170" s="221">
        <v>44630</v>
      </c>
      <c r="L170" s="624" t="s">
        <v>874</v>
      </c>
      <c r="M170" s="100">
        <f>MONTH(List34[[#This Row],[Tanggal Pengajuan]])</f>
        <v>3</v>
      </c>
      <c r="N170" s="183"/>
      <c r="O170" s="105" t="s">
        <v>746</v>
      </c>
      <c r="P170" s="111"/>
      <c r="Q170" s="230" t="s">
        <v>958</v>
      </c>
      <c r="S170" s="275">
        <f>+List34[[#This Row],[Pengajuan Donasi]]-List34[[#This Row],[Jumlah Transfer]]</f>
        <v>0</v>
      </c>
      <c r="T170" s="275"/>
    </row>
    <row r="171" spans="1:20" s="4" customFormat="1" ht="30" customHeight="1" x14ac:dyDescent="0.2">
      <c r="A171" s="102">
        <v>44658</v>
      </c>
      <c r="B171" s="67"/>
      <c r="C171" s="103" t="s">
        <v>884</v>
      </c>
      <c r="D171" s="14" t="s">
        <v>26</v>
      </c>
      <c r="E171" s="14" t="s">
        <v>18</v>
      </c>
      <c r="F171" s="15">
        <v>1</v>
      </c>
      <c r="G171" s="259">
        <v>1000000</v>
      </c>
      <c r="H171" s="258">
        <f>List34[[#This Row],[Pengajuan Donasi]]</f>
        <v>500000</v>
      </c>
      <c r="I171" s="213" t="str">
        <f>IF(List34[[#This Row],[Tanggal Trf]]&gt;0,"Done","-")</f>
        <v>Done</v>
      </c>
      <c r="J171" s="437"/>
      <c r="K171" s="221">
        <v>44666</v>
      </c>
      <c r="L171" s="624" t="s">
        <v>874</v>
      </c>
      <c r="M171" s="100">
        <f>MONTH(List34[[#This Row],[Tanggal Pengajuan]])</f>
        <v>3</v>
      </c>
      <c r="N171" s="183">
        <v>44673</v>
      </c>
      <c r="O171" s="105" t="s">
        <v>795</v>
      </c>
      <c r="P171" s="111"/>
      <c r="Q171" s="230" t="s">
        <v>958</v>
      </c>
      <c r="S171" s="275">
        <f>+List34[[#This Row],[Pengajuan Donasi]]-List34[[#This Row],[Jumlah Transfer]]</f>
        <v>0</v>
      </c>
      <c r="T171" s="275"/>
    </row>
    <row r="172" spans="1:20" s="4" customFormat="1" ht="30" customHeight="1" x14ac:dyDescent="0.2">
      <c r="A172" s="102">
        <v>44687</v>
      </c>
      <c r="B172" s="67"/>
      <c r="C172" s="103" t="s">
        <v>954</v>
      </c>
      <c r="D172" s="14" t="s">
        <v>26</v>
      </c>
      <c r="E172" s="14" t="s">
        <v>18</v>
      </c>
      <c r="F172" s="15">
        <v>1</v>
      </c>
      <c r="G172" s="263">
        <v>1000000</v>
      </c>
      <c r="H172" s="258">
        <f>List34[[#This Row],[Pengajuan Donasi]]</f>
        <v>500000</v>
      </c>
      <c r="I172" s="213" t="str">
        <f>IF(List34[[#This Row],[Tanggal Trf]]&gt;0,"Done","-")</f>
        <v>Done</v>
      </c>
      <c r="J172" s="437"/>
      <c r="K172" s="221">
        <v>44693</v>
      </c>
      <c r="L172" s="624" t="s">
        <v>874</v>
      </c>
      <c r="M172" s="100">
        <f>MONTH(List34[[#This Row],[Tanggal Pengajuan]])</f>
        <v>3</v>
      </c>
      <c r="N172" s="183">
        <v>44694</v>
      </c>
      <c r="O172" s="105" t="s">
        <v>932</v>
      </c>
      <c r="P172" s="111"/>
      <c r="Q172" s="230" t="s">
        <v>958</v>
      </c>
      <c r="S172" s="275">
        <f>+List34[[#This Row],[Pengajuan Donasi]]-List34[[#This Row],[Jumlah Transfer]]</f>
        <v>0</v>
      </c>
      <c r="T172" s="275"/>
    </row>
    <row r="173" spans="1:20" s="4" customFormat="1" ht="30" customHeight="1" x14ac:dyDescent="0.2">
      <c r="A173" s="102">
        <v>44715</v>
      </c>
      <c r="B173" s="67"/>
      <c r="C173" s="103" t="s">
        <v>954</v>
      </c>
      <c r="D173" s="14" t="s">
        <v>26</v>
      </c>
      <c r="E173" s="14" t="s">
        <v>18</v>
      </c>
      <c r="F173" s="15">
        <v>1</v>
      </c>
      <c r="G173" s="377">
        <v>1000000</v>
      </c>
      <c r="H173" s="258">
        <f>List34[[#This Row],[Pengajuan Donasi]]</f>
        <v>500000</v>
      </c>
      <c r="I173" s="213" t="str">
        <f>IF(List34[[#This Row],[Tanggal Trf]]&gt;0,"Done","-")</f>
        <v>Done</v>
      </c>
      <c r="J173" s="437"/>
      <c r="K173" s="221">
        <v>44722</v>
      </c>
      <c r="L173" s="624" t="s">
        <v>874</v>
      </c>
      <c r="M173" s="100">
        <f>MONTH(List34[[#This Row],[Tanggal Pengajuan]])</f>
        <v>3</v>
      </c>
      <c r="N173" s="183">
        <v>44747</v>
      </c>
      <c r="O173" s="105" t="s">
        <v>1116</v>
      </c>
      <c r="P173" s="111"/>
      <c r="Q173" s="230" t="s">
        <v>958</v>
      </c>
      <c r="S173" s="275">
        <f>+List34[[#This Row],[Pengajuan Donasi]]-List34[[#This Row],[Jumlah Transfer]]</f>
        <v>0</v>
      </c>
      <c r="T173" s="275"/>
    </row>
    <row r="174" spans="1:20" s="4" customFormat="1" ht="30" customHeight="1" x14ac:dyDescent="0.2">
      <c r="A174" s="102">
        <v>44746</v>
      </c>
      <c r="B174" s="67"/>
      <c r="C174" s="103" t="s">
        <v>954</v>
      </c>
      <c r="D174" s="14" t="s">
        <v>26</v>
      </c>
      <c r="E174" s="14" t="s">
        <v>18</v>
      </c>
      <c r="F174" s="471">
        <v>1</v>
      </c>
      <c r="G174" s="258">
        <v>1000000</v>
      </c>
      <c r="H174" s="258">
        <f>List34[[#This Row],[Pengajuan Donasi]]</f>
        <v>500000</v>
      </c>
      <c r="I174" s="213" t="str">
        <f>IF(List34[[#This Row],[Tanggal Trf]]&gt;0,"Done","-")</f>
        <v>Done</v>
      </c>
      <c r="J174" s="437" t="s">
        <v>1160</v>
      </c>
      <c r="K174" s="484">
        <v>44764</v>
      </c>
      <c r="L174" s="100" t="s">
        <v>874</v>
      </c>
      <c r="M174" s="100">
        <f>MONTH(List34[[#This Row],[Tanggal Pengajuan]])</f>
        <v>3</v>
      </c>
      <c r="N174" s="183"/>
      <c r="O174" s="105" t="s">
        <v>1180</v>
      </c>
      <c r="P174" s="111"/>
      <c r="Q174" s="230" t="s">
        <v>958</v>
      </c>
      <c r="S174" s="275">
        <f>+List34[[#This Row],[Pengajuan Donasi]]-List34[[#This Row],[Jumlah Transfer]]</f>
        <v>0</v>
      </c>
      <c r="T174" s="275"/>
    </row>
    <row r="175" spans="1:20" s="4" customFormat="1" ht="30" customHeight="1" x14ac:dyDescent="0.2">
      <c r="A175" s="102">
        <v>44775</v>
      </c>
      <c r="B175" s="67"/>
      <c r="C175" s="103" t="s">
        <v>954</v>
      </c>
      <c r="D175" s="14" t="s">
        <v>26</v>
      </c>
      <c r="E175" s="14" t="s">
        <v>18</v>
      </c>
      <c r="F175" s="471">
        <v>1</v>
      </c>
      <c r="G175" s="258">
        <v>1000000</v>
      </c>
      <c r="H175" s="258">
        <f>List34[[#This Row],[Pengajuan Donasi]]</f>
        <v>35000000</v>
      </c>
      <c r="I175" s="213" t="str">
        <f>IF(List34[[#This Row],[Tanggal Trf]]&gt;0,"Done","-")</f>
        <v>Done</v>
      </c>
      <c r="J175" s="100" t="s">
        <v>1209</v>
      </c>
      <c r="K175" s="484">
        <v>44792</v>
      </c>
      <c r="L175" s="100" t="s">
        <v>874</v>
      </c>
      <c r="M175" s="100">
        <f>MONTH(List34[[#This Row],[Tanggal Pengajuan]])</f>
        <v>3</v>
      </c>
      <c r="N175" s="183"/>
      <c r="O175" s="105" t="s">
        <v>1268</v>
      </c>
      <c r="P175" s="111"/>
      <c r="Q175" s="230" t="s">
        <v>958</v>
      </c>
      <c r="S175" s="275">
        <f>+List34[[#This Row],[Pengajuan Donasi]]-List34[[#This Row],[Jumlah Transfer]]</f>
        <v>0</v>
      </c>
      <c r="T175" s="275"/>
    </row>
    <row r="176" spans="1:20" s="4" customFormat="1" ht="30" customHeight="1" x14ac:dyDescent="0.2">
      <c r="A176" s="102">
        <v>44566</v>
      </c>
      <c r="B176" s="67"/>
      <c r="C176" s="103" t="s">
        <v>878</v>
      </c>
      <c r="D176" s="14" t="s">
        <v>26</v>
      </c>
      <c r="E176" s="14" t="s">
        <v>18</v>
      </c>
      <c r="F176" s="469">
        <v>1</v>
      </c>
      <c r="G176" s="260">
        <v>1000000</v>
      </c>
      <c r="H176" s="258">
        <f>List34[[#This Row],[Pengajuan Donasi]]</f>
        <v>1000000</v>
      </c>
      <c r="I176" s="213" t="str">
        <f>IF(List34[[#This Row],[Tanggal Trf]]&gt;0,"Done","-")</f>
        <v>Done</v>
      </c>
      <c r="J176" s="437"/>
      <c r="K176" s="221">
        <v>44580</v>
      </c>
      <c r="L176" s="619" t="s">
        <v>460</v>
      </c>
      <c r="M176" s="100">
        <f>MONTH(List34[[#This Row],[Tanggal Pengajuan]])</f>
        <v>3</v>
      </c>
      <c r="N176" s="183"/>
      <c r="O176" s="105" t="s">
        <v>651</v>
      </c>
      <c r="P176" s="111"/>
      <c r="Q176" s="230" t="s">
        <v>958</v>
      </c>
      <c r="S176" s="275">
        <f>+List34[[#This Row],[Pengajuan Donasi]]-List34[[#This Row],[Jumlah Transfer]]</f>
        <v>0</v>
      </c>
      <c r="T176" s="275"/>
    </row>
    <row r="177" spans="1:20" s="4" customFormat="1" ht="30" customHeight="1" x14ac:dyDescent="0.2">
      <c r="A177" s="102">
        <v>44596</v>
      </c>
      <c r="B177" s="67"/>
      <c r="C177" s="103" t="s">
        <v>878</v>
      </c>
      <c r="D177" s="14" t="s">
        <v>26</v>
      </c>
      <c r="E177" s="14" t="s">
        <v>18</v>
      </c>
      <c r="F177" s="15">
        <v>1</v>
      </c>
      <c r="G177" s="264">
        <v>1000000</v>
      </c>
      <c r="H177" s="258">
        <f>List34[[#This Row],[Pengajuan Donasi]]</f>
        <v>11875000</v>
      </c>
      <c r="I177" s="213" t="str">
        <f>IF(List34[[#This Row],[Tanggal Trf]]&gt;0,"Done","-")</f>
        <v>Done</v>
      </c>
      <c r="J177" s="437" t="s">
        <v>701</v>
      </c>
      <c r="K177" s="221">
        <v>44607</v>
      </c>
      <c r="L177" s="622" t="s">
        <v>460</v>
      </c>
      <c r="M177" s="100">
        <f>MONTH(List34[[#This Row],[Tanggal Pengajuan]])</f>
        <v>3</v>
      </c>
      <c r="N177" s="183"/>
      <c r="O177" s="105" t="s">
        <v>707</v>
      </c>
      <c r="P177" s="111"/>
      <c r="Q177" s="230" t="s">
        <v>958</v>
      </c>
      <c r="S177" s="275">
        <f>+List34[[#This Row],[Pengajuan Donasi]]-List34[[#This Row],[Jumlah Transfer]]</f>
        <v>0</v>
      </c>
      <c r="T177" s="275"/>
    </row>
    <row r="178" spans="1:20" s="4" customFormat="1" ht="30" customHeight="1" x14ac:dyDescent="0.2">
      <c r="A178" s="102">
        <v>44624</v>
      </c>
      <c r="B178" s="67"/>
      <c r="C178" s="103" t="s">
        <v>878</v>
      </c>
      <c r="D178" s="14" t="s">
        <v>26</v>
      </c>
      <c r="E178" s="14" t="s">
        <v>18</v>
      </c>
      <c r="F178" s="15">
        <v>1</v>
      </c>
      <c r="G178" s="264">
        <v>1000000</v>
      </c>
      <c r="H178" s="258">
        <f>List34[[#This Row],[Pengajuan Donasi]]</f>
        <v>1200000</v>
      </c>
      <c r="I178" s="213" t="str">
        <f>IF(List34[[#This Row],[Tanggal Trf]]&gt;0,"Done","-")</f>
        <v>Done</v>
      </c>
      <c r="J178" s="437"/>
      <c r="K178" s="221">
        <v>44630</v>
      </c>
      <c r="L178" s="622" t="s">
        <v>460</v>
      </c>
      <c r="M178" s="100">
        <f>MONTH(List34[[#This Row],[Tanggal Pengajuan]])</f>
        <v>3</v>
      </c>
      <c r="N178" s="183"/>
      <c r="O178" s="105" t="s">
        <v>746</v>
      </c>
      <c r="P178" s="111"/>
      <c r="Q178" s="230" t="s">
        <v>958</v>
      </c>
      <c r="S178" s="275">
        <f>+List34[[#This Row],[Pengajuan Donasi]]-List34[[#This Row],[Jumlah Transfer]]</f>
        <v>0</v>
      </c>
      <c r="T178" s="275"/>
    </row>
    <row r="179" spans="1:20" s="4" customFormat="1" ht="30" customHeight="1" x14ac:dyDescent="0.2">
      <c r="A179" s="102">
        <v>44658</v>
      </c>
      <c r="B179" s="67"/>
      <c r="C179" s="103" t="s">
        <v>878</v>
      </c>
      <c r="D179" s="14" t="s">
        <v>26</v>
      </c>
      <c r="E179" s="14" t="s">
        <v>18</v>
      </c>
      <c r="F179" s="15">
        <v>1</v>
      </c>
      <c r="G179" s="297">
        <v>1000000</v>
      </c>
      <c r="H179" s="258">
        <f>List34[[#This Row],[Pengajuan Donasi]]</f>
        <v>8500000</v>
      </c>
      <c r="I179" s="213" t="str">
        <f>IF(List34[[#This Row],[Tanggal Trf]]&gt;0,"Done","-")</f>
        <v>Done</v>
      </c>
      <c r="J179" s="437"/>
      <c r="K179" s="221">
        <v>44666</v>
      </c>
      <c r="L179" s="619" t="s">
        <v>460</v>
      </c>
      <c r="M179" s="100">
        <f>MONTH(List34[[#This Row],[Tanggal Pengajuan]])</f>
        <v>3</v>
      </c>
      <c r="N179" s="183">
        <v>44673</v>
      </c>
      <c r="O179" s="105" t="s">
        <v>795</v>
      </c>
      <c r="P179" s="111"/>
      <c r="Q179" s="230" t="s">
        <v>958</v>
      </c>
      <c r="S179" s="275">
        <f>+List34[[#This Row],[Pengajuan Donasi]]-List34[[#This Row],[Jumlah Transfer]]</f>
        <v>0</v>
      </c>
      <c r="T179" s="275"/>
    </row>
    <row r="180" spans="1:20" s="4" customFormat="1" ht="30" customHeight="1" x14ac:dyDescent="0.2">
      <c r="A180" s="102">
        <v>44687</v>
      </c>
      <c r="B180" s="67"/>
      <c r="C180" s="103" t="s">
        <v>878</v>
      </c>
      <c r="D180" s="14" t="s">
        <v>26</v>
      </c>
      <c r="E180" s="14" t="s">
        <v>18</v>
      </c>
      <c r="F180" s="15">
        <v>1</v>
      </c>
      <c r="G180" s="269">
        <v>1000000</v>
      </c>
      <c r="H180" s="258">
        <f>List34[[#This Row],[Pengajuan Donasi]]</f>
        <v>5500000</v>
      </c>
      <c r="I180" s="213" t="str">
        <f>IF(List34[[#This Row],[Tanggal Trf]]&gt;0,"Done","-")</f>
        <v>Done</v>
      </c>
      <c r="J180" s="437"/>
      <c r="K180" s="221">
        <v>44693</v>
      </c>
      <c r="L180" s="619" t="s">
        <v>460</v>
      </c>
      <c r="M180" s="100">
        <f>MONTH(List34[[#This Row],[Tanggal Pengajuan]])</f>
        <v>3</v>
      </c>
      <c r="N180" s="183">
        <v>44694</v>
      </c>
      <c r="O180" s="105" t="s">
        <v>932</v>
      </c>
      <c r="P180" s="111"/>
      <c r="Q180" s="230" t="s">
        <v>958</v>
      </c>
      <c r="S180" s="275">
        <f>+List34[[#This Row],[Pengajuan Donasi]]-List34[[#This Row],[Jumlah Transfer]]</f>
        <v>0</v>
      </c>
      <c r="T180" s="275"/>
    </row>
    <row r="181" spans="1:20" s="4" customFormat="1" ht="30" customHeight="1" x14ac:dyDescent="0.2">
      <c r="A181" s="102">
        <v>44715</v>
      </c>
      <c r="B181" s="67"/>
      <c r="C181" s="103" t="s">
        <v>878</v>
      </c>
      <c r="D181" s="14" t="s">
        <v>26</v>
      </c>
      <c r="E181" s="14" t="s">
        <v>18</v>
      </c>
      <c r="F181" s="15">
        <v>1</v>
      </c>
      <c r="G181" s="378">
        <v>1000000</v>
      </c>
      <c r="H181" s="258">
        <f>List34[[#This Row],[Pengajuan Donasi]]</f>
        <v>5500000</v>
      </c>
      <c r="I181" s="213" t="str">
        <f>IF(List34[[#This Row],[Tanggal Trf]]&gt;0,"Done","-")</f>
        <v>Done</v>
      </c>
      <c r="J181" s="437"/>
      <c r="K181" s="221">
        <v>44722</v>
      </c>
      <c r="L181" s="619" t="s">
        <v>460</v>
      </c>
      <c r="M181" s="100">
        <f>MONTH(List34[[#This Row],[Tanggal Pengajuan]])</f>
        <v>3</v>
      </c>
      <c r="N181" s="183">
        <v>44747</v>
      </c>
      <c r="O181" s="105" t="s">
        <v>1116</v>
      </c>
      <c r="P181" s="111"/>
      <c r="Q181" s="230" t="s">
        <v>958</v>
      </c>
      <c r="S181" s="275">
        <f>+List34[[#This Row],[Pengajuan Donasi]]-List34[[#This Row],[Jumlah Transfer]]</f>
        <v>0</v>
      </c>
      <c r="T181" s="275"/>
    </row>
    <row r="182" spans="1:20" s="4" customFormat="1" ht="30" customHeight="1" x14ac:dyDescent="0.2">
      <c r="A182" s="102">
        <v>44746</v>
      </c>
      <c r="B182" s="67"/>
      <c r="C182" s="103" t="s">
        <v>878</v>
      </c>
      <c r="D182" s="14" t="s">
        <v>26</v>
      </c>
      <c r="E182" s="14" t="s">
        <v>18</v>
      </c>
      <c r="F182" s="471">
        <v>1</v>
      </c>
      <c r="G182" s="258">
        <v>1000000</v>
      </c>
      <c r="H182" s="258">
        <f>List34[[#This Row],[Pengajuan Donasi]]</f>
        <v>7300000</v>
      </c>
      <c r="I182" s="213" t="str">
        <f>IF(List34[[#This Row],[Tanggal Trf]]&gt;0,"Done","-")</f>
        <v>Done</v>
      </c>
      <c r="J182" s="437" t="s">
        <v>1160</v>
      </c>
      <c r="K182" s="484">
        <v>44764</v>
      </c>
      <c r="L182" s="100" t="s">
        <v>460</v>
      </c>
      <c r="M182" s="100">
        <f>MONTH(List34[[#This Row],[Tanggal Pengajuan]])</f>
        <v>3</v>
      </c>
      <c r="N182" s="183"/>
      <c r="O182" s="105" t="s">
        <v>1180</v>
      </c>
      <c r="P182" s="111"/>
      <c r="Q182" s="230" t="s">
        <v>958</v>
      </c>
      <c r="S182" s="275">
        <f>+List34[[#This Row],[Pengajuan Donasi]]-List34[[#This Row],[Jumlah Transfer]]</f>
        <v>0</v>
      </c>
      <c r="T182" s="275"/>
    </row>
    <row r="183" spans="1:20" s="4" customFormat="1" ht="30" customHeight="1" x14ac:dyDescent="0.2">
      <c r="A183" s="102">
        <v>44775</v>
      </c>
      <c r="B183" s="67"/>
      <c r="C183" s="103" t="s">
        <v>878</v>
      </c>
      <c r="D183" s="14" t="s">
        <v>26</v>
      </c>
      <c r="E183" s="14" t="s">
        <v>18</v>
      </c>
      <c r="F183" s="471">
        <v>1</v>
      </c>
      <c r="G183" s="258">
        <v>1000000</v>
      </c>
      <c r="H183" s="258">
        <f>List34[[#This Row],[Pengajuan Donasi]]</f>
        <v>12210000</v>
      </c>
      <c r="I183" s="213" t="str">
        <f>IF(List34[[#This Row],[Tanggal Trf]]&gt;0,"Done","-")</f>
        <v>Done</v>
      </c>
      <c r="J183" s="100" t="s">
        <v>1209</v>
      </c>
      <c r="K183" s="484">
        <v>44792</v>
      </c>
      <c r="L183" s="100" t="s">
        <v>460</v>
      </c>
      <c r="M183" s="100">
        <f>MONTH(List34[[#This Row],[Tanggal Pengajuan]])</f>
        <v>3</v>
      </c>
      <c r="N183" s="183"/>
      <c r="O183" s="105" t="s">
        <v>1268</v>
      </c>
      <c r="P183" s="111"/>
      <c r="Q183" s="230" t="s">
        <v>958</v>
      </c>
      <c r="S183" s="275">
        <f>+List34[[#This Row],[Pengajuan Donasi]]-List34[[#This Row],[Jumlah Transfer]]</f>
        <v>0</v>
      </c>
      <c r="T183" s="275"/>
    </row>
    <row r="184" spans="1:20" s="4" customFormat="1" ht="30" customHeight="1" x14ac:dyDescent="0.2">
      <c r="A184" s="102">
        <v>44566</v>
      </c>
      <c r="B184" s="67"/>
      <c r="C184" s="103" t="s">
        <v>880</v>
      </c>
      <c r="D184" s="14" t="s">
        <v>26</v>
      </c>
      <c r="E184" s="14" t="s">
        <v>18</v>
      </c>
      <c r="F184" s="469">
        <v>1</v>
      </c>
      <c r="G184" s="259">
        <v>1000000</v>
      </c>
      <c r="H184" s="258">
        <f>List34[[#This Row],[Pengajuan Donasi]]</f>
        <v>5219000</v>
      </c>
      <c r="I184" s="213" t="str">
        <f>IF(List34[[#This Row],[Tanggal Trf]]&gt;0,"Done","-")</f>
        <v>Done</v>
      </c>
      <c r="J184" s="437"/>
      <c r="K184" s="221">
        <v>44580</v>
      </c>
      <c r="L184" s="620" t="s">
        <v>470</v>
      </c>
      <c r="M184" s="100">
        <f>MONTH(List34[[#This Row],[Tanggal Pengajuan]])</f>
        <v>3</v>
      </c>
      <c r="N184" s="183"/>
      <c r="O184" s="105" t="s">
        <v>651</v>
      </c>
      <c r="P184" s="111"/>
      <c r="Q184" s="230" t="s">
        <v>958</v>
      </c>
      <c r="S184" s="275">
        <f>+List34[[#This Row],[Pengajuan Donasi]]-List34[[#This Row],[Jumlah Transfer]]</f>
        <v>0</v>
      </c>
      <c r="T184" s="275"/>
    </row>
    <row r="185" spans="1:20" s="4" customFormat="1" ht="30" customHeight="1" x14ac:dyDescent="0.2">
      <c r="A185" s="102">
        <v>44596</v>
      </c>
      <c r="B185" s="67"/>
      <c r="C185" s="103" t="s">
        <v>880</v>
      </c>
      <c r="D185" s="14" t="s">
        <v>26</v>
      </c>
      <c r="E185" s="14" t="s">
        <v>18</v>
      </c>
      <c r="F185" s="15">
        <v>1</v>
      </c>
      <c r="G185" s="265">
        <v>1000000</v>
      </c>
      <c r="H185" s="258">
        <f>List34[[#This Row],[Pengajuan Donasi]]</f>
        <v>9884882</v>
      </c>
      <c r="I185" s="213" t="str">
        <f>IF(List34[[#This Row],[Tanggal Trf]]&gt;0,"Done","-")</f>
        <v>Done</v>
      </c>
      <c r="J185" s="437" t="s">
        <v>701</v>
      </c>
      <c r="K185" s="221">
        <v>44607</v>
      </c>
      <c r="L185" s="620" t="s">
        <v>470</v>
      </c>
      <c r="M185" s="100">
        <f>MONTH(List34[[#This Row],[Tanggal Pengajuan]])</f>
        <v>3</v>
      </c>
      <c r="N185" s="183"/>
      <c r="O185" s="105" t="s">
        <v>707</v>
      </c>
      <c r="P185" s="111"/>
      <c r="Q185" s="230" t="s">
        <v>958</v>
      </c>
      <c r="S185" s="275">
        <f>+List34[[#This Row],[Pengajuan Donasi]]-List34[[#This Row],[Jumlah Transfer]]</f>
        <v>0</v>
      </c>
      <c r="T185" s="275"/>
    </row>
    <row r="186" spans="1:20" s="4" customFormat="1" ht="30" customHeight="1" x14ac:dyDescent="0.2">
      <c r="A186" s="102">
        <v>44624</v>
      </c>
      <c r="B186" s="67"/>
      <c r="C186" s="103" t="s">
        <v>880</v>
      </c>
      <c r="D186" s="14" t="s">
        <v>26</v>
      </c>
      <c r="E186" s="103" t="s">
        <v>18</v>
      </c>
      <c r="F186" s="15">
        <v>1</v>
      </c>
      <c r="G186" s="265">
        <v>1000000</v>
      </c>
      <c r="H186" s="258">
        <f>List34[[#This Row],[Pengajuan Donasi]]</f>
        <v>5000942</v>
      </c>
      <c r="I186" s="213" t="str">
        <f>IF(List34[[#This Row],[Tanggal Trf]]&gt;0,"Done","-")</f>
        <v>Done</v>
      </c>
      <c r="J186" s="437"/>
      <c r="K186" s="221">
        <v>44630</v>
      </c>
      <c r="L186" s="620" t="s">
        <v>470</v>
      </c>
      <c r="M186" s="100">
        <f>MONTH(List34[[#This Row],[Tanggal Pengajuan]])</f>
        <v>3</v>
      </c>
      <c r="N186" s="183"/>
      <c r="O186" s="105" t="s">
        <v>746</v>
      </c>
      <c r="P186" s="111"/>
      <c r="Q186" s="230" t="s">
        <v>958</v>
      </c>
      <c r="S186" s="275">
        <f>+List34[[#This Row],[Pengajuan Donasi]]-List34[[#This Row],[Jumlah Transfer]]</f>
        <v>0</v>
      </c>
      <c r="T186" s="275"/>
    </row>
    <row r="187" spans="1:20" s="4" customFormat="1" ht="30" customHeight="1" x14ac:dyDescent="0.2">
      <c r="A187" s="102">
        <v>44658</v>
      </c>
      <c r="B187" s="67"/>
      <c r="C187" s="103" t="s">
        <v>880</v>
      </c>
      <c r="D187" s="14" t="s">
        <v>26</v>
      </c>
      <c r="E187" s="103" t="s">
        <v>18</v>
      </c>
      <c r="F187" s="15">
        <v>1</v>
      </c>
      <c r="G187" s="298">
        <v>1000000</v>
      </c>
      <c r="H187" s="258">
        <f>List34[[#This Row],[Pengajuan Donasi]]</f>
        <v>318500</v>
      </c>
      <c r="I187" s="213" t="str">
        <f>IF(List34[[#This Row],[Tanggal Trf]]&gt;0,"Done","-")</f>
        <v>Done</v>
      </c>
      <c r="J187" s="437"/>
      <c r="K187" s="221">
        <v>44666</v>
      </c>
      <c r="L187" s="620" t="s">
        <v>470</v>
      </c>
      <c r="M187" s="100">
        <f>MONTH(List34[[#This Row],[Tanggal Pengajuan]])</f>
        <v>3</v>
      </c>
      <c r="N187" s="183">
        <v>44673</v>
      </c>
      <c r="O187" s="105" t="s">
        <v>795</v>
      </c>
      <c r="P187" s="111"/>
      <c r="Q187" s="230" t="s">
        <v>958</v>
      </c>
      <c r="S187" s="275">
        <f>+List34[[#This Row],[Pengajuan Donasi]]-List34[[#This Row],[Jumlah Transfer]]</f>
        <v>0</v>
      </c>
      <c r="T187" s="275"/>
    </row>
    <row r="188" spans="1:20" s="4" customFormat="1" ht="30" customHeight="1" x14ac:dyDescent="0.2">
      <c r="A188" s="102">
        <v>44687</v>
      </c>
      <c r="B188" s="67"/>
      <c r="C188" s="103" t="s">
        <v>880</v>
      </c>
      <c r="D188" s="103" t="s">
        <v>26</v>
      </c>
      <c r="E188" s="103" t="s">
        <v>18</v>
      </c>
      <c r="F188" s="15">
        <v>1</v>
      </c>
      <c r="G188" s="265">
        <v>1000000</v>
      </c>
      <c r="H188" s="258">
        <f>List34[[#This Row],[Pengajuan Donasi]]</f>
        <v>3325000</v>
      </c>
      <c r="I188" s="213" t="str">
        <f>IF(List34[[#This Row],[Tanggal Trf]]&gt;0,"Done","-")</f>
        <v>Done</v>
      </c>
      <c r="J188" s="437"/>
      <c r="K188" s="221">
        <v>44693</v>
      </c>
      <c r="L188" s="620" t="s">
        <v>470</v>
      </c>
      <c r="M188" s="100">
        <f>MONTH(List34[[#This Row],[Tanggal Pengajuan]])</f>
        <v>3</v>
      </c>
      <c r="N188" s="183">
        <v>44694</v>
      </c>
      <c r="O188" s="105" t="s">
        <v>932</v>
      </c>
      <c r="P188" s="111"/>
      <c r="Q188" s="230" t="s">
        <v>958</v>
      </c>
      <c r="S188" s="275">
        <f>+List34[[#This Row],[Pengajuan Donasi]]-List34[[#This Row],[Jumlah Transfer]]</f>
        <v>0</v>
      </c>
      <c r="T188" s="275"/>
    </row>
    <row r="189" spans="1:20" s="4" customFormat="1" ht="30" customHeight="1" x14ac:dyDescent="0.2">
      <c r="A189" s="102">
        <v>44715</v>
      </c>
      <c r="B189" s="67"/>
      <c r="C189" s="103" t="s">
        <v>880</v>
      </c>
      <c r="D189" s="103" t="s">
        <v>26</v>
      </c>
      <c r="E189" s="103" t="s">
        <v>18</v>
      </c>
      <c r="F189" s="15">
        <v>1</v>
      </c>
      <c r="G189" s="379">
        <v>1000000</v>
      </c>
      <c r="H189" s="258">
        <f>List34[[#This Row],[Pengajuan Donasi]]</f>
        <v>7950000</v>
      </c>
      <c r="I189" s="213" t="str">
        <f>IF(List34[[#This Row],[Tanggal Trf]]&gt;0,"Done","-")</f>
        <v>Done</v>
      </c>
      <c r="J189" s="437"/>
      <c r="K189" s="221">
        <v>44722</v>
      </c>
      <c r="L189" s="620" t="s">
        <v>470</v>
      </c>
      <c r="M189" s="100">
        <f>MONTH(List34[[#This Row],[Tanggal Pengajuan]])</f>
        <v>3</v>
      </c>
      <c r="N189" s="183">
        <v>44747</v>
      </c>
      <c r="O189" s="105" t="s">
        <v>1116</v>
      </c>
      <c r="P189" s="111"/>
      <c r="Q189" s="230" t="s">
        <v>958</v>
      </c>
      <c r="S189" s="275">
        <f>+List34[[#This Row],[Pengajuan Donasi]]-List34[[#This Row],[Jumlah Transfer]]</f>
        <v>0</v>
      </c>
      <c r="T189" s="275"/>
    </row>
    <row r="190" spans="1:20" s="4" customFormat="1" ht="30" customHeight="1" x14ac:dyDescent="0.2">
      <c r="A190" s="102">
        <v>44746</v>
      </c>
      <c r="B190" s="67"/>
      <c r="C190" s="14" t="s">
        <v>880</v>
      </c>
      <c r="D190" s="103" t="s">
        <v>26</v>
      </c>
      <c r="E190" s="103" t="s">
        <v>18</v>
      </c>
      <c r="F190" s="471">
        <v>1</v>
      </c>
      <c r="G190" s="258">
        <v>1000000</v>
      </c>
      <c r="H190" s="258">
        <f>List34[[#This Row],[Pengajuan Donasi]]</f>
        <v>2400000</v>
      </c>
      <c r="I190" s="213" t="str">
        <f>IF(List34[[#This Row],[Tanggal Trf]]&gt;0,"Done","-")</f>
        <v>Done</v>
      </c>
      <c r="J190" s="437" t="s">
        <v>1160</v>
      </c>
      <c r="K190" s="484">
        <v>44764</v>
      </c>
      <c r="L190" s="100" t="s">
        <v>470</v>
      </c>
      <c r="M190" s="100">
        <f>MONTH(List34[[#This Row],[Tanggal Pengajuan]])</f>
        <v>3</v>
      </c>
      <c r="N190" s="183"/>
      <c r="O190" s="105" t="s">
        <v>1180</v>
      </c>
      <c r="P190" s="111"/>
      <c r="Q190" s="230" t="s">
        <v>958</v>
      </c>
      <c r="S190" s="275">
        <f>+List34[[#This Row],[Pengajuan Donasi]]-List34[[#This Row],[Jumlah Transfer]]</f>
        <v>0</v>
      </c>
      <c r="T190" s="275"/>
    </row>
    <row r="191" spans="1:20" s="4" customFormat="1" ht="30" customHeight="1" x14ac:dyDescent="0.2">
      <c r="A191" s="102">
        <v>44775</v>
      </c>
      <c r="B191" s="67"/>
      <c r="C191" s="14" t="s">
        <v>880</v>
      </c>
      <c r="D191" s="103" t="s">
        <v>26</v>
      </c>
      <c r="E191" s="103" t="s">
        <v>18</v>
      </c>
      <c r="F191" s="471">
        <v>1</v>
      </c>
      <c r="G191" s="258">
        <v>1000000</v>
      </c>
      <c r="H191" s="258">
        <f>List34[[#This Row],[Pengajuan Donasi]]</f>
        <v>5998800</v>
      </c>
      <c r="I191" s="213" t="str">
        <f>IF(List34[[#This Row],[Tanggal Trf]]&gt;0,"Done","-")</f>
        <v>Done</v>
      </c>
      <c r="J191" s="100" t="s">
        <v>1209</v>
      </c>
      <c r="K191" s="484">
        <v>44792</v>
      </c>
      <c r="L191" s="100" t="s">
        <v>470</v>
      </c>
      <c r="M191" s="100">
        <f>MONTH(List34[[#This Row],[Tanggal Pengajuan]])</f>
        <v>3</v>
      </c>
      <c r="N191" s="183"/>
      <c r="O191" s="105" t="s">
        <v>1268</v>
      </c>
      <c r="P191" s="111"/>
      <c r="Q191" s="230"/>
      <c r="S191" s="275"/>
      <c r="T191" s="275"/>
    </row>
    <row r="192" spans="1:20" s="4" customFormat="1" ht="30" customHeight="1" x14ac:dyDescent="0.2">
      <c r="A192" s="102">
        <v>44566</v>
      </c>
      <c r="B192" s="67"/>
      <c r="C192" s="14" t="s">
        <v>956</v>
      </c>
      <c r="D192" s="103" t="s">
        <v>26</v>
      </c>
      <c r="E192" s="103" t="s">
        <v>18</v>
      </c>
      <c r="F192" s="469">
        <v>1</v>
      </c>
      <c r="G192" s="260">
        <v>1000000</v>
      </c>
      <c r="H192" s="258">
        <f>List34[[#This Row],[Pengajuan Donasi]]</f>
        <v>5999800</v>
      </c>
      <c r="I192" s="213" t="str">
        <f>IF(List34[[#This Row],[Tanggal Trf]]&gt;0,"Done","-")</f>
        <v>Done</v>
      </c>
      <c r="J192" s="437"/>
      <c r="K192" s="221">
        <v>44580</v>
      </c>
      <c r="L192" s="619" t="s">
        <v>873</v>
      </c>
      <c r="M192" s="100">
        <f>MONTH(List34[[#This Row],[Tanggal Pengajuan]])</f>
        <v>3</v>
      </c>
      <c r="N192" s="183"/>
      <c r="O192" s="105" t="s">
        <v>651</v>
      </c>
      <c r="P192" s="111"/>
      <c r="Q192" s="230"/>
      <c r="S192" s="275"/>
      <c r="T192" s="275"/>
    </row>
    <row r="193" spans="1:20" s="4" customFormat="1" ht="30" customHeight="1" x14ac:dyDescent="0.2">
      <c r="A193" s="102">
        <v>44596</v>
      </c>
      <c r="B193" s="67"/>
      <c r="C193" s="103" t="s">
        <v>956</v>
      </c>
      <c r="D193" s="103" t="s">
        <v>26</v>
      </c>
      <c r="E193" s="103" t="s">
        <v>18</v>
      </c>
      <c r="F193" s="15">
        <v>1</v>
      </c>
      <c r="G193" s="264">
        <v>1000000</v>
      </c>
      <c r="H193" s="258">
        <f>List34[[#This Row],[Pengajuan Donasi]]</f>
        <v>5998600</v>
      </c>
      <c r="I193" s="213" t="str">
        <f>IF(List34[[#This Row],[Tanggal Trf]]&gt;0,"Done","-")</f>
        <v>Done</v>
      </c>
      <c r="J193" s="437" t="s">
        <v>701</v>
      </c>
      <c r="K193" s="221">
        <v>44607</v>
      </c>
      <c r="L193" s="622" t="s">
        <v>873</v>
      </c>
      <c r="M193" s="100">
        <f>MONTH(List34[[#This Row],[Tanggal Pengajuan]])</f>
        <v>3</v>
      </c>
      <c r="N193" s="183"/>
      <c r="O193" s="105" t="s">
        <v>707</v>
      </c>
      <c r="P193" s="111"/>
      <c r="Q193" s="230" t="s">
        <v>958</v>
      </c>
      <c r="S193" s="275">
        <f>+List34[[#This Row],[Pengajuan Donasi]]-List34[[#This Row],[Jumlah Transfer]]</f>
        <v>0</v>
      </c>
      <c r="T193" s="275"/>
    </row>
    <row r="194" spans="1:20" s="4" customFormat="1" ht="30" customHeight="1" x14ac:dyDescent="0.2">
      <c r="A194" s="102">
        <v>44624</v>
      </c>
      <c r="B194" s="593"/>
      <c r="C194" s="103" t="s">
        <v>956</v>
      </c>
      <c r="D194" s="103" t="s">
        <v>26</v>
      </c>
      <c r="E194" s="103" t="s">
        <v>18</v>
      </c>
      <c r="F194" s="15">
        <v>1</v>
      </c>
      <c r="G194" s="264">
        <v>1000000</v>
      </c>
      <c r="H194" s="258">
        <f>List34[[#This Row],[Pengajuan Donasi]]</f>
        <v>5999100</v>
      </c>
      <c r="I194" s="215" t="str">
        <f>IF(List34[[#This Row],[Tanggal Trf]]&gt;0,"Done","-")</f>
        <v>Done</v>
      </c>
      <c r="J194" s="608"/>
      <c r="K194" s="221">
        <v>44630</v>
      </c>
      <c r="L194" s="723" t="s">
        <v>873</v>
      </c>
      <c r="M194" s="20">
        <f>MONTH(List34[[#This Row],[Tanggal Pengajuan]])</f>
        <v>3</v>
      </c>
      <c r="N194" s="183"/>
      <c r="O194" s="105" t="s">
        <v>746</v>
      </c>
      <c r="P194" s="111"/>
      <c r="Q194" s="230" t="s">
        <v>958</v>
      </c>
      <c r="S194" s="275">
        <f>+List34[[#This Row],[Pengajuan Donasi]]-List34[[#This Row],[Jumlah Transfer]]</f>
        <v>0</v>
      </c>
      <c r="T194" s="275"/>
    </row>
    <row r="195" spans="1:20" s="4" customFormat="1" ht="30" customHeight="1" x14ac:dyDescent="0.2">
      <c r="A195" s="102">
        <v>44658</v>
      </c>
      <c r="B195" s="67"/>
      <c r="C195" s="103" t="s">
        <v>956</v>
      </c>
      <c r="D195" s="103" t="s">
        <v>26</v>
      </c>
      <c r="E195" s="103" t="s">
        <v>18</v>
      </c>
      <c r="F195" s="15">
        <v>1</v>
      </c>
      <c r="G195" s="260">
        <v>1000000</v>
      </c>
      <c r="H195" s="258">
        <f>List34[[#This Row],[Pengajuan Donasi]]</f>
        <v>5999700</v>
      </c>
      <c r="I195" s="213" t="str">
        <f>IF(List34[[#This Row],[Tanggal Trf]]&gt;0,"Done","-")</f>
        <v>Done</v>
      </c>
      <c r="J195" s="437"/>
      <c r="K195" s="221">
        <v>44666</v>
      </c>
      <c r="L195" s="725" t="s">
        <v>873</v>
      </c>
      <c r="M195" s="100">
        <f>MONTH(List34[[#This Row],[Tanggal Pengajuan]])</f>
        <v>3</v>
      </c>
      <c r="N195" s="183">
        <v>44673</v>
      </c>
      <c r="O195" s="105" t="s">
        <v>795</v>
      </c>
      <c r="P195" s="111"/>
      <c r="Q195" s="230"/>
      <c r="S195" s="275"/>
      <c r="T195" s="275"/>
    </row>
    <row r="196" spans="1:20" s="4" customFormat="1" ht="30" customHeight="1" x14ac:dyDescent="0.2">
      <c r="A196" s="102">
        <v>44687</v>
      </c>
      <c r="B196" s="67"/>
      <c r="C196" s="103" t="s">
        <v>953</v>
      </c>
      <c r="D196" s="103" t="s">
        <v>26</v>
      </c>
      <c r="E196" s="103" t="s">
        <v>18</v>
      </c>
      <c r="F196" s="15">
        <v>1</v>
      </c>
      <c r="G196" s="270">
        <v>1000000</v>
      </c>
      <c r="H196" s="258">
        <f>List34[[#This Row],[Pengajuan Donasi]]</f>
        <v>5999700</v>
      </c>
      <c r="I196" s="213" t="str">
        <f>IF(List34[[#This Row],[Tanggal Trf]]&gt;0,"Done","-")</f>
        <v>Done</v>
      </c>
      <c r="J196" s="437"/>
      <c r="K196" s="221">
        <v>44693</v>
      </c>
      <c r="L196" s="619" t="s">
        <v>873</v>
      </c>
      <c r="M196" s="100">
        <f>MONTH(List34[[#This Row],[Tanggal Pengajuan]])</f>
        <v>3</v>
      </c>
      <c r="N196" s="183">
        <v>44694</v>
      </c>
      <c r="O196" s="105" t="s">
        <v>932</v>
      </c>
      <c r="P196" s="111"/>
      <c r="Q196" s="230" t="s">
        <v>958</v>
      </c>
      <c r="S196" s="275">
        <f>+List34[[#This Row],[Pengajuan Donasi]]-List34[[#This Row],[Jumlah Transfer]]</f>
        <v>0</v>
      </c>
      <c r="T196" s="275"/>
    </row>
    <row r="197" spans="1:20" s="4" customFormat="1" ht="30" customHeight="1" x14ac:dyDescent="0.2">
      <c r="A197" s="102">
        <v>44715</v>
      </c>
      <c r="B197" s="67"/>
      <c r="C197" s="103" t="s">
        <v>953</v>
      </c>
      <c r="D197" s="103" t="s">
        <v>26</v>
      </c>
      <c r="E197" s="103" t="s">
        <v>18</v>
      </c>
      <c r="F197" s="15">
        <v>1</v>
      </c>
      <c r="G197" s="380">
        <v>1000000</v>
      </c>
      <c r="H197" s="258">
        <f>List34[[#This Row],[Pengajuan Donasi]]</f>
        <v>5999800</v>
      </c>
      <c r="I197" s="213" t="str">
        <f>IF(List34[[#This Row],[Tanggal Trf]]&gt;0,"Done","-")</f>
        <v>Done</v>
      </c>
      <c r="J197" s="437"/>
      <c r="K197" s="221">
        <v>44722</v>
      </c>
      <c r="L197" s="619" t="s">
        <v>873</v>
      </c>
      <c r="M197" s="100">
        <f>MONTH(List34[[#This Row],[Tanggal Pengajuan]])</f>
        <v>3</v>
      </c>
      <c r="N197" s="183">
        <v>44747</v>
      </c>
      <c r="O197" s="105" t="s">
        <v>1116</v>
      </c>
      <c r="P197" s="111"/>
      <c r="Q197" s="230"/>
      <c r="S197" s="275"/>
      <c r="T197" s="275"/>
    </row>
    <row r="198" spans="1:20" s="4" customFormat="1" ht="30" customHeight="1" x14ac:dyDescent="0.2">
      <c r="A198" s="102">
        <v>44746</v>
      </c>
      <c r="B198" s="67"/>
      <c r="C198" s="103" t="s">
        <v>953</v>
      </c>
      <c r="D198" s="103" t="s">
        <v>26</v>
      </c>
      <c r="E198" s="103" t="s">
        <v>18</v>
      </c>
      <c r="F198" s="471">
        <v>1</v>
      </c>
      <c r="G198" s="258">
        <v>1000000</v>
      </c>
      <c r="H198" s="258">
        <f>List34[[#This Row],[Pengajuan Donasi]]</f>
        <v>5999000</v>
      </c>
      <c r="I198" s="213" t="str">
        <f>IF(List34[[#This Row],[Tanggal Trf]]&gt;0,"Done","-")</f>
        <v>Done</v>
      </c>
      <c r="J198" s="437" t="s">
        <v>1160</v>
      </c>
      <c r="K198" s="484">
        <v>44764</v>
      </c>
      <c r="L198" s="100" t="s">
        <v>873</v>
      </c>
      <c r="M198" s="100">
        <f>MONTH(List34[[#This Row],[Tanggal Pengajuan]])</f>
        <v>3</v>
      </c>
      <c r="N198" s="183"/>
      <c r="O198" s="105" t="s">
        <v>1180</v>
      </c>
      <c r="P198" s="111"/>
      <c r="Q198" s="230"/>
      <c r="S198" s="275"/>
      <c r="T198" s="275"/>
    </row>
    <row r="199" spans="1:20" s="4" customFormat="1" ht="30" customHeight="1" x14ac:dyDescent="0.2">
      <c r="A199" s="102">
        <v>44775</v>
      </c>
      <c r="B199" s="67"/>
      <c r="C199" s="14" t="s">
        <v>953</v>
      </c>
      <c r="D199" s="14" t="s">
        <v>26</v>
      </c>
      <c r="E199" s="14" t="s">
        <v>18</v>
      </c>
      <c r="F199" s="471">
        <v>1</v>
      </c>
      <c r="G199" s="258">
        <v>1000000</v>
      </c>
      <c r="H199" s="258">
        <f>List34[[#This Row],[Pengajuan Donasi]]</f>
        <v>5998400</v>
      </c>
      <c r="I199" s="213" t="str">
        <f>IF(List34[[#This Row],[Tanggal Trf]]&gt;0,"Done","-")</f>
        <v>Done</v>
      </c>
      <c r="J199" s="100" t="s">
        <v>1209</v>
      </c>
      <c r="K199" s="484">
        <v>44792</v>
      </c>
      <c r="L199" s="100" t="s">
        <v>873</v>
      </c>
      <c r="M199" s="100">
        <f>MONTH(List34[[#This Row],[Tanggal Pengajuan]])</f>
        <v>3</v>
      </c>
      <c r="N199" s="183"/>
      <c r="O199" s="105" t="s">
        <v>1268</v>
      </c>
      <c r="P199" s="111"/>
      <c r="Q199" s="230" t="s">
        <v>958</v>
      </c>
      <c r="S199" s="275">
        <f>+List34[[#This Row],[Pengajuan Donasi]]-List34[[#This Row],[Jumlah Transfer]]</f>
        <v>0</v>
      </c>
      <c r="T199" s="275"/>
    </row>
    <row r="200" spans="1:20" s="4" customFormat="1" ht="30" customHeight="1" x14ac:dyDescent="0.2">
      <c r="A200" s="102">
        <v>44566</v>
      </c>
      <c r="B200" s="67"/>
      <c r="C200" s="14" t="s">
        <v>883</v>
      </c>
      <c r="D200" s="14" t="s">
        <v>26</v>
      </c>
      <c r="E200" s="14" t="s">
        <v>18</v>
      </c>
      <c r="F200" s="469">
        <v>1</v>
      </c>
      <c r="G200" s="259">
        <v>750000</v>
      </c>
      <c r="H200" s="258">
        <f>List34[[#This Row],[Pengajuan Donasi]]</f>
        <v>5999600</v>
      </c>
      <c r="I200" s="214" t="str">
        <f>IF(List34[[#This Row],[Tanggal Trf]]&gt;0,"Done","-")</f>
        <v>Done</v>
      </c>
      <c r="J200" s="437"/>
      <c r="K200" s="221">
        <v>44580</v>
      </c>
      <c r="L200" s="724" t="s">
        <v>481</v>
      </c>
      <c r="M200" s="100">
        <f>MONTH(List34[[#This Row],[Tanggal Pengajuan]])</f>
        <v>3</v>
      </c>
      <c r="N200" s="183"/>
      <c r="O200" s="105" t="s">
        <v>651</v>
      </c>
      <c r="P200" s="111"/>
      <c r="Q200" s="230" t="s">
        <v>958</v>
      </c>
      <c r="S200" s="275">
        <f>+List34[[#This Row],[Pengajuan Donasi]]-List34[[#This Row],[Jumlah Transfer]]</f>
        <v>0</v>
      </c>
      <c r="T200" s="275"/>
    </row>
    <row r="201" spans="1:20" s="4" customFormat="1" ht="30" customHeight="1" x14ac:dyDescent="0.2">
      <c r="A201" s="102">
        <v>44596</v>
      </c>
      <c r="B201" s="67"/>
      <c r="C201" s="103" t="s">
        <v>883</v>
      </c>
      <c r="D201" s="103" t="s">
        <v>26</v>
      </c>
      <c r="E201" s="103" t="s">
        <v>18</v>
      </c>
      <c r="F201" s="15">
        <v>1</v>
      </c>
      <c r="G201" s="263">
        <v>750000</v>
      </c>
      <c r="H201" s="258">
        <f>List34[[#This Row],[Pengajuan Donasi]]</f>
        <v>5999400</v>
      </c>
      <c r="I201" s="213" t="str">
        <f>IF(List34[[#This Row],[Tanggal Trf]]&gt;0,"Done","-")</f>
        <v>Done</v>
      </c>
      <c r="J201" s="437" t="s">
        <v>701</v>
      </c>
      <c r="K201" s="221">
        <v>44607</v>
      </c>
      <c r="L201" s="621" t="s">
        <v>481</v>
      </c>
      <c r="M201" s="100">
        <f>MONTH(List34[[#This Row],[Tanggal Pengajuan]])</f>
        <v>3</v>
      </c>
      <c r="N201" s="183"/>
      <c r="O201" s="105" t="s">
        <v>707</v>
      </c>
      <c r="P201" s="111"/>
      <c r="Q201" s="230" t="s">
        <v>958</v>
      </c>
      <c r="S201" s="275">
        <f>+List34[[#This Row],[Pengajuan Donasi]]-List34[[#This Row],[Jumlah Transfer]]</f>
        <v>0</v>
      </c>
      <c r="T201" s="275"/>
    </row>
    <row r="202" spans="1:20" s="4" customFormat="1" ht="30" customHeight="1" x14ac:dyDescent="0.2">
      <c r="A202" s="102">
        <v>44624</v>
      </c>
      <c r="B202" s="67"/>
      <c r="C202" s="103" t="s">
        <v>883</v>
      </c>
      <c r="D202" s="103" t="s">
        <v>26</v>
      </c>
      <c r="E202" s="103" t="s">
        <v>18</v>
      </c>
      <c r="F202" s="15">
        <v>1</v>
      </c>
      <c r="G202" s="717">
        <v>750000</v>
      </c>
      <c r="H202" s="258">
        <f>List34[[#This Row],[Pengajuan Donasi]]</f>
        <v>5998400</v>
      </c>
      <c r="I202" s="213" t="str">
        <f>IF(List34[[#This Row],[Tanggal Trf]]&gt;0,"Done","-")</f>
        <v>Done</v>
      </c>
      <c r="J202" s="445"/>
      <c r="K202" s="221">
        <v>44630</v>
      </c>
      <c r="L202" s="620" t="s">
        <v>481</v>
      </c>
      <c r="M202" s="100">
        <f>MONTH(List34[[#This Row],[Tanggal Pengajuan]])</f>
        <v>3</v>
      </c>
      <c r="N202" s="183"/>
      <c r="O202" s="105" t="s">
        <v>746</v>
      </c>
      <c r="P202" s="111"/>
      <c r="Q202" s="230" t="s">
        <v>958</v>
      </c>
      <c r="R202" s="232">
        <f>+List34[[#This Row],[Pengajuan Donasi]]-[6]Category!$AG$27</f>
        <v>-100</v>
      </c>
      <c r="S202" s="275">
        <f>+List34[[#This Row],[Pengajuan Donasi]]-List34[[#This Row],[Jumlah Transfer]]</f>
        <v>0</v>
      </c>
      <c r="T202" s="275"/>
    </row>
    <row r="203" spans="1:20" s="4" customFormat="1" ht="30" customHeight="1" x14ac:dyDescent="0.2">
      <c r="A203" s="102">
        <v>44658</v>
      </c>
      <c r="B203" s="66"/>
      <c r="C203" s="103" t="s">
        <v>883</v>
      </c>
      <c r="D203" s="103" t="s">
        <v>26</v>
      </c>
      <c r="E203" s="103" t="s">
        <v>18</v>
      </c>
      <c r="F203" s="15">
        <v>1</v>
      </c>
      <c r="G203" s="259">
        <v>750000</v>
      </c>
      <c r="H203" s="258">
        <f>List34[[#This Row],[Pengajuan Donasi]]</f>
        <v>5998500</v>
      </c>
      <c r="I203" s="213" t="str">
        <f>IF(List34[[#This Row],[Tanggal Trf]]&gt;0,"Done","-")</f>
        <v>Done</v>
      </c>
      <c r="J203" s="445"/>
      <c r="K203" s="221">
        <v>44666</v>
      </c>
      <c r="L203" s="620" t="s">
        <v>481</v>
      </c>
      <c r="M203" s="100">
        <f>MONTH(List34[[#This Row],[Tanggal Pengajuan]])</f>
        <v>3</v>
      </c>
      <c r="N203" s="183">
        <v>44673</v>
      </c>
      <c r="O203" s="100" t="s">
        <v>795</v>
      </c>
      <c r="P203" s="198"/>
      <c r="Q203" s="230" t="s">
        <v>958</v>
      </c>
      <c r="S203" s="275">
        <f>+List34[[#This Row],[Pengajuan Donasi]]-List34[[#This Row],[Jumlah Transfer]]</f>
        <v>0</v>
      </c>
      <c r="T203" s="275"/>
    </row>
    <row r="204" spans="1:20" s="4" customFormat="1" ht="30" customHeight="1" x14ac:dyDescent="0.2">
      <c r="A204" s="102">
        <v>44687</v>
      </c>
      <c r="B204" s="66"/>
      <c r="C204" s="103" t="s">
        <v>883</v>
      </c>
      <c r="D204" s="103" t="s">
        <v>26</v>
      </c>
      <c r="E204" s="103" t="s">
        <v>18</v>
      </c>
      <c r="F204" s="15">
        <v>1</v>
      </c>
      <c r="G204" s="263">
        <v>750000</v>
      </c>
      <c r="H204" s="258">
        <f>List34[[#This Row],[Pengajuan Donasi]]</f>
        <v>5998600</v>
      </c>
      <c r="I204" s="213" t="str">
        <f>IF(List34[[#This Row],[Tanggal Trf]]&gt;0,"Done","-")</f>
        <v>Done</v>
      </c>
      <c r="J204" s="445"/>
      <c r="K204" s="221">
        <v>44693</v>
      </c>
      <c r="L204" s="620" t="s">
        <v>481</v>
      </c>
      <c r="M204" s="100">
        <f>MONTH(List34[[#This Row],[Tanggal Pengajuan]])</f>
        <v>3</v>
      </c>
      <c r="N204" s="183">
        <v>44694</v>
      </c>
      <c r="O204" s="100" t="s">
        <v>932</v>
      </c>
      <c r="P204" s="198"/>
      <c r="Q204" s="230" t="s">
        <v>958</v>
      </c>
      <c r="S204" s="275">
        <f>+List34[[#This Row],[Pengajuan Donasi]]-List34[[#This Row],[Jumlah Transfer]]</f>
        <v>0</v>
      </c>
      <c r="T204" s="275"/>
    </row>
    <row r="205" spans="1:20" s="4" customFormat="1" ht="30" customHeight="1" x14ac:dyDescent="0.2">
      <c r="A205" s="102">
        <v>44715</v>
      </c>
      <c r="B205" s="66"/>
      <c r="C205" s="103" t="s">
        <v>883</v>
      </c>
      <c r="D205" s="103" t="s">
        <v>26</v>
      </c>
      <c r="E205" s="103" t="s">
        <v>18</v>
      </c>
      <c r="F205" s="15">
        <v>1</v>
      </c>
      <c r="G205" s="377">
        <v>750000</v>
      </c>
      <c r="H205" s="258">
        <f>List34[[#This Row],[Pengajuan Donasi]]</f>
        <v>5999100</v>
      </c>
      <c r="I205" s="213" t="str">
        <f>IF(List34[[#This Row],[Tanggal Trf]]&gt;0,"Done","-")</f>
        <v>Done</v>
      </c>
      <c r="J205" s="445"/>
      <c r="K205" s="221">
        <v>44722</v>
      </c>
      <c r="L205" s="620" t="s">
        <v>481</v>
      </c>
      <c r="M205" s="100">
        <f>MONTH(List34[[#This Row],[Tanggal Pengajuan]])</f>
        <v>3</v>
      </c>
      <c r="N205" s="183">
        <v>44747</v>
      </c>
      <c r="O205" s="100" t="s">
        <v>1116</v>
      </c>
      <c r="P205" s="198"/>
      <c r="Q205" s="230" t="s">
        <v>958</v>
      </c>
      <c r="S205" s="275">
        <f>+List34[[#This Row],[Pengajuan Donasi]]-List34[[#This Row],[Jumlah Transfer]]</f>
        <v>0</v>
      </c>
      <c r="T205" s="275"/>
    </row>
    <row r="206" spans="1:20" s="4" customFormat="1" ht="30" customHeight="1" x14ac:dyDescent="0.2">
      <c r="A206" s="102">
        <v>44746</v>
      </c>
      <c r="B206" s="66"/>
      <c r="C206" s="103" t="s">
        <v>883</v>
      </c>
      <c r="D206" s="103" t="s">
        <v>26</v>
      </c>
      <c r="E206" s="103" t="s">
        <v>18</v>
      </c>
      <c r="F206" s="471">
        <v>1</v>
      </c>
      <c r="G206" s="258">
        <v>750000</v>
      </c>
      <c r="H206" s="258">
        <f>List34[[#This Row],[Pengajuan Donasi]]</f>
        <v>5999900</v>
      </c>
      <c r="I206" s="213" t="str">
        <f>IF(List34[[#This Row],[Tanggal Trf]]&gt;0,"Done","-")</f>
        <v>Done</v>
      </c>
      <c r="J206" s="445" t="s">
        <v>1160</v>
      </c>
      <c r="K206" s="484">
        <v>44764</v>
      </c>
      <c r="L206" s="100" t="s">
        <v>481</v>
      </c>
      <c r="M206" s="100">
        <f>MONTH(List34[[#This Row],[Tanggal Pengajuan]])</f>
        <v>3</v>
      </c>
      <c r="N206" s="183"/>
      <c r="O206" s="100" t="s">
        <v>1180</v>
      </c>
      <c r="P206" s="198"/>
      <c r="Q206" s="230" t="s">
        <v>958</v>
      </c>
      <c r="S206" s="275">
        <f>+List34[[#This Row],[Pengajuan Donasi]]-List34[[#This Row],[Jumlah Transfer]]</f>
        <v>0</v>
      </c>
      <c r="T206" s="275">
        <f>SUM(G96:G206)</f>
        <v>138750000</v>
      </c>
    </row>
    <row r="207" spans="1:20" s="4" customFormat="1" ht="30" customHeight="1" x14ac:dyDescent="0.2">
      <c r="A207" s="102">
        <v>44587</v>
      </c>
      <c r="B207" s="66"/>
      <c r="C207" s="103" t="s">
        <v>921</v>
      </c>
      <c r="D207" s="103" t="s">
        <v>26</v>
      </c>
      <c r="E207" s="103" t="s">
        <v>18</v>
      </c>
      <c r="F207" s="15">
        <v>1</v>
      </c>
      <c r="G207" s="258">
        <v>500000</v>
      </c>
      <c r="H207" s="258">
        <f>List34[[#This Row],[Pengajuan Donasi]]</f>
        <v>5999500</v>
      </c>
      <c r="I207" s="213" t="str">
        <f>IF(List34[[#This Row],[Tanggal Trf]]&gt;0,"Done","-")</f>
        <v>Done</v>
      </c>
      <c r="J207" s="445"/>
      <c r="K207" s="221">
        <v>44588</v>
      </c>
      <c r="L207" s="100" t="s">
        <v>898</v>
      </c>
      <c r="M207" s="100">
        <f>MONTH(List34[[#This Row],[Tanggal Pengajuan]])</f>
        <v>3</v>
      </c>
      <c r="N207" s="183"/>
      <c r="O207" s="100" t="s">
        <v>651</v>
      </c>
      <c r="P207" s="198"/>
      <c r="Q207" s="230" t="s">
        <v>958</v>
      </c>
      <c r="S207" s="275">
        <f>+List34[[#This Row],[Pengajuan Donasi]]-List34[[#This Row],[Jumlah Transfer]]</f>
        <v>0</v>
      </c>
      <c r="T207" s="275"/>
    </row>
    <row r="208" spans="1:20" s="4" customFormat="1" ht="30" customHeight="1" x14ac:dyDescent="0.2">
      <c r="A208" s="102">
        <v>44607</v>
      </c>
      <c r="B208" s="66"/>
      <c r="C208" s="103" t="s">
        <v>921</v>
      </c>
      <c r="D208" s="103" t="s">
        <v>26</v>
      </c>
      <c r="E208" s="103" t="s">
        <v>18</v>
      </c>
      <c r="F208" s="15">
        <v>1</v>
      </c>
      <c r="G208" s="258">
        <v>500000</v>
      </c>
      <c r="H208" s="258">
        <f>List34[[#This Row],[Pengajuan Donasi]]</f>
        <v>5998100</v>
      </c>
      <c r="I208" s="213" t="str">
        <f>IF(List34[[#This Row],[Tanggal Trf]]&gt;0,"Done","-")</f>
        <v>Done</v>
      </c>
      <c r="J208" s="445"/>
      <c r="K208" s="221">
        <v>44612</v>
      </c>
      <c r="L208" s="100" t="s">
        <v>915</v>
      </c>
      <c r="M208" s="100">
        <f>MONTH(List34[[#This Row],[Tanggal Pengajuan]])</f>
        <v>3</v>
      </c>
      <c r="N208" s="183"/>
      <c r="O208" s="100"/>
      <c r="P208" s="198"/>
      <c r="Q208" s="230" t="s">
        <v>958</v>
      </c>
      <c r="S208" s="275">
        <f>+List34[[#This Row],[Pengajuan Donasi]]-List34[[#This Row],[Jumlah Transfer]]</f>
        <v>0</v>
      </c>
      <c r="T208" s="275"/>
    </row>
    <row r="209" spans="1:20" s="4" customFormat="1" ht="30" customHeight="1" x14ac:dyDescent="0.2">
      <c r="A209" s="102">
        <v>44624</v>
      </c>
      <c r="B209" s="66"/>
      <c r="C209" s="103" t="s">
        <v>921</v>
      </c>
      <c r="D209" s="103" t="s">
        <v>26</v>
      </c>
      <c r="E209" s="103" t="s">
        <v>18</v>
      </c>
      <c r="F209" s="15">
        <v>1</v>
      </c>
      <c r="G209" s="258">
        <v>500000</v>
      </c>
      <c r="H209" s="258">
        <f>List34[[#This Row],[Pengajuan Donasi]]</f>
        <v>6000000</v>
      </c>
      <c r="I209" s="213" t="str">
        <f>IF(List34[[#This Row],[Tanggal Trf]]&gt;0,"Done","-")</f>
        <v>Done</v>
      </c>
      <c r="J209" s="445"/>
      <c r="K209" s="221">
        <v>44630</v>
      </c>
      <c r="L209" s="100" t="s">
        <v>898</v>
      </c>
      <c r="M209" s="100">
        <f>MONTH(List34[[#This Row],[Tanggal Pengajuan]])</f>
        <v>3</v>
      </c>
      <c r="N209" s="183"/>
      <c r="O209" s="100" t="s">
        <v>746</v>
      </c>
      <c r="P209" s="198"/>
      <c r="Q209" s="230" t="s">
        <v>958</v>
      </c>
      <c r="S209" s="275">
        <f>+List34[[#This Row],[Pengajuan Donasi]]-List34[[#This Row],[Jumlah Transfer]]</f>
        <v>0</v>
      </c>
      <c r="T209" s="275"/>
    </row>
    <row r="210" spans="1:20" s="4" customFormat="1" ht="30" customHeight="1" x14ac:dyDescent="0.2">
      <c r="A210" s="102">
        <v>44658</v>
      </c>
      <c r="B210" s="66"/>
      <c r="C210" s="103" t="s">
        <v>921</v>
      </c>
      <c r="D210" s="103" t="s">
        <v>26</v>
      </c>
      <c r="E210" s="103" t="s">
        <v>18</v>
      </c>
      <c r="F210" s="15">
        <v>1</v>
      </c>
      <c r="G210" s="258">
        <v>500000</v>
      </c>
      <c r="H210" s="258">
        <f>List34[[#This Row],[Pengajuan Donasi]]</f>
        <v>5999100</v>
      </c>
      <c r="I210" s="213" t="str">
        <f>IF(List34[[#This Row],[Tanggal Trf]]&gt;0,"Done","-")</f>
        <v>Done</v>
      </c>
      <c r="J210" s="445"/>
      <c r="K210" s="221">
        <v>44672</v>
      </c>
      <c r="L210" s="100" t="s">
        <v>898</v>
      </c>
      <c r="M210" s="100">
        <f>MONTH(List34[[#This Row],[Tanggal Pengajuan]])</f>
        <v>3</v>
      </c>
      <c r="N210" s="183">
        <v>44676</v>
      </c>
      <c r="O210" s="100" t="s">
        <v>795</v>
      </c>
      <c r="P210" s="198"/>
      <c r="Q210" s="230" t="s">
        <v>958</v>
      </c>
      <c r="S210" s="275">
        <f>+List34[[#This Row],[Pengajuan Donasi]]-List34[[#This Row],[Jumlah Transfer]]</f>
        <v>0</v>
      </c>
      <c r="T210" s="275"/>
    </row>
    <row r="211" spans="1:20" s="4" customFormat="1" ht="30" customHeight="1" x14ac:dyDescent="0.2">
      <c r="A211" s="102">
        <v>44687</v>
      </c>
      <c r="B211" s="189"/>
      <c r="C211" s="168" t="s">
        <v>921</v>
      </c>
      <c r="D211" s="168" t="s">
        <v>26</v>
      </c>
      <c r="E211" s="168" t="s">
        <v>18</v>
      </c>
      <c r="F211" s="178">
        <v>0</v>
      </c>
      <c r="G211" s="261">
        <v>0</v>
      </c>
      <c r="H211" s="261">
        <f>List34[[#This Row],[Pengajuan Donasi]]</f>
        <v>5999600</v>
      </c>
      <c r="I211" s="253" t="str">
        <f>IF(List34[[#This Row],[Tanggal Trf]]&gt;0,"Done","-")</f>
        <v>Done</v>
      </c>
      <c r="J211" s="447" t="s">
        <v>1013</v>
      </c>
      <c r="K211" s="222"/>
      <c r="L211" s="193" t="s">
        <v>898</v>
      </c>
      <c r="M211" s="193">
        <f>MONTH(List34[[#This Row],[Tanggal Pengajuan]])</f>
        <v>3</v>
      </c>
      <c r="N211" s="222" t="s">
        <v>960</v>
      </c>
      <c r="O211" s="193" t="s">
        <v>1221</v>
      </c>
      <c r="P211" s="198"/>
      <c r="Q211" s="230" t="s">
        <v>958</v>
      </c>
      <c r="S211" s="275">
        <f>+List34[[#This Row],[Pengajuan Donasi]]-List34[[#This Row],[Jumlah Transfer]]</f>
        <v>0</v>
      </c>
      <c r="T211" s="275"/>
    </row>
    <row r="212" spans="1:20" s="4" customFormat="1" ht="30" customHeight="1" x14ac:dyDescent="0.2">
      <c r="A212" s="102">
        <v>44704</v>
      </c>
      <c r="B212" s="189"/>
      <c r="C212" s="103" t="s">
        <v>921</v>
      </c>
      <c r="D212" s="103" t="s">
        <v>26</v>
      </c>
      <c r="E212" s="103" t="s">
        <v>18</v>
      </c>
      <c r="F212" s="15">
        <v>1</v>
      </c>
      <c r="G212" s="258">
        <v>500000</v>
      </c>
      <c r="H212" s="258">
        <f>List34[[#This Row],[Pengajuan Donasi]]</f>
        <v>5998700</v>
      </c>
      <c r="I212" s="213" t="str">
        <f>IF(List34[[#This Row],[Tanggal Trf]]&gt;0,"Done","-")</f>
        <v>Done</v>
      </c>
      <c r="J212" s="445"/>
      <c r="K212" s="221">
        <v>44712</v>
      </c>
      <c r="L212" s="421" t="s">
        <v>1014</v>
      </c>
      <c r="M212" s="100">
        <f>MONTH(List34[[#This Row],[Tanggal Pengajuan]])</f>
        <v>3</v>
      </c>
      <c r="N212" s="183">
        <v>44698</v>
      </c>
      <c r="O212" s="100" t="s">
        <v>932</v>
      </c>
      <c r="P212" s="198"/>
      <c r="Q212" s="230" t="s">
        <v>958</v>
      </c>
      <c r="S212" s="275">
        <f>+List34[[#This Row],[Pengajuan Donasi]]-List34[[#This Row],[Jumlah Transfer]]</f>
        <v>0</v>
      </c>
      <c r="T212" s="275"/>
    </row>
    <row r="213" spans="1:20" s="4" customFormat="1" ht="30" customHeight="1" x14ac:dyDescent="0.2">
      <c r="A213" s="102">
        <v>44715</v>
      </c>
      <c r="B213" s="66"/>
      <c r="C213" s="103" t="s">
        <v>921</v>
      </c>
      <c r="D213" s="103" t="s">
        <v>26</v>
      </c>
      <c r="E213" s="103" t="s">
        <v>18</v>
      </c>
      <c r="F213" s="15">
        <v>1</v>
      </c>
      <c r="G213" s="258">
        <v>500000</v>
      </c>
      <c r="H213" s="258">
        <f>List34[[#This Row],[Pengajuan Donasi]]</f>
        <v>5991700</v>
      </c>
      <c r="I213" s="213" t="str">
        <f>IF(List34[[#This Row],[Tanggal Trf]]&gt;0,"Done","-")</f>
        <v>Done</v>
      </c>
      <c r="J213" s="445"/>
      <c r="K213" s="221">
        <v>44814</v>
      </c>
      <c r="L213" s="421" t="s">
        <v>1014</v>
      </c>
      <c r="M213" s="100">
        <f>MONTH(List34[[#This Row],[Tanggal Pengajuan]])</f>
        <v>3</v>
      </c>
      <c r="N213" s="183">
        <v>44748</v>
      </c>
      <c r="O213" s="105" t="s">
        <v>1116</v>
      </c>
      <c r="P213" s="198"/>
      <c r="Q213" s="230" t="s">
        <v>958</v>
      </c>
      <c r="S213" s="275">
        <f>+List34[[#This Row],[Pengajuan Donasi]]-List34[[#This Row],[Jumlah Transfer]]</f>
        <v>0</v>
      </c>
      <c r="T213" s="275"/>
    </row>
    <row r="214" spans="1:20" s="4" customFormat="1" ht="30" customHeight="1" x14ac:dyDescent="0.2">
      <c r="A214" s="102">
        <v>44746</v>
      </c>
      <c r="B214" s="66"/>
      <c r="C214" s="103" t="s">
        <v>921</v>
      </c>
      <c r="D214" s="103" t="s">
        <v>26</v>
      </c>
      <c r="E214" s="103" t="s">
        <v>18</v>
      </c>
      <c r="F214" s="471">
        <v>1</v>
      </c>
      <c r="G214" s="258">
        <v>500000</v>
      </c>
      <c r="H214" s="258">
        <f>List34[[#This Row],[Pengajuan Donasi]]</f>
        <v>5999400</v>
      </c>
      <c r="I214" s="213" t="str">
        <f>IF(List34[[#This Row],[Tanggal Trf]]&gt;0,"Done","-")</f>
        <v>Done</v>
      </c>
      <c r="J214" s="445" t="s">
        <v>1168</v>
      </c>
      <c r="K214" s="484">
        <v>44764</v>
      </c>
      <c r="L214" s="100" t="s">
        <v>1014</v>
      </c>
      <c r="M214" s="100">
        <f>MONTH(List34[[#This Row],[Tanggal Pengajuan]])</f>
        <v>3</v>
      </c>
      <c r="N214" s="183"/>
      <c r="O214" s="100" t="s">
        <v>1180</v>
      </c>
      <c r="P214" s="198"/>
      <c r="Q214" s="230" t="s">
        <v>958</v>
      </c>
      <c r="S214" s="275">
        <f>+List34[[#This Row],[Pengajuan Donasi]]-List34[[#This Row],[Jumlah Transfer]]</f>
        <v>0</v>
      </c>
      <c r="T214" s="275"/>
    </row>
    <row r="215" spans="1:20" s="4" customFormat="1" ht="30" customHeight="1" x14ac:dyDescent="0.2">
      <c r="A215" s="102">
        <v>44775</v>
      </c>
      <c r="B215" s="66"/>
      <c r="C215" s="103" t="s">
        <v>921</v>
      </c>
      <c r="D215" s="103" t="s">
        <v>26</v>
      </c>
      <c r="E215" s="103" t="s">
        <v>18</v>
      </c>
      <c r="F215" s="471">
        <v>1</v>
      </c>
      <c r="G215" s="258">
        <v>500000</v>
      </c>
      <c r="H215" s="258">
        <f>List34[[#This Row],[Pengajuan Donasi]]</f>
        <v>5999900</v>
      </c>
      <c r="I215" s="213" t="str">
        <f>IF(List34[[#This Row],[Tanggal Trf]]&gt;0,"Done","-")</f>
        <v>Done</v>
      </c>
      <c r="J215" s="445" t="s">
        <v>1211</v>
      </c>
      <c r="K215" s="484">
        <v>44799</v>
      </c>
      <c r="L215" s="100" t="s">
        <v>1014</v>
      </c>
      <c r="M215" s="100">
        <f>MONTH(List34[[#This Row],[Tanggal Pengajuan]])</f>
        <v>3</v>
      </c>
      <c r="N215" s="183"/>
      <c r="O215" s="100" t="s">
        <v>1223</v>
      </c>
      <c r="P215" s="198"/>
      <c r="Q215" s="230" t="s">
        <v>958</v>
      </c>
      <c r="S215" s="275">
        <f>+List34[[#This Row],[Pengajuan Donasi]]-List34[[#This Row],[Jumlah Transfer]]</f>
        <v>0</v>
      </c>
      <c r="T215" s="275"/>
    </row>
    <row r="216" spans="1:20" s="4" customFormat="1" ht="30" customHeight="1" x14ac:dyDescent="0.2">
      <c r="A216" s="102">
        <v>44587</v>
      </c>
      <c r="B216" s="66"/>
      <c r="C216" s="103" t="s">
        <v>920</v>
      </c>
      <c r="D216" s="103" t="s">
        <v>26</v>
      </c>
      <c r="E216" s="103" t="s">
        <v>18</v>
      </c>
      <c r="F216" s="15">
        <v>1</v>
      </c>
      <c r="G216" s="258">
        <v>500000</v>
      </c>
      <c r="H216" s="258">
        <f>List34[[#This Row],[Pengajuan Donasi]]</f>
        <v>5999100</v>
      </c>
      <c r="I216" s="213" t="str">
        <f>IF(List34[[#This Row],[Tanggal Trf]]&gt;0,"Done","-")</f>
        <v>Done</v>
      </c>
      <c r="J216" s="445"/>
      <c r="K216" s="221">
        <v>44588</v>
      </c>
      <c r="L216" s="100" t="s">
        <v>915</v>
      </c>
      <c r="M216" s="100">
        <f>MONTH(List34[[#This Row],[Tanggal Pengajuan]])</f>
        <v>3</v>
      </c>
      <c r="N216" s="183"/>
      <c r="O216" s="100" t="s">
        <v>651</v>
      </c>
      <c r="P216" s="198"/>
      <c r="Q216" s="230" t="s">
        <v>958</v>
      </c>
      <c r="S216" s="275">
        <f>+List34[[#This Row],[Pengajuan Donasi]]-List34[[#This Row],[Jumlah Transfer]]</f>
        <v>0</v>
      </c>
      <c r="T216" s="275"/>
    </row>
    <row r="217" spans="1:20" s="4" customFormat="1" ht="30" customHeight="1" x14ac:dyDescent="0.2">
      <c r="A217" s="102">
        <v>44607</v>
      </c>
      <c r="B217" s="66"/>
      <c r="C217" s="103" t="s">
        <v>920</v>
      </c>
      <c r="D217" s="103" t="s">
        <v>26</v>
      </c>
      <c r="E217" s="103" t="s">
        <v>18</v>
      </c>
      <c r="F217" s="15">
        <v>1</v>
      </c>
      <c r="G217" s="258">
        <v>500000</v>
      </c>
      <c r="H217" s="258">
        <f>List34[[#This Row],[Pengajuan Donasi]]</f>
        <v>5996200</v>
      </c>
      <c r="I217" s="213" t="str">
        <f>IF(List34[[#This Row],[Tanggal Trf]]&gt;0,"Done","-")</f>
        <v>Done</v>
      </c>
      <c r="J217" s="445"/>
      <c r="K217" s="221">
        <v>44612</v>
      </c>
      <c r="L217" s="100" t="s">
        <v>897</v>
      </c>
      <c r="M217" s="100">
        <f>MONTH(List34[[#This Row],[Tanggal Pengajuan]])</f>
        <v>3</v>
      </c>
      <c r="N217" s="183"/>
      <c r="O217" s="100"/>
      <c r="P217" s="198"/>
      <c r="Q217" s="230" t="s">
        <v>958</v>
      </c>
      <c r="S217" s="275">
        <f>+List34[[#This Row],[Pengajuan Donasi]]-List34[[#This Row],[Jumlah Transfer]]</f>
        <v>0</v>
      </c>
      <c r="T217" s="275"/>
    </row>
    <row r="218" spans="1:20" s="4" customFormat="1" ht="30" customHeight="1" x14ac:dyDescent="0.2">
      <c r="A218" s="102">
        <v>44624</v>
      </c>
      <c r="B218" s="66"/>
      <c r="C218" s="103" t="s">
        <v>920</v>
      </c>
      <c r="D218" s="103" t="s">
        <v>26</v>
      </c>
      <c r="E218" s="103" t="s">
        <v>18</v>
      </c>
      <c r="F218" s="15">
        <v>1</v>
      </c>
      <c r="G218" s="258">
        <v>500000</v>
      </c>
      <c r="H218" s="258">
        <f>List34[[#This Row],[Pengajuan Donasi]]</f>
        <v>5998400</v>
      </c>
      <c r="I218" s="213" t="str">
        <f>IF(List34[[#This Row],[Tanggal Trf]]&gt;0,"Done","-")</f>
        <v>Done</v>
      </c>
      <c r="J218" s="445"/>
      <c r="K218" s="221">
        <v>44630</v>
      </c>
      <c r="L218" s="100" t="s">
        <v>915</v>
      </c>
      <c r="M218" s="100">
        <f>MONTH(List34[[#This Row],[Tanggal Pengajuan]])</f>
        <v>3</v>
      </c>
      <c r="N218" s="183"/>
      <c r="O218" s="105" t="s">
        <v>746</v>
      </c>
      <c r="P218" s="198"/>
      <c r="Q218" s="230" t="s">
        <v>958</v>
      </c>
      <c r="S218" s="275">
        <f>+List34[[#This Row],[Pengajuan Donasi]]-List34[[#This Row],[Jumlah Transfer]]</f>
        <v>0</v>
      </c>
      <c r="T218" s="275"/>
    </row>
    <row r="219" spans="1:20" s="4" customFormat="1" ht="30" customHeight="1" x14ac:dyDescent="0.2">
      <c r="A219" s="102">
        <v>44658</v>
      </c>
      <c r="B219" s="66"/>
      <c r="C219" s="103" t="s">
        <v>920</v>
      </c>
      <c r="D219" s="103" t="s">
        <v>26</v>
      </c>
      <c r="E219" s="103" t="s">
        <v>18</v>
      </c>
      <c r="F219" s="15">
        <v>1</v>
      </c>
      <c r="G219" s="258">
        <v>500000</v>
      </c>
      <c r="H219" s="258">
        <f>List34[[#This Row],[Pengajuan Donasi]]</f>
        <v>5998600</v>
      </c>
      <c r="I219" s="213" t="str">
        <f>IF(List34[[#This Row],[Tanggal Trf]]&gt;0,"Done","-")</f>
        <v>Done</v>
      </c>
      <c r="J219" s="445"/>
      <c r="K219" s="221">
        <v>44672</v>
      </c>
      <c r="L219" s="100" t="s">
        <v>915</v>
      </c>
      <c r="M219" s="100">
        <f>MONTH(List34[[#This Row],[Tanggal Pengajuan]])</f>
        <v>3</v>
      </c>
      <c r="N219" s="183">
        <v>44676</v>
      </c>
      <c r="O219" s="100" t="s">
        <v>795</v>
      </c>
      <c r="P219" s="198"/>
      <c r="Q219" s="230" t="s">
        <v>958</v>
      </c>
      <c r="S219" s="275">
        <f>+List34[[#This Row],[Pengajuan Donasi]]-List34[[#This Row],[Jumlah Transfer]]</f>
        <v>0</v>
      </c>
      <c r="T219" s="275"/>
    </row>
    <row r="220" spans="1:20" s="4" customFormat="1" ht="30" customHeight="1" x14ac:dyDescent="0.2">
      <c r="A220" s="102">
        <v>44687</v>
      </c>
      <c r="B220" s="189"/>
      <c r="C220" s="168" t="s">
        <v>920</v>
      </c>
      <c r="D220" s="168" t="s">
        <v>26</v>
      </c>
      <c r="E220" s="168" t="s">
        <v>18</v>
      </c>
      <c r="F220" s="178">
        <v>0</v>
      </c>
      <c r="G220" s="261">
        <v>0</v>
      </c>
      <c r="H220" s="261">
        <f>List34[[#This Row],[Pengajuan Donasi]]</f>
        <v>5998400</v>
      </c>
      <c r="I220" s="253" t="str">
        <f>IF(List34[[#This Row],[Tanggal Trf]]&gt;0,"Done","-")</f>
        <v>Done</v>
      </c>
      <c r="J220" s="447" t="s">
        <v>1013</v>
      </c>
      <c r="K220" s="222"/>
      <c r="L220" s="193" t="s">
        <v>915</v>
      </c>
      <c r="M220" s="193">
        <f>MONTH(List34[[#This Row],[Tanggal Pengajuan]])</f>
        <v>3</v>
      </c>
      <c r="N220" s="222" t="s">
        <v>960</v>
      </c>
      <c r="O220" s="193" t="s">
        <v>1221</v>
      </c>
      <c r="P220" s="198"/>
      <c r="Q220" s="230" t="s">
        <v>958</v>
      </c>
      <c r="S220" s="275">
        <f>+List34[[#This Row],[Pengajuan Donasi]]-List34[[#This Row],[Jumlah Transfer]]</f>
        <v>0</v>
      </c>
      <c r="T220" s="275"/>
    </row>
    <row r="221" spans="1:20" s="4" customFormat="1" ht="30" customHeight="1" x14ac:dyDescent="0.2">
      <c r="A221" s="102">
        <v>44704</v>
      </c>
      <c r="B221" s="189"/>
      <c r="C221" s="103" t="s">
        <v>920</v>
      </c>
      <c r="D221" s="103" t="s">
        <v>26</v>
      </c>
      <c r="E221" s="103" t="s">
        <v>18</v>
      </c>
      <c r="F221" s="15">
        <v>1</v>
      </c>
      <c r="G221" s="258">
        <v>500000</v>
      </c>
      <c r="H221" s="258">
        <f>List34[[#This Row],[Pengajuan Donasi]]</f>
        <v>5999900</v>
      </c>
      <c r="I221" s="213" t="str">
        <f>IF(List34[[#This Row],[Tanggal Trf]]&gt;0,"Done","-")</f>
        <v>Done</v>
      </c>
      <c r="J221" s="445"/>
      <c r="K221" s="221">
        <v>44712</v>
      </c>
      <c r="L221" s="100" t="s">
        <v>915</v>
      </c>
      <c r="M221" s="100">
        <f>MONTH(List34[[#This Row],[Tanggal Pengajuan]])</f>
        <v>3</v>
      </c>
      <c r="N221" s="183">
        <v>44698</v>
      </c>
      <c r="O221" s="100" t="s">
        <v>932</v>
      </c>
      <c r="P221" s="198"/>
      <c r="Q221" s="230" t="s">
        <v>958</v>
      </c>
      <c r="S221" s="275">
        <f>+List34[[#This Row],[Pengajuan Donasi]]-List34[[#This Row],[Jumlah Transfer]]</f>
        <v>0</v>
      </c>
      <c r="T221" s="275"/>
    </row>
    <row r="222" spans="1:20" s="4" customFormat="1" ht="30" customHeight="1" x14ac:dyDescent="0.2">
      <c r="A222" s="102">
        <v>44715</v>
      </c>
      <c r="B222" s="66"/>
      <c r="C222" s="103" t="s">
        <v>920</v>
      </c>
      <c r="D222" s="103" t="s">
        <v>26</v>
      </c>
      <c r="E222" s="103" t="s">
        <v>18</v>
      </c>
      <c r="F222" s="15">
        <v>1</v>
      </c>
      <c r="G222" s="258">
        <v>500000</v>
      </c>
      <c r="H222" s="258">
        <f>List34[[#This Row],[Pengajuan Donasi]]</f>
        <v>0</v>
      </c>
      <c r="I222" s="213" t="str">
        <f>IF(List34[[#This Row],[Tanggal Trf]]&gt;0,"Done","-")</f>
        <v>Done</v>
      </c>
      <c r="J222" s="445"/>
      <c r="K222" s="221">
        <v>44814</v>
      </c>
      <c r="L222" s="100" t="s">
        <v>915</v>
      </c>
      <c r="M222" s="100">
        <f>MONTH(List34[[#This Row],[Tanggal Pengajuan]])</f>
        <v>3</v>
      </c>
      <c r="N222" s="183">
        <v>44748</v>
      </c>
      <c r="O222" s="105" t="s">
        <v>1116</v>
      </c>
      <c r="P222" s="198"/>
      <c r="Q222" s="230" t="s">
        <v>958</v>
      </c>
      <c r="S222" s="275">
        <f>+List34[[#This Row],[Pengajuan Donasi]]-List34[[#This Row],[Jumlah Transfer]]</f>
        <v>0</v>
      </c>
      <c r="T222" s="275"/>
    </row>
    <row r="223" spans="1:20" s="4" customFormat="1" ht="30" customHeight="1" x14ac:dyDescent="0.2">
      <c r="A223" s="102">
        <v>44746</v>
      </c>
      <c r="B223" s="66"/>
      <c r="C223" s="103" t="s">
        <v>920</v>
      </c>
      <c r="D223" s="103" t="s">
        <v>26</v>
      </c>
      <c r="E223" s="103" t="s">
        <v>18</v>
      </c>
      <c r="F223" s="471">
        <v>1</v>
      </c>
      <c r="G223" s="258">
        <v>500000</v>
      </c>
      <c r="H223" s="258">
        <f>List34[[#This Row],[Pengajuan Donasi]]</f>
        <v>2140000</v>
      </c>
      <c r="I223" s="213" t="str">
        <f>IF(List34[[#This Row],[Tanggal Trf]]&gt;0,"Done","-")</f>
        <v>Done</v>
      </c>
      <c r="J223" s="445" t="s">
        <v>1168</v>
      </c>
      <c r="K223" s="484">
        <v>44764</v>
      </c>
      <c r="L223" s="100" t="s">
        <v>915</v>
      </c>
      <c r="M223" s="100">
        <f>MONTH(List34[[#This Row],[Tanggal Pengajuan]])</f>
        <v>3</v>
      </c>
      <c r="N223" s="183"/>
      <c r="O223" s="100" t="s">
        <v>1180</v>
      </c>
      <c r="P223" s="198"/>
      <c r="Q223" s="230" t="s">
        <v>958</v>
      </c>
      <c r="S223" s="275">
        <f>+List34[[#This Row],[Pengajuan Donasi]]-List34[[#This Row],[Jumlah Transfer]]</f>
        <v>0</v>
      </c>
      <c r="T223" s="275"/>
    </row>
    <row r="224" spans="1:20" s="4" customFormat="1" ht="30" customHeight="1" x14ac:dyDescent="0.2">
      <c r="A224" s="102">
        <v>44775</v>
      </c>
      <c r="B224" s="66"/>
      <c r="C224" s="103" t="s">
        <v>920</v>
      </c>
      <c r="D224" s="103" t="s">
        <v>26</v>
      </c>
      <c r="E224" s="103" t="s">
        <v>18</v>
      </c>
      <c r="F224" s="471">
        <v>1</v>
      </c>
      <c r="G224" s="258">
        <v>500000</v>
      </c>
      <c r="H224" s="258">
        <f>List34[[#This Row],[Pengajuan Donasi]]</f>
        <v>0</v>
      </c>
      <c r="I224" s="213" t="str">
        <f>IF(List34[[#This Row],[Tanggal Trf]]&gt;0,"Done","-")</f>
        <v>Done</v>
      </c>
      <c r="J224" s="445" t="s">
        <v>1211</v>
      </c>
      <c r="K224" s="484">
        <v>44799</v>
      </c>
      <c r="L224" s="100" t="s">
        <v>915</v>
      </c>
      <c r="M224" s="100">
        <f>MONTH(List34[[#This Row],[Tanggal Pengajuan]])</f>
        <v>3</v>
      </c>
      <c r="N224" s="183"/>
      <c r="O224" s="100" t="s">
        <v>1223</v>
      </c>
      <c r="P224" s="198"/>
      <c r="Q224" s="230" t="s">
        <v>958</v>
      </c>
      <c r="S224" s="275">
        <f>+List34[[#This Row],[Pengajuan Donasi]]-List34[[#This Row],[Jumlah Transfer]]</f>
        <v>0</v>
      </c>
      <c r="T224" s="275"/>
    </row>
    <row r="225" spans="1:20" s="4" customFormat="1" ht="30" customHeight="1" x14ac:dyDescent="0.2">
      <c r="A225" s="102">
        <v>44587</v>
      </c>
      <c r="B225" s="66"/>
      <c r="C225" s="103" t="s">
        <v>918</v>
      </c>
      <c r="D225" s="103" t="s">
        <v>26</v>
      </c>
      <c r="E225" s="103" t="s">
        <v>18</v>
      </c>
      <c r="F225" s="15">
        <v>1</v>
      </c>
      <c r="G225" s="258">
        <v>500000</v>
      </c>
      <c r="H225" s="258">
        <f>List34[[#This Row],[Pengajuan Donasi]]</f>
        <v>2009400</v>
      </c>
      <c r="I225" s="213" t="str">
        <f>IF(List34[[#This Row],[Tanggal Trf]]&gt;0,"Done","-")</f>
        <v>Done</v>
      </c>
      <c r="J225" s="445"/>
      <c r="K225" s="221">
        <v>44588</v>
      </c>
      <c r="L225" s="100" t="s">
        <v>896</v>
      </c>
      <c r="M225" s="100">
        <f>MONTH(List34[[#This Row],[Tanggal Pengajuan]])</f>
        <v>3</v>
      </c>
      <c r="N225" s="183"/>
      <c r="O225" s="100" t="s">
        <v>651</v>
      </c>
      <c r="P225" s="198"/>
      <c r="Q225" s="230" t="s">
        <v>958</v>
      </c>
      <c r="S225" s="275">
        <f>+List34[[#This Row],[Pengajuan Donasi]]-List34[[#This Row],[Jumlah Transfer]]</f>
        <v>0</v>
      </c>
      <c r="T225" s="275"/>
    </row>
    <row r="226" spans="1:20" s="4" customFormat="1" ht="30" customHeight="1" x14ac:dyDescent="0.2">
      <c r="A226" s="102">
        <v>44607</v>
      </c>
      <c r="B226" s="66"/>
      <c r="C226" s="103" t="s">
        <v>918</v>
      </c>
      <c r="D226" s="103" t="s">
        <v>26</v>
      </c>
      <c r="E226" s="103" t="s">
        <v>18</v>
      </c>
      <c r="F226" s="15">
        <v>1</v>
      </c>
      <c r="G226" s="258">
        <v>500000</v>
      </c>
      <c r="H226" s="258">
        <f>List34[[#This Row],[Pengajuan Donasi]]</f>
        <v>4059200</v>
      </c>
      <c r="I226" s="213" t="str">
        <f>IF(List34[[#This Row],[Tanggal Trf]]&gt;0,"Done","-")</f>
        <v>Done</v>
      </c>
      <c r="J226" s="445"/>
      <c r="K226" s="221">
        <v>44612</v>
      </c>
      <c r="L226" s="100" t="s">
        <v>894</v>
      </c>
      <c r="M226" s="100">
        <f>MONTH(List34[[#This Row],[Tanggal Pengajuan]])</f>
        <v>3</v>
      </c>
      <c r="N226" s="183"/>
      <c r="O226" s="100"/>
      <c r="P226" s="198"/>
      <c r="Q226" s="230" t="s">
        <v>958</v>
      </c>
      <c r="S226" s="275">
        <f>+List34[[#This Row],[Pengajuan Donasi]]-List34[[#This Row],[Jumlah Transfer]]</f>
        <v>0</v>
      </c>
      <c r="T226" s="275"/>
    </row>
    <row r="227" spans="1:20" s="4" customFormat="1" ht="30" customHeight="1" x14ac:dyDescent="0.2">
      <c r="A227" s="102">
        <v>44624</v>
      </c>
      <c r="B227" s="66"/>
      <c r="C227" s="103" t="s">
        <v>918</v>
      </c>
      <c r="D227" s="103" t="s">
        <v>26</v>
      </c>
      <c r="E227" s="103" t="s">
        <v>18</v>
      </c>
      <c r="F227" s="15">
        <v>1</v>
      </c>
      <c r="G227" s="258">
        <v>500000</v>
      </c>
      <c r="H227" s="258">
        <f>List34[[#This Row],[Pengajuan Donasi]]</f>
        <v>0</v>
      </c>
      <c r="I227" s="213" t="str">
        <f>IF(List34[[#This Row],[Tanggal Trf]]&gt;0,"Done","-")</f>
        <v>Done</v>
      </c>
      <c r="J227" s="445"/>
      <c r="K227" s="221">
        <v>44630</v>
      </c>
      <c r="L227" s="100" t="s">
        <v>896</v>
      </c>
      <c r="M227" s="100">
        <f>MONTH(List34[[#This Row],[Tanggal Pengajuan]])</f>
        <v>3</v>
      </c>
      <c r="N227" s="183"/>
      <c r="O227" s="105" t="s">
        <v>746</v>
      </c>
      <c r="P227" s="198"/>
      <c r="Q227" s="230" t="s">
        <v>958</v>
      </c>
      <c r="S227" s="275">
        <f>+List34[[#This Row],[Pengajuan Donasi]]-List34[[#This Row],[Jumlah Transfer]]</f>
        <v>0</v>
      </c>
      <c r="T227" s="275"/>
    </row>
    <row r="228" spans="1:20" s="4" customFormat="1" ht="30" customHeight="1" x14ac:dyDescent="0.2">
      <c r="A228" s="102">
        <v>44658</v>
      </c>
      <c r="B228" s="66"/>
      <c r="C228" s="103" t="s">
        <v>918</v>
      </c>
      <c r="D228" s="103" t="s">
        <v>26</v>
      </c>
      <c r="E228" s="103" t="s">
        <v>18</v>
      </c>
      <c r="F228" s="15">
        <v>1</v>
      </c>
      <c r="G228" s="258">
        <v>500000</v>
      </c>
      <c r="H228" s="258">
        <f>List34[[#This Row],[Pengajuan Donasi]]</f>
        <v>3012300</v>
      </c>
      <c r="I228" s="213" t="str">
        <f>IF(List34[[#This Row],[Tanggal Trf]]&gt;0,"Done","-")</f>
        <v>Done</v>
      </c>
      <c r="J228" s="445"/>
      <c r="K228" s="221">
        <v>44672</v>
      </c>
      <c r="L228" s="100" t="s">
        <v>896</v>
      </c>
      <c r="M228" s="100">
        <f>MONTH(List34[[#This Row],[Tanggal Pengajuan]])</f>
        <v>3</v>
      </c>
      <c r="N228" s="183">
        <v>44676</v>
      </c>
      <c r="O228" s="100" t="s">
        <v>795</v>
      </c>
      <c r="P228" s="198"/>
      <c r="Q228" s="230" t="s">
        <v>958</v>
      </c>
      <c r="S228" s="275">
        <f>+List34[[#This Row],[Pengajuan Donasi]]-List34[[#This Row],[Jumlah Transfer]]</f>
        <v>0</v>
      </c>
      <c r="T228" s="275"/>
    </row>
    <row r="229" spans="1:20" s="4" customFormat="1" ht="30" customHeight="1" x14ac:dyDescent="0.2">
      <c r="A229" s="102">
        <v>44687</v>
      </c>
      <c r="B229" s="189"/>
      <c r="C229" s="168" t="s">
        <v>918</v>
      </c>
      <c r="D229" s="168" t="s">
        <v>26</v>
      </c>
      <c r="E229" s="168" t="s">
        <v>18</v>
      </c>
      <c r="F229" s="178">
        <v>0</v>
      </c>
      <c r="G229" s="261">
        <v>0</v>
      </c>
      <c r="H229" s="261">
        <f>List34[[#This Row],[Pengajuan Donasi]]</f>
        <v>5998500</v>
      </c>
      <c r="I229" s="253" t="str">
        <f>IF(List34[[#This Row],[Tanggal Trf]]&gt;0,"Done","-")</f>
        <v>Done</v>
      </c>
      <c r="J229" s="447" t="s">
        <v>1013</v>
      </c>
      <c r="K229" s="222"/>
      <c r="L229" s="193" t="s">
        <v>896</v>
      </c>
      <c r="M229" s="193">
        <f>MONTH(List34[[#This Row],[Tanggal Pengajuan]])</f>
        <v>3</v>
      </c>
      <c r="N229" s="222" t="s">
        <v>960</v>
      </c>
      <c r="O229" s="193" t="s">
        <v>1221</v>
      </c>
      <c r="P229" s="198"/>
      <c r="Q229" s="230" t="s">
        <v>958</v>
      </c>
      <c r="S229" s="275">
        <f>+List34[[#This Row],[Pengajuan Donasi]]-List34[[#This Row],[Jumlah Transfer]]</f>
        <v>0</v>
      </c>
      <c r="T229" s="275"/>
    </row>
    <row r="230" spans="1:20" s="4" customFormat="1" ht="30" customHeight="1" x14ac:dyDescent="0.2">
      <c r="A230" s="102">
        <v>44704</v>
      </c>
      <c r="B230" s="66"/>
      <c r="C230" s="103" t="s">
        <v>918</v>
      </c>
      <c r="D230" s="103" t="s">
        <v>26</v>
      </c>
      <c r="E230" s="103" t="s">
        <v>18</v>
      </c>
      <c r="F230" s="15">
        <v>1</v>
      </c>
      <c r="G230" s="258">
        <v>500000</v>
      </c>
      <c r="H230" s="258">
        <f>List34[[#This Row],[Pengajuan Donasi]]</f>
        <v>5999700</v>
      </c>
      <c r="I230" s="213" t="str">
        <f>IF(List34[[#This Row],[Tanggal Trf]]&gt;0,"Done","-")</f>
        <v>Done</v>
      </c>
      <c r="J230" s="445"/>
      <c r="K230" s="221">
        <v>44712</v>
      </c>
      <c r="L230" s="100" t="s">
        <v>896</v>
      </c>
      <c r="M230" s="100">
        <f>MONTH(List34[[#This Row],[Tanggal Pengajuan]])</f>
        <v>3</v>
      </c>
      <c r="N230" s="183">
        <v>44698</v>
      </c>
      <c r="O230" s="100" t="s">
        <v>932</v>
      </c>
      <c r="P230" s="198"/>
      <c r="Q230" s="230" t="s">
        <v>958</v>
      </c>
      <c r="S230" s="275">
        <f>+List34[[#This Row],[Pengajuan Donasi]]-List34[[#This Row],[Jumlah Transfer]]</f>
        <v>0</v>
      </c>
      <c r="T230" s="275"/>
    </row>
    <row r="231" spans="1:20" s="4" customFormat="1" ht="30" customHeight="1" x14ac:dyDescent="0.2">
      <c r="A231" s="102">
        <v>44715</v>
      </c>
      <c r="B231" s="66"/>
      <c r="C231" s="103" t="s">
        <v>918</v>
      </c>
      <c r="D231" s="103" t="s">
        <v>26</v>
      </c>
      <c r="E231" s="103" t="s">
        <v>18</v>
      </c>
      <c r="F231" s="15">
        <v>1</v>
      </c>
      <c r="G231" s="258">
        <v>500000</v>
      </c>
      <c r="H231" s="258">
        <f>List34[[#This Row],[Pengajuan Donasi]]</f>
        <v>5992300</v>
      </c>
      <c r="I231" s="213" t="str">
        <f>IF(List34[[#This Row],[Tanggal Trf]]&gt;0,"Done","-")</f>
        <v>Done</v>
      </c>
      <c r="J231" s="445"/>
      <c r="K231" s="221">
        <v>44814</v>
      </c>
      <c r="L231" s="100" t="s">
        <v>896</v>
      </c>
      <c r="M231" s="100">
        <f>MONTH(List34[[#This Row],[Tanggal Pengajuan]])</f>
        <v>3</v>
      </c>
      <c r="N231" s="183">
        <v>44748</v>
      </c>
      <c r="O231" s="105" t="s">
        <v>1116</v>
      </c>
      <c r="P231" s="198"/>
      <c r="Q231" s="230" t="s">
        <v>958</v>
      </c>
      <c r="S231" s="275">
        <f>+List34[[#This Row],[Pengajuan Donasi]]-List34[[#This Row],[Jumlah Transfer]]</f>
        <v>0</v>
      </c>
      <c r="T231" s="275"/>
    </row>
    <row r="232" spans="1:20" s="4" customFormat="1" ht="30" customHeight="1" x14ac:dyDescent="0.2">
      <c r="A232" s="102">
        <v>44746</v>
      </c>
      <c r="B232" s="66"/>
      <c r="C232" s="103" t="s">
        <v>918</v>
      </c>
      <c r="D232" s="103" t="s">
        <v>26</v>
      </c>
      <c r="E232" s="103" t="s">
        <v>18</v>
      </c>
      <c r="F232" s="471">
        <v>1</v>
      </c>
      <c r="G232" s="258">
        <v>500000</v>
      </c>
      <c r="H232" s="258">
        <f>List34[[#This Row],[Pengajuan Donasi]]</f>
        <v>5999900</v>
      </c>
      <c r="I232" s="213" t="str">
        <f>IF(List34[[#This Row],[Tanggal Trf]]&gt;0,"Done","-")</f>
        <v>Done</v>
      </c>
      <c r="J232" s="445" t="s">
        <v>1168</v>
      </c>
      <c r="K232" s="484">
        <v>44764</v>
      </c>
      <c r="L232" s="100" t="s">
        <v>896</v>
      </c>
      <c r="M232" s="100">
        <f>MONTH(List34[[#This Row],[Tanggal Pengajuan]])</f>
        <v>3</v>
      </c>
      <c r="N232" s="183"/>
      <c r="O232" s="100" t="s">
        <v>1180</v>
      </c>
      <c r="P232" s="198"/>
      <c r="Q232" s="230" t="s">
        <v>958</v>
      </c>
      <c r="S232" s="275">
        <f>+List34[[#This Row],[Pengajuan Donasi]]-List34[[#This Row],[Jumlah Transfer]]</f>
        <v>0</v>
      </c>
      <c r="T232" s="275"/>
    </row>
    <row r="233" spans="1:20" s="4" customFormat="1" ht="30" customHeight="1" x14ac:dyDescent="0.2">
      <c r="A233" s="102">
        <v>44775</v>
      </c>
      <c r="B233" s="67"/>
      <c r="C233" s="103" t="s">
        <v>918</v>
      </c>
      <c r="D233" s="103" t="s">
        <v>26</v>
      </c>
      <c r="E233" s="103" t="s">
        <v>18</v>
      </c>
      <c r="F233" s="471">
        <v>1</v>
      </c>
      <c r="G233" s="258">
        <v>500000</v>
      </c>
      <c r="H233" s="258">
        <f>List34[[#This Row],[Pengajuan Donasi]]</f>
        <v>5998400</v>
      </c>
      <c r="I233" s="213" t="str">
        <f>IF(List34[[#This Row],[Tanggal Trf]]&gt;0,"Done","-")</f>
        <v>Done</v>
      </c>
      <c r="J233" s="437" t="s">
        <v>1211</v>
      </c>
      <c r="K233" s="484">
        <v>44799</v>
      </c>
      <c r="L233" s="100" t="s">
        <v>896</v>
      </c>
      <c r="M233" s="100">
        <f>MONTH(List34[[#This Row],[Tanggal Pengajuan]])</f>
        <v>3</v>
      </c>
      <c r="N233" s="183"/>
      <c r="O233" s="105" t="s">
        <v>1223</v>
      </c>
      <c r="P233" s="111"/>
      <c r="Q233" s="233" t="s">
        <v>960</v>
      </c>
      <c r="S233" s="275">
        <f>+List34[[#This Row],[Pengajuan Donasi]]-List34[[#This Row],[Jumlah Transfer]]</f>
        <v>0</v>
      </c>
      <c r="T233" s="275"/>
    </row>
    <row r="234" spans="1:20" s="4" customFormat="1" ht="30" customHeight="1" x14ac:dyDescent="0.2">
      <c r="A234" s="102">
        <v>44587</v>
      </c>
      <c r="B234" s="594"/>
      <c r="C234" s="103" t="s">
        <v>927</v>
      </c>
      <c r="D234" s="103" t="s">
        <v>26</v>
      </c>
      <c r="E234" s="103" t="s">
        <v>18</v>
      </c>
      <c r="F234" s="15">
        <v>1</v>
      </c>
      <c r="G234" s="258">
        <v>500000</v>
      </c>
      <c r="H234" s="258">
        <f>List34[[#This Row],[Pengajuan Donasi]]</f>
        <v>5993100</v>
      </c>
      <c r="I234" s="213" t="str">
        <f>IF(List34[[#This Row],[Tanggal Trf]]&gt;0,"Done","-")</f>
        <v>Done</v>
      </c>
      <c r="J234" s="608"/>
      <c r="K234" s="221">
        <v>44588</v>
      </c>
      <c r="L234" s="100" t="s">
        <v>1014</v>
      </c>
      <c r="M234" s="200">
        <f>MONTH(List34[[#This Row],[Tanggal Pengajuan]])</f>
        <v>3</v>
      </c>
      <c r="N234" s="201"/>
      <c r="O234" s="105" t="s">
        <v>651</v>
      </c>
      <c r="P234" s="111"/>
      <c r="Q234" s="230" t="s">
        <v>958</v>
      </c>
      <c r="S234" s="275">
        <f>+List34[[#This Row],[Pengajuan Donasi]]-List34[[#This Row],[Jumlah Transfer]]</f>
        <v>0</v>
      </c>
      <c r="T234" s="275"/>
    </row>
    <row r="235" spans="1:20" s="4" customFormat="1" ht="30" customHeight="1" x14ac:dyDescent="0.2">
      <c r="A235" s="102">
        <v>44607</v>
      </c>
      <c r="B235" s="67"/>
      <c r="C235" s="103" t="s">
        <v>927</v>
      </c>
      <c r="D235" s="103" t="s">
        <v>26</v>
      </c>
      <c r="E235" s="103" t="s">
        <v>18</v>
      </c>
      <c r="F235" s="15">
        <v>1</v>
      </c>
      <c r="G235" s="258">
        <v>500000</v>
      </c>
      <c r="H235" s="258">
        <f>List34[[#This Row],[Pengajuan Donasi]]</f>
        <v>5999800</v>
      </c>
      <c r="I235" s="213" t="str">
        <f>IF(List34[[#This Row],[Tanggal Trf]]&gt;0,"Done","-")</f>
        <v>Done</v>
      </c>
      <c r="J235" s="437"/>
      <c r="K235" s="221">
        <v>44612</v>
      </c>
      <c r="L235" s="100" t="s">
        <v>1014</v>
      </c>
      <c r="M235" s="100">
        <f>MONTH(List34[[#This Row],[Tanggal Pengajuan]])</f>
        <v>3</v>
      </c>
      <c r="N235" s="183"/>
      <c r="O235" s="105"/>
      <c r="P235" s="111"/>
      <c r="Q235" s="233" t="s">
        <v>960</v>
      </c>
      <c r="S235" s="275">
        <f>+List34[[#This Row],[Pengajuan Donasi]]-List34[[#This Row],[Jumlah Transfer]]</f>
        <v>0</v>
      </c>
      <c r="T235" s="275"/>
    </row>
    <row r="236" spans="1:20" s="4" customFormat="1" ht="30" customHeight="1" x14ac:dyDescent="0.2">
      <c r="A236" s="102">
        <v>44624</v>
      </c>
      <c r="B236" s="67"/>
      <c r="C236" s="103" t="s">
        <v>927</v>
      </c>
      <c r="D236" s="103" t="s">
        <v>26</v>
      </c>
      <c r="E236" s="103" t="s">
        <v>18</v>
      </c>
      <c r="F236" s="15">
        <v>1</v>
      </c>
      <c r="G236" s="258">
        <v>500000</v>
      </c>
      <c r="H236" s="258">
        <f>List34[[#This Row],[Pengajuan Donasi]]</f>
        <v>5998300</v>
      </c>
      <c r="I236" s="213" t="str">
        <f>IF(List34[[#This Row],[Tanggal Trf]]&gt;0,"Done","-")</f>
        <v>Done</v>
      </c>
      <c r="J236" s="446"/>
      <c r="K236" s="221">
        <v>44630</v>
      </c>
      <c r="L236" s="100" t="s">
        <v>1014</v>
      </c>
      <c r="M236" s="100">
        <f>MONTH(List34[[#This Row],[Tanggal Pengajuan]])</f>
        <v>3</v>
      </c>
      <c r="N236" s="183"/>
      <c r="O236" s="100" t="s">
        <v>746</v>
      </c>
      <c r="P236" s="111"/>
      <c r="Q236" s="230" t="s">
        <v>958</v>
      </c>
      <c r="S236" s="275">
        <f>+List34[[#This Row],[Pengajuan Donasi]]-List34[[#This Row],[Jumlah Transfer]]</f>
        <v>0</v>
      </c>
      <c r="T236" s="275"/>
    </row>
    <row r="237" spans="1:20" s="4" customFormat="1" ht="30" customHeight="1" x14ac:dyDescent="0.2">
      <c r="A237" s="102">
        <v>44658</v>
      </c>
      <c r="B237" s="67"/>
      <c r="C237" s="103" t="s">
        <v>927</v>
      </c>
      <c r="D237" s="103" t="s">
        <v>26</v>
      </c>
      <c r="E237" s="103" t="s">
        <v>18</v>
      </c>
      <c r="F237" s="15">
        <v>1</v>
      </c>
      <c r="G237" s="258">
        <v>500000</v>
      </c>
      <c r="H237" s="258">
        <f>List34[[#This Row],[Pengajuan Donasi]]</f>
        <v>5997200</v>
      </c>
      <c r="I237" s="213" t="str">
        <f>IF(List34[[#This Row],[Tanggal Trf]]&gt;0,"Done","-")</f>
        <v>Done</v>
      </c>
      <c r="J237" s="446"/>
      <c r="K237" s="221">
        <v>44672</v>
      </c>
      <c r="L237" s="100" t="s">
        <v>1014</v>
      </c>
      <c r="M237" s="100">
        <f>MONTH(List34[[#This Row],[Tanggal Pengajuan]])</f>
        <v>3</v>
      </c>
      <c r="N237" s="183">
        <v>44676</v>
      </c>
      <c r="O237" s="100" t="s">
        <v>795</v>
      </c>
      <c r="P237" s="111"/>
      <c r="Q237" s="230" t="s">
        <v>958</v>
      </c>
      <c r="S237" s="275">
        <f>+List34[[#This Row],[Pengajuan Donasi]]-List34[[#This Row],[Jumlah Transfer]]</f>
        <v>0</v>
      </c>
      <c r="T237" s="275"/>
    </row>
    <row r="238" spans="1:20" s="4" customFormat="1" ht="30" customHeight="1" x14ac:dyDescent="0.2">
      <c r="A238" s="102">
        <v>44687</v>
      </c>
      <c r="B238" s="163"/>
      <c r="C238" s="168" t="s">
        <v>927</v>
      </c>
      <c r="D238" s="168" t="s">
        <v>26</v>
      </c>
      <c r="E238" s="168" t="s">
        <v>18</v>
      </c>
      <c r="F238" s="178">
        <v>0</v>
      </c>
      <c r="G238" s="261">
        <v>0</v>
      </c>
      <c r="H238" s="261">
        <f>List34[[#This Row],[Pengajuan Donasi]]</f>
        <v>5998000</v>
      </c>
      <c r="I238" s="253" t="str">
        <f>IF(List34[[#This Row],[Tanggal Trf]]&gt;0,"Done","-")</f>
        <v>Done</v>
      </c>
      <c r="J238" s="612" t="s">
        <v>1013</v>
      </c>
      <c r="K238" s="222"/>
      <c r="L238" s="193" t="s">
        <v>1014</v>
      </c>
      <c r="M238" s="193">
        <f>MONTH(List34[[#This Row],[Tanggal Pengajuan]])</f>
        <v>3</v>
      </c>
      <c r="N238" s="222" t="s">
        <v>960</v>
      </c>
      <c r="O238" s="193" t="s">
        <v>1221</v>
      </c>
      <c r="P238" s="111"/>
      <c r="Q238" s="230" t="s">
        <v>958</v>
      </c>
      <c r="S238" s="275">
        <f>+List34[[#This Row],[Pengajuan Donasi]]-List34[[#This Row],[Jumlah Transfer]]</f>
        <v>0</v>
      </c>
      <c r="T238" s="275"/>
    </row>
    <row r="239" spans="1:20" s="4" customFormat="1" ht="30" customHeight="1" x14ac:dyDescent="0.2">
      <c r="A239" s="102">
        <v>44704</v>
      </c>
      <c r="B239" s="163"/>
      <c r="C239" s="103" t="s">
        <v>927</v>
      </c>
      <c r="D239" s="103" t="s">
        <v>26</v>
      </c>
      <c r="E239" s="103" t="s">
        <v>18</v>
      </c>
      <c r="F239" s="15">
        <v>1</v>
      </c>
      <c r="G239" s="258">
        <v>500000</v>
      </c>
      <c r="H239" s="258">
        <f>List34[[#This Row],[Pengajuan Donasi]]</f>
        <v>5999200</v>
      </c>
      <c r="I239" s="213" t="str">
        <f>IF(List34[[#This Row],[Tanggal Trf]]&gt;0,"Done","-")</f>
        <v>Done</v>
      </c>
      <c r="J239" s="446"/>
      <c r="K239" s="221">
        <v>44712</v>
      </c>
      <c r="L239" s="421" t="s">
        <v>1014</v>
      </c>
      <c r="M239" s="100">
        <f>MONTH(List34[[#This Row],[Tanggal Pengajuan]])</f>
        <v>3</v>
      </c>
      <c r="N239" s="183">
        <v>44698</v>
      </c>
      <c r="O239" s="100" t="s">
        <v>932</v>
      </c>
      <c r="P239" s="111"/>
      <c r="Q239" s="230" t="s">
        <v>958</v>
      </c>
      <c r="S239" s="275">
        <f>+List34[[#This Row],[Pengajuan Donasi]]-List34[[#This Row],[Jumlah Transfer]]</f>
        <v>0</v>
      </c>
      <c r="T239" s="275"/>
    </row>
    <row r="240" spans="1:20" s="4" customFormat="1" ht="30" customHeight="1" x14ac:dyDescent="0.2">
      <c r="A240" s="102">
        <v>44715</v>
      </c>
      <c r="B240" s="67"/>
      <c r="C240" s="103" t="s">
        <v>927</v>
      </c>
      <c r="D240" s="103" t="s">
        <v>26</v>
      </c>
      <c r="E240" s="103" t="s">
        <v>18</v>
      </c>
      <c r="F240" s="15">
        <v>1</v>
      </c>
      <c r="G240" s="258">
        <v>500000</v>
      </c>
      <c r="H240" s="258">
        <f>List34[[#This Row],[Pengajuan Donasi]]</f>
        <v>5993700</v>
      </c>
      <c r="I240" s="213" t="str">
        <f>IF(List34[[#This Row],[Tanggal Trf]]&gt;0,"Done","-")</f>
        <v>Done</v>
      </c>
      <c r="J240" s="445"/>
      <c r="K240" s="221">
        <v>44814</v>
      </c>
      <c r="L240" s="421" t="s">
        <v>1014</v>
      </c>
      <c r="M240" s="100">
        <f>MONTH(List34[[#This Row],[Tanggal Pengajuan]])</f>
        <v>3</v>
      </c>
      <c r="N240" s="183">
        <v>44748</v>
      </c>
      <c r="O240" s="105" t="s">
        <v>1116</v>
      </c>
      <c r="P240" s="111"/>
      <c r="Q240" s="230" t="s">
        <v>958</v>
      </c>
      <c r="S240" s="275">
        <f>+List34[[#This Row],[Pengajuan Donasi]]-List34[[#This Row],[Jumlah Transfer]]</f>
        <v>0</v>
      </c>
      <c r="T240" s="275"/>
    </row>
    <row r="241" spans="1:20" s="4" customFormat="1" ht="30" customHeight="1" x14ac:dyDescent="0.2">
      <c r="A241" s="102">
        <v>44746</v>
      </c>
      <c r="B241" s="67"/>
      <c r="C241" s="103" t="s">
        <v>927</v>
      </c>
      <c r="D241" s="103" t="s">
        <v>26</v>
      </c>
      <c r="E241" s="103" t="s">
        <v>18</v>
      </c>
      <c r="F241" s="471">
        <v>1</v>
      </c>
      <c r="G241" s="258">
        <v>500000</v>
      </c>
      <c r="H241" s="258">
        <f>List34[[#This Row],[Pengajuan Donasi]]</f>
        <v>5999000</v>
      </c>
      <c r="I241" s="214" t="str">
        <f>IF(List34[[#This Row],[Tanggal Trf]]&gt;0,"Done","-")</f>
        <v>Done</v>
      </c>
      <c r="J241" s="445" t="s">
        <v>1168</v>
      </c>
      <c r="K241" s="484">
        <v>44764</v>
      </c>
      <c r="L241" s="100" t="s">
        <v>1014</v>
      </c>
      <c r="M241" s="100">
        <f>MONTH(List34[[#This Row],[Tanggal Pengajuan]])</f>
        <v>3</v>
      </c>
      <c r="N241" s="183"/>
      <c r="O241" s="105" t="s">
        <v>1180</v>
      </c>
      <c r="P241" s="111"/>
      <c r="Q241" s="230" t="s">
        <v>958</v>
      </c>
      <c r="S241" s="275">
        <f>+List34[[#This Row],[Pengajuan Donasi]]-List34[[#This Row],[Jumlah Transfer]]</f>
        <v>0</v>
      </c>
      <c r="T241" s="275"/>
    </row>
    <row r="242" spans="1:20" s="4" customFormat="1" ht="30" customHeight="1" x14ac:dyDescent="0.2">
      <c r="A242" s="102">
        <v>44775</v>
      </c>
      <c r="B242" s="67"/>
      <c r="C242" s="103" t="s">
        <v>927</v>
      </c>
      <c r="D242" s="103" t="s">
        <v>26</v>
      </c>
      <c r="E242" s="103" t="s">
        <v>18</v>
      </c>
      <c r="F242" s="471">
        <v>1</v>
      </c>
      <c r="G242" s="258">
        <v>500000</v>
      </c>
      <c r="H242" s="258">
        <f>List34[[#This Row],[Pengajuan Donasi]]</f>
        <v>5998800</v>
      </c>
      <c r="I242" s="214" t="str">
        <f>IF(List34[[#This Row],[Tanggal Trf]]&gt;0,"Done","-")</f>
        <v>Done</v>
      </c>
      <c r="J242" s="445" t="s">
        <v>1211</v>
      </c>
      <c r="K242" s="484">
        <v>44799</v>
      </c>
      <c r="L242" s="100" t="s">
        <v>1014</v>
      </c>
      <c r="M242" s="100">
        <f>MONTH(List34[[#This Row],[Tanggal Pengajuan]])</f>
        <v>3</v>
      </c>
      <c r="N242" s="183"/>
      <c r="O242" s="105" t="s">
        <v>1223</v>
      </c>
      <c r="P242" s="111"/>
      <c r="Q242" s="230" t="s">
        <v>958</v>
      </c>
      <c r="S242" s="275">
        <f>+List34[[#This Row],[Pengajuan Donasi]]-List34[[#This Row],[Jumlah Transfer]]</f>
        <v>0</v>
      </c>
      <c r="T242" s="275"/>
    </row>
    <row r="243" spans="1:20" s="4" customFormat="1" ht="30" customHeight="1" x14ac:dyDescent="0.2">
      <c r="A243" s="102">
        <v>44587</v>
      </c>
      <c r="B243" s="67"/>
      <c r="C243" s="103" t="s">
        <v>917</v>
      </c>
      <c r="D243" s="103" t="s">
        <v>26</v>
      </c>
      <c r="E243" s="103" t="s">
        <v>18</v>
      </c>
      <c r="F243" s="15">
        <v>1</v>
      </c>
      <c r="G243" s="258">
        <v>500000</v>
      </c>
      <c r="H243" s="258">
        <f>List34[[#This Row],[Pengajuan Donasi]]</f>
        <v>5998900</v>
      </c>
      <c r="I243" s="214" t="str">
        <f>IF(List34[[#This Row],[Tanggal Trf]]&gt;0,"Done","-")</f>
        <v>Done</v>
      </c>
      <c r="J243" s="445"/>
      <c r="K243" s="221">
        <v>44588</v>
      </c>
      <c r="L243" s="100" t="s">
        <v>894</v>
      </c>
      <c r="M243" s="100">
        <f>MONTH(List34[[#This Row],[Tanggal Pengajuan]])</f>
        <v>3</v>
      </c>
      <c r="N243" s="183"/>
      <c r="O243" s="105" t="s">
        <v>651</v>
      </c>
      <c r="P243" s="111"/>
      <c r="Q243" s="230" t="s">
        <v>958</v>
      </c>
      <c r="S243" s="275">
        <f>+List34[[#This Row],[Pengajuan Donasi]]-List34[[#This Row],[Jumlah Transfer]]</f>
        <v>0</v>
      </c>
      <c r="T243" s="275"/>
    </row>
    <row r="244" spans="1:20" s="4" customFormat="1" ht="30" customHeight="1" x14ac:dyDescent="0.2">
      <c r="A244" s="102">
        <v>44607</v>
      </c>
      <c r="B244" s="67"/>
      <c r="C244" s="103" t="s">
        <v>917</v>
      </c>
      <c r="D244" s="103" t="s">
        <v>26</v>
      </c>
      <c r="E244" s="103" t="s">
        <v>18</v>
      </c>
      <c r="F244" s="15">
        <v>1</v>
      </c>
      <c r="G244" s="258">
        <v>500000</v>
      </c>
      <c r="H244" s="258">
        <f>List34[[#This Row],[Pengajuan Donasi]]</f>
        <v>5996900</v>
      </c>
      <c r="I244" s="214" t="str">
        <f>IF(List34[[#This Row],[Tanggal Trf]]&gt;0,"Done","-")</f>
        <v>Done</v>
      </c>
      <c r="J244" s="445"/>
      <c r="K244" s="221">
        <v>44612</v>
      </c>
      <c r="L244" s="100" t="s">
        <v>895</v>
      </c>
      <c r="M244" s="100">
        <f>MONTH(List34[[#This Row],[Tanggal Pengajuan]])</f>
        <v>3</v>
      </c>
      <c r="N244" s="183"/>
      <c r="O244" s="105"/>
      <c r="P244" s="111"/>
      <c r="Q244" s="230" t="s">
        <v>958</v>
      </c>
      <c r="S244" s="275">
        <f>+List34[[#This Row],[Pengajuan Donasi]]-List34[[#This Row],[Jumlah Transfer]]</f>
        <v>0</v>
      </c>
      <c r="T244" s="275"/>
    </row>
    <row r="245" spans="1:20" s="4" customFormat="1" ht="30" customHeight="1" x14ac:dyDescent="0.2">
      <c r="A245" s="102">
        <v>44624</v>
      </c>
      <c r="B245" s="67"/>
      <c r="C245" s="103" t="s">
        <v>917</v>
      </c>
      <c r="D245" s="103" t="s">
        <v>26</v>
      </c>
      <c r="E245" s="103" t="s">
        <v>18</v>
      </c>
      <c r="F245" s="15">
        <v>1</v>
      </c>
      <c r="G245" s="258">
        <v>500000</v>
      </c>
      <c r="H245" s="258">
        <f>List34[[#This Row],[Pengajuan Donasi]]</f>
        <v>5999800</v>
      </c>
      <c r="I245" s="214" t="str">
        <f>IF(List34[[#This Row],[Tanggal Trf]]&gt;0,"Done","-")</f>
        <v>Done</v>
      </c>
      <c r="J245" s="445"/>
      <c r="K245" s="221">
        <v>44630</v>
      </c>
      <c r="L245" s="100" t="s">
        <v>894</v>
      </c>
      <c r="M245" s="100">
        <f>MONTH(List34[[#This Row],[Tanggal Pengajuan]])</f>
        <v>3</v>
      </c>
      <c r="N245" s="183"/>
      <c r="O245" s="105" t="s">
        <v>746</v>
      </c>
      <c r="P245" s="111"/>
      <c r="Q245" s="230" t="s">
        <v>958</v>
      </c>
      <c r="S245" s="275">
        <f>+List34[[#This Row],[Pengajuan Donasi]]-List34[[#This Row],[Jumlah Transfer]]</f>
        <v>0</v>
      </c>
      <c r="T245" s="275"/>
    </row>
    <row r="246" spans="1:20" s="4" customFormat="1" ht="30" customHeight="1" x14ac:dyDescent="0.2">
      <c r="A246" s="102">
        <v>44658</v>
      </c>
      <c r="B246" s="67"/>
      <c r="C246" s="103" t="s">
        <v>917</v>
      </c>
      <c r="D246" s="103" t="s">
        <v>26</v>
      </c>
      <c r="E246" s="103" t="s">
        <v>18</v>
      </c>
      <c r="F246" s="15">
        <v>1</v>
      </c>
      <c r="G246" s="258">
        <v>500000</v>
      </c>
      <c r="H246" s="258">
        <f>List34[[#This Row],[Pengajuan Donasi]]</f>
        <v>5999000</v>
      </c>
      <c r="I246" s="214" t="str">
        <f>IF(List34[[#This Row],[Tanggal Trf]]&gt;0,"Done","-")</f>
        <v>Done</v>
      </c>
      <c r="J246" s="445"/>
      <c r="K246" s="221">
        <v>44670</v>
      </c>
      <c r="L246" s="100" t="s">
        <v>894</v>
      </c>
      <c r="M246" s="100">
        <f>MONTH(List34[[#This Row],[Tanggal Pengajuan]])</f>
        <v>3</v>
      </c>
      <c r="N246" s="183">
        <v>44676</v>
      </c>
      <c r="O246" s="105" t="s">
        <v>795</v>
      </c>
      <c r="P246" s="111"/>
      <c r="Q246" s="230" t="s">
        <v>958</v>
      </c>
      <c r="S246" s="275">
        <f>+List34[[#This Row],[Pengajuan Donasi]]-List34[[#This Row],[Jumlah Transfer]]</f>
        <v>0</v>
      </c>
      <c r="T246" s="275"/>
    </row>
    <row r="247" spans="1:20" s="4" customFormat="1" ht="30" customHeight="1" x14ac:dyDescent="0.2">
      <c r="A247" s="102">
        <v>44687</v>
      </c>
      <c r="B247" s="163"/>
      <c r="C247" s="168" t="s">
        <v>917</v>
      </c>
      <c r="D247" s="168" t="s">
        <v>26</v>
      </c>
      <c r="E247" s="168" t="s">
        <v>18</v>
      </c>
      <c r="F247" s="178">
        <v>0</v>
      </c>
      <c r="G247" s="261">
        <v>0</v>
      </c>
      <c r="H247" s="261">
        <f>List34[[#This Row],[Pengajuan Donasi]]</f>
        <v>5998600</v>
      </c>
      <c r="I247" s="216" t="str">
        <f>IF(List34[[#This Row],[Tanggal Trf]]&gt;0,"Done","-")</f>
        <v>Done</v>
      </c>
      <c r="J247" s="447" t="s">
        <v>1013</v>
      </c>
      <c r="K247" s="222"/>
      <c r="L247" s="193" t="s">
        <v>894</v>
      </c>
      <c r="M247" s="193">
        <f>MONTH(List34[[#This Row],[Tanggal Pengajuan]])</f>
        <v>3</v>
      </c>
      <c r="N247" s="222" t="s">
        <v>960</v>
      </c>
      <c r="O247" s="166" t="s">
        <v>1221</v>
      </c>
      <c r="P247" s="111"/>
      <c r="Q247" s="230" t="s">
        <v>958</v>
      </c>
      <c r="S247" s="275">
        <f>+List34[[#This Row],[Pengajuan Donasi]]-List34[[#This Row],[Jumlah Transfer]]</f>
        <v>0</v>
      </c>
      <c r="T247" s="275"/>
    </row>
    <row r="248" spans="1:20" s="4" customFormat="1" ht="30" customHeight="1" x14ac:dyDescent="0.2">
      <c r="A248" s="102">
        <v>44704</v>
      </c>
      <c r="B248" s="67"/>
      <c r="C248" s="103" t="s">
        <v>917</v>
      </c>
      <c r="D248" s="103" t="s">
        <v>26</v>
      </c>
      <c r="E248" s="103" t="s">
        <v>18</v>
      </c>
      <c r="F248" s="15">
        <v>1</v>
      </c>
      <c r="G248" s="258">
        <v>500000</v>
      </c>
      <c r="H248" s="258">
        <f>List34[[#This Row],[Pengajuan Donasi]]</f>
        <v>5999900</v>
      </c>
      <c r="I248" s="214" t="str">
        <f>IF(List34[[#This Row],[Tanggal Trf]]&gt;0,"Done","-")</f>
        <v>Done</v>
      </c>
      <c r="J248" s="445"/>
      <c r="K248" s="221">
        <v>44712</v>
      </c>
      <c r="L248" s="100" t="s">
        <v>894</v>
      </c>
      <c r="M248" s="100">
        <f>MONTH(List34[[#This Row],[Tanggal Pengajuan]])</f>
        <v>3</v>
      </c>
      <c r="N248" s="183">
        <v>44698</v>
      </c>
      <c r="O248" s="105" t="s">
        <v>932</v>
      </c>
      <c r="P248" s="111"/>
      <c r="Q248" s="230" t="s">
        <v>958</v>
      </c>
      <c r="S248" s="275">
        <f>+List34[[#This Row],[Pengajuan Donasi]]-List34[[#This Row],[Jumlah Transfer]]</f>
        <v>0</v>
      </c>
      <c r="T248" s="275"/>
    </row>
    <row r="249" spans="1:20" s="4" customFormat="1" ht="30" customHeight="1" x14ac:dyDescent="0.2">
      <c r="A249" s="102">
        <v>44715</v>
      </c>
      <c r="B249" s="67"/>
      <c r="C249" s="103" t="s">
        <v>917</v>
      </c>
      <c r="D249" s="103" t="s">
        <v>26</v>
      </c>
      <c r="E249" s="103" t="s">
        <v>18</v>
      </c>
      <c r="F249" s="15">
        <v>1</v>
      </c>
      <c r="G249" s="258">
        <v>500000</v>
      </c>
      <c r="H249" s="258">
        <f>List34[[#This Row],[Pengajuan Donasi]]</f>
        <v>5997300</v>
      </c>
      <c r="I249" s="214" t="str">
        <f>IF(List34[[#This Row],[Tanggal Trf]]&gt;0,"Done","-")</f>
        <v>Done</v>
      </c>
      <c r="J249" s="445"/>
      <c r="K249" s="221">
        <v>44814</v>
      </c>
      <c r="L249" s="100" t="s">
        <v>894</v>
      </c>
      <c r="M249" s="100">
        <f>MONTH(List34[[#This Row],[Tanggal Pengajuan]])</f>
        <v>3</v>
      </c>
      <c r="N249" s="183">
        <v>44748</v>
      </c>
      <c r="O249" s="105" t="s">
        <v>1116</v>
      </c>
      <c r="P249" s="111"/>
      <c r="Q249" s="230" t="s">
        <v>958</v>
      </c>
      <c r="S249" s="275">
        <f>+List34[[#This Row],[Pengajuan Donasi]]-List34[[#This Row],[Jumlah Transfer]]</f>
        <v>0</v>
      </c>
      <c r="T249" s="275"/>
    </row>
    <row r="250" spans="1:20" s="4" customFormat="1" ht="30" customHeight="1" x14ac:dyDescent="0.2">
      <c r="A250" s="102">
        <v>44746</v>
      </c>
      <c r="B250" s="67"/>
      <c r="C250" s="103" t="s">
        <v>917</v>
      </c>
      <c r="D250" s="103" t="s">
        <v>26</v>
      </c>
      <c r="E250" s="103" t="s">
        <v>18</v>
      </c>
      <c r="F250" s="471">
        <v>1</v>
      </c>
      <c r="G250" s="258">
        <v>500000</v>
      </c>
      <c r="H250" s="258">
        <f>List34[[#This Row],[Pengajuan Donasi]]</f>
        <v>5999200</v>
      </c>
      <c r="I250" s="214" t="str">
        <f>IF(List34[[#This Row],[Tanggal Trf]]&gt;0,"Done","-")</f>
        <v>Done</v>
      </c>
      <c r="J250" s="445" t="s">
        <v>1168</v>
      </c>
      <c r="K250" s="484">
        <v>44764</v>
      </c>
      <c r="L250" s="100" t="s">
        <v>894</v>
      </c>
      <c r="M250" s="100">
        <f>MONTH(List34[[#This Row],[Tanggal Pengajuan]])</f>
        <v>3</v>
      </c>
      <c r="N250" s="183"/>
      <c r="O250" s="105" t="s">
        <v>1180</v>
      </c>
      <c r="P250" s="111"/>
      <c r="Q250" s="230" t="s">
        <v>958</v>
      </c>
      <c r="S250" s="275">
        <f>+List34[[#This Row],[Pengajuan Donasi]]-List34[[#This Row],[Jumlah Transfer]]</f>
        <v>0</v>
      </c>
      <c r="T250" s="275"/>
    </row>
    <row r="251" spans="1:20" s="4" customFormat="1" ht="30" customHeight="1" x14ac:dyDescent="0.2">
      <c r="A251" s="102">
        <v>44775</v>
      </c>
      <c r="B251" s="67"/>
      <c r="C251" s="103" t="s">
        <v>917</v>
      </c>
      <c r="D251" s="103" t="s">
        <v>26</v>
      </c>
      <c r="E251" s="103" t="s">
        <v>18</v>
      </c>
      <c r="F251" s="471">
        <v>1</v>
      </c>
      <c r="G251" s="258">
        <v>500000</v>
      </c>
      <c r="H251" s="258">
        <f>List34[[#This Row],[Pengajuan Donasi]]</f>
        <v>5998200</v>
      </c>
      <c r="I251" s="214" t="str">
        <f>IF(List34[[#This Row],[Tanggal Trf]]&gt;0,"Done","-")</f>
        <v>Done</v>
      </c>
      <c r="J251" s="445" t="s">
        <v>1211</v>
      </c>
      <c r="K251" s="484">
        <v>44799</v>
      </c>
      <c r="L251" s="100" t="s">
        <v>894</v>
      </c>
      <c r="M251" s="100">
        <f>MONTH(List34[[#This Row],[Tanggal Pengajuan]])</f>
        <v>3</v>
      </c>
      <c r="N251" s="183"/>
      <c r="O251" s="105" t="s">
        <v>1223</v>
      </c>
      <c r="P251" s="111"/>
      <c r="Q251" s="230" t="s">
        <v>958</v>
      </c>
      <c r="S251" s="275">
        <f>+List34[[#This Row],[Pengajuan Donasi]]-List34[[#This Row],[Jumlah Transfer]]</f>
        <v>0</v>
      </c>
      <c r="T251" s="275"/>
    </row>
    <row r="252" spans="1:20" s="4" customFormat="1" ht="30" customHeight="1" x14ac:dyDescent="0.2">
      <c r="A252" s="102">
        <v>44587</v>
      </c>
      <c r="B252" s="67"/>
      <c r="C252" s="103" t="s">
        <v>926</v>
      </c>
      <c r="D252" s="103" t="s">
        <v>26</v>
      </c>
      <c r="E252" s="103" t="s">
        <v>18</v>
      </c>
      <c r="F252" s="15">
        <v>1</v>
      </c>
      <c r="G252" s="258">
        <v>500000</v>
      </c>
      <c r="H252" s="258">
        <f>List34[[#This Row],[Pengajuan Donasi]]</f>
        <v>5999400</v>
      </c>
      <c r="I252" s="214" t="str">
        <f>IF(List34[[#This Row],[Tanggal Trf]]&gt;0,"Done","-")</f>
        <v>Done</v>
      </c>
      <c r="J252" s="445"/>
      <c r="K252" s="221">
        <v>44588</v>
      </c>
      <c r="L252" s="100" t="s">
        <v>1014</v>
      </c>
      <c r="M252" s="100">
        <f>MONTH(List34[[#This Row],[Tanggal Pengajuan]])</f>
        <v>3</v>
      </c>
      <c r="N252" s="183"/>
      <c r="O252" s="105" t="s">
        <v>651</v>
      </c>
      <c r="P252" s="111"/>
      <c r="Q252" s="230" t="s">
        <v>958</v>
      </c>
      <c r="S252" s="275">
        <f>+List34[[#This Row],[Pengajuan Donasi]]-List34[[#This Row],[Jumlah Transfer]]</f>
        <v>0</v>
      </c>
      <c r="T252" s="275"/>
    </row>
    <row r="253" spans="1:20" s="4" customFormat="1" ht="30" customHeight="1" x14ac:dyDescent="0.2">
      <c r="A253" s="102">
        <v>44607</v>
      </c>
      <c r="B253" s="67"/>
      <c r="C253" s="103" t="s">
        <v>926</v>
      </c>
      <c r="D253" s="103" t="s">
        <v>26</v>
      </c>
      <c r="E253" s="103" t="s">
        <v>18</v>
      </c>
      <c r="F253" s="15">
        <v>1</v>
      </c>
      <c r="G253" s="258">
        <v>500000</v>
      </c>
      <c r="H253" s="258">
        <f>List34[[#This Row],[Pengajuan Donasi]]</f>
        <v>5992700</v>
      </c>
      <c r="I253" s="214" t="str">
        <f>IF(List34[[#This Row],[Tanggal Trf]]&gt;0,"Done","-")</f>
        <v>Done</v>
      </c>
      <c r="J253" s="445"/>
      <c r="K253" s="221">
        <v>44612</v>
      </c>
      <c r="L253" s="100" t="s">
        <v>1014</v>
      </c>
      <c r="M253" s="100">
        <f>MONTH(List34[[#This Row],[Tanggal Pengajuan]])</f>
        <v>3</v>
      </c>
      <c r="N253" s="183"/>
      <c r="O253" s="105"/>
      <c r="P253" s="111"/>
      <c r="Q253" s="230" t="s">
        <v>958</v>
      </c>
      <c r="S253" s="275">
        <f>+List34[[#This Row],[Pengajuan Donasi]]-List34[[#This Row],[Jumlah Transfer]]</f>
        <v>0</v>
      </c>
      <c r="T253" s="275"/>
    </row>
    <row r="254" spans="1:20" s="4" customFormat="1" ht="30" customHeight="1" x14ac:dyDescent="0.2">
      <c r="A254" s="102">
        <v>44624</v>
      </c>
      <c r="B254" s="67"/>
      <c r="C254" s="103" t="s">
        <v>926</v>
      </c>
      <c r="D254" s="103" t="s">
        <v>26</v>
      </c>
      <c r="E254" s="103" t="s">
        <v>18</v>
      </c>
      <c r="F254" s="15">
        <v>1</v>
      </c>
      <c r="G254" s="258">
        <v>500000</v>
      </c>
      <c r="H254" s="258">
        <f>List34[[#This Row],[Pengajuan Donasi]]</f>
        <v>5999000</v>
      </c>
      <c r="I254" s="214" t="str">
        <f>IF(List34[[#This Row],[Tanggal Trf]]&gt;0,"Done","-")</f>
        <v>Done</v>
      </c>
      <c r="J254" s="445"/>
      <c r="K254" s="221">
        <v>44630</v>
      </c>
      <c r="L254" s="100" t="s">
        <v>1014</v>
      </c>
      <c r="M254" s="100">
        <f>MONTH(List34[[#This Row],[Tanggal Pengajuan]])</f>
        <v>3</v>
      </c>
      <c r="N254" s="183"/>
      <c r="O254" s="105" t="s">
        <v>746</v>
      </c>
      <c r="P254" s="111"/>
      <c r="Q254" s="230" t="s">
        <v>958</v>
      </c>
      <c r="S254" s="275">
        <f>+List34[[#This Row],[Pengajuan Donasi]]-List34[[#This Row],[Jumlah Transfer]]</f>
        <v>0</v>
      </c>
      <c r="T254" s="275"/>
    </row>
    <row r="255" spans="1:20" s="4" customFormat="1" ht="30" customHeight="1" x14ac:dyDescent="0.2">
      <c r="A255" s="102">
        <v>44658</v>
      </c>
      <c r="B255" s="67"/>
      <c r="C255" s="103" t="s">
        <v>926</v>
      </c>
      <c r="D255" s="103" t="s">
        <v>26</v>
      </c>
      <c r="E255" s="103" t="s">
        <v>18</v>
      </c>
      <c r="F255" s="15">
        <v>1</v>
      </c>
      <c r="G255" s="258">
        <v>500000</v>
      </c>
      <c r="H255" s="258">
        <f>List34[[#This Row],[Pengajuan Donasi]]</f>
        <v>5995000</v>
      </c>
      <c r="I255" s="214" t="str">
        <f>IF(List34[[#This Row],[Tanggal Trf]]&gt;0,"Done","-")</f>
        <v>Done</v>
      </c>
      <c r="J255" s="445"/>
      <c r="K255" s="221">
        <v>44672</v>
      </c>
      <c r="L255" s="100" t="s">
        <v>1014</v>
      </c>
      <c r="M255" s="100">
        <f>MONTH(List34[[#This Row],[Tanggal Pengajuan]])</f>
        <v>3</v>
      </c>
      <c r="N255" s="183">
        <v>44676</v>
      </c>
      <c r="O255" s="105" t="s">
        <v>795</v>
      </c>
      <c r="P255" s="111"/>
      <c r="Q255" s="230" t="s">
        <v>958</v>
      </c>
      <c r="S255" s="275">
        <f>+List34[[#This Row],[Pengajuan Donasi]]-List34[[#This Row],[Jumlah Transfer]]</f>
        <v>0</v>
      </c>
      <c r="T255" s="275"/>
    </row>
    <row r="256" spans="1:20" s="4" customFormat="1" ht="30" customHeight="1" x14ac:dyDescent="0.2">
      <c r="A256" s="102">
        <v>44687</v>
      </c>
      <c r="B256" s="163"/>
      <c r="C256" s="168" t="s">
        <v>926</v>
      </c>
      <c r="D256" s="168" t="s">
        <v>26</v>
      </c>
      <c r="E256" s="168" t="s">
        <v>18</v>
      </c>
      <c r="F256" s="178">
        <v>0</v>
      </c>
      <c r="G256" s="261">
        <v>0</v>
      </c>
      <c r="H256" s="261">
        <f>List34[[#This Row],[Pengajuan Donasi]]</f>
        <v>5999100</v>
      </c>
      <c r="I256" s="216" t="str">
        <f>IF(List34[[#This Row],[Tanggal Trf]]&gt;0,"Done","-")</f>
        <v>Done</v>
      </c>
      <c r="J256" s="447" t="s">
        <v>1013</v>
      </c>
      <c r="K256" s="222"/>
      <c r="L256" s="193" t="s">
        <v>1014</v>
      </c>
      <c r="M256" s="193">
        <f>MONTH(List34[[#This Row],[Tanggal Pengajuan]])</f>
        <v>3</v>
      </c>
      <c r="N256" s="222" t="s">
        <v>960</v>
      </c>
      <c r="O256" s="166" t="s">
        <v>1221</v>
      </c>
      <c r="P256" s="111"/>
      <c r="Q256" s="230" t="s">
        <v>958</v>
      </c>
      <c r="S256" s="275">
        <f>+List34[[#This Row],[Pengajuan Donasi]]-List34[[#This Row],[Jumlah Transfer]]</f>
        <v>0</v>
      </c>
      <c r="T256" s="275"/>
    </row>
    <row r="257" spans="1:20" s="4" customFormat="1" ht="30" customHeight="1" x14ac:dyDescent="0.2">
      <c r="A257" s="102">
        <v>44704</v>
      </c>
      <c r="B257" s="163"/>
      <c r="C257" s="103" t="s">
        <v>926</v>
      </c>
      <c r="D257" s="103" t="s">
        <v>26</v>
      </c>
      <c r="E257" s="103" t="s">
        <v>18</v>
      </c>
      <c r="F257" s="15">
        <v>1</v>
      </c>
      <c r="G257" s="258">
        <v>500000</v>
      </c>
      <c r="H257" s="258">
        <f>List34[[#This Row],[Pengajuan Donasi]]</f>
        <v>5998200</v>
      </c>
      <c r="I257" s="214" t="str">
        <f>IF(List34[[#This Row],[Tanggal Trf]]&gt;0,"Done","-")</f>
        <v>Done</v>
      </c>
      <c r="J257" s="445"/>
      <c r="K257" s="221">
        <v>44712</v>
      </c>
      <c r="L257" s="421" t="s">
        <v>1014</v>
      </c>
      <c r="M257" s="100">
        <f>MONTH(List34[[#This Row],[Tanggal Pengajuan]])</f>
        <v>3</v>
      </c>
      <c r="N257" s="183">
        <v>44698</v>
      </c>
      <c r="O257" s="105" t="s">
        <v>932</v>
      </c>
      <c r="P257" s="111"/>
      <c r="Q257" s="230" t="s">
        <v>958</v>
      </c>
      <c r="S257" s="275">
        <f>+List34[[#This Row],[Pengajuan Donasi]]-List34[[#This Row],[Jumlah Transfer]]</f>
        <v>0</v>
      </c>
      <c r="T257" s="275"/>
    </row>
    <row r="258" spans="1:20" s="4" customFormat="1" ht="30" customHeight="1" x14ac:dyDescent="0.2">
      <c r="A258" s="102">
        <v>44715</v>
      </c>
      <c r="B258" s="66"/>
      <c r="C258" s="103" t="s">
        <v>926</v>
      </c>
      <c r="D258" s="103" t="s">
        <v>26</v>
      </c>
      <c r="E258" s="103" t="s">
        <v>18</v>
      </c>
      <c r="F258" s="15">
        <v>1</v>
      </c>
      <c r="G258" s="258">
        <v>500000</v>
      </c>
      <c r="H258" s="258">
        <f>List34[[#This Row],[Pengajuan Donasi]]</f>
        <v>5997800</v>
      </c>
      <c r="I258" s="213" t="str">
        <f>IF(List34[[#This Row],[Tanggal Trf]]&gt;0,"Done","-")</f>
        <v>Done</v>
      </c>
      <c r="J258" s="445"/>
      <c r="K258" s="221">
        <v>44814</v>
      </c>
      <c r="L258" s="421" t="s">
        <v>1014</v>
      </c>
      <c r="M258" s="100">
        <f>MONTH(List34[[#This Row],[Tanggal Pengajuan]])</f>
        <v>3</v>
      </c>
      <c r="N258" s="183">
        <v>44748</v>
      </c>
      <c r="O258" s="105" t="s">
        <v>1116</v>
      </c>
      <c r="P258" s="198"/>
      <c r="Q258" s="230" t="s">
        <v>958</v>
      </c>
      <c r="S258" s="275">
        <f>+List34[[#This Row],[Pengajuan Donasi]]-List34[[#This Row],[Jumlah Transfer]]</f>
        <v>0</v>
      </c>
      <c r="T258" s="275"/>
    </row>
    <row r="259" spans="1:20" s="4" customFormat="1" ht="30" customHeight="1" x14ac:dyDescent="0.2">
      <c r="A259" s="102">
        <v>44746</v>
      </c>
      <c r="B259" s="66"/>
      <c r="C259" s="103" t="s">
        <v>926</v>
      </c>
      <c r="D259" s="103" t="s">
        <v>26</v>
      </c>
      <c r="E259" s="103" t="s">
        <v>18</v>
      </c>
      <c r="F259" s="471">
        <v>1</v>
      </c>
      <c r="G259" s="258">
        <v>500000</v>
      </c>
      <c r="H259" s="258">
        <f>List34[[#This Row],[Pengajuan Donasi]]</f>
        <v>5784000</v>
      </c>
      <c r="I259" s="213" t="str">
        <f>IF(List34[[#This Row],[Tanggal Trf]]&gt;0,"Done","-")</f>
        <v>Done</v>
      </c>
      <c r="J259" s="445" t="s">
        <v>1168</v>
      </c>
      <c r="K259" s="484">
        <v>44764</v>
      </c>
      <c r="L259" s="100" t="s">
        <v>1014</v>
      </c>
      <c r="M259" s="100">
        <f>MONTH(List34[[#This Row],[Tanggal Pengajuan]])</f>
        <v>3</v>
      </c>
      <c r="N259" s="183"/>
      <c r="O259" s="105" t="s">
        <v>1180</v>
      </c>
      <c r="P259" s="198"/>
      <c r="Q259" s="230" t="s">
        <v>958</v>
      </c>
      <c r="S259" s="275">
        <f>+List34[[#This Row],[Pengajuan Donasi]]-List34[[#This Row],[Jumlah Transfer]]</f>
        <v>0</v>
      </c>
      <c r="T259" s="275"/>
    </row>
    <row r="260" spans="1:20" s="4" customFormat="1" ht="30" customHeight="1" x14ac:dyDescent="0.2">
      <c r="A260" s="102">
        <v>44775</v>
      </c>
      <c r="B260" s="66"/>
      <c r="C260" s="103" t="s">
        <v>926</v>
      </c>
      <c r="D260" s="103" t="s">
        <v>26</v>
      </c>
      <c r="E260" s="103" t="s">
        <v>18</v>
      </c>
      <c r="F260" s="471">
        <v>1</v>
      </c>
      <c r="G260" s="258">
        <v>500000</v>
      </c>
      <c r="H260" s="258">
        <f>List34[[#This Row],[Pengajuan Donasi]]</f>
        <v>6000000</v>
      </c>
      <c r="I260" s="213" t="str">
        <f>IF(List34[[#This Row],[Tanggal Trf]]&gt;0,"Done","-")</f>
        <v>Done</v>
      </c>
      <c r="J260" s="445" t="s">
        <v>1211</v>
      </c>
      <c r="K260" s="484">
        <v>44799</v>
      </c>
      <c r="L260" s="100" t="s">
        <v>1014</v>
      </c>
      <c r="M260" s="100">
        <f>MONTH(List34[[#This Row],[Tanggal Pengajuan]])</f>
        <v>4</v>
      </c>
      <c r="N260" s="183"/>
      <c r="O260" s="105" t="s">
        <v>1223</v>
      </c>
      <c r="P260" s="198"/>
      <c r="Q260" s="230" t="s">
        <v>958</v>
      </c>
      <c r="S260" s="275">
        <f>+List34[[#This Row],[Pengajuan Donasi]]-List34[[#This Row],[Jumlah Transfer]]</f>
        <v>0</v>
      </c>
      <c r="T260" s="275"/>
    </row>
    <row r="261" spans="1:20" s="4" customFormat="1" ht="30" customHeight="1" x14ac:dyDescent="0.2">
      <c r="A261" s="102">
        <v>44587</v>
      </c>
      <c r="B261" s="66"/>
      <c r="C261" s="103" t="s">
        <v>924</v>
      </c>
      <c r="D261" s="103" t="s">
        <v>26</v>
      </c>
      <c r="E261" s="103" t="s">
        <v>18</v>
      </c>
      <c r="F261" s="15">
        <v>1</v>
      </c>
      <c r="G261" s="258">
        <v>500000</v>
      </c>
      <c r="H261" s="258">
        <f>List34[[#This Row],[Pengajuan Donasi]]</f>
        <v>5000000</v>
      </c>
      <c r="I261" s="213" t="str">
        <f>IF(List34[[#This Row],[Tanggal Trf]]&gt;0,"Done","-")</f>
        <v>Done</v>
      </c>
      <c r="J261" s="445"/>
      <c r="K261" s="221">
        <v>44588</v>
      </c>
      <c r="L261" s="100" t="s">
        <v>901</v>
      </c>
      <c r="M261" s="100">
        <f>MONTH(List34[[#This Row],[Tanggal Pengajuan]])</f>
        <v>4</v>
      </c>
      <c r="N261" s="183"/>
      <c r="O261" s="105" t="s">
        <v>651</v>
      </c>
      <c r="P261" s="198"/>
      <c r="Q261" s="230" t="s">
        <v>958</v>
      </c>
      <c r="S261" s="275">
        <f>+List34[[#This Row],[Pengajuan Donasi]]-List34[[#This Row],[Jumlah Transfer]]</f>
        <v>0</v>
      </c>
      <c r="T261" s="275"/>
    </row>
    <row r="262" spans="1:20" s="4" customFormat="1" ht="30" customHeight="1" x14ac:dyDescent="0.2">
      <c r="A262" s="102">
        <v>44607</v>
      </c>
      <c r="B262" s="66"/>
      <c r="C262" s="103" t="s">
        <v>924</v>
      </c>
      <c r="D262" s="103" t="s">
        <v>26</v>
      </c>
      <c r="E262" s="103" t="s">
        <v>18</v>
      </c>
      <c r="F262" s="15">
        <v>1</v>
      </c>
      <c r="G262" s="258">
        <v>500000</v>
      </c>
      <c r="H262" s="258">
        <f>List34[[#This Row],[Pengajuan Donasi]]</f>
        <v>1000000</v>
      </c>
      <c r="I262" s="213" t="str">
        <f>IF(List34[[#This Row],[Tanggal Trf]]&gt;0,"Done","-")</f>
        <v>Done</v>
      </c>
      <c r="J262" s="445"/>
      <c r="K262" s="221">
        <v>44612</v>
      </c>
      <c r="L262" s="100" t="s">
        <v>900</v>
      </c>
      <c r="M262" s="100">
        <f>MONTH(List34[[#This Row],[Tanggal Pengajuan]])</f>
        <v>4</v>
      </c>
      <c r="N262" s="183"/>
      <c r="O262" s="105"/>
      <c r="P262" s="198"/>
      <c r="Q262" s="230" t="s">
        <v>958</v>
      </c>
      <c r="S262" s="275">
        <f>+List34[[#This Row],[Pengajuan Donasi]]-List34[[#This Row],[Jumlah Transfer]]</f>
        <v>0</v>
      </c>
      <c r="T262" s="275"/>
    </row>
    <row r="263" spans="1:20" s="4" customFormat="1" ht="30" customHeight="1" x14ac:dyDescent="0.2">
      <c r="A263" s="102">
        <v>44624</v>
      </c>
      <c r="B263" s="66"/>
      <c r="C263" s="103" t="s">
        <v>924</v>
      </c>
      <c r="D263" s="103" t="s">
        <v>26</v>
      </c>
      <c r="E263" s="103" t="s">
        <v>18</v>
      </c>
      <c r="F263" s="15">
        <v>1</v>
      </c>
      <c r="G263" s="258">
        <v>500000</v>
      </c>
      <c r="H263" s="258">
        <f>List34[[#This Row],[Pengajuan Donasi]]</f>
        <v>1000000</v>
      </c>
      <c r="I263" s="213" t="str">
        <f>IF(List34[[#This Row],[Tanggal Trf]]&gt;0,"Done","-")</f>
        <v>Done</v>
      </c>
      <c r="J263" s="445"/>
      <c r="K263" s="221">
        <v>44630</v>
      </c>
      <c r="L263" s="100" t="s">
        <v>901</v>
      </c>
      <c r="M263" s="100">
        <f>MONTH(List34[[#This Row],[Tanggal Pengajuan]])</f>
        <v>4</v>
      </c>
      <c r="N263" s="183"/>
      <c r="O263" s="105" t="s">
        <v>746</v>
      </c>
      <c r="P263" s="198"/>
      <c r="Q263" s="230" t="s">
        <v>958</v>
      </c>
      <c r="S263" s="275">
        <f>+List34[[#This Row],[Pengajuan Donasi]]-List34[[#This Row],[Jumlah Transfer]]</f>
        <v>0</v>
      </c>
      <c r="T263" s="275"/>
    </row>
    <row r="264" spans="1:20" s="4" customFormat="1" ht="30" customHeight="1" x14ac:dyDescent="0.2">
      <c r="A264" s="102">
        <v>44658</v>
      </c>
      <c r="B264" s="66"/>
      <c r="C264" s="103" t="s">
        <v>924</v>
      </c>
      <c r="D264" s="103" t="s">
        <v>26</v>
      </c>
      <c r="E264" s="103" t="s">
        <v>18</v>
      </c>
      <c r="F264" s="15">
        <v>1</v>
      </c>
      <c r="G264" s="258">
        <v>500000</v>
      </c>
      <c r="H264" s="258">
        <f>List34[[#This Row],[Pengajuan Donasi]]</f>
        <v>1000000</v>
      </c>
      <c r="I264" s="213" t="str">
        <f>IF(List34[[#This Row],[Tanggal Trf]]&gt;0,"Done","-")</f>
        <v>Done</v>
      </c>
      <c r="J264" s="445"/>
      <c r="K264" s="221">
        <v>44672</v>
      </c>
      <c r="L264" s="100" t="s">
        <v>901</v>
      </c>
      <c r="M264" s="100">
        <f>MONTH(List34[[#This Row],[Tanggal Pengajuan]])</f>
        <v>4</v>
      </c>
      <c r="N264" s="183">
        <v>44676</v>
      </c>
      <c r="O264" s="105" t="s">
        <v>795</v>
      </c>
      <c r="P264" s="198"/>
      <c r="Q264" s="230" t="s">
        <v>958</v>
      </c>
      <c r="S264" s="275">
        <f>+List34[[#This Row],[Pengajuan Donasi]]-List34[[#This Row],[Jumlah Transfer]]</f>
        <v>0</v>
      </c>
      <c r="T264" s="275"/>
    </row>
    <row r="265" spans="1:20" s="4" customFormat="1" ht="30" customHeight="1" x14ac:dyDescent="0.2">
      <c r="A265" s="102">
        <v>44687</v>
      </c>
      <c r="B265" s="163"/>
      <c r="C265" s="168" t="s">
        <v>924</v>
      </c>
      <c r="D265" s="168" t="s">
        <v>26</v>
      </c>
      <c r="E265" s="168" t="s">
        <v>18</v>
      </c>
      <c r="F265" s="178">
        <v>0</v>
      </c>
      <c r="G265" s="261">
        <v>0</v>
      </c>
      <c r="H265" s="261">
        <f>List34[[#This Row],[Pengajuan Donasi]]</f>
        <v>1000000</v>
      </c>
      <c r="I265" s="216" t="str">
        <f>IF(List34[[#This Row],[Tanggal Trf]]&gt;0,"Done","-")</f>
        <v>Done</v>
      </c>
      <c r="J265" s="447" t="s">
        <v>1013</v>
      </c>
      <c r="K265" s="222"/>
      <c r="L265" s="193" t="s">
        <v>901</v>
      </c>
      <c r="M265" s="193">
        <f>MONTH(List34[[#This Row],[Tanggal Pengajuan]])</f>
        <v>4</v>
      </c>
      <c r="N265" s="222" t="s">
        <v>960</v>
      </c>
      <c r="O265" s="166" t="s">
        <v>1221</v>
      </c>
      <c r="P265" s="111"/>
      <c r="Q265" s="230" t="s">
        <v>958</v>
      </c>
      <c r="S265" s="275">
        <f>+List34[[#This Row],[Pengajuan Donasi]]-List34[[#This Row],[Jumlah Transfer]]</f>
        <v>0</v>
      </c>
      <c r="T265" s="275"/>
    </row>
    <row r="266" spans="1:20" s="4" customFormat="1" ht="30" customHeight="1" x14ac:dyDescent="0.2">
      <c r="A266" s="102">
        <v>44704</v>
      </c>
      <c r="B266" s="163"/>
      <c r="C266" s="103" t="s">
        <v>924</v>
      </c>
      <c r="D266" s="103" t="s">
        <v>26</v>
      </c>
      <c r="E266" s="103" t="s">
        <v>18</v>
      </c>
      <c r="F266" s="15">
        <v>1</v>
      </c>
      <c r="G266" s="258">
        <v>500000</v>
      </c>
      <c r="H266" s="258">
        <f>List34[[#This Row],[Pengajuan Donasi]]</f>
        <v>1000000</v>
      </c>
      <c r="I266" s="214" t="str">
        <f>IF(List34[[#This Row],[Tanggal Trf]]&gt;0,"Done","-")</f>
        <v>Done</v>
      </c>
      <c r="J266" s="445"/>
      <c r="K266" s="221">
        <v>44712</v>
      </c>
      <c r="L266" s="100" t="s">
        <v>901</v>
      </c>
      <c r="M266" s="100">
        <f>MONTH(List34[[#This Row],[Tanggal Pengajuan]])</f>
        <v>4</v>
      </c>
      <c r="N266" s="183">
        <v>44698</v>
      </c>
      <c r="O266" s="105" t="s">
        <v>932</v>
      </c>
      <c r="P266" s="111"/>
      <c r="Q266" s="230" t="s">
        <v>958</v>
      </c>
      <c r="S266" s="275">
        <f>+List34[[#This Row],[Pengajuan Donasi]]-List34[[#This Row],[Jumlah Transfer]]</f>
        <v>0</v>
      </c>
      <c r="T266" s="275"/>
    </row>
    <row r="267" spans="1:20" s="4" customFormat="1" ht="30" customHeight="1" x14ac:dyDescent="0.2">
      <c r="A267" s="102">
        <v>44715</v>
      </c>
      <c r="B267" s="67"/>
      <c r="C267" s="103" t="s">
        <v>924</v>
      </c>
      <c r="D267" s="103" t="s">
        <v>26</v>
      </c>
      <c r="E267" s="103" t="s">
        <v>18</v>
      </c>
      <c r="F267" s="15">
        <v>1</v>
      </c>
      <c r="G267" s="258">
        <v>500000</v>
      </c>
      <c r="H267" s="258">
        <f>List34[[#This Row],[Pengajuan Donasi]]</f>
        <v>1000000</v>
      </c>
      <c r="I267" s="214" t="str">
        <f>IF(List34[[#This Row],[Tanggal Trf]]&gt;0,"Done","-")</f>
        <v>Done</v>
      </c>
      <c r="J267" s="445"/>
      <c r="K267" s="221">
        <v>44814</v>
      </c>
      <c r="L267" s="100" t="s">
        <v>901</v>
      </c>
      <c r="M267" s="100">
        <f>MONTH(List34[[#This Row],[Tanggal Pengajuan]])</f>
        <v>4</v>
      </c>
      <c r="N267" s="183">
        <v>44748</v>
      </c>
      <c r="O267" s="105" t="s">
        <v>1116</v>
      </c>
      <c r="P267" s="111"/>
      <c r="Q267" s="230" t="s">
        <v>958</v>
      </c>
      <c r="S267" s="275">
        <f>+List34[[#This Row],[Pengajuan Donasi]]-List34[[#This Row],[Jumlah Transfer]]</f>
        <v>0</v>
      </c>
      <c r="T267" s="275"/>
    </row>
    <row r="268" spans="1:20" s="4" customFormat="1" ht="30" customHeight="1" x14ac:dyDescent="0.2">
      <c r="A268" s="102">
        <v>44746</v>
      </c>
      <c r="B268" s="67"/>
      <c r="C268" s="103" t="s">
        <v>924</v>
      </c>
      <c r="D268" s="103" t="s">
        <v>26</v>
      </c>
      <c r="E268" s="103" t="s">
        <v>18</v>
      </c>
      <c r="F268" s="471">
        <v>1</v>
      </c>
      <c r="G268" s="258">
        <v>500000</v>
      </c>
      <c r="H268" s="258">
        <f>List34[[#This Row],[Pengajuan Donasi]]</f>
        <v>1000000</v>
      </c>
      <c r="I268" s="214" t="str">
        <f>IF(List34[[#This Row],[Tanggal Trf]]&gt;0,"Done","-")</f>
        <v>Done</v>
      </c>
      <c r="J268" s="445" t="s">
        <v>1168</v>
      </c>
      <c r="K268" s="484">
        <v>44764</v>
      </c>
      <c r="L268" s="100" t="s">
        <v>901</v>
      </c>
      <c r="M268" s="100">
        <f>MONTH(List34[[#This Row],[Tanggal Pengajuan]])</f>
        <v>4</v>
      </c>
      <c r="N268" s="183"/>
      <c r="O268" s="105" t="s">
        <v>1180</v>
      </c>
      <c r="P268" s="111"/>
      <c r="Q268" s="230" t="s">
        <v>958</v>
      </c>
      <c r="S268" s="275">
        <f>+List34[[#This Row],[Pengajuan Donasi]]-List34[[#This Row],[Jumlah Transfer]]</f>
        <v>0</v>
      </c>
      <c r="T268" s="275"/>
    </row>
    <row r="269" spans="1:20" s="4" customFormat="1" ht="30" customHeight="1" x14ac:dyDescent="0.2">
      <c r="A269" s="102">
        <v>44775</v>
      </c>
      <c r="B269" s="67"/>
      <c r="C269" s="103" t="s">
        <v>924</v>
      </c>
      <c r="D269" s="103" t="s">
        <v>26</v>
      </c>
      <c r="E269" s="103" t="s">
        <v>18</v>
      </c>
      <c r="F269" s="471">
        <v>1</v>
      </c>
      <c r="G269" s="258">
        <v>500000</v>
      </c>
      <c r="H269" s="258">
        <f>List34[[#This Row],[Pengajuan Donasi]]</f>
        <v>1000000</v>
      </c>
      <c r="I269" s="214" t="str">
        <f>IF(List34[[#This Row],[Tanggal Trf]]&gt;0,"Done","-")</f>
        <v>Done</v>
      </c>
      <c r="J269" s="445" t="s">
        <v>1211</v>
      </c>
      <c r="K269" s="484">
        <v>44799</v>
      </c>
      <c r="L269" s="100" t="s">
        <v>901</v>
      </c>
      <c r="M269" s="100">
        <f>MONTH(List34[[#This Row],[Tanggal Pengajuan]])</f>
        <v>4</v>
      </c>
      <c r="N269" s="183"/>
      <c r="O269" s="105" t="s">
        <v>1223</v>
      </c>
      <c r="P269" s="111"/>
      <c r="Q269" s="230" t="s">
        <v>958</v>
      </c>
      <c r="S269" s="275">
        <f>+List34[[#This Row],[Pengajuan Donasi]]-List34[[#This Row],[Jumlah Transfer]]</f>
        <v>0</v>
      </c>
      <c r="T269" s="275"/>
    </row>
    <row r="270" spans="1:20" s="4" customFormat="1" ht="30" customHeight="1" x14ac:dyDescent="0.2">
      <c r="A270" s="102">
        <v>44587</v>
      </c>
      <c r="B270" s="67"/>
      <c r="C270" s="103" t="s">
        <v>919</v>
      </c>
      <c r="D270" s="103" t="s">
        <v>26</v>
      </c>
      <c r="E270" s="103" t="s">
        <v>18</v>
      </c>
      <c r="F270" s="15">
        <v>1</v>
      </c>
      <c r="G270" s="258">
        <v>500000</v>
      </c>
      <c r="H270" s="258">
        <f>List34[[#This Row],[Pengajuan Donasi]]</f>
        <v>750000</v>
      </c>
      <c r="I270" s="214" t="str">
        <f>IF(List34[[#This Row],[Tanggal Trf]]&gt;0,"Done","-")</f>
        <v>Done</v>
      </c>
      <c r="J270" s="445"/>
      <c r="K270" s="221">
        <v>44588</v>
      </c>
      <c r="L270" s="100" t="s">
        <v>897</v>
      </c>
      <c r="M270" s="100">
        <f>MONTH(List34[[#This Row],[Tanggal Pengajuan]])</f>
        <v>4</v>
      </c>
      <c r="N270" s="183"/>
      <c r="O270" s="105" t="s">
        <v>651</v>
      </c>
      <c r="P270" s="111"/>
      <c r="Q270" s="230" t="s">
        <v>958</v>
      </c>
      <c r="S270" s="275">
        <f>+List34[[#This Row],[Pengajuan Donasi]]-List34[[#This Row],[Jumlah Transfer]]</f>
        <v>0</v>
      </c>
      <c r="T270" s="275"/>
    </row>
    <row r="271" spans="1:20" s="4" customFormat="1" ht="30" customHeight="1" x14ac:dyDescent="0.2">
      <c r="A271" s="102">
        <v>44607</v>
      </c>
      <c r="B271" s="67"/>
      <c r="C271" s="14" t="s">
        <v>919</v>
      </c>
      <c r="D271" s="103" t="s">
        <v>26</v>
      </c>
      <c r="E271" s="103" t="s">
        <v>18</v>
      </c>
      <c r="F271" s="15">
        <v>1</v>
      </c>
      <c r="G271" s="258">
        <v>500000</v>
      </c>
      <c r="H271" s="258">
        <f>List34[[#This Row],[Pengajuan Donasi]]</f>
        <v>750000</v>
      </c>
      <c r="I271" s="214" t="str">
        <f>IF(List34[[#This Row],[Tanggal Trf]]&gt;0,"Done","-")</f>
        <v>Done</v>
      </c>
      <c r="J271" s="437"/>
      <c r="K271" s="221">
        <v>44612</v>
      </c>
      <c r="L271" s="105" t="s">
        <v>896</v>
      </c>
      <c r="M271" s="100">
        <f>MONTH(List34[[#This Row],[Tanggal Pengajuan]])</f>
        <v>4</v>
      </c>
      <c r="N271" s="183"/>
      <c r="O271" s="105"/>
      <c r="P271" s="111"/>
      <c r="Q271" s="230" t="s">
        <v>958</v>
      </c>
      <c r="S271" s="275">
        <f>+List34[[#This Row],[Pengajuan Donasi]]-List34[[#This Row],[Jumlah Transfer]]</f>
        <v>0</v>
      </c>
      <c r="T271" s="275"/>
    </row>
    <row r="272" spans="1:20" s="4" customFormat="1" ht="15.75" x14ac:dyDescent="0.2">
      <c r="A272" s="102">
        <v>44624</v>
      </c>
      <c r="B272" s="67"/>
      <c r="C272" s="14" t="s">
        <v>919</v>
      </c>
      <c r="D272" s="14" t="s">
        <v>26</v>
      </c>
      <c r="E272" s="14" t="s">
        <v>18</v>
      </c>
      <c r="F272" s="15">
        <v>1</v>
      </c>
      <c r="G272" s="258">
        <v>500000</v>
      </c>
      <c r="H272" s="258">
        <f>List34[[#This Row],[Pengajuan Donasi]]</f>
        <v>1000000</v>
      </c>
      <c r="I272" s="214" t="str">
        <f>IF(List34[[#This Row],[Tanggal Trf]]&gt;0,"Done","-")</f>
        <v>Done</v>
      </c>
      <c r="J272" s="437"/>
      <c r="K272" s="221">
        <v>44630</v>
      </c>
      <c r="L272" s="14" t="s">
        <v>897</v>
      </c>
      <c r="M272" s="100">
        <f>MONTH(List34[[#This Row],[Tanggal Pengajuan]])</f>
        <v>4</v>
      </c>
      <c r="N272" s="183"/>
      <c r="O272" s="105" t="s">
        <v>746</v>
      </c>
      <c r="P272" s="111"/>
      <c r="Q272" s="230" t="s">
        <v>958</v>
      </c>
      <c r="S272" s="275">
        <f>+List34[[#This Row],[Pengajuan Donasi]]-List34[[#This Row],[Jumlah Transfer]]</f>
        <v>0</v>
      </c>
      <c r="T272" s="275"/>
    </row>
    <row r="273" spans="1:20" s="4" customFormat="1" ht="30" customHeight="1" x14ac:dyDescent="0.2">
      <c r="A273" s="102">
        <v>44658</v>
      </c>
      <c r="B273" s="67"/>
      <c r="C273" s="14" t="s">
        <v>919</v>
      </c>
      <c r="D273" s="14" t="s">
        <v>26</v>
      </c>
      <c r="E273" s="14" t="s">
        <v>18</v>
      </c>
      <c r="F273" s="15">
        <v>1</v>
      </c>
      <c r="G273" s="258">
        <v>500000</v>
      </c>
      <c r="H273" s="258">
        <f>List34[[#This Row],[Pengajuan Donasi]]</f>
        <v>1000000</v>
      </c>
      <c r="I273" s="214" t="str">
        <f>IF(List34[[#This Row],[Tanggal Trf]]&gt;0,"Done","-")</f>
        <v>Done</v>
      </c>
      <c r="J273" s="437"/>
      <c r="K273" s="221">
        <v>44672</v>
      </c>
      <c r="L273" s="14" t="s">
        <v>897</v>
      </c>
      <c r="M273" s="100">
        <f>MONTH(List34[[#This Row],[Tanggal Pengajuan]])</f>
        <v>4</v>
      </c>
      <c r="N273" s="183">
        <v>44676</v>
      </c>
      <c r="O273" s="105" t="s">
        <v>795</v>
      </c>
      <c r="P273" s="111"/>
      <c r="Q273" s="230" t="s">
        <v>958</v>
      </c>
      <c r="S273" s="275">
        <f>+List34[[#This Row],[Pengajuan Donasi]]-List34[[#This Row],[Jumlah Transfer]]</f>
        <v>0</v>
      </c>
      <c r="T273" s="275"/>
    </row>
    <row r="274" spans="1:20" s="4" customFormat="1" ht="30" customHeight="1" x14ac:dyDescent="0.2">
      <c r="A274" s="102">
        <v>44687</v>
      </c>
      <c r="B274" s="163"/>
      <c r="C274" s="164" t="s">
        <v>919</v>
      </c>
      <c r="D274" s="164" t="s">
        <v>26</v>
      </c>
      <c r="E274" s="164" t="s">
        <v>18</v>
      </c>
      <c r="F274" s="178">
        <v>0</v>
      </c>
      <c r="G274" s="261">
        <v>0</v>
      </c>
      <c r="H274" s="261">
        <f>List34[[#This Row],[Pengajuan Donasi]]</f>
        <v>1000000</v>
      </c>
      <c r="I274" s="216" t="str">
        <f>IF(List34[[#This Row],[Tanggal Trf]]&gt;0,"Done","-")</f>
        <v>Done</v>
      </c>
      <c r="J274" s="439" t="s">
        <v>1013</v>
      </c>
      <c r="K274" s="222"/>
      <c r="L274" s="164" t="s">
        <v>897</v>
      </c>
      <c r="M274" s="193">
        <f>MONTH(List34[[#This Row],[Tanggal Pengajuan]])</f>
        <v>4</v>
      </c>
      <c r="N274" s="222" t="s">
        <v>960</v>
      </c>
      <c r="O274" s="193" t="s">
        <v>1221</v>
      </c>
      <c r="P274" s="111"/>
      <c r="Q274" s="230" t="s">
        <v>958</v>
      </c>
      <c r="S274" s="275">
        <f>+List34[[#This Row],[Pengajuan Donasi]]-List34[[#This Row],[Jumlah Transfer]]</f>
        <v>0</v>
      </c>
      <c r="T274" s="275"/>
    </row>
    <row r="275" spans="1:20" s="4" customFormat="1" ht="30" customHeight="1" x14ac:dyDescent="0.2">
      <c r="A275" s="102">
        <v>44704</v>
      </c>
      <c r="B275" s="163"/>
      <c r="C275" s="14" t="s">
        <v>919</v>
      </c>
      <c r="D275" s="14" t="s">
        <v>26</v>
      </c>
      <c r="E275" s="14" t="s">
        <v>18</v>
      </c>
      <c r="F275" s="15">
        <v>1</v>
      </c>
      <c r="G275" s="258">
        <v>500000</v>
      </c>
      <c r="H275" s="258">
        <f>List34[[#This Row],[Pengajuan Donasi]]</f>
        <v>2640000</v>
      </c>
      <c r="I275" s="214" t="str">
        <f>IF(List34[[#This Row],[Tanggal Trf]]&gt;0,"Done","-")</f>
        <v>Done</v>
      </c>
      <c r="J275" s="437"/>
      <c r="K275" s="221">
        <v>44712</v>
      </c>
      <c r="L275" s="14" t="s">
        <v>897</v>
      </c>
      <c r="M275" s="100">
        <f>MONTH(List34[[#This Row],[Tanggal Pengajuan]])</f>
        <v>4</v>
      </c>
      <c r="N275" s="183">
        <v>44698</v>
      </c>
      <c r="O275" s="105" t="s">
        <v>932</v>
      </c>
      <c r="P275" s="111"/>
      <c r="Q275" s="230" t="s">
        <v>958</v>
      </c>
      <c r="S275" s="275">
        <f>+List34[[#This Row],[Pengajuan Donasi]]-List34[[#This Row],[Jumlah Transfer]]</f>
        <v>0</v>
      </c>
      <c r="T275" s="275"/>
    </row>
    <row r="276" spans="1:20" s="4" customFormat="1" ht="30" customHeight="1" x14ac:dyDescent="0.2">
      <c r="A276" s="102">
        <v>44715</v>
      </c>
      <c r="B276" s="67"/>
      <c r="C276" s="14" t="s">
        <v>919</v>
      </c>
      <c r="D276" s="14" t="s">
        <v>26</v>
      </c>
      <c r="E276" s="14" t="s">
        <v>18</v>
      </c>
      <c r="F276" s="15">
        <v>1</v>
      </c>
      <c r="G276" s="258">
        <v>500000</v>
      </c>
      <c r="H276" s="258">
        <f>List34[[#This Row],[Pengajuan Donasi]]</f>
        <v>10000000</v>
      </c>
      <c r="I276" s="214" t="str">
        <f>IF(List34[[#This Row],[Tanggal Trf]]&gt;0,"Done","-")</f>
        <v>Done</v>
      </c>
      <c r="J276" s="437"/>
      <c r="K276" s="221">
        <v>44814</v>
      </c>
      <c r="L276" s="14" t="s">
        <v>897</v>
      </c>
      <c r="M276" s="100">
        <f>MONTH(List34[[#This Row],[Tanggal Pengajuan]])</f>
        <v>4</v>
      </c>
      <c r="N276" s="183">
        <v>44748</v>
      </c>
      <c r="O276" s="105" t="s">
        <v>1116</v>
      </c>
      <c r="P276" s="111"/>
      <c r="Q276" s="230" t="s">
        <v>958</v>
      </c>
      <c r="S276" s="275">
        <f>+List34[[#This Row],[Pengajuan Donasi]]-List34[[#This Row],[Jumlah Transfer]]</f>
        <v>0</v>
      </c>
      <c r="T276" s="275"/>
    </row>
    <row r="277" spans="1:20" s="4" customFormat="1" ht="30" customHeight="1" x14ac:dyDescent="0.2">
      <c r="A277" s="102">
        <v>44746</v>
      </c>
      <c r="B277" s="67"/>
      <c r="C277" s="14" t="s">
        <v>919</v>
      </c>
      <c r="D277" s="14" t="s">
        <v>26</v>
      </c>
      <c r="E277" s="14" t="s">
        <v>18</v>
      </c>
      <c r="F277" s="471">
        <v>1</v>
      </c>
      <c r="G277" s="258">
        <v>500000</v>
      </c>
      <c r="H277" s="258">
        <f>List34[[#This Row],[Pengajuan Donasi]]</f>
        <v>15000000</v>
      </c>
      <c r="I277" s="214" t="str">
        <f>IF(List34[[#This Row],[Tanggal Trf]]&gt;0,"Done","-")</f>
        <v>Done</v>
      </c>
      <c r="J277" s="437" t="s">
        <v>1168</v>
      </c>
      <c r="K277" s="484">
        <v>44764</v>
      </c>
      <c r="L277" s="14" t="s">
        <v>897</v>
      </c>
      <c r="M277" s="100">
        <f>MONTH(List34[[#This Row],[Tanggal Pengajuan]])</f>
        <v>4</v>
      </c>
      <c r="N277" s="183"/>
      <c r="O277" s="105" t="s">
        <v>1180</v>
      </c>
      <c r="P277" s="111"/>
      <c r="Q277" s="230" t="s">
        <v>958</v>
      </c>
      <c r="S277" s="275">
        <f>+List34[[#This Row],[Pengajuan Donasi]]-List34[[#This Row],[Jumlah Transfer]]</f>
        <v>0</v>
      </c>
      <c r="T277" s="275"/>
    </row>
    <row r="278" spans="1:20" s="4" customFormat="1" ht="30" customHeight="1" x14ac:dyDescent="0.2">
      <c r="A278" s="102">
        <v>44775</v>
      </c>
      <c r="B278" s="67"/>
      <c r="C278" s="14" t="s">
        <v>919</v>
      </c>
      <c r="D278" s="14" t="s">
        <v>26</v>
      </c>
      <c r="E278" s="14" t="s">
        <v>18</v>
      </c>
      <c r="F278" s="471">
        <v>1</v>
      </c>
      <c r="G278" s="258">
        <v>500000</v>
      </c>
      <c r="H278" s="258">
        <f>List34[[#This Row],[Pengajuan Donasi]]</f>
        <v>10000000</v>
      </c>
      <c r="I278" s="214" t="str">
        <f>IF(List34[[#This Row],[Tanggal Trf]]&gt;0,"Done","-")</f>
        <v>Done</v>
      </c>
      <c r="J278" s="437" t="s">
        <v>1211</v>
      </c>
      <c r="K278" s="484">
        <v>44799</v>
      </c>
      <c r="L278" s="14" t="s">
        <v>897</v>
      </c>
      <c r="M278" s="100">
        <f>MONTH(List34[[#This Row],[Tanggal Pengajuan]])</f>
        <v>4</v>
      </c>
      <c r="N278" s="183"/>
      <c r="O278" s="100" t="s">
        <v>1223</v>
      </c>
      <c r="P278" s="111"/>
      <c r="Q278" s="230" t="s">
        <v>958</v>
      </c>
      <c r="S278" s="275">
        <f>+List34[[#This Row],[Pengajuan Donasi]]-List34[[#This Row],[Jumlah Transfer]]</f>
        <v>0</v>
      </c>
      <c r="T278" s="275"/>
    </row>
    <row r="279" spans="1:20" s="4" customFormat="1" ht="30" customHeight="1" x14ac:dyDescent="0.2">
      <c r="A279" s="102">
        <v>44587</v>
      </c>
      <c r="B279" s="67"/>
      <c r="C279" s="14" t="s">
        <v>922</v>
      </c>
      <c r="D279" s="14" t="s">
        <v>26</v>
      </c>
      <c r="E279" s="14" t="s">
        <v>18</v>
      </c>
      <c r="F279" s="15">
        <v>1</v>
      </c>
      <c r="G279" s="258">
        <v>500000</v>
      </c>
      <c r="H279" s="258">
        <f>List34[[#This Row],[Pengajuan Donasi]]</f>
        <v>6000000</v>
      </c>
      <c r="I279" s="214" t="str">
        <f>IF(List34[[#This Row],[Tanggal Trf]]&gt;0,"Done","-")</f>
        <v>Done</v>
      </c>
      <c r="J279" s="437"/>
      <c r="K279" s="221">
        <v>44588</v>
      </c>
      <c r="L279" s="14" t="s">
        <v>899</v>
      </c>
      <c r="M279" s="100">
        <f>MONTH(List34[[#This Row],[Tanggal Pengajuan]])</f>
        <v>4</v>
      </c>
      <c r="N279" s="183"/>
      <c r="O279" s="105" t="s">
        <v>651</v>
      </c>
      <c r="P279" s="111"/>
      <c r="Q279" s="230" t="s">
        <v>958</v>
      </c>
      <c r="S279" s="275">
        <f>+List34[[#This Row],[Pengajuan Donasi]]-List34[[#This Row],[Jumlah Transfer]]</f>
        <v>0</v>
      </c>
      <c r="T279" s="275"/>
    </row>
    <row r="280" spans="1:20" s="4" customFormat="1" ht="30" customHeight="1" x14ac:dyDescent="0.2">
      <c r="A280" s="102">
        <v>44607</v>
      </c>
      <c r="B280" s="67"/>
      <c r="C280" s="14" t="s">
        <v>922</v>
      </c>
      <c r="D280" s="14" t="s">
        <v>26</v>
      </c>
      <c r="E280" s="14" t="s">
        <v>18</v>
      </c>
      <c r="F280" s="15">
        <v>1</v>
      </c>
      <c r="G280" s="258">
        <v>500000</v>
      </c>
      <c r="H280" s="258">
        <f>List34[[#This Row],[Pengajuan Donasi]]</f>
        <v>10000000</v>
      </c>
      <c r="I280" s="214" t="str">
        <f>IF(List34[[#This Row],[Tanggal Trf]]&gt;0,"Done","-")</f>
        <v>Done</v>
      </c>
      <c r="J280" s="437"/>
      <c r="K280" s="221">
        <v>44612</v>
      </c>
      <c r="L280" s="14" t="s">
        <v>898</v>
      </c>
      <c r="M280" s="100">
        <f>MONTH(List34[[#This Row],[Tanggal Pengajuan]])</f>
        <v>4</v>
      </c>
      <c r="N280" s="183"/>
      <c r="O280" s="105"/>
      <c r="P280" s="111"/>
      <c r="Q280" s="230" t="s">
        <v>958</v>
      </c>
      <c r="S280" s="275">
        <f>+List34[[#This Row],[Pengajuan Donasi]]-List34[[#This Row],[Jumlah Transfer]]</f>
        <v>0</v>
      </c>
      <c r="T280" s="275"/>
    </row>
    <row r="281" spans="1:20" s="4" customFormat="1" ht="30" customHeight="1" x14ac:dyDescent="0.2">
      <c r="A281" s="102">
        <v>44624</v>
      </c>
      <c r="B281" s="67"/>
      <c r="C281" s="14" t="s">
        <v>922</v>
      </c>
      <c r="D281" s="14" t="s">
        <v>26</v>
      </c>
      <c r="E281" s="14" t="s">
        <v>18</v>
      </c>
      <c r="F281" s="15">
        <v>1</v>
      </c>
      <c r="G281" s="258">
        <v>500000</v>
      </c>
      <c r="H281" s="258">
        <f>List34[[#This Row],[Pengajuan Donasi]]</f>
        <v>500000</v>
      </c>
      <c r="I281" s="214" t="str">
        <f>IF(List34[[#This Row],[Tanggal Trf]]&gt;0,"Done","-")</f>
        <v>Done</v>
      </c>
      <c r="J281" s="437"/>
      <c r="K281" s="221">
        <v>44630</v>
      </c>
      <c r="L281" s="14" t="s">
        <v>899</v>
      </c>
      <c r="M281" s="100">
        <f>MONTH(List34[[#This Row],[Tanggal Pengajuan]])</f>
        <v>4</v>
      </c>
      <c r="N281" s="183"/>
      <c r="O281" s="105" t="s">
        <v>746</v>
      </c>
      <c r="P281" s="111"/>
      <c r="Q281" s="230" t="s">
        <v>958</v>
      </c>
      <c r="S281" s="275">
        <f>+List34[[#This Row],[Pengajuan Donasi]]-List34[[#This Row],[Jumlah Transfer]]</f>
        <v>0</v>
      </c>
      <c r="T281" s="275"/>
    </row>
    <row r="282" spans="1:20" s="4" customFormat="1" ht="30" customHeight="1" x14ac:dyDescent="0.2">
      <c r="A282" s="102">
        <v>44658</v>
      </c>
      <c r="B282" s="67"/>
      <c r="C282" s="14" t="s">
        <v>922</v>
      </c>
      <c r="D282" s="14" t="s">
        <v>26</v>
      </c>
      <c r="E282" s="14" t="s">
        <v>18</v>
      </c>
      <c r="F282" s="15">
        <v>1</v>
      </c>
      <c r="G282" s="258">
        <v>500000</v>
      </c>
      <c r="H282" s="258">
        <f>List34[[#This Row],[Pengajuan Donasi]]</f>
        <v>500000</v>
      </c>
      <c r="I282" s="214" t="str">
        <f>IF(List34[[#This Row],[Tanggal Trf]]&gt;0,"Done","-")</f>
        <v>Done</v>
      </c>
      <c r="J282" s="437"/>
      <c r="K282" s="221">
        <v>44672</v>
      </c>
      <c r="L282" s="14" t="s">
        <v>899</v>
      </c>
      <c r="M282" s="100">
        <f>MONTH(List34[[#This Row],[Tanggal Pengajuan]])</f>
        <v>4</v>
      </c>
      <c r="N282" s="183">
        <v>44676</v>
      </c>
      <c r="O282" s="100" t="s">
        <v>795</v>
      </c>
      <c r="P282" s="111"/>
      <c r="Q282" s="230" t="s">
        <v>958</v>
      </c>
      <c r="S282" s="275">
        <f>+List34[[#This Row],[Pengajuan Donasi]]-List34[[#This Row],[Jumlah Transfer]]</f>
        <v>0</v>
      </c>
      <c r="T282" s="275"/>
    </row>
    <row r="283" spans="1:20" s="4" customFormat="1" ht="30" customHeight="1" x14ac:dyDescent="0.2">
      <c r="A283" s="102">
        <v>44687</v>
      </c>
      <c r="B283" s="163"/>
      <c r="C283" s="164" t="s">
        <v>922</v>
      </c>
      <c r="D283" s="164" t="s">
        <v>26</v>
      </c>
      <c r="E283" s="164" t="s">
        <v>18</v>
      </c>
      <c r="F283" s="178">
        <v>0</v>
      </c>
      <c r="G283" s="261">
        <v>0</v>
      </c>
      <c r="H283" s="261">
        <f>List34[[#This Row],[Pengajuan Donasi]]</f>
        <v>500000</v>
      </c>
      <c r="I283" s="216" t="str">
        <f>IF(List34[[#This Row],[Tanggal Trf]]&gt;0,"Done","-")</f>
        <v>Done</v>
      </c>
      <c r="J283" s="439" t="s">
        <v>1013</v>
      </c>
      <c r="K283" s="222"/>
      <c r="L283" s="164" t="s">
        <v>899</v>
      </c>
      <c r="M283" s="193">
        <f>MONTH(List34[[#This Row],[Tanggal Pengajuan]])</f>
        <v>4</v>
      </c>
      <c r="N283" s="222" t="s">
        <v>960</v>
      </c>
      <c r="O283" s="166" t="s">
        <v>1221</v>
      </c>
      <c r="P283" s="111"/>
      <c r="Q283" s="230" t="s">
        <v>958</v>
      </c>
      <c r="S283" s="275">
        <f>+List34[[#This Row],[Pengajuan Donasi]]-List34[[#This Row],[Jumlah Transfer]]</f>
        <v>0</v>
      </c>
      <c r="T283" s="275"/>
    </row>
    <row r="284" spans="1:20" s="4" customFormat="1" ht="30" customHeight="1" x14ac:dyDescent="0.2">
      <c r="A284" s="102">
        <v>44704</v>
      </c>
      <c r="B284" s="163"/>
      <c r="C284" s="14" t="s">
        <v>922</v>
      </c>
      <c r="D284" s="14" t="s">
        <v>26</v>
      </c>
      <c r="E284" s="14" t="s">
        <v>18</v>
      </c>
      <c r="F284" s="15">
        <v>1</v>
      </c>
      <c r="G284" s="258">
        <v>500000</v>
      </c>
      <c r="H284" s="258">
        <f>List34[[#This Row],[Pengajuan Donasi]]</f>
        <v>500000</v>
      </c>
      <c r="I284" s="214" t="str">
        <f>IF(List34[[#This Row],[Tanggal Trf]]&gt;0,"Done","-")</f>
        <v>Done</v>
      </c>
      <c r="J284" s="437"/>
      <c r="K284" s="221">
        <v>44712</v>
      </c>
      <c r="L284" s="14" t="s">
        <v>899</v>
      </c>
      <c r="M284" s="100">
        <f>MONTH(List34[[#This Row],[Tanggal Pengajuan]])</f>
        <v>4</v>
      </c>
      <c r="N284" s="183">
        <v>44698</v>
      </c>
      <c r="O284" s="105" t="s">
        <v>932</v>
      </c>
      <c r="P284" s="111"/>
      <c r="Q284" s="230" t="s">
        <v>958</v>
      </c>
      <c r="S284" s="275">
        <f>+List34[[#This Row],[Pengajuan Donasi]]-List34[[#This Row],[Jumlah Transfer]]</f>
        <v>0</v>
      </c>
      <c r="T284" s="275"/>
    </row>
    <row r="285" spans="1:20" s="4" customFormat="1" ht="30" customHeight="1" x14ac:dyDescent="0.2">
      <c r="A285" s="102">
        <v>44715</v>
      </c>
      <c r="B285" s="66"/>
      <c r="C285" s="14" t="s">
        <v>922</v>
      </c>
      <c r="D285" s="14" t="s">
        <v>26</v>
      </c>
      <c r="E285" s="14" t="s">
        <v>18</v>
      </c>
      <c r="F285" s="15">
        <v>1</v>
      </c>
      <c r="G285" s="258">
        <v>500000</v>
      </c>
      <c r="H285" s="258">
        <f>List34[[#This Row],[Pengajuan Donasi]]</f>
        <v>500000</v>
      </c>
      <c r="I285" s="213" t="str">
        <f>IF(List34[[#This Row],[Tanggal Trf]]&gt;0,"Done","-")</f>
        <v>Done</v>
      </c>
      <c r="J285" s="445"/>
      <c r="K285" s="221">
        <v>44814</v>
      </c>
      <c r="L285" s="100" t="s">
        <v>899</v>
      </c>
      <c r="M285" s="100">
        <f>MONTH(List34[[#This Row],[Tanggal Pengajuan]])</f>
        <v>4</v>
      </c>
      <c r="N285" s="183">
        <v>44748</v>
      </c>
      <c r="O285" s="105" t="s">
        <v>1116</v>
      </c>
      <c r="P285" s="198"/>
      <c r="Q285" s="230" t="s">
        <v>958</v>
      </c>
      <c r="S285" s="275">
        <f>+List34[[#This Row],[Pengajuan Donasi]]-List34[[#This Row],[Jumlah Transfer]]</f>
        <v>0</v>
      </c>
      <c r="T285" s="275"/>
    </row>
    <row r="286" spans="1:20" s="4" customFormat="1" ht="30" customHeight="1" x14ac:dyDescent="0.2">
      <c r="A286" s="102">
        <v>44746</v>
      </c>
      <c r="B286" s="67"/>
      <c r="C286" s="14" t="s">
        <v>922</v>
      </c>
      <c r="D286" s="103" t="s">
        <v>26</v>
      </c>
      <c r="E286" s="103" t="s">
        <v>18</v>
      </c>
      <c r="F286" s="471">
        <v>1</v>
      </c>
      <c r="G286" s="258">
        <v>500000</v>
      </c>
      <c r="H286" s="258">
        <f>List34[[#This Row],[Pengajuan Donasi]]</f>
        <v>500000</v>
      </c>
      <c r="I286" s="213" t="str">
        <f>IF(List34[[#This Row],[Tanggal Trf]]&gt;0,"Done","-")</f>
        <v>Done</v>
      </c>
      <c r="J286" s="437" t="s">
        <v>1168</v>
      </c>
      <c r="K286" s="484">
        <v>44764</v>
      </c>
      <c r="L286" s="100" t="s">
        <v>899</v>
      </c>
      <c r="M286" s="100">
        <f>MONTH(List34[[#This Row],[Tanggal Pengajuan]])</f>
        <v>4</v>
      </c>
      <c r="N286" s="183"/>
      <c r="O286" s="100" t="s">
        <v>1180</v>
      </c>
      <c r="P286" s="111"/>
      <c r="Q286" s="230" t="s">
        <v>958</v>
      </c>
      <c r="S286" s="275">
        <f>+List34[[#This Row],[Pengajuan Donasi]]-List34[[#This Row],[Jumlah Transfer]]</f>
        <v>0</v>
      </c>
      <c r="T286" s="275"/>
    </row>
    <row r="287" spans="1:20" s="4" customFormat="1" ht="30" customHeight="1" x14ac:dyDescent="0.2">
      <c r="A287" s="102">
        <v>44775</v>
      </c>
      <c r="B287" s="67"/>
      <c r="C287" s="14" t="s">
        <v>922</v>
      </c>
      <c r="D287" s="103" t="s">
        <v>26</v>
      </c>
      <c r="E287" s="103" t="s">
        <v>18</v>
      </c>
      <c r="F287" s="471">
        <v>1</v>
      </c>
      <c r="G287" s="258">
        <v>500000</v>
      </c>
      <c r="H287" s="258">
        <f>List34[[#This Row],[Pengajuan Donasi]]</f>
        <v>500000</v>
      </c>
      <c r="I287" s="213" t="str">
        <f>IF(List34[[#This Row],[Tanggal Trf]]&gt;0,"Done","-")</f>
        <v>Done</v>
      </c>
      <c r="J287" s="437" t="s">
        <v>1211</v>
      </c>
      <c r="K287" s="484">
        <v>44799</v>
      </c>
      <c r="L287" s="100" t="s">
        <v>899</v>
      </c>
      <c r="M287" s="100">
        <f>MONTH(List34[[#This Row],[Tanggal Pengajuan]])</f>
        <v>4</v>
      </c>
      <c r="N287" s="183"/>
      <c r="O287" s="105" t="s">
        <v>1223</v>
      </c>
      <c r="P287" s="111"/>
      <c r="Q287" s="230" t="s">
        <v>958</v>
      </c>
      <c r="S287" s="275">
        <f>+List34[[#This Row],[Pengajuan Donasi]]-List34[[#This Row],[Jumlah Transfer]]</f>
        <v>0</v>
      </c>
      <c r="T287" s="275"/>
    </row>
    <row r="288" spans="1:20" s="4" customFormat="1" ht="30" customHeight="1" x14ac:dyDescent="0.2">
      <c r="A288" s="102">
        <v>44587</v>
      </c>
      <c r="B288" s="67"/>
      <c r="C288" s="103" t="s">
        <v>925</v>
      </c>
      <c r="D288" s="103" t="s">
        <v>26</v>
      </c>
      <c r="E288" s="103" t="s">
        <v>18</v>
      </c>
      <c r="F288" s="15">
        <v>1</v>
      </c>
      <c r="G288" s="258">
        <v>500000</v>
      </c>
      <c r="H288" s="258">
        <f>List34[[#This Row],[Pengajuan Donasi]]</f>
        <v>500000</v>
      </c>
      <c r="I288" s="213" t="str">
        <f>IF(List34[[#This Row],[Tanggal Trf]]&gt;0,"Done","-")</f>
        <v>Done</v>
      </c>
      <c r="J288" s="437"/>
      <c r="K288" s="221">
        <v>44588</v>
      </c>
      <c r="L288" s="105" t="s">
        <v>1014</v>
      </c>
      <c r="M288" s="100">
        <f>MONTH(List34[[#This Row],[Tanggal Pengajuan]])</f>
        <v>4</v>
      </c>
      <c r="N288" s="183"/>
      <c r="O288" s="105" t="s">
        <v>651</v>
      </c>
      <c r="P288" s="111"/>
      <c r="Q288" s="230" t="s">
        <v>958</v>
      </c>
      <c r="S288" s="275">
        <f>+List34[[#This Row],[Pengajuan Donasi]]-List34[[#This Row],[Jumlah Transfer]]</f>
        <v>0</v>
      </c>
      <c r="T288" s="275"/>
    </row>
    <row r="289" spans="1:20" s="4" customFormat="1" ht="30" customHeight="1" x14ac:dyDescent="0.2">
      <c r="A289" s="102">
        <v>44607</v>
      </c>
      <c r="B289" s="67"/>
      <c r="C289" s="14" t="s">
        <v>925</v>
      </c>
      <c r="D289" s="103" t="s">
        <v>26</v>
      </c>
      <c r="E289" s="103" t="s">
        <v>18</v>
      </c>
      <c r="F289" s="15">
        <v>1</v>
      </c>
      <c r="G289" s="258">
        <v>500000</v>
      </c>
      <c r="H289" s="258">
        <f>List34[[#This Row],[Pengajuan Donasi]]</f>
        <v>500000</v>
      </c>
      <c r="I289" s="213" t="str">
        <f>IF(List34[[#This Row],[Tanggal Trf]]&gt;0,"Done","-")</f>
        <v>Done</v>
      </c>
      <c r="J289" s="437"/>
      <c r="K289" s="221">
        <v>44612</v>
      </c>
      <c r="L289" s="100" t="s">
        <v>901</v>
      </c>
      <c r="M289" s="100">
        <f>MONTH(List34[[#This Row],[Tanggal Pengajuan]])</f>
        <v>4</v>
      </c>
      <c r="N289" s="183"/>
      <c r="O289" s="105"/>
      <c r="P289" s="111"/>
      <c r="Q289" s="230" t="s">
        <v>958</v>
      </c>
      <c r="S289" s="275">
        <f>+List34[[#This Row],[Pengajuan Donasi]]-List34[[#This Row],[Jumlah Transfer]]</f>
        <v>0</v>
      </c>
      <c r="T289" s="275"/>
    </row>
    <row r="290" spans="1:20" s="4" customFormat="1" ht="30" customHeight="1" x14ac:dyDescent="0.2">
      <c r="A290" s="102">
        <v>44624</v>
      </c>
      <c r="B290" s="67"/>
      <c r="C290" s="14" t="s">
        <v>925</v>
      </c>
      <c r="D290" s="14" t="s">
        <v>26</v>
      </c>
      <c r="E290" s="14" t="s">
        <v>18</v>
      </c>
      <c r="F290" s="15">
        <v>1</v>
      </c>
      <c r="G290" s="258">
        <v>500000</v>
      </c>
      <c r="H290" s="258">
        <f>List34[[#This Row],[Pengajuan Donasi]]</f>
        <v>500000</v>
      </c>
      <c r="I290" s="214" t="str">
        <f>IF(List34[[#This Row],[Tanggal Trf]]&gt;0,"Done","-")</f>
        <v>Done</v>
      </c>
      <c r="J290" s="437"/>
      <c r="K290" s="221">
        <v>44630</v>
      </c>
      <c r="L290" s="105" t="s">
        <v>1014</v>
      </c>
      <c r="M290" s="100">
        <f>MONTH(List34[[#This Row],[Tanggal Pengajuan]])</f>
        <v>4</v>
      </c>
      <c r="N290" s="183"/>
      <c r="O290" s="105" t="s">
        <v>746</v>
      </c>
      <c r="P290" s="111"/>
      <c r="Q290" s="230" t="s">
        <v>958</v>
      </c>
      <c r="S290" s="275">
        <f>+List34[[#This Row],[Pengajuan Donasi]]-List34[[#This Row],[Jumlah Transfer]]</f>
        <v>0</v>
      </c>
      <c r="T290" s="275"/>
    </row>
    <row r="291" spans="1:20" s="4" customFormat="1" ht="30" customHeight="1" x14ac:dyDescent="0.2">
      <c r="A291" s="102">
        <v>44658</v>
      </c>
      <c r="B291" s="67"/>
      <c r="C291" s="14" t="s">
        <v>925</v>
      </c>
      <c r="D291" s="103" t="s">
        <v>26</v>
      </c>
      <c r="E291" s="103" t="s">
        <v>18</v>
      </c>
      <c r="F291" s="15">
        <v>1</v>
      </c>
      <c r="G291" s="258">
        <v>500000</v>
      </c>
      <c r="H291" s="258">
        <f>List34[[#This Row],[Pengajuan Donasi]]</f>
        <v>500000</v>
      </c>
      <c r="I291" s="213" t="str">
        <f>IF(List34[[#This Row],[Tanggal Trf]]&gt;0,"Done","-")</f>
        <v>Done</v>
      </c>
      <c r="J291" s="437"/>
      <c r="K291" s="221">
        <v>44672</v>
      </c>
      <c r="L291" s="105" t="s">
        <v>1014</v>
      </c>
      <c r="M291" s="100">
        <f>MONTH(List34[[#This Row],[Tanggal Pengajuan]])</f>
        <v>4</v>
      </c>
      <c r="N291" s="183">
        <v>44676</v>
      </c>
      <c r="O291" s="100" t="s">
        <v>795</v>
      </c>
      <c r="P291" s="111"/>
      <c r="Q291" s="230" t="s">
        <v>958</v>
      </c>
      <c r="S291" s="275">
        <f>+List34[[#This Row],[Pengajuan Donasi]]-List34[[#This Row],[Jumlah Transfer]]</f>
        <v>0</v>
      </c>
      <c r="T291" s="275"/>
    </row>
    <row r="292" spans="1:20" s="4" customFormat="1" ht="30" customHeight="1" x14ac:dyDescent="0.2">
      <c r="A292" s="102">
        <v>44687</v>
      </c>
      <c r="B292" s="163"/>
      <c r="C292" s="168" t="s">
        <v>925</v>
      </c>
      <c r="D292" s="164" t="s">
        <v>26</v>
      </c>
      <c r="E292" s="164" t="s">
        <v>18</v>
      </c>
      <c r="F292" s="178">
        <v>0</v>
      </c>
      <c r="G292" s="261">
        <v>0</v>
      </c>
      <c r="H292" s="261">
        <f>List34[[#This Row],[Pengajuan Donasi]]</f>
        <v>500000</v>
      </c>
      <c r="I292" s="253" t="str">
        <f>IF(List34[[#This Row],[Tanggal Trf]]&gt;0,"Done","-")</f>
        <v>Done</v>
      </c>
      <c r="J292" s="439" t="s">
        <v>1013</v>
      </c>
      <c r="K292" s="222"/>
      <c r="L292" s="193" t="s">
        <v>1014</v>
      </c>
      <c r="M292" s="193">
        <f>MONTH(List34[[#This Row],[Tanggal Pengajuan]])</f>
        <v>4</v>
      </c>
      <c r="N292" s="222" t="s">
        <v>960</v>
      </c>
      <c r="O292" s="166" t="s">
        <v>1221</v>
      </c>
      <c r="P292" s="111"/>
      <c r="Q292" s="230" t="s">
        <v>958</v>
      </c>
      <c r="S292" s="275">
        <f>+List34[[#This Row],[Pengajuan Donasi]]-List34[[#This Row],[Jumlah Transfer]]</f>
        <v>0</v>
      </c>
      <c r="T292" s="275"/>
    </row>
    <row r="293" spans="1:20" s="4" customFormat="1" ht="30" customHeight="1" x14ac:dyDescent="0.2">
      <c r="A293" s="102">
        <v>44704</v>
      </c>
      <c r="B293" s="163"/>
      <c r="C293" s="103" t="s">
        <v>925</v>
      </c>
      <c r="D293" s="14" t="s">
        <v>26</v>
      </c>
      <c r="E293" s="14" t="s">
        <v>18</v>
      </c>
      <c r="F293" s="15">
        <v>1</v>
      </c>
      <c r="G293" s="258">
        <v>500000</v>
      </c>
      <c r="H293" s="258">
        <f>List34[[#This Row],[Pengajuan Donasi]]</f>
        <v>500000</v>
      </c>
      <c r="I293" s="213" t="str">
        <f>IF(List34[[#This Row],[Tanggal Trf]]&gt;0,"Done","-")</f>
        <v>Done</v>
      </c>
      <c r="J293" s="437"/>
      <c r="K293" s="221">
        <v>44712</v>
      </c>
      <c r="L293" s="421" t="s">
        <v>1014</v>
      </c>
      <c r="M293" s="100">
        <f>MONTH(List34[[#This Row],[Tanggal Pengajuan]])</f>
        <v>4</v>
      </c>
      <c r="N293" s="183">
        <v>44698</v>
      </c>
      <c r="O293" s="105" t="s">
        <v>932</v>
      </c>
      <c r="P293" s="111"/>
      <c r="Q293" s="230" t="s">
        <v>958</v>
      </c>
      <c r="S293" s="275">
        <f>+List34[[#This Row],[Pengajuan Donasi]]-List34[[#This Row],[Jumlah Transfer]]</f>
        <v>0</v>
      </c>
      <c r="T293" s="275"/>
    </row>
    <row r="294" spans="1:20" s="4" customFormat="1" ht="30" customHeight="1" x14ac:dyDescent="0.2">
      <c r="A294" s="102">
        <v>44715</v>
      </c>
      <c r="B294" s="67"/>
      <c r="C294" s="103" t="s">
        <v>925</v>
      </c>
      <c r="D294" s="14" t="s">
        <v>26</v>
      </c>
      <c r="E294" s="14" t="s">
        <v>18</v>
      </c>
      <c r="F294" s="15">
        <v>1</v>
      </c>
      <c r="G294" s="258">
        <v>500000</v>
      </c>
      <c r="H294" s="258">
        <f>List34[[#This Row],[Pengajuan Donasi]]</f>
        <v>500000</v>
      </c>
      <c r="I294" s="213" t="str">
        <f>IF(List34[[#This Row],[Tanggal Trf]]&gt;0,"Done","-")</f>
        <v>Done</v>
      </c>
      <c r="J294" s="437"/>
      <c r="K294" s="221">
        <v>44814</v>
      </c>
      <c r="L294" s="421" t="s">
        <v>1014</v>
      </c>
      <c r="M294" s="100">
        <f>MONTH(List34[[#This Row],[Tanggal Pengajuan]])</f>
        <v>4</v>
      </c>
      <c r="N294" s="183">
        <v>44748</v>
      </c>
      <c r="O294" s="105" t="s">
        <v>1116</v>
      </c>
      <c r="P294" s="111"/>
      <c r="Q294" s="230" t="s">
        <v>958</v>
      </c>
      <c r="S294" s="275">
        <f>+List34[[#This Row],[Pengajuan Donasi]]-List34[[#This Row],[Jumlah Transfer]]</f>
        <v>0</v>
      </c>
      <c r="T294" s="275"/>
    </row>
    <row r="295" spans="1:20" s="4" customFormat="1" ht="30" customHeight="1" x14ac:dyDescent="0.2">
      <c r="A295" s="102">
        <v>44746</v>
      </c>
      <c r="B295" s="67"/>
      <c r="C295" s="103" t="s">
        <v>925</v>
      </c>
      <c r="D295" s="14" t="s">
        <v>26</v>
      </c>
      <c r="E295" s="14" t="s">
        <v>18</v>
      </c>
      <c r="F295" s="471">
        <v>1</v>
      </c>
      <c r="G295" s="258">
        <v>500000</v>
      </c>
      <c r="H295" s="258">
        <f>List34[[#This Row],[Pengajuan Donasi]]</f>
        <v>500000</v>
      </c>
      <c r="I295" s="213" t="str">
        <f>IF(List34[[#This Row],[Tanggal Trf]]&gt;0,"Done","-")</f>
        <v>Done</v>
      </c>
      <c r="J295" s="437" t="s">
        <v>1168</v>
      </c>
      <c r="K295" s="484">
        <v>44764</v>
      </c>
      <c r="L295" s="100" t="s">
        <v>1014</v>
      </c>
      <c r="M295" s="100">
        <f>MONTH(List34[[#This Row],[Tanggal Pengajuan]])</f>
        <v>4</v>
      </c>
      <c r="N295" s="183"/>
      <c r="O295" s="105" t="s">
        <v>1180</v>
      </c>
      <c r="P295" s="111"/>
      <c r="Q295" s="230" t="s">
        <v>958</v>
      </c>
      <c r="S295" s="275">
        <f>+List34[[#This Row],[Pengajuan Donasi]]-List34[[#This Row],[Jumlah Transfer]]</f>
        <v>0</v>
      </c>
      <c r="T295" s="275"/>
    </row>
    <row r="296" spans="1:20" s="4" customFormat="1" ht="30" customHeight="1" x14ac:dyDescent="0.2">
      <c r="A296" s="102">
        <v>44775</v>
      </c>
      <c r="B296" s="67"/>
      <c r="C296" s="103" t="s">
        <v>925</v>
      </c>
      <c r="D296" s="14" t="s">
        <v>26</v>
      </c>
      <c r="E296" s="14" t="s">
        <v>18</v>
      </c>
      <c r="F296" s="471">
        <v>1</v>
      </c>
      <c r="G296" s="258">
        <v>500000</v>
      </c>
      <c r="H296" s="258">
        <f>List34[[#This Row],[Pengajuan Donasi]]</f>
        <v>2520000</v>
      </c>
      <c r="I296" s="213" t="str">
        <f>IF(List34[[#This Row],[Tanggal Trf]]&gt;0,"Done","-")</f>
        <v>Done</v>
      </c>
      <c r="J296" s="437" t="s">
        <v>1211</v>
      </c>
      <c r="K296" s="484">
        <v>44799</v>
      </c>
      <c r="L296" s="100" t="s">
        <v>1014</v>
      </c>
      <c r="M296" s="100">
        <f>MONTH(List34[[#This Row],[Tanggal Pengajuan]])</f>
        <v>4</v>
      </c>
      <c r="N296" s="183"/>
      <c r="O296" s="105" t="s">
        <v>1223</v>
      </c>
      <c r="P296" s="111"/>
      <c r="Q296" s="230" t="s">
        <v>958</v>
      </c>
      <c r="S296" s="275">
        <f>+List34[[#This Row],[Pengajuan Donasi]]-List34[[#This Row],[Jumlah Transfer]]</f>
        <v>0</v>
      </c>
      <c r="T296" s="275"/>
    </row>
    <row r="297" spans="1:20" s="4" customFormat="1" ht="30" customHeight="1" x14ac:dyDescent="0.2">
      <c r="A297" s="102">
        <v>44587</v>
      </c>
      <c r="B297" s="594"/>
      <c r="C297" s="103" t="s">
        <v>930</v>
      </c>
      <c r="D297" s="14" t="s">
        <v>26</v>
      </c>
      <c r="E297" s="14" t="s">
        <v>18</v>
      </c>
      <c r="F297" s="15">
        <v>1</v>
      </c>
      <c r="G297" s="258">
        <v>500000</v>
      </c>
      <c r="H297" s="258">
        <f>List34[[#This Row],[Pengajuan Donasi]]</f>
        <v>20000000</v>
      </c>
      <c r="I297" s="213" t="str">
        <f>IF(List34[[#This Row],[Tanggal Trf]]&gt;0,"Done","-")</f>
        <v>Done</v>
      </c>
      <c r="J297" s="608"/>
      <c r="K297" s="221">
        <v>44588</v>
      </c>
      <c r="L297" s="100" t="s">
        <v>903</v>
      </c>
      <c r="M297" s="200">
        <f>MONTH(List34[[#This Row],[Tanggal Pengajuan]])</f>
        <v>4</v>
      </c>
      <c r="N297" s="201"/>
      <c r="O297" s="105" t="s">
        <v>651</v>
      </c>
      <c r="P297" s="111"/>
      <c r="Q297" s="230" t="s">
        <v>958</v>
      </c>
      <c r="S297" s="275">
        <f>+List34[[#This Row],[Pengajuan Donasi]]-List34[[#This Row],[Jumlah Transfer]]</f>
        <v>0</v>
      </c>
      <c r="T297" s="275"/>
    </row>
    <row r="298" spans="1:20" s="4" customFormat="1" ht="30" customHeight="1" x14ac:dyDescent="0.2">
      <c r="A298" s="102">
        <v>44607</v>
      </c>
      <c r="B298" s="67"/>
      <c r="C298" s="103" t="s">
        <v>930</v>
      </c>
      <c r="D298" s="14" t="s">
        <v>26</v>
      </c>
      <c r="E298" s="14" t="s">
        <v>18</v>
      </c>
      <c r="F298" s="15">
        <v>1</v>
      </c>
      <c r="G298" s="258">
        <v>500000</v>
      </c>
      <c r="H298" s="258">
        <f>List34[[#This Row],[Pengajuan Donasi]]</f>
        <v>10000000</v>
      </c>
      <c r="I298" s="213" t="str">
        <f>IF(List34[[#This Row],[Tanggal Trf]]&gt;0,"Done","-")</f>
        <v>Done</v>
      </c>
      <c r="J298" s="437"/>
      <c r="K298" s="221">
        <v>44612</v>
      </c>
      <c r="L298" s="100" t="s">
        <v>903</v>
      </c>
      <c r="M298" s="100">
        <f>MONTH(List34[[#This Row],[Tanggal Pengajuan]])</f>
        <v>4</v>
      </c>
      <c r="N298" s="183"/>
      <c r="O298" s="105"/>
      <c r="P298" s="111"/>
      <c r="Q298" s="230" t="s">
        <v>958</v>
      </c>
      <c r="S298" s="275">
        <f>+List34[[#This Row],[Pengajuan Donasi]]-List34[[#This Row],[Jumlah Transfer]]</f>
        <v>0</v>
      </c>
      <c r="T298" s="275"/>
    </row>
    <row r="299" spans="1:20" s="4" customFormat="1" ht="30" customHeight="1" x14ac:dyDescent="0.2">
      <c r="A299" s="102">
        <v>44624</v>
      </c>
      <c r="B299" s="67"/>
      <c r="C299" s="103" t="s">
        <v>930</v>
      </c>
      <c r="D299" s="14" t="s">
        <v>26</v>
      </c>
      <c r="E299" s="14" t="s">
        <v>18</v>
      </c>
      <c r="F299" s="15">
        <v>1</v>
      </c>
      <c r="G299" s="258">
        <v>500000</v>
      </c>
      <c r="H299" s="258">
        <f>List34[[#This Row],[Pengajuan Donasi]]</f>
        <v>5036300</v>
      </c>
      <c r="I299" s="213" t="str">
        <f>IF(List34[[#This Row],[Tanggal Trf]]&gt;0,"Done","-")</f>
        <v>Done</v>
      </c>
      <c r="J299" s="437"/>
      <c r="K299" s="221">
        <v>44630</v>
      </c>
      <c r="L299" s="100" t="s">
        <v>903</v>
      </c>
      <c r="M299" s="100">
        <f>MONTH(List34[[#This Row],[Tanggal Pengajuan]])</f>
        <v>4</v>
      </c>
      <c r="N299" s="183"/>
      <c r="O299" s="105" t="s">
        <v>746</v>
      </c>
      <c r="P299" s="111"/>
      <c r="Q299" s="230" t="s">
        <v>958</v>
      </c>
      <c r="S299" s="275">
        <f>+List34[[#This Row],[Pengajuan Donasi]]-List34[[#This Row],[Jumlah Transfer]]</f>
        <v>-27000</v>
      </c>
      <c r="T299" s="275"/>
    </row>
    <row r="300" spans="1:20" s="4" customFormat="1" ht="30" customHeight="1" x14ac:dyDescent="0.2">
      <c r="A300" s="102">
        <v>44658</v>
      </c>
      <c r="B300" s="594"/>
      <c r="C300" s="103" t="s">
        <v>930</v>
      </c>
      <c r="D300" s="14" t="s">
        <v>26</v>
      </c>
      <c r="E300" s="14" t="s">
        <v>18</v>
      </c>
      <c r="F300" s="15">
        <v>1</v>
      </c>
      <c r="G300" s="258">
        <v>500000</v>
      </c>
      <c r="H300" s="258">
        <f>List34[[#This Row],[Pengajuan Donasi]]</f>
        <v>11875000</v>
      </c>
      <c r="I300" s="213" t="str">
        <f>IF(List34[[#This Row],[Tanggal Trf]]&gt;0,"Done","-")</f>
        <v>Done</v>
      </c>
      <c r="J300" s="437"/>
      <c r="K300" s="221">
        <v>44675</v>
      </c>
      <c r="L300" s="100" t="s">
        <v>903</v>
      </c>
      <c r="M300" s="200">
        <f>MONTH(List34[[#This Row],[Tanggal Pengajuan]])</f>
        <v>4</v>
      </c>
      <c r="N300" s="183">
        <v>44676</v>
      </c>
      <c r="O300" s="105" t="s">
        <v>795</v>
      </c>
      <c r="P300" s="111"/>
      <c r="Q300" s="230" t="s">
        <v>958</v>
      </c>
      <c r="S300" s="275">
        <f>+List34[[#This Row],[Pengajuan Donasi]]-List34[[#This Row],[Jumlah Transfer]]</f>
        <v>0</v>
      </c>
      <c r="T300" s="275"/>
    </row>
    <row r="301" spans="1:20" s="4" customFormat="1" ht="30" customHeight="1" x14ac:dyDescent="0.2">
      <c r="A301" s="102">
        <v>44687</v>
      </c>
      <c r="B301" s="163"/>
      <c r="C301" s="168" t="s">
        <v>930</v>
      </c>
      <c r="D301" s="164" t="s">
        <v>26</v>
      </c>
      <c r="E301" s="164" t="s">
        <v>18</v>
      </c>
      <c r="F301" s="178">
        <v>0</v>
      </c>
      <c r="G301" s="261">
        <v>0</v>
      </c>
      <c r="H301" s="261">
        <f>List34[[#This Row],[Pengajuan Donasi]]</f>
        <v>1200000</v>
      </c>
      <c r="I301" s="253" t="str">
        <f>IF(List34[[#This Row],[Tanggal Trf]]&gt;0,"Done","-")</f>
        <v>Done</v>
      </c>
      <c r="J301" s="439" t="s">
        <v>1013</v>
      </c>
      <c r="K301" s="222"/>
      <c r="L301" s="193" t="s">
        <v>903</v>
      </c>
      <c r="M301" s="255">
        <f>MONTH(List34[[#This Row],[Tanggal Pengajuan]])</f>
        <v>4</v>
      </c>
      <c r="N301" s="222" t="s">
        <v>960</v>
      </c>
      <c r="O301" s="166" t="s">
        <v>1221</v>
      </c>
      <c r="P301" s="111"/>
      <c r="Q301" s="230" t="s">
        <v>958</v>
      </c>
      <c r="S301" s="275">
        <f>+List34[[#This Row],[Pengajuan Donasi]]-List34[[#This Row],[Jumlah Transfer]]</f>
        <v>0</v>
      </c>
      <c r="T301" s="275"/>
    </row>
    <row r="302" spans="1:20" s="4" customFormat="1" ht="30" customHeight="1" x14ac:dyDescent="0.2">
      <c r="A302" s="102">
        <v>44704</v>
      </c>
      <c r="B302" s="67"/>
      <c r="C302" s="103" t="s">
        <v>930</v>
      </c>
      <c r="D302" s="14" t="s">
        <v>26</v>
      </c>
      <c r="E302" s="14" t="s">
        <v>18</v>
      </c>
      <c r="F302" s="15">
        <v>1</v>
      </c>
      <c r="G302" s="258">
        <v>500000</v>
      </c>
      <c r="H302" s="258">
        <f>List34[[#This Row],[Pengajuan Donasi]]</f>
        <v>7950000</v>
      </c>
      <c r="I302" s="213" t="str">
        <f>IF(List34[[#This Row],[Tanggal Trf]]&gt;0,"Done","-")</f>
        <v>Done</v>
      </c>
      <c r="J302" s="437"/>
      <c r="K302" s="221">
        <v>44712</v>
      </c>
      <c r="L302" s="100" t="s">
        <v>903</v>
      </c>
      <c r="M302" s="200">
        <f>MONTH(List34[[#This Row],[Tanggal Pengajuan]])</f>
        <v>4</v>
      </c>
      <c r="N302" s="183">
        <v>44698</v>
      </c>
      <c r="O302" s="105" t="s">
        <v>932</v>
      </c>
      <c r="P302" s="111"/>
      <c r="Q302" s="230" t="s">
        <v>958</v>
      </c>
      <c r="S302" s="275">
        <f>+List34[[#This Row],[Pengajuan Donasi]]-List34[[#This Row],[Jumlah Transfer]]</f>
        <v>0</v>
      </c>
      <c r="T302" s="275"/>
    </row>
    <row r="303" spans="1:20" s="4" customFormat="1" ht="30" customHeight="1" x14ac:dyDescent="0.2">
      <c r="A303" s="102">
        <v>44715</v>
      </c>
      <c r="B303" s="67"/>
      <c r="C303" s="103" t="s">
        <v>930</v>
      </c>
      <c r="D303" s="14" t="s">
        <v>26</v>
      </c>
      <c r="E303" s="14" t="s">
        <v>18</v>
      </c>
      <c r="F303" s="15">
        <v>1</v>
      </c>
      <c r="G303" s="258">
        <v>500000</v>
      </c>
      <c r="H303" s="258">
        <f>List34[[#This Row],[Pengajuan Donasi]]</f>
        <v>18700000</v>
      </c>
      <c r="I303" s="213" t="str">
        <f>IF(List34[[#This Row],[Tanggal Trf]]&gt;0,"Done","-")</f>
        <v>Done</v>
      </c>
      <c r="J303" s="437"/>
      <c r="K303" s="221">
        <v>44814</v>
      </c>
      <c r="L303" s="100" t="s">
        <v>903</v>
      </c>
      <c r="M303" s="100">
        <f>MONTH(List34[[#This Row],[Tanggal Pengajuan]])</f>
        <v>4</v>
      </c>
      <c r="N303" s="183">
        <v>44748</v>
      </c>
      <c r="O303" s="105" t="s">
        <v>1116</v>
      </c>
      <c r="P303" s="111"/>
      <c r="Q303" s="230" t="s">
        <v>958</v>
      </c>
      <c r="S303" s="275">
        <f>+List34[[#This Row],[Pengajuan Donasi]]-List34[[#This Row],[Jumlah Transfer]]</f>
        <v>0</v>
      </c>
      <c r="T303" s="275"/>
    </row>
    <row r="304" spans="1:20" s="4" customFormat="1" ht="30" customHeight="1" x14ac:dyDescent="0.2">
      <c r="A304" s="102">
        <v>44746</v>
      </c>
      <c r="B304" s="66"/>
      <c r="C304" s="103" t="s">
        <v>930</v>
      </c>
      <c r="D304" s="14" t="s">
        <v>26</v>
      </c>
      <c r="E304" s="14" t="s">
        <v>18</v>
      </c>
      <c r="F304" s="471">
        <v>1</v>
      </c>
      <c r="G304" s="258">
        <v>500000</v>
      </c>
      <c r="H304" s="258">
        <f>List34[[#This Row],[Pengajuan Donasi]]</f>
        <v>3325000</v>
      </c>
      <c r="I304" s="213" t="str">
        <f>IF(List34[[#This Row],[Tanggal Trf]]&gt;0,"Done","-")</f>
        <v>Done</v>
      </c>
      <c r="J304" s="437" t="s">
        <v>1168</v>
      </c>
      <c r="K304" s="484">
        <v>44764</v>
      </c>
      <c r="L304" s="100" t="s">
        <v>903</v>
      </c>
      <c r="M304" s="100">
        <f>MONTH(List34[[#This Row],[Tanggal Pengajuan]])</f>
        <v>4</v>
      </c>
      <c r="N304" s="183"/>
      <c r="O304" s="105" t="s">
        <v>1180</v>
      </c>
      <c r="P304" s="202"/>
      <c r="Q304" s="230" t="s">
        <v>958</v>
      </c>
      <c r="S304" s="275">
        <f>+List34[[#This Row],[Pengajuan Donasi]]-List34[[#This Row],[Jumlah Transfer]]</f>
        <v>0</v>
      </c>
      <c r="T304" s="275"/>
    </row>
    <row r="305" spans="1:20" s="4" customFormat="1" ht="30" customHeight="1" x14ac:dyDescent="0.2">
      <c r="A305" s="102">
        <v>44775</v>
      </c>
      <c r="B305" s="66"/>
      <c r="C305" s="103" t="s">
        <v>930</v>
      </c>
      <c r="D305" s="14" t="s">
        <v>26</v>
      </c>
      <c r="E305" s="14" t="s">
        <v>18</v>
      </c>
      <c r="F305" s="471">
        <v>1</v>
      </c>
      <c r="G305" s="258">
        <v>500000</v>
      </c>
      <c r="H305" s="258">
        <f>List34[[#This Row],[Pengajuan Donasi]]</f>
        <v>2400000</v>
      </c>
      <c r="I305" s="213" t="str">
        <f>IF(List34[[#This Row],[Tanggal Trf]]&gt;0,"Done","-")</f>
        <v>Done</v>
      </c>
      <c r="J305" s="437" t="s">
        <v>1211</v>
      </c>
      <c r="K305" s="484">
        <v>44799</v>
      </c>
      <c r="L305" s="100" t="s">
        <v>903</v>
      </c>
      <c r="M305" s="100">
        <f>MONTH(List34[[#This Row],[Tanggal Pengajuan]])</f>
        <v>4</v>
      </c>
      <c r="N305" s="183"/>
      <c r="O305" s="105" t="s">
        <v>1223</v>
      </c>
      <c r="P305" s="202"/>
      <c r="Q305" s="230" t="s">
        <v>958</v>
      </c>
      <c r="S305" s="275">
        <f>+List34[[#This Row],[Pengajuan Donasi]]-List34[[#This Row],[Jumlah Transfer]]</f>
        <v>0</v>
      </c>
      <c r="T305" s="275"/>
    </row>
    <row r="306" spans="1:20" s="4" customFormat="1" ht="30" customHeight="1" x14ac:dyDescent="0.2">
      <c r="A306" s="102">
        <v>44587</v>
      </c>
      <c r="B306" s="199"/>
      <c r="C306" s="103" t="s">
        <v>928</v>
      </c>
      <c r="D306" s="14" t="s">
        <v>26</v>
      </c>
      <c r="E306" s="14" t="s">
        <v>18</v>
      </c>
      <c r="F306" s="15">
        <v>1</v>
      </c>
      <c r="G306" s="258">
        <v>500000</v>
      </c>
      <c r="H306" s="258">
        <f>List34[[#This Row],[Pengajuan Donasi]]</f>
        <v>8500000</v>
      </c>
      <c r="I306" s="213" t="str">
        <f>IF(List34[[#This Row],[Tanggal Trf]]&gt;0,"Done","-")</f>
        <v>Done</v>
      </c>
      <c r="J306" s="608"/>
      <c r="K306" s="221">
        <v>44588</v>
      </c>
      <c r="L306" s="100" t="s">
        <v>1014</v>
      </c>
      <c r="M306" s="200">
        <f>MONTH(List34[[#This Row],[Tanggal Pengajuan]])</f>
        <v>4</v>
      </c>
      <c r="N306" s="201"/>
      <c r="O306" s="105" t="s">
        <v>651</v>
      </c>
      <c r="P306" s="202"/>
      <c r="Q306" s="230" t="s">
        <v>958</v>
      </c>
      <c r="S306" s="275">
        <f>+List34[[#This Row],[Pengajuan Donasi]]-List34[[#This Row],[Jumlah Transfer]]</f>
        <v>0</v>
      </c>
      <c r="T306" s="275"/>
    </row>
    <row r="307" spans="1:20" s="4" customFormat="1" ht="30" customHeight="1" x14ac:dyDescent="0.2">
      <c r="A307" s="102">
        <v>44607</v>
      </c>
      <c r="B307" s="67"/>
      <c r="C307" s="14" t="s">
        <v>928</v>
      </c>
      <c r="D307" s="14" t="s">
        <v>26</v>
      </c>
      <c r="E307" s="14" t="s">
        <v>18</v>
      </c>
      <c r="F307" s="15">
        <v>1</v>
      </c>
      <c r="G307" s="258">
        <v>500000</v>
      </c>
      <c r="H307" s="258">
        <f>List34[[#This Row],[Pengajuan Donasi]]</f>
        <v>5500000</v>
      </c>
      <c r="I307" s="213" t="str">
        <f>IF(List34[[#This Row],[Tanggal Trf]]&gt;0,"Done","-")</f>
        <v>Done</v>
      </c>
      <c r="J307" s="437"/>
      <c r="K307" s="221">
        <v>44612</v>
      </c>
      <c r="L307" s="14" t="s">
        <v>1014</v>
      </c>
      <c r="M307" s="100">
        <f>MONTH(List34[[#This Row],[Tanggal Pengajuan]])</f>
        <v>4</v>
      </c>
      <c r="N307" s="183"/>
      <c r="O307" s="105"/>
      <c r="P307" s="111"/>
      <c r="Q307" s="230" t="s">
        <v>958</v>
      </c>
      <c r="S307" s="275">
        <f>+List34[[#This Row],[Pengajuan Donasi]]-List34[[#This Row],[Jumlah Transfer]]</f>
        <v>0</v>
      </c>
      <c r="T307" s="275"/>
    </row>
    <row r="308" spans="1:20" s="4" customFormat="1" ht="30" customHeight="1" x14ac:dyDescent="0.2">
      <c r="A308" s="102">
        <v>44624</v>
      </c>
      <c r="B308" s="67"/>
      <c r="C308" s="103" t="s">
        <v>928</v>
      </c>
      <c r="D308" s="14" t="s">
        <v>26</v>
      </c>
      <c r="E308" s="14" t="s">
        <v>18</v>
      </c>
      <c r="F308" s="15">
        <v>1</v>
      </c>
      <c r="G308" s="258">
        <v>500000</v>
      </c>
      <c r="H308" s="258">
        <f>List34[[#This Row],[Pengajuan Donasi]]</f>
        <v>5500000</v>
      </c>
      <c r="I308" s="213" t="str">
        <f>IF(List34[[#This Row],[Tanggal Trf]]&gt;0,"Done","-")</f>
        <v>Done</v>
      </c>
      <c r="J308" s="437"/>
      <c r="K308" s="221">
        <v>44630</v>
      </c>
      <c r="L308" s="100" t="s">
        <v>1014</v>
      </c>
      <c r="M308" s="100">
        <f>MONTH(List34[[#This Row],[Tanggal Pengajuan]])</f>
        <v>4</v>
      </c>
      <c r="N308" s="183"/>
      <c r="O308" s="105" t="s">
        <v>746</v>
      </c>
      <c r="P308" s="111"/>
      <c r="Q308" s="230" t="s">
        <v>958</v>
      </c>
      <c r="S308" s="275">
        <f>+List34[[#This Row],[Pengajuan Donasi]]-List34[[#This Row],[Jumlah Transfer]]</f>
        <v>0</v>
      </c>
      <c r="T308" s="275"/>
    </row>
    <row r="309" spans="1:20" s="4" customFormat="1" ht="30" customHeight="1" x14ac:dyDescent="0.2">
      <c r="A309" s="102">
        <v>44658</v>
      </c>
      <c r="B309" s="594"/>
      <c r="C309" s="103" t="s">
        <v>928</v>
      </c>
      <c r="D309" s="14" t="s">
        <v>26</v>
      </c>
      <c r="E309" s="14" t="s">
        <v>18</v>
      </c>
      <c r="F309" s="15">
        <v>1</v>
      </c>
      <c r="G309" s="258">
        <v>500000</v>
      </c>
      <c r="H309" s="258">
        <f>List34[[#This Row],[Pengajuan Donasi]]</f>
        <v>3540000</v>
      </c>
      <c r="I309" s="213" t="str">
        <f>IF(List34[[#This Row],[Tanggal Trf]]&gt;0,"Done","-")</f>
        <v>Done</v>
      </c>
      <c r="J309" s="437"/>
      <c r="K309" s="221">
        <v>44673</v>
      </c>
      <c r="L309" s="105" t="s">
        <v>1014</v>
      </c>
      <c r="M309" s="200">
        <f>MONTH(List34[[#This Row],[Tanggal Pengajuan]])</f>
        <v>4</v>
      </c>
      <c r="N309" s="183">
        <v>44676</v>
      </c>
      <c r="O309" s="100" t="s">
        <v>795</v>
      </c>
      <c r="P309" s="111"/>
      <c r="Q309" s="230" t="s">
        <v>958</v>
      </c>
      <c r="S309" s="275">
        <f>+List34[[#This Row],[Pengajuan Donasi]]-List34[[#This Row],[Jumlah Transfer]]</f>
        <v>0</v>
      </c>
      <c r="T309" s="275"/>
    </row>
    <row r="310" spans="1:20" s="4" customFormat="1" ht="30" customHeight="1" x14ac:dyDescent="0.2">
      <c r="A310" s="102">
        <v>44687</v>
      </c>
      <c r="B310" s="163"/>
      <c r="C310" s="164" t="s">
        <v>928</v>
      </c>
      <c r="D310" s="168" t="s">
        <v>26</v>
      </c>
      <c r="E310" s="168" t="s">
        <v>18</v>
      </c>
      <c r="F310" s="178">
        <v>0</v>
      </c>
      <c r="G310" s="261">
        <v>0</v>
      </c>
      <c r="H310" s="261">
        <f>List34[[#This Row],[Pengajuan Donasi]]</f>
        <v>3280000</v>
      </c>
      <c r="I310" s="253" t="str">
        <f>IF(List34[[#This Row],[Tanggal Trf]]&gt;0,"Done","-")</f>
        <v>Done</v>
      </c>
      <c r="J310" s="439" t="s">
        <v>1013</v>
      </c>
      <c r="K310" s="222"/>
      <c r="L310" s="193" t="s">
        <v>1014</v>
      </c>
      <c r="M310" s="255">
        <f>MONTH(List34[[#This Row],[Tanggal Pengajuan]])</f>
        <v>4</v>
      </c>
      <c r="N310" s="222" t="s">
        <v>960</v>
      </c>
      <c r="O310" s="166" t="s">
        <v>1221</v>
      </c>
      <c r="P310" s="111"/>
      <c r="Q310" s="230" t="s">
        <v>958</v>
      </c>
      <c r="S310" s="275">
        <f>+List34[[#This Row],[Pengajuan Donasi]]-List34[[#This Row],[Jumlah Transfer]]</f>
        <v>0</v>
      </c>
      <c r="T310" s="275"/>
    </row>
    <row r="311" spans="1:20" s="4" customFormat="1" ht="30" customHeight="1" x14ac:dyDescent="0.2">
      <c r="A311" s="102">
        <v>44704</v>
      </c>
      <c r="B311" s="163"/>
      <c r="C311" s="14" t="s">
        <v>928</v>
      </c>
      <c r="D311" s="103" t="s">
        <v>26</v>
      </c>
      <c r="E311" s="103" t="s">
        <v>18</v>
      </c>
      <c r="F311" s="15">
        <v>1</v>
      </c>
      <c r="G311" s="258">
        <v>500000</v>
      </c>
      <c r="H311" s="258">
        <f>List34[[#This Row],[Pengajuan Donasi]]</f>
        <v>0</v>
      </c>
      <c r="I311" s="213" t="str">
        <f>IF(List34[[#This Row],[Tanggal Trf]]&gt;0,"Done","-")</f>
        <v>Done</v>
      </c>
      <c r="J311" s="437"/>
      <c r="K311" s="221">
        <v>44712</v>
      </c>
      <c r="L311" s="421" t="s">
        <v>1014</v>
      </c>
      <c r="M311" s="200">
        <f>MONTH(List34[[#This Row],[Tanggal Pengajuan]])</f>
        <v>4</v>
      </c>
      <c r="N311" s="183">
        <v>44698</v>
      </c>
      <c r="O311" s="105" t="s">
        <v>932</v>
      </c>
      <c r="P311" s="111"/>
      <c r="Q311" s="230" t="s">
        <v>958</v>
      </c>
      <c r="S311" s="275">
        <f>+List34[[#This Row],[Pengajuan Donasi]]-List34[[#This Row],[Jumlah Transfer]]</f>
        <v>0</v>
      </c>
      <c r="T311" s="275"/>
    </row>
    <row r="312" spans="1:20" s="4" customFormat="1" ht="30" customHeight="1" x14ac:dyDescent="0.2">
      <c r="A312" s="102">
        <v>44715</v>
      </c>
      <c r="B312" s="67"/>
      <c r="C312" s="14" t="s">
        <v>928</v>
      </c>
      <c r="D312" s="103" t="s">
        <v>26</v>
      </c>
      <c r="E312" s="103" t="s">
        <v>18</v>
      </c>
      <c r="F312" s="15">
        <v>1</v>
      </c>
      <c r="G312" s="258">
        <v>500000</v>
      </c>
      <c r="H312" s="258">
        <f>List34[[#This Row],[Pengajuan Donasi]]</f>
        <v>0</v>
      </c>
      <c r="I312" s="213" t="str">
        <f>IF(List34[[#This Row],[Tanggal Trf]]&gt;0,"Done","-")</f>
        <v>Done</v>
      </c>
      <c r="J312" s="437"/>
      <c r="K312" s="221">
        <v>44814</v>
      </c>
      <c r="L312" s="421" t="s">
        <v>1014</v>
      </c>
      <c r="M312" s="100">
        <f>MONTH(List34[[#This Row],[Tanggal Pengajuan]])</f>
        <v>4</v>
      </c>
      <c r="N312" s="183">
        <v>44748</v>
      </c>
      <c r="O312" s="105" t="s">
        <v>1116</v>
      </c>
      <c r="P312" s="111"/>
      <c r="Q312" s="230" t="s">
        <v>958</v>
      </c>
      <c r="S312" s="275">
        <f>+List34[[#This Row],[Pengajuan Donasi]]-List34[[#This Row],[Jumlah Transfer]]</f>
        <v>0</v>
      </c>
      <c r="T312" s="275"/>
    </row>
    <row r="313" spans="1:20" s="4" customFormat="1" ht="30" customHeight="1" x14ac:dyDescent="0.2">
      <c r="A313" s="102">
        <v>44746</v>
      </c>
      <c r="B313" s="67"/>
      <c r="C313" s="14" t="s">
        <v>928</v>
      </c>
      <c r="D313" s="103" t="s">
        <v>26</v>
      </c>
      <c r="E313" s="103" t="s">
        <v>18</v>
      </c>
      <c r="F313" s="471">
        <v>1</v>
      </c>
      <c r="G313" s="258">
        <v>500000</v>
      </c>
      <c r="H313" s="258">
        <f>List34[[#This Row],[Pengajuan Donasi]]</f>
        <v>450000</v>
      </c>
      <c r="I313" s="213" t="str">
        <f>IF(List34[[#This Row],[Tanggal Trf]]&gt;0,"Done","-")</f>
        <v>Done</v>
      </c>
      <c r="J313" s="437" t="s">
        <v>1168</v>
      </c>
      <c r="K313" s="484">
        <v>44764</v>
      </c>
      <c r="L313" s="100" t="s">
        <v>1014</v>
      </c>
      <c r="M313" s="100">
        <f>MONTH(List34[[#This Row],[Tanggal Pengajuan]])</f>
        <v>4</v>
      </c>
      <c r="N313" s="183"/>
      <c r="O313" s="105" t="s">
        <v>1180</v>
      </c>
      <c r="P313" s="111"/>
      <c r="Q313" s="230" t="s">
        <v>958</v>
      </c>
      <c r="S313" s="275">
        <f>+List34[[#This Row],[Pengajuan Donasi]]-List34[[#This Row],[Jumlah Transfer]]</f>
        <v>0</v>
      </c>
      <c r="T313" s="275"/>
    </row>
    <row r="314" spans="1:20" s="4" customFormat="1" ht="30" customHeight="1" x14ac:dyDescent="0.2">
      <c r="A314" s="102">
        <v>44775</v>
      </c>
      <c r="B314" s="67"/>
      <c r="C314" s="14" t="s">
        <v>928</v>
      </c>
      <c r="D314" s="103" t="s">
        <v>26</v>
      </c>
      <c r="E314" s="103" t="s">
        <v>18</v>
      </c>
      <c r="F314" s="471">
        <v>1</v>
      </c>
      <c r="G314" s="267">
        <v>500000</v>
      </c>
      <c r="H314" s="258">
        <f>List34[[#This Row],[Pengajuan Donasi]]</f>
        <v>1550000</v>
      </c>
      <c r="I314" s="213" t="str">
        <f>IF(List34[[#This Row],[Tanggal Trf]]&gt;0,"Done","-")</f>
        <v>Done</v>
      </c>
      <c r="J314" s="437" t="s">
        <v>1211</v>
      </c>
      <c r="K314" s="484">
        <v>44799</v>
      </c>
      <c r="L314" s="100" t="s">
        <v>1014</v>
      </c>
      <c r="M314" s="100">
        <f>MONTH(List34[[#This Row],[Tanggal Pengajuan]])</f>
        <v>4</v>
      </c>
      <c r="N314" s="183"/>
      <c r="O314" s="105" t="s">
        <v>1223</v>
      </c>
      <c r="P314" s="111"/>
      <c r="Q314" s="230" t="s">
        <v>958</v>
      </c>
      <c r="S314" s="275">
        <f>+List34[[#This Row],[Pengajuan Donasi]]-List34[[#This Row],[Jumlah Transfer]]</f>
        <v>0</v>
      </c>
      <c r="T314" s="275"/>
    </row>
    <row r="315" spans="1:20" s="4" customFormat="1" ht="30" customHeight="1" x14ac:dyDescent="0.2">
      <c r="A315" s="102">
        <v>44587</v>
      </c>
      <c r="B315" s="67"/>
      <c r="C315" s="14" t="s">
        <v>929</v>
      </c>
      <c r="D315" s="103" t="s">
        <v>26</v>
      </c>
      <c r="E315" s="103" t="s">
        <v>18</v>
      </c>
      <c r="F315" s="15">
        <v>1</v>
      </c>
      <c r="G315" s="258">
        <v>500000</v>
      </c>
      <c r="H315" s="258">
        <f>List34[[#This Row],[Pengajuan Donasi]]</f>
        <v>60939000</v>
      </c>
      <c r="I315" s="213" t="str">
        <f>IF(List34[[#This Row],[Tanggal Trf]]&gt;0,"Done","-")</f>
        <v>Done</v>
      </c>
      <c r="J315" s="437"/>
      <c r="K315" s="221">
        <v>44588</v>
      </c>
      <c r="L315" s="100" t="s">
        <v>902</v>
      </c>
      <c r="M315" s="100">
        <f>MONTH(List34[[#This Row],[Tanggal Pengajuan]])</f>
        <v>4</v>
      </c>
      <c r="N315" s="183"/>
      <c r="O315" s="105" t="s">
        <v>651</v>
      </c>
      <c r="P315" s="111"/>
      <c r="Q315" s="230" t="s">
        <v>958</v>
      </c>
      <c r="S315" s="275">
        <f>+List34[[#This Row],[Pengajuan Donasi]]-List34[[#This Row],[Jumlah Transfer]]</f>
        <v>0</v>
      </c>
      <c r="T315" s="275"/>
    </row>
    <row r="316" spans="1:20" s="4" customFormat="1" ht="30" customHeight="1" x14ac:dyDescent="0.2">
      <c r="A316" s="102">
        <v>44607</v>
      </c>
      <c r="B316" s="67"/>
      <c r="C316" s="14" t="s">
        <v>929</v>
      </c>
      <c r="D316" s="103" t="s">
        <v>26</v>
      </c>
      <c r="E316" s="103" t="s">
        <v>18</v>
      </c>
      <c r="F316" s="15">
        <v>1</v>
      </c>
      <c r="G316" s="258">
        <v>500000</v>
      </c>
      <c r="H316" s="258">
        <f>List34[[#This Row],[Pengajuan Donasi]]</f>
        <v>6214000</v>
      </c>
      <c r="I316" s="213" t="str">
        <f>IF(List34[[#This Row],[Tanggal Trf]]&gt;0,"Done","-")</f>
        <v>Done</v>
      </c>
      <c r="J316" s="437"/>
      <c r="K316" s="221">
        <v>44612</v>
      </c>
      <c r="L316" s="100" t="s">
        <v>902</v>
      </c>
      <c r="M316" s="100">
        <f>MONTH(List34[[#This Row],[Tanggal Pengajuan]])</f>
        <v>4</v>
      </c>
      <c r="N316" s="183"/>
      <c r="O316" s="100"/>
      <c r="P316" s="111"/>
      <c r="Q316" s="230" t="s">
        <v>958</v>
      </c>
      <c r="S316" s="275">
        <f>+List34[[#This Row],[Pengajuan Donasi]]-List34[[#This Row],[Jumlah Transfer]]</f>
        <v>0</v>
      </c>
      <c r="T316" s="275"/>
    </row>
    <row r="317" spans="1:20" s="4" customFormat="1" ht="30" customHeight="1" x14ac:dyDescent="0.2">
      <c r="A317" s="102">
        <v>44624</v>
      </c>
      <c r="B317" s="67"/>
      <c r="C317" s="14" t="s">
        <v>929</v>
      </c>
      <c r="D317" s="103" t="s">
        <v>26</v>
      </c>
      <c r="E317" s="103" t="s">
        <v>18</v>
      </c>
      <c r="F317" s="15">
        <v>1</v>
      </c>
      <c r="G317" s="258">
        <v>500000</v>
      </c>
      <c r="H317" s="258">
        <f>List34[[#This Row],[Pengajuan Donasi]]</f>
        <v>5595800</v>
      </c>
      <c r="I317" s="213" t="str">
        <f>IF(List34[[#This Row],[Tanggal Trf]]&gt;0,"Done","-")</f>
        <v>Done</v>
      </c>
      <c r="J317" s="437"/>
      <c r="K317" s="221">
        <v>44630</v>
      </c>
      <c r="L317" s="100" t="s">
        <v>902</v>
      </c>
      <c r="M317" s="100">
        <f>MONTH(List34[[#This Row],[Tanggal Pengajuan]])</f>
        <v>4</v>
      </c>
      <c r="N317" s="183"/>
      <c r="O317" s="105" t="s">
        <v>746</v>
      </c>
      <c r="P317" s="111"/>
      <c r="Q317" s="230" t="s">
        <v>958</v>
      </c>
      <c r="S317" s="275">
        <f>+List34[[#This Row],[Pengajuan Donasi]]-List34[[#This Row],[Jumlah Transfer]]</f>
        <v>0</v>
      </c>
      <c r="T317" s="275"/>
    </row>
    <row r="318" spans="1:20" s="4" customFormat="1" ht="30" customHeight="1" x14ac:dyDescent="0.2">
      <c r="A318" s="102">
        <v>44658</v>
      </c>
      <c r="B318" s="199"/>
      <c r="C318" s="14" t="s">
        <v>929</v>
      </c>
      <c r="D318" s="14" t="s">
        <v>26</v>
      </c>
      <c r="E318" s="103" t="s">
        <v>18</v>
      </c>
      <c r="F318" s="15">
        <v>1</v>
      </c>
      <c r="G318" s="258">
        <v>500000</v>
      </c>
      <c r="H318" s="258">
        <f>List34[[#This Row],[Pengajuan Donasi]]</f>
        <v>6146800</v>
      </c>
      <c r="I318" s="213" t="str">
        <f>IF(List34[[#This Row],[Tanggal Trf]]&gt;0,"Done","-")</f>
        <v>Done</v>
      </c>
      <c r="J318" s="445"/>
      <c r="K318" s="221">
        <v>44674</v>
      </c>
      <c r="L318" s="100" t="s">
        <v>902</v>
      </c>
      <c r="M318" s="200">
        <f>MONTH(List34[[#This Row],[Tanggal Pengajuan]])</f>
        <v>4</v>
      </c>
      <c r="N318" s="183">
        <v>44676</v>
      </c>
      <c r="O318" s="100" t="s">
        <v>795</v>
      </c>
      <c r="P318" s="198"/>
      <c r="Q318" s="230" t="s">
        <v>958</v>
      </c>
      <c r="S318" s="275">
        <f>+List34[[#This Row],[Pengajuan Donasi]]-List34[[#This Row],[Jumlah Transfer]]</f>
        <v>0</v>
      </c>
      <c r="T318" s="275"/>
    </row>
    <row r="319" spans="1:20" s="4" customFormat="1" ht="30" customHeight="1" x14ac:dyDescent="0.2">
      <c r="A319" s="102">
        <v>44687</v>
      </c>
      <c r="B319" s="189"/>
      <c r="C319" s="164" t="s">
        <v>929</v>
      </c>
      <c r="D319" s="164" t="s">
        <v>26</v>
      </c>
      <c r="E319" s="168" t="s">
        <v>18</v>
      </c>
      <c r="F319" s="178">
        <v>0</v>
      </c>
      <c r="G319" s="261">
        <v>0</v>
      </c>
      <c r="H319" s="261">
        <f>List34[[#This Row],[Pengajuan Donasi]]</f>
        <v>6285100</v>
      </c>
      <c r="I319" s="253" t="str">
        <f>IF(List34[[#This Row],[Tanggal Trf]]&gt;0,"Done","-")</f>
        <v>Done</v>
      </c>
      <c r="J319" s="447" t="s">
        <v>1013</v>
      </c>
      <c r="K319" s="222"/>
      <c r="L319" s="193" t="s">
        <v>902</v>
      </c>
      <c r="M319" s="255">
        <f>MONTH(List34[[#This Row],[Tanggal Pengajuan]])</f>
        <v>4</v>
      </c>
      <c r="N319" s="222" t="s">
        <v>960</v>
      </c>
      <c r="O319" s="193" t="s">
        <v>1221</v>
      </c>
      <c r="P319" s="198"/>
      <c r="Q319" s="230" t="s">
        <v>958</v>
      </c>
      <c r="S319" s="275">
        <f>+List34[[#This Row],[Pengajuan Donasi]]-List34[[#This Row],[Jumlah Transfer]]</f>
        <v>0</v>
      </c>
      <c r="T319" s="275"/>
    </row>
    <row r="320" spans="1:20" s="4" customFormat="1" ht="30" customHeight="1" x14ac:dyDescent="0.2">
      <c r="A320" s="102">
        <v>44704</v>
      </c>
      <c r="B320" s="67"/>
      <c r="C320" s="103" t="s">
        <v>929</v>
      </c>
      <c r="D320" s="103" t="s">
        <v>26</v>
      </c>
      <c r="E320" s="103" t="s">
        <v>18</v>
      </c>
      <c r="F320" s="15">
        <v>1</v>
      </c>
      <c r="G320" s="258">
        <v>500000</v>
      </c>
      <c r="H320" s="258">
        <f>List34[[#This Row],[Pengajuan Donasi]]</f>
        <v>6165300</v>
      </c>
      <c r="I320" s="213" t="str">
        <f>IF(List34[[#This Row],[Tanggal Trf]]&gt;0,"Done","-")</f>
        <v>Done</v>
      </c>
      <c r="J320" s="437"/>
      <c r="K320" s="221">
        <v>44712</v>
      </c>
      <c r="L320" s="100" t="s">
        <v>902</v>
      </c>
      <c r="M320" s="200">
        <f>MONTH(List34[[#This Row],[Tanggal Pengajuan]])</f>
        <v>4</v>
      </c>
      <c r="N320" s="183">
        <v>44698</v>
      </c>
      <c r="O320" s="105" t="s">
        <v>932</v>
      </c>
      <c r="P320" s="111"/>
      <c r="Q320" s="230" t="s">
        <v>958</v>
      </c>
      <c r="S320" s="275">
        <f>+List34[[#This Row],[Pengajuan Donasi]]-List34[[#This Row],[Jumlah Transfer]]</f>
        <v>0</v>
      </c>
      <c r="T320" s="275"/>
    </row>
    <row r="321" spans="1:20" s="4" customFormat="1" ht="30" customHeight="1" x14ac:dyDescent="0.2">
      <c r="A321" s="102">
        <v>44715</v>
      </c>
      <c r="B321" s="67"/>
      <c r="C321" s="103" t="s">
        <v>929</v>
      </c>
      <c r="D321" s="103" t="s">
        <v>26</v>
      </c>
      <c r="E321" s="103" t="s">
        <v>18</v>
      </c>
      <c r="F321" s="15">
        <v>1</v>
      </c>
      <c r="G321" s="258">
        <v>500000</v>
      </c>
      <c r="H321" s="258">
        <f>List34[[#This Row],[Pengajuan Donasi]]</f>
        <v>6256900</v>
      </c>
      <c r="I321" s="213" t="str">
        <f>IF(List34[[#This Row],[Tanggal Trf]]&gt;0,"Done","-")</f>
        <v>Done</v>
      </c>
      <c r="J321" s="437"/>
      <c r="K321" s="221">
        <v>44814</v>
      </c>
      <c r="L321" s="100" t="s">
        <v>902</v>
      </c>
      <c r="M321" s="100">
        <f>MONTH(List34[[#This Row],[Tanggal Pengajuan]])</f>
        <v>4</v>
      </c>
      <c r="N321" s="183">
        <v>44748</v>
      </c>
      <c r="O321" s="105" t="s">
        <v>1116</v>
      </c>
      <c r="P321" s="111"/>
      <c r="Q321" s="230"/>
      <c r="S321" s="275"/>
      <c r="T321" s="275"/>
    </row>
    <row r="322" spans="1:20" s="4" customFormat="1" ht="30" customHeight="1" x14ac:dyDescent="0.2">
      <c r="A322" s="102">
        <v>44746</v>
      </c>
      <c r="B322" s="67"/>
      <c r="C322" s="103" t="s">
        <v>929</v>
      </c>
      <c r="D322" s="103" t="s">
        <v>26</v>
      </c>
      <c r="E322" s="103" t="s">
        <v>18</v>
      </c>
      <c r="F322" s="471">
        <v>1</v>
      </c>
      <c r="G322" s="258">
        <v>500000</v>
      </c>
      <c r="H322" s="258">
        <f>List34[[#This Row],[Pengajuan Donasi]]</f>
        <v>6224600</v>
      </c>
      <c r="I322" s="213" t="str">
        <f>IF(List34[[#This Row],[Tanggal Trf]]&gt;0,"Done","-")</f>
        <v>Done</v>
      </c>
      <c r="J322" s="437" t="s">
        <v>1168</v>
      </c>
      <c r="K322" s="484">
        <v>44764</v>
      </c>
      <c r="L322" s="100" t="s">
        <v>902</v>
      </c>
      <c r="M322" s="100">
        <f>MONTH(List34[[#This Row],[Tanggal Pengajuan]])</f>
        <v>4</v>
      </c>
      <c r="N322" s="183"/>
      <c r="O322" s="105" t="s">
        <v>1180</v>
      </c>
      <c r="P322" s="111"/>
      <c r="Q322" s="230" t="s">
        <v>960</v>
      </c>
      <c r="S322" s="275">
        <f>+List34[[#This Row],[Pengajuan Donasi]]-List34[[#This Row],[Jumlah Transfer]]</f>
        <v>0</v>
      </c>
      <c r="T322" s="275"/>
    </row>
    <row r="323" spans="1:20" s="4" customFormat="1" ht="30" customHeight="1" x14ac:dyDescent="0.2">
      <c r="A323" s="102">
        <v>44775</v>
      </c>
      <c r="B323" s="67"/>
      <c r="C323" s="103" t="s">
        <v>929</v>
      </c>
      <c r="D323" s="103" t="s">
        <v>26</v>
      </c>
      <c r="E323" s="103" t="s">
        <v>18</v>
      </c>
      <c r="F323" s="471">
        <v>1</v>
      </c>
      <c r="G323" s="258">
        <v>500000</v>
      </c>
      <c r="H323" s="258">
        <f>List34[[#This Row],[Pengajuan Donasi]]</f>
        <v>5752755</v>
      </c>
      <c r="I323" s="213" t="str">
        <f>IF(List34[[#This Row],[Tanggal Trf]]&gt;0,"Done","-")</f>
        <v>Done</v>
      </c>
      <c r="J323" s="437" t="s">
        <v>1211</v>
      </c>
      <c r="K323" s="484">
        <v>44799</v>
      </c>
      <c r="L323" s="100" t="s">
        <v>902</v>
      </c>
      <c r="M323" s="100">
        <f>MONTH(List34[[#This Row],[Tanggal Pengajuan]])</f>
        <v>4</v>
      </c>
      <c r="N323" s="183"/>
      <c r="O323" s="105" t="s">
        <v>1223</v>
      </c>
      <c r="P323" s="111"/>
      <c r="Q323" s="230" t="s">
        <v>960</v>
      </c>
      <c r="S323" s="275">
        <f>+List34[[#This Row],[Pengajuan Donasi]]-List34[[#This Row],[Jumlah Transfer]]</f>
        <v>0</v>
      </c>
      <c r="T323" s="275"/>
    </row>
    <row r="324" spans="1:20" s="4" customFormat="1" ht="30" customHeight="1" x14ac:dyDescent="0.2">
      <c r="A324" s="102">
        <v>44587</v>
      </c>
      <c r="B324" s="67"/>
      <c r="C324" s="103" t="s">
        <v>923</v>
      </c>
      <c r="D324" s="103" t="s">
        <v>26</v>
      </c>
      <c r="E324" s="103" t="s">
        <v>18</v>
      </c>
      <c r="F324" s="15">
        <v>1</v>
      </c>
      <c r="G324" s="258">
        <v>500000</v>
      </c>
      <c r="H324" s="258">
        <f>List34[[#This Row],[Pengajuan Donasi]]</f>
        <v>5756648</v>
      </c>
      <c r="I324" s="213" t="str">
        <f>IF(List34[[#This Row],[Tanggal Trf]]&gt;0,"Done","-")</f>
        <v>Done</v>
      </c>
      <c r="J324" s="437"/>
      <c r="K324" s="221">
        <v>44588</v>
      </c>
      <c r="L324" s="100" t="s">
        <v>900</v>
      </c>
      <c r="M324" s="100">
        <f>MONTH(List34[[#This Row],[Tanggal Pengajuan]])</f>
        <v>4</v>
      </c>
      <c r="N324" s="183"/>
      <c r="O324" s="105" t="s">
        <v>651</v>
      </c>
      <c r="P324" s="111"/>
      <c r="Q324" s="230" t="s">
        <v>958</v>
      </c>
      <c r="S324" s="275">
        <f>+List34[[#This Row],[Pengajuan Donasi]]-List34[[#This Row],[Jumlah Transfer]]</f>
        <v>0</v>
      </c>
      <c r="T324" s="275"/>
    </row>
    <row r="325" spans="1:20" s="4" customFormat="1" ht="30" customHeight="1" x14ac:dyDescent="0.2">
      <c r="A325" s="102">
        <v>44607</v>
      </c>
      <c r="B325" s="67"/>
      <c r="C325" s="14" t="s">
        <v>923</v>
      </c>
      <c r="D325" s="103" t="s">
        <v>26</v>
      </c>
      <c r="E325" s="103" t="s">
        <v>18</v>
      </c>
      <c r="F325" s="15">
        <v>1</v>
      </c>
      <c r="G325" s="258">
        <v>500000</v>
      </c>
      <c r="H325" s="258">
        <f>List34[[#This Row],[Pengajuan Donasi]]</f>
        <v>6235000</v>
      </c>
      <c r="I325" s="213" t="str">
        <f>IF(List34[[#This Row],[Tanggal Trf]]&gt;0,"Done","-")</f>
        <v>Done</v>
      </c>
      <c r="J325" s="437"/>
      <c r="K325" s="221">
        <v>44612</v>
      </c>
      <c r="L325" s="100" t="s">
        <v>899</v>
      </c>
      <c r="M325" s="100">
        <f>MONTH(List34[[#This Row],[Tanggal Pengajuan]])</f>
        <v>4</v>
      </c>
      <c r="N325" s="183"/>
      <c r="O325" s="105"/>
      <c r="P325" s="111"/>
      <c r="Q325" s="230" t="s">
        <v>958</v>
      </c>
      <c r="S325" s="275">
        <f>+List34[[#This Row],[Pengajuan Donasi]]-List34[[#This Row],[Jumlah Transfer]]</f>
        <v>0</v>
      </c>
      <c r="T325" s="275"/>
    </row>
    <row r="326" spans="1:20" s="4" customFormat="1" ht="30" customHeight="1" x14ac:dyDescent="0.2">
      <c r="A326" s="102">
        <v>44624</v>
      </c>
      <c r="B326" s="67"/>
      <c r="C326" s="100" t="s">
        <v>923</v>
      </c>
      <c r="D326" s="103" t="s">
        <v>26</v>
      </c>
      <c r="E326" s="103" t="s">
        <v>18</v>
      </c>
      <c r="F326" s="15">
        <v>1</v>
      </c>
      <c r="G326" s="258">
        <v>500000</v>
      </c>
      <c r="H326" s="258">
        <f>List34[[#This Row],[Pengajuan Donasi]]</f>
        <v>6294600</v>
      </c>
      <c r="I326" s="213" t="str">
        <f>IF(List34[[#This Row],[Tanggal Trf]]&gt;0,"Done","-")</f>
        <v>Done</v>
      </c>
      <c r="J326" s="445"/>
      <c r="K326" s="221">
        <v>44630</v>
      </c>
      <c r="L326" s="100" t="s">
        <v>900</v>
      </c>
      <c r="M326" s="100">
        <f>MONTH(List34[[#This Row],[Tanggal Pengajuan]])</f>
        <v>4</v>
      </c>
      <c r="N326" s="183"/>
      <c r="O326" s="105" t="s">
        <v>746</v>
      </c>
      <c r="P326" s="111"/>
      <c r="Q326" s="236" t="s">
        <v>966</v>
      </c>
      <c r="S326" s="275">
        <f>+List34[[#This Row],[Pengajuan Donasi]]-List34[[#This Row],[Jumlah Transfer]]</f>
        <v>0</v>
      </c>
      <c r="T326" s="275"/>
    </row>
    <row r="327" spans="1:20" s="4" customFormat="1" ht="30" customHeight="1" x14ac:dyDescent="0.2">
      <c r="A327" s="102">
        <v>44658</v>
      </c>
      <c r="B327" s="67"/>
      <c r="C327" s="14" t="s">
        <v>923</v>
      </c>
      <c r="D327" s="103" t="s">
        <v>26</v>
      </c>
      <c r="E327" s="103" t="s">
        <v>18</v>
      </c>
      <c r="F327" s="15">
        <v>1</v>
      </c>
      <c r="G327" s="258">
        <v>500000</v>
      </c>
      <c r="H327" s="258">
        <f>List34[[#This Row],[Pengajuan Donasi]]</f>
        <v>6190200</v>
      </c>
      <c r="I327" s="213" t="str">
        <f>IF(List34[[#This Row],[Tanggal Trf]]&gt;0,"Done","-")</f>
        <v>Done</v>
      </c>
      <c r="J327" s="445"/>
      <c r="K327" s="221">
        <v>44672</v>
      </c>
      <c r="L327" s="100" t="s">
        <v>900</v>
      </c>
      <c r="M327" s="100">
        <f>MONTH(List34[[#This Row],[Tanggal Pengajuan]])</f>
        <v>4</v>
      </c>
      <c r="N327" s="183">
        <v>44676</v>
      </c>
      <c r="O327" s="105" t="s">
        <v>795</v>
      </c>
      <c r="P327" s="111"/>
      <c r="Q327" s="230" t="s">
        <v>958</v>
      </c>
      <c r="S327" s="275">
        <f>+List34[[#This Row],[Pengajuan Donasi]]-List34[[#This Row],[Jumlah Transfer]]</f>
        <v>0</v>
      </c>
      <c r="T327" s="275"/>
    </row>
    <row r="328" spans="1:20" s="4" customFormat="1" ht="30" customHeight="1" x14ac:dyDescent="0.2">
      <c r="A328" s="102">
        <v>44687</v>
      </c>
      <c r="B328" s="163"/>
      <c r="C328" s="164" t="s">
        <v>923</v>
      </c>
      <c r="D328" s="168" t="s">
        <v>26</v>
      </c>
      <c r="E328" s="168" t="s">
        <v>18</v>
      </c>
      <c r="F328" s="178">
        <v>0</v>
      </c>
      <c r="G328" s="261">
        <v>0</v>
      </c>
      <c r="H328" s="261">
        <f>List34[[#This Row],[Pengajuan Donasi]]</f>
        <v>6320800</v>
      </c>
      <c r="I328" s="253" t="str">
        <f>IF(List34[[#This Row],[Tanggal Trf]]&gt;0,"Done","-")</f>
        <v>Done</v>
      </c>
      <c r="J328" s="447" t="s">
        <v>1013</v>
      </c>
      <c r="K328" s="222"/>
      <c r="L328" s="193" t="s">
        <v>900</v>
      </c>
      <c r="M328" s="193">
        <f>MONTH(List34[[#This Row],[Tanggal Pengajuan]])</f>
        <v>4</v>
      </c>
      <c r="N328" s="222" t="s">
        <v>960</v>
      </c>
      <c r="O328" s="166" t="s">
        <v>1221</v>
      </c>
      <c r="P328" s="111"/>
      <c r="Q328" s="230" t="s">
        <v>958</v>
      </c>
      <c r="S328" s="275">
        <f>+List34[[#This Row],[Pengajuan Donasi]]-List34[[#This Row],[Jumlah Transfer]]</f>
        <v>0</v>
      </c>
      <c r="T328" s="275"/>
    </row>
    <row r="329" spans="1:20" s="4" customFormat="1" ht="30" customHeight="1" x14ac:dyDescent="0.2">
      <c r="A329" s="102">
        <v>44704</v>
      </c>
      <c r="B329" s="163"/>
      <c r="C329" s="14" t="s">
        <v>923</v>
      </c>
      <c r="D329" s="103" t="s">
        <v>26</v>
      </c>
      <c r="E329" s="103" t="s">
        <v>18</v>
      </c>
      <c r="F329" s="15">
        <v>1</v>
      </c>
      <c r="G329" s="258">
        <v>500000</v>
      </c>
      <c r="H329" s="258">
        <f>List34[[#This Row],[Pengajuan Donasi]]</f>
        <v>6226400</v>
      </c>
      <c r="I329" s="213" t="str">
        <f>IF(List34[[#This Row],[Tanggal Trf]]&gt;0,"Done","-")</f>
        <v>Done</v>
      </c>
      <c r="J329" s="445"/>
      <c r="K329" s="221">
        <v>44712</v>
      </c>
      <c r="L329" s="100" t="s">
        <v>900</v>
      </c>
      <c r="M329" s="100">
        <f>MONTH(List34[[#This Row],[Tanggal Pengajuan]])</f>
        <v>4</v>
      </c>
      <c r="N329" s="183">
        <v>44698</v>
      </c>
      <c r="O329" s="105" t="s">
        <v>932</v>
      </c>
      <c r="P329" s="111"/>
      <c r="Q329" s="230" t="s">
        <v>958</v>
      </c>
      <c r="S329" s="275">
        <f>+List34[[#This Row],[Pengajuan Donasi]]-List34[[#This Row],[Jumlah Transfer]]</f>
        <v>0</v>
      </c>
      <c r="T329" s="275"/>
    </row>
    <row r="330" spans="1:20" s="4" customFormat="1" ht="30" customHeight="1" x14ac:dyDescent="0.2">
      <c r="A330" s="102">
        <v>44715</v>
      </c>
      <c r="B330" s="67"/>
      <c r="C330" s="14" t="s">
        <v>923</v>
      </c>
      <c r="D330" s="103" t="s">
        <v>26</v>
      </c>
      <c r="E330" s="103" t="s">
        <v>18</v>
      </c>
      <c r="F330" s="15">
        <v>1</v>
      </c>
      <c r="G330" s="258">
        <v>500000</v>
      </c>
      <c r="H330" s="258">
        <f>List34[[#This Row],[Pengajuan Donasi]]</f>
        <v>6281100</v>
      </c>
      <c r="I330" s="213" t="str">
        <f>IF(List34[[#This Row],[Tanggal Trf]]&gt;0,"Done","-")</f>
        <v>Done</v>
      </c>
      <c r="J330" s="445"/>
      <c r="K330" s="221">
        <v>44814</v>
      </c>
      <c r="L330" s="100" t="s">
        <v>900</v>
      </c>
      <c r="M330" s="100">
        <f>MONTH(List34[[#This Row],[Tanggal Pengajuan]])</f>
        <v>4</v>
      </c>
      <c r="N330" s="183">
        <v>44748</v>
      </c>
      <c r="O330" s="105" t="s">
        <v>1116</v>
      </c>
      <c r="P330" s="111"/>
      <c r="Q330" s="230" t="s">
        <v>958</v>
      </c>
      <c r="S330" s="275">
        <f>+List34[[#This Row],[Pengajuan Donasi]]-List34[[#This Row],[Jumlah Transfer]]</f>
        <v>0</v>
      </c>
      <c r="T330" s="275"/>
    </row>
    <row r="331" spans="1:20" s="4" customFormat="1" ht="30" customHeight="1" x14ac:dyDescent="0.2">
      <c r="A331" s="102">
        <v>44746</v>
      </c>
      <c r="B331" s="67"/>
      <c r="C331" s="14" t="s">
        <v>923</v>
      </c>
      <c r="D331" s="103" t="s">
        <v>26</v>
      </c>
      <c r="E331" s="103" t="s">
        <v>18</v>
      </c>
      <c r="F331" s="471">
        <v>1</v>
      </c>
      <c r="G331" s="258">
        <v>500000</v>
      </c>
      <c r="H331" s="258">
        <f>List34[[#This Row],[Pengajuan Donasi]]</f>
        <v>6159100</v>
      </c>
      <c r="I331" s="213" t="str">
        <f>IF(List34[[#This Row],[Tanggal Trf]]&gt;0,"Done","-")</f>
        <v>Done</v>
      </c>
      <c r="J331" s="445" t="s">
        <v>1168</v>
      </c>
      <c r="K331" s="484">
        <v>44764</v>
      </c>
      <c r="L331" s="100" t="s">
        <v>900</v>
      </c>
      <c r="M331" s="100">
        <f>MONTH(List34[[#This Row],[Tanggal Pengajuan]])</f>
        <v>4</v>
      </c>
      <c r="N331" s="183"/>
      <c r="O331" s="105" t="s">
        <v>1180</v>
      </c>
      <c r="P331" s="111"/>
      <c r="Q331" s="230" t="s">
        <v>958</v>
      </c>
      <c r="S331" s="275">
        <f>+List34[[#This Row],[Pengajuan Donasi]]-List34[[#This Row],[Jumlah Transfer]]</f>
        <v>0</v>
      </c>
      <c r="T331" s="275"/>
    </row>
    <row r="332" spans="1:20" s="4" customFormat="1" ht="30" customHeight="1" x14ac:dyDescent="0.2">
      <c r="A332" s="102">
        <v>44775</v>
      </c>
      <c r="B332" s="67"/>
      <c r="C332" s="14" t="s">
        <v>923</v>
      </c>
      <c r="D332" s="103" t="s">
        <v>26</v>
      </c>
      <c r="E332" s="103" t="s">
        <v>18</v>
      </c>
      <c r="F332" s="471">
        <v>1</v>
      </c>
      <c r="G332" s="258">
        <v>500000</v>
      </c>
      <c r="H332" s="258">
        <f>List34[[#This Row],[Pengajuan Donasi]]</f>
        <v>6166300</v>
      </c>
      <c r="I332" s="214" t="str">
        <f>IF(List34[[#This Row],[Tanggal Trf]]&gt;0,"Done","-")</f>
        <v>Done</v>
      </c>
      <c r="J332" s="445" t="s">
        <v>1211</v>
      </c>
      <c r="K332" s="484">
        <v>44799</v>
      </c>
      <c r="L332" s="100" t="s">
        <v>900</v>
      </c>
      <c r="M332" s="100">
        <f>MONTH(List34[[#This Row],[Tanggal Pengajuan]])</f>
        <v>4</v>
      </c>
      <c r="N332" s="183"/>
      <c r="O332" s="105" t="s">
        <v>1223</v>
      </c>
      <c r="P332" s="111"/>
      <c r="Q332" s="230" t="s">
        <v>958</v>
      </c>
      <c r="S332" s="275">
        <f>+List34[[#This Row],[Pengajuan Donasi]]-List34[[#This Row],[Jumlah Transfer]]</f>
        <v>0</v>
      </c>
      <c r="T332" s="275"/>
    </row>
    <row r="333" spans="1:20" s="4" customFormat="1" ht="30" customHeight="1" x14ac:dyDescent="0.2">
      <c r="A333" s="102">
        <v>44587</v>
      </c>
      <c r="B333" s="67" t="s">
        <v>680</v>
      </c>
      <c r="C333" s="14" t="s">
        <v>916</v>
      </c>
      <c r="D333" s="103" t="s">
        <v>26</v>
      </c>
      <c r="E333" s="103" t="s">
        <v>18</v>
      </c>
      <c r="F333" s="15">
        <v>1</v>
      </c>
      <c r="G333" s="258">
        <v>500000</v>
      </c>
      <c r="H333" s="258">
        <f>List34[[#This Row],[Pengajuan Donasi]]</f>
        <v>6235900</v>
      </c>
      <c r="I333" s="214" t="str">
        <f>IF(List34[[#This Row],[Tanggal Trf]]&gt;0,"Done","-")</f>
        <v>Done</v>
      </c>
      <c r="J333" s="445" t="s">
        <v>692</v>
      </c>
      <c r="K333" s="221">
        <v>44588</v>
      </c>
      <c r="L333" s="100" t="s">
        <v>895</v>
      </c>
      <c r="M333" s="100">
        <f>MONTH(List34[[#This Row],[Tanggal Pengajuan]])</f>
        <v>4</v>
      </c>
      <c r="N333" s="183"/>
      <c r="O333" s="105" t="s">
        <v>651</v>
      </c>
      <c r="P333" s="111"/>
      <c r="Q333" s="230" t="s">
        <v>958</v>
      </c>
      <c r="S333" s="275">
        <f>+List34[[#This Row],[Pengajuan Donasi]]-List34[[#This Row],[Jumlah Transfer]]</f>
        <v>0</v>
      </c>
      <c r="T333" s="275"/>
    </row>
    <row r="334" spans="1:20" s="4" customFormat="1" ht="30" customHeight="1" x14ac:dyDescent="0.2">
      <c r="A334" s="102">
        <v>44607</v>
      </c>
      <c r="B334" s="67" t="s">
        <v>726</v>
      </c>
      <c r="C334" s="14" t="s">
        <v>916</v>
      </c>
      <c r="D334" s="103" t="s">
        <v>26</v>
      </c>
      <c r="E334" s="103" t="s">
        <v>18</v>
      </c>
      <c r="F334" s="15">
        <v>1</v>
      </c>
      <c r="G334" s="258">
        <v>500000</v>
      </c>
      <c r="H334" s="258">
        <f>List34[[#This Row],[Pengajuan Donasi]]</f>
        <v>6186600</v>
      </c>
      <c r="I334" s="214" t="str">
        <f>IF(List34[[#This Row],[Tanggal Trf]]&gt;0,"Done","-")</f>
        <v>Done</v>
      </c>
      <c r="J334" s="445"/>
      <c r="K334" s="221">
        <v>44612</v>
      </c>
      <c r="L334" s="100" t="s">
        <v>681</v>
      </c>
      <c r="M334" s="100">
        <f>MONTH(List34[[#This Row],[Tanggal Pengajuan]])</f>
        <v>4</v>
      </c>
      <c r="N334" s="183"/>
      <c r="O334" s="105" t="s">
        <v>707</v>
      </c>
      <c r="P334" s="111"/>
      <c r="Q334" s="230" t="s">
        <v>958</v>
      </c>
      <c r="S334" s="275">
        <f>+List34[[#This Row],[Pengajuan Donasi]]-List34[[#This Row],[Jumlah Transfer]]</f>
        <v>0</v>
      </c>
      <c r="T334" s="275"/>
    </row>
    <row r="335" spans="1:20" s="4" customFormat="1" ht="30" customHeight="1" x14ac:dyDescent="0.2">
      <c r="A335" s="102">
        <v>44624</v>
      </c>
      <c r="B335" s="67" t="s">
        <v>758</v>
      </c>
      <c r="C335" s="14" t="s">
        <v>916</v>
      </c>
      <c r="D335" s="103" t="s">
        <v>26</v>
      </c>
      <c r="E335" s="103" t="s">
        <v>18</v>
      </c>
      <c r="F335" s="15">
        <v>1</v>
      </c>
      <c r="G335" s="258">
        <v>500000</v>
      </c>
      <c r="H335" s="258">
        <f>List34[[#This Row],[Pengajuan Donasi]]</f>
        <v>5023500</v>
      </c>
      <c r="I335" s="214" t="str">
        <f>IF(List34[[#This Row],[Tanggal Trf]]&gt;0,"Done","-")</f>
        <v>Done</v>
      </c>
      <c r="J335" s="445"/>
      <c r="K335" s="221">
        <v>44630</v>
      </c>
      <c r="L335" s="100" t="s">
        <v>895</v>
      </c>
      <c r="M335" s="100">
        <f>MONTH(List34[[#This Row],[Tanggal Pengajuan]])</f>
        <v>4</v>
      </c>
      <c r="N335" s="183"/>
      <c r="O335" s="105" t="s">
        <v>746</v>
      </c>
      <c r="P335" s="111"/>
      <c r="Q335" s="230" t="s">
        <v>958</v>
      </c>
      <c r="S335" s="275">
        <f>+List34[[#This Row],[Pengajuan Donasi]]-List34[[#This Row],[Jumlah Transfer]]</f>
        <v>0</v>
      </c>
      <c r="T335" s="275"/>
    </row>
    <row r="336" spans="1:20" s="4" customFormat="1" ht="30" customHeight="1" x14ac:dyDescent="0.2">
      <c r="A336" s="102">
        <v>44658</v>
      </c>
      <c r="B336" s="67" t="s">
        <v>811</v>
      </c>
      <c r="C336" s="14" t="s">
        <v>916</v>
      </c>
      <c r="D336" s="103" t="s">
        <v>26</v>
      </c>
      <c r="E336" s="103" t="s">
        <v>18</v>
      </c>
      <c r="F336" s="15">
        <v>1</v>
      </c>
      <c r="G336" s="258">
        <v>500000</v>
      </c>
      <c r="H336" s="258">
        <f>List34[[#This Row],[Pengajuan Donasi]]</f>
        <v>6368400</v>
      </c>
      <c r="I336" s="214" t="str">
        <f>IF(List34[[#This Row],[Tanggal Trf]]&gt;0,"Done","-")</f>
        <v>Done</v>
      </c>
      <c r="J336" s="445"/>
      <c r="K336" s="221">
        <v>44670</v>
      </c>
      <c r="L336" s="100" t="s">
        <v>895</v>
      </c>
      <c r="M336" s="100">
        <f>MONTH(List34[[#This Row],[Tanggal Pengajuan]])</f>
        <v>4</v>
      </c>
      <c r="N336" s="183">
        <v>44676</v>
      </c>
      <c r="O336" s="105" t="s">
        <v>795</v>
      </c>
      <c r="P336" s="111"/>
      <c r="Q336" s="230" t="s">
        <v>958</v>
      </c>
      <c r="S336" s="275">
        <f>+List34[[#This Row],[Pengajuan Donasi]]-List34[[#This Row],[Jumlah Transfer]]</f>
        <v>0</v>
      </c>
      <c r="T336" s="275"/>
    </row>
    <row r="337" spans="1:20" s="4" customFormat="1" ht="30" customHeight="1" x14ac:dyDescent="0.2">
      <c r="A337" s="102">
        <v>44687</v>
      </c>
      <c r="B337" s="163" t="s">
        <v>936</v>
      </c>
      <c r="C337" s="164" t="s">
        <v>916</v>
      </c>
      <c r="D337" s="168" t="s">
        <v>26</v>
      </c>
      <c r="E337" s="168" t="s">
        <v>18</v>
      </c>
      <c r="F337" s="178"/>
      <c r="G337" s="261">
        <v>0</v>
      </c>
      <c r="H337" s="261">
        <f>List34[[#This Row],[Pengajuan Donasi]]</f>
        <v>6212300</v>
      </c>
      <c r="I337" s="216" t="str">
        <f>IF(List34[[#This Row],[Tanggal Trf]]&gt;0,"Done","-")</f>
        <v>Done</v>
      </c>
      <c r="J337" s="447" t="s">
        <v>1013</v>
      </c>
      <c r="K337" s="222"/>
      <c r="L337" s="193" t="s">
        <v>895</v>
      </c>
      <c r="M337" s="193">
        <f>MONTH(List34[[#This Row],[Tanggal Pengajuan]])</f>
        <v>4</v>
      </c>
      <c r="N337" s="222" t="s">
        <v>960</v>
      </c>
      <c r="O337" s="166" t="s">
        <v>1221</v>
      </c>
      <c r="P337" s="111"/>
      <c r="Q337" s="230" t="s">
        <v>958</v>
      </c>
      <c r="S337" s="275">
        <f>+List34[[#This Row],[Pengajuan Donasi]]-List34[[#This Row],[Jumlah Transfer]]</f>
        <v>0</v>
      </c>
      <c r="T337" s="275"/>
    </row>
    <row r="338" spans="1:20" s="4" customFormat="1" ht="30" customHeight="1" x14ac:dyDescent="0.2">
      <c r="A338" s="102">
        <v>44704</v>
      </c>
      <c r="B338" s="67" t="s">
        <v>1012</v>
      </c>
      <c r="C338" s="14" t="s">
        <v>916</v>
      </c>
      <c r="D338" s="103" t="s">
        <v>26</v>
      </c>
      <c r="E338" s="103" t="s">
        <v>18</v>
      </c>
      <c r="F338" s="15">
        <v>1</v>
      </c>
      <c r="G338" s="258">
        <v>500000</v>
      </c>
      <c r="H338" s="258">
        <f>List34[[#This Row],[Pengajuan Donasi]]</f>
        <v>6059700</v>
      </c>
      <c r="I338" s="214" t="str">
        <f>IF(List34[[#This Row],[Tanggal Trf]]&gt;0,"Done","-")</f>
        <v>Done</v>
      </c>
      <c r="J338" s="445"/>
      <c r="K338" s="221">
        <v>44712</v>
      </c>
      <c r="L338" s="100" t="s">
        <v>895</v>
      </c>
      <c r="M338" s="100">
        <f>MONTH(List34[[#This Row],[Tanggal Pengajuan]])</f>
        <v>4</v>
      </c>
      <c r="N338" s="183">
        <v>44698</v>
      </c>
      <c r="O338" s="105" t="s">
        <v>932</v>
      </c>
      <c r="P338" s="111"/>
      <c r="Q338" s="230" t="s">
        <v>958</v>
      </c>
      <c r="S338" s="275">
        <f>+List34[[#This Row],[Pengajuan Donasi]]-List34[[#This Row],[Jumlah Transfer]]</f>
        <v>0</v>
      </c>
      <c r="T338" s="275"/>
    </row>
    <row r="339" spans="1:20" s="4" customFormat="1" ht="30" customHeight="1" x14ac:dyDescent="0.2">
      <c r="A339" s="102">
        <v>44715</v>
      </c>
      <c r="B339" s="67" t="s">
        <v>1086</v>
      </c>
      <c r="C339" s="14" t="s">
        <v>916</v>
      </c>
      <c r="D339" s="103" t="s">
        <v>26</v>
      </c>
      <c r="E339" s="103" t="s">
        <v>18</v>
      </c>
      <c r="F339" s="15">
        <v>1</v>
      </c>
      <c r="G339" s="258">
        <v>500000</v>
      </c>
      <c r="H339" s="258">
        <f>List34[[#This Row],[Pengajuan Donasi]]</f>
        <v>6240400</v>
      </c>
      <c r="I339" s="214" t="str">
        <f>IF(List34[[#This Row],[Tanggal Trf]]&gt;0,"Done","-")</f>
        <v>Done</v>
      </c>
      <c r="J339" s="445"/>
      <c r="K339" s="221">
        <v>44814</v>
      </c>
      <c r="L339" s="100" t="s">
        <v>895</v>
      </c>
      <c r="M339" s="100">
        <f>MONTH(List34[[#This Row],[Tanggal Pengajuan]])</f>
        <v>4</v>
      </c>
      <c r="N339" s="183">
        <v>44748</v>
      </c>
      <c r="O339" s="105" t="s">
        <v>1116</v>
      </c>
      <c r="P339" s="111"/>
      <c r="Q339" s="230" t="s">
        <v>958</v>
      </c>
      <c r="S339" s="275">
        <f>+List34[[#This Row],[Pengajuan Donasi]]-List34[[#This Row],[Jumlah Transfer]]</f>
        <v>0</v>
      </c>
      <c r="T339" s="275"/>
    </row>
    <row r="340" spans="1:20" s="4" customFormat="1" ht="30" customHeight="1" x14ac:dyDescent="0.2">
      <c r="A340" s="102">
        <v>44746</v>
      </c>
      <c r="B340" s="67" t="s">
        <v>1145</v>
      </c>
      <c r="C340" s="14" t="s">
        <v>916</v>
      </c>
      <c r="D340" s="103" t="s">
        <v>26</v>
      </c>
      <c r="E340" s="103" t="s">
        <v>18</v>
      </c>
      <c r="F340" s="471">
        <v>1</v>
      </c>
      <c r="G340" s="258">
        <v>500000</v>
      </c>
      <c r="H340" s="258">
        <f>List34[[#This Row],[Pengajuan Donasi]]</f>
        <v>6292500</v>
      </c>
      <c r="I340" s="214" t="str">
        <f>IF(List34[[#This Row],[Tanggal Trf]]&gt;0,"Done","-")</f>
        <v>Done</v>
      </c>
      <c r="J340" s="445" t="s">
        <v>1168</v>
      </c>
      <c r="K340" s="484">
        <v>44764</v>
      </c>
      <c r="L340" s="100" t="s">
        <v>895</v>
      </c>
      <c r="M340" s="100">
        <f>MONTH(List34[[#This Row],[Tanggal Pengajuan]])</f>
        <v>4</v>
      </c>
      <c r="N340" s="183"/>
      <c r="O340" s="105" t="s">
        <v>1180</v>
      </c>
      <c r="P340" s="111"/>
      <c r="Q340" s="230" t="s">
        <v>958</v>
      </c>
      <c r="S340" s="275">
        <f>+List34[[#This Row],[Pengajuan Donasi]]-List34[[#This Row],[Jumlah Transfer]]</f>
        <v>0</v>
      </c>
      <c r="T340" s="275"/>
    </row>
    <row r="341" spans="1:20" s="4" customFormat="1" ht="30" customHeight="1" x14ac:dyDescent="0.2">
      <c r="A341" s="102">
        <v>44775</v>
      </c>
      <c r="B341" s="67" t="s">
        <v>1202</v>
      </c>
      <c r="C341" s="14" t="s">
        <v>916</v>
      </c>
      <c r="D341" s="103" t="s">
        <v>26</v>
      </c>
      <c r="E341" s="103" t="s">
        <v>18</v>
      </c>
      <c r="F341" s="471">
        <v>1</v>
      </c>
      <c r="G341" s="258">
        <v>500000</v>
      </c>
      <c r="H341" s="258">
        <f>List34[[#This Row],[Pengajuan Donasi]]</f>
        <v>6271300</v>
      </c>
      <c r="I341" s="214" t="str">
        <f>IF(List34[[#This Row],[Tanggal Trf]]&gt;0,"Done","-")</f>
        <v>Done</v>
      </c>
      <c r="J341" s="445" t="s">
        <v>1211</v>
      </c>
      <c r="K341" s="484">
        <v>44799</v>
      </c>
      <c r="L341" s="100" t="s">
        <v>895</v>
      </c>
      <c r="M341" s="100">
        <f>MONTH(List34[[#This Row],[Tanggal Pengajuan]])</f>
        <v>4</v>
      </c>
      <c r="N341" s="183"/>
      <c r="O341" s="105" t="s">
        <v>1223</v>
      </c>
      <c r="P341" s="111"/>
      <c r="Q341" s="230" t="s">
        <v>958</v>
      </c>
      <c r="S341" s="275">
        <f>+List34[[#This Row],[Pengajuan Donasi]]-List34[[#This Row],[Jumlah Transfer]]</f>
        <v>0</v>
      </c>
      <c r="T341" s="275">
        <f>SUM(G207:G341)</f>
        <v>60000000</v>
      </c>
    </row>
    <row r="342" spans="1:20" s="4" customFormat="1" ht="30" customHeight="1" x14ac:dyDescent="0.2">
      <c r="A342" s="102">
        <v>44652</v>
      </c>
      <c r="B342" s="67" t="s">
        <v>803</v>
      </c>
      <c r="C342" s="14" t="s">
        <v>816</v>
      </c>
      <c r="D342" s="103" t="s">
        <v>26</v>
      </c>
      <c r="E342" s="103" t="s">
        <v>28</v>
      </c>
      <c r="F342" s="15">
        <v>65</v>
      </c>
      <c r="G342" s="258">
        <v>6000000</v>
      </c>
      <c r="H342" s="258">
        <f>List34[[#This Row],[Pengajuan Donasi]]</f>
        <v>6294400</v>
      </c>
      <c r="I342" s="214" t="str">
        <f>IF(List34[[#This Row],[Tanggal Trf]]&gt;0,"Done","-")</f>
        <v>Done</v>
      </c>
      <c r="J342" s="445"/>
      <c r="K342" s="221">
        <v>44663</v>
      </c>
      <c r="L342" s="100" t="s">
        <v>683</v>
      </c>
      <c r="M342" s="100">
        <f>MONTH(List34[[#This Row],[Tanggal Pengajuan]])</f>
        <v>4</v>
      </c>
      <c r="N342" s="183">
        <v>44670</v>
      </c>
      <c r="O342" s="105" t="s">
        <v>795</v>
      </c>
      <c r="P342" s="111"/>
      <c r="Q342" s="230" t="s">
        <v>958</v>
      </c>
      <c r="S342" s="275">
        <f>+List34[[#This Row],[Pengajuan Donasi]]-List34[[#This Row],[Jumlah Transfer]]</f>
        <v>0</v>
      </c>
      <c r="T342" s="275">
        <f>+G342</f>
        <v>6000000</v>
      </c>
    </row>
    <row r="343" spans="1:20" s="8" customFormat="1" ht="30" customHeight="1" x14ac:dyDescent="0.2">
      <c r="A343" s="644"/>
      <c r="B343" s="645"/>
      <c r="C343" s="406"/>
      <c r="D343" s="406"/>
      <c r="E343" s="406"/>
      <c r="F343" s="646"/>
      <c r="G343" s="647"/>
      <c r="H343" s="647"/>
      <c r="I343" s="648"/>
      <c r="J343" s="671"/>
      <c r="K343" s="649"/>
      <c r="L343" s="406"/>
      <c r="M343" s="406"/>
      <c r="N343" s="650"/>
      <c r="O343" s="406"/>
      <c r="P343" s="651"/>
      <c r="Q343" s="652"/>
      <c r="S343" s="639"/>
      <c r="T343" s="639"/>
    </row>
    <row r="344" spans="1:20" s="8" customFormat="1" ht="30" customHeight="1" x14ac:dyDescent="0.2">
      <c r="A344" s="653"/>
      <c r="B344" s="654"/>
      <c r="C344" s="618"/>
      <c r="D344" s="618"/>
      <c r="E344" s="618"/>
      <c r="F344" s="655"/>
      <c r="G344" s="639">
        <f>SUM(G82:G343)</f>
        <v>353898324</v>
      </c>
      <c r="H344" s="603"/>
      <c r="I344" s="656"/>
      <c r="J344" s="672"/>
      <c r="K344" s="657"/>
      <c r="L344" s="618"/>
      <c r="M344" s="618"/>
      <c r="N344" s="658"/>
      <c r="O344" s="618"/>
      <c r="P344" s="659"/>
      <c r="Q344" s="660"/>
      <c r="S344" s="639"/>
      <c r="T344" s="639">
        <f>SUM(T82:T343)</f>
        <v>353898324</v>
      </c>
    </row>
    <row r="345" spans="1:20" s="8" customFormat="1" ht="30" customHeight="1" x14ac:dyDescent="0.2">
      <c r="A345" s="653"/>
      <c r="B345" s="654"/>
      <c r="C345" s="618"/>
      <c r="D345" s="618"/>
      <c r="E345" s="618"/>
      <c r="F345" s="655"/>
      <c r="G345" s="603"/>
      <c r="H345" s="603"/>
      <c r="I345" s="656"/>
      <c r="J345" s="672"/>
      <c r="K345" s="657"/>
      <c r="L345" s="618"/>
      <c r="M345" s="618"/>
      <c r="N345" s="658"/>
      <c r="O345" s="618"/>
      <c r="P345" s="659"/>
      <c r="Q345" s="660"/>
      <c r="S345" s="639"/>
      <c r="T345" s="639">
        <f>+T344-'S1 - S2  2022'!O8</f>
        <v>-164000000</v>
      </c>
    </row>
    <row r="346" spans="1:20" s="8" customFormat="1" ht="30" customHeight="1" x14ac:dyDescent="0.2">
      <c r="A346" s="653"/>
      <c r="B346" s="654"/>
      <c r="C346" s="618"/>
      <c r="D346" s="618"/>
      <c r="E346" s="618"/>
      <c r="F346" s="655"/>
      <c r="G346" s="603"/>
      <c r="H346" s="603"/>
      <c r="I346" s="656"/>
      <c r="J346" s="672"/>
      <c r="K346" s="657"/>
      <c r="L346" s="618"/>
      <c r="M346" s="618"/>
      <c r="N346" s="658"/>
      <c r="O346" s="618"/>
      <c r="P346" s="659"/>
      <c r="Q346" s="660"/>
      <c r="S346" s="639"/>
      <c r="T346" s="639"/>
    </row>
    <row r="347" spans="1:20" s="8" customFormat="1" ht="30" customHeight="1" x14ac:dyDescent="0.2">
      <c r="A347" s="653"/>
      <c r="B347" s="654"/>
      <c r="C347" s="618"/>
      <c r="D347" s="618"/>
      <c r="E347" s="618"/>
      <c r="F347" s="655"/>
      <c r="G347" s="603"/>
      <c r="H347" s="603"/>
      <c r="I347" s="656"/>
      <c r="J347" s="672"/>
      <c r="K347" s="657"/>
      <c r="L347" s="618"/>
      <c r="M347" s="618"/>
      <c r="N347" s="658"/>
      <c r="O347" s="618"/>
      <c r="P347" s="659"/>
      <c r="Q347" s="660"/>
      <c r="S347" s="639"/>
      <c r="T347" s="639"/>
    </row>
    <row r="348" spans="1:20" s="8" customFormat="1" ht="30" customHeight="1" x14ac:dyDescent="0.2">
      <c r="A348" s="653"/>
      <c r="B348" s="654"/>
      <c r="C348" s="663"/>
      <c r="D348" s="618"/>
      <c r="E348" s="618"/>
      <c r="F348" s="664"/>
      <c r="G348" s="665"/>
      <c r="H348" s="665"/>
      <c r="I348" s="656"/>
      <c r="J348" s="673"/>
      <c r="K348" s="657"/>
      <c r="L348" s="663"/>
      <c r="M348" s="663"/>
      <c r="N348" s="658"/>
      <c r="O348" s="618"/>
      <c r="P348" s="659"/>
      <c r="Q348" s="670"/>
      <c r="S348" s="639"/>
      <c r="T348" s="639"/>
    </row>
    <row r="349" spans="1:20" s="4" customFormat="1" ht="30" customHeight="1" x14ac:dyDescent="0.2">
      <c r="A349" s="102">
        <v>44566</v>
      </c>
      <c r="B349" s="67" t="s">
        <v>653</v>
      </c>
      <c r="C349" s="14" t="s">
        <v>392</v>
      </c>
      <c r="D349" s="103" t="s">
        <v>57</v>
      </c>
      <c r="E349" s="103" t="s">
        <v>18</v>
      </c>
      <c r="F349" s="15">
        <v>75</v>
      </c>
      <c r="G349" s="258">
        <v>10000000</v>
      </c>
      <c r="H349" s="258">
        <f>List34[[#This Row],[Pengajuan Donasi]]</f>
        <v>1000000</v>
      </c>
      <c r="I349" s="214" t="str">
        <f>IF(List34[[#This Row],[Tanggal Trf]]&gt;0,"Done","-")</f>
        <v>Done</v>
      </c>
      <c r="J349" s="445"/>
      <c r="K349" s="221">
        <v>44580</v>
      </c>
      <c r="L349" s="100" t="s">
        <v>540</v>
      </c>
      <c r="M349" s="100">
        <f>MONTH(List34[[#This Row],[Tanggal Pengajuan]])</f>
        <v>5</v>
      </c>
      <c r="N349" s="183"/>
      <c r="O349" s="105" t="s">
        <v>651</v>
      </c>
      <c r="P349" s="111"/>
      <c r="Q349" s="230" t="s">
        <v>958</v>
      </c>
      <c r="S349" s="275">
        <f>+List34[[#This Row],[Pengajuan Donasi]]-List34[[#This Row],[Jumlah Transfer]]</f>
        <v>0</v>
      </c>
      <c r="T349" s="275"/>
    </row>
    <row r="350" spans="1:20" s="4" customFormat="1" ht="30" customHeight="1" x14ac:dyDescent="0.2">
      <c r="A350" s="102">
        <v>44596</v>
      </c>
      <c r="B350" s="67" t="s">
        <v>713</v>
      </c>
      <c r="C350" s="14" t="s">
        <v>392</v>
      </c>
      <c r="D350" s="103" t="s">
        <v>57</v>
      </c>
      <c r="E350" s="103" t="s">
        <v>18</v>
      </c>
      <c r="F350" s="15">
        <v>75</v>
      </c>
      <c r="G350" s="258">
        <v>10000000</v>
      </c>
      <c r="H350" s="258">
        <f>List34[[#This Row],[Pengajuan Donasi]]</f>
        <v>1000000</v>
      </c>
      <c r="I350" s="214" t="str">
        <f>IF(List34[[#This Row],[Tanggal Trf]]&gt;0,"Done","-")</f>
        <v>Done</v>
      </c>
      <c r="J350" s="445" t="s">
        <v>714</v>
      </c>
      <c r="K350" s="221">
        <v>44609</v>
      </c>
      <c r="L350" s="100" t="s">
        <v>540</v>
      </c>
      <c r="M350" s="100">
        <f>MONTH(List34[[#This Row],[Tanggal Pengajuan]])</f>
        <v>5</v>
      </c>
      <c r="N350" s="183"/>
      <c r="O350" s="105" t="s">
        <v>707</v>
      </c>
      <c r="P350" s="111"/>
      <c r="Q350" s="230" t="s">
        <v>958</v>
      </c>
      <c r="S350" s="275">
        <f>+List34[[#This Row],[Pengajuan Donasi]]-List34[[#This Row],[Jumlah Transfer]]</f>
        <v>0</v>
      </c>
      <c r="T350" s="275"/>
    </row>
    <row r="351" spans="1:20" s="4" customFormat="1" ht="30" customHeight="1" x14ac:dyDescent="0.2">
      <c r="A351" s="102">
        <v>44624</v>
      </c>
      <c r="B351" s="67" t="s">
        <v>749</v>
      </c>
      <c r="C351" s="14" t="s">
        <v>392</v>
      </c>
      <c r="D351" s="103" t="s">
        <v>57</v>
      </c>
      <c r="E351" s="103" t="s">
        <v>18</v>
      </c>
      <c r="F351" s="15">
        <v>75</v>
      </c>
      <c r="G351" s="258">
        <v>10000000</v>
      </c>
      <c r="H351" s="258">
        <v>10000000</v>
      </c>
      <c r="I351" s="214" t="str">
        <f>IF(List34[[#This Row],[Tanggal Trf]]&gt;0,"Done","-")</f>
        <v>Done</v>
      </c>
      <c r="J351" s="445"/>
      <c r="K351" s="221">
        <v>44630</v>
      </c>
      <c r="L351" s="100" t="s">
        <v>540</v>
      </c>
      <c r="M351" s="100">
        <f>MONTH(List34[[#This Row],[Tanggal Pengajuan]])</f>
        <v>5</v>
      </c>
      <c r="N351" s="183"/>
      <c r="O351" s="105" t="s">
        <v>746</v>
      </c>
      <c r="P351" s="111"/>
      <c r="Q351" s="230" t="s">
        <v>958</v>
      </c>
      <c r="S351" s="275">
        <f>+List34[[#This Row],[Pengajuan Donasi]]-List34[[#This Row],[Jumlah Transfer]]</f>
        <v>0</v>
      </c>
      <c r="T351" s="275"/>
    </row>
    <row r="352" spans="1:20" s="4" customFormat="1" ht="30" customHeight="1" x14ac:dyDescent="0.2">
      <c r="A352" s="102">
        <v>44658</v>
      </c>
      <c r="B352" s="67" t="s">
        <v>806</v>
      </c>
      <c r="C352" s="14" t="s">
        <v>392</v>
      </c>
      <c r="D352" s="103" t="s">
        <v>57</v>
      </c>
      <c r="E352" s="103" t="s">
        <v>18</v>
      </c>
      <c r="F352" s="15">
        <v>75</v>
      </c>
      <c r="G352" s="258">
        <v>10000000</v>
      </c>
      <c r="H352" s="258">
        <f>List34[[#This Row],[Pengajuan Donasi]]</f>
        <v>1000000</v>
      </c>
      <c r="I352" s="214" t="s">
        <v>19</v>
      </c>
      <c r="J352" s="445"/>
      <c r="K352" s="221">
        <v>44671</v>
      </c>
      <c r="L352" s="100" t="s">
        <v>540</v>
      </c>
      <c r="M352" s="100">
        <f>MONTH(List34[[#This Row],[Tanggal Pengajuan]])</f>
        <v>5</v>
      </c>
      <c r="N352" s="183">
        <v>44673</v>
      </c>
      <c r="O352" s="105" t="s">
        <v>795</v>
      </c>
      <c r="P352" s="154"/>
      <c r="Q352" s="230" t="s">
        <v>958</v>
      </c>
      <c r="S352" s="275">
        <f>+List34[[#This Row],[Pengajuan Donasi]]-List34[[#This Row],[Jumlah Transfer]]</f>
        <v>0</v>
      </c>
      <c r="T352" s="275"/>
    </row>
    <row r="353" spans="1:20" s="4" customFormat="1" ht="30" customHeight="1" x14ac:dyDescent="0.2">
      <c r="A353" s="102">
        <v>44687</v>
      </c>
      <c r="B353" s="67" t="s">
        <v>934</v>
      </c>
      <c r="C353" s="14" t="s">
        <v>392</v>
      </c>
      <c r="D353" s="103" t="s">
        <v>57</v>
      </c>
      <c r="E353" s="103" t="s">
        <v>18</v>
      </c>
      <c r="F353" s="15">
        <v>75</v>
      </c>
      <c r="G353" s="258">
        <v>10000000</v>
      </c>
      <c r="H353" s="258">
        <f>List34[[#This Row],[Pengajuan Donasi]]</f>
        <v>1000000</v>
      </c>
      <c r="I353" s="214" t="str">
        <f>IF(List34[[#This Row],[Tanggal Trf]]&gt;0,"Done","-")</f>
        <v>Done</v>
      </c>
      <c r="J353" s="445"/>
      <c r="K353" s="221">
        <v>44693</v>
      </c>
      <c r="L353" s="100" t="s">
        <v>540</v>
      </c>
      <c r="M353" s="100">
        <f>MONTH(List34[[#This Row],[Tanggal Pengajuan]])</f>
        <v>5</v>
      </c>
      <c r="N353" s="183">
        <v>44694</v>
      </c>
      <c r="O353" s="105" t="s">
        <v>932</v>
      </c>
      <c r="P353" s="111"/>
      <c r="Q353" s="230" t="s">
        <v>958</v>
      </c>
      <c r="S353" s="275">
        <f>+List34[[#This Row],[Pengajuan Donasi]]-List34[[#This Row],[Jumlah Transfer]]</f>
        <v>0</v>
      </c>
      <c r="T353" s="275"/>
    </row>
    <row r="354" spans="1:20" s="4" customFormat="1" ht="30" customHeight="1" x14ac:dyDescent="0.2">
      <c r="A354" s="102">
        <v>44715</v>
      </c>
      <c r="B354" s="67" t="s">
        <v>1080</v>
      </c>
      <c r="C354" s="14" t="s">
        <v>392</v>
      </c>
      <c r="D354" s="103" t="s">
        <v>57</v>
      </c>
      <c r="E354" s="103" t="s">
        <v>18</v>
      </c>
      <c r="F354" s="15">
        <v>75</v>
      </c>
      <c r="G354" s="258">
        <v>10000000</v>
      </c>
      <c r="H354" s="258">
        <f>List34[[#This Row],[Pengajuan Donasi]]</f>
        <v>1000000</v>
      </c>
      <c r="I354" s="214" t="str">
        <f>IF(List34[[#This Row],[Tanggal Trf]]&gt;0,"Done","-")</f>
        <v>Done</v>
      </c>
      <c r="J354" s="445"/>
      <c r="K354" s="221">
        <v>44721</v>
      </c>
      <c r="L354" s="100" t="s">
        <v>540</v>
      </c>
      <c r="M354" s="100">
        <f>MONTH(List34[[#This Row],[Tanggal Pengajuan]])</f>
        <v>5</v>
      </c>
      <c r="N354" s="183">
        <v>44748</v>
      </c>
      <c r="O354" s="105" t="s">
        <v>1116</v>
      </c>
      <c r="P354" s="111"/>
      <c r="Q354" s="230" t="s">
        <v>958</v>
      </c>
      <c r="S354" s="275">
        <f>+List34[[#This Row],[Pengajuan Donasi]]-List34[[#This Row],[Jumlah Transfer]]</f>
        <v>0</v>
      </c>
      <c r="T354" s="275"/>
    </row>
    <row r="355" spans="1:20" s="4" customFormat="1" ht="30" customHeight="1" x14ac:dyDescent="0.2">
      <c r="A355" s="102">
        <v>44746</v>
      </c>
      <c r="B355" s="67" t="s">
        <v>1139</v>
      </c>
      <c r="C355" s="14" t="s">
        <v>392</v>
      </c>
      <c r="D355" s="103" t="s">
        <v>57</v>
      </c>
      <c r="E355" s="103" t="s">
        <v>18</v>
      </c>
      <c r="F355" s="471">
        <v>75</v>
      </c>
      <c r="G355" s="258">
        <v>10000000</v>
      </c>
      <c r="H355" s="258">
        <f>List34[[#This Row],[Pengajuan Donasi]]</f>
        <v>1000000</v>
      </c>
      <c r="I355" s="214" t="str">
        <f>IF(List34[[#This Row],[Tanggal Trf]]&gt;0,"Done","-")</f>
        <v>Done</v>
      </c>
      <c r="J355" s="445" t="s">
        <v>1162</v>
      </c>
      <c r="K355" s="484">
        <v>44771</v>
      </c>
      <c r="L355" s="100" t="s">
        <v>540</v>
      </c>
      <c r="M355" s="100">
        <f>MONTH(List34[[#This Row],[Tanggal Pengajuan]])</f>
        <v>5</v>
      </c>
      <c r="N355" s="183"/>
      <c r="O355" s="105" t="s">
        <v>1180</v>
      </c>
      <c r="P355" s="111"/>
      <c r="Q355" s="230" t="s">
        <v>958</v>
      </c>
      <c r="S355" s="275">
        <f>+List34[[#This Row],[Pengajuan Donasi]]-List34[[#This Row],[Jumlah Transfer]]</f>
        <v>0</v>
      </c>
      <c r="T355" s="275"/>
    </row>
    <row r="356" spans="1:20" s="4" customFormat="1" ht="30" customHeight="1" x14ac:dyDescent="0.2">
      <c r="A356" s="102">
        <v>44775</v>
      </c>
      <c r="B356" s="67" t="s">
        <v>1196</v>
      </c>
      <c r="C356" s="14" t="s">
        <v>392</v>
      </c>
      <c r="D356" s="103" t="s">
        <v>57</v>
      </c>
      <c r="E356" s="103" t="s">
        <v>18</v>
      </c>
      <c r="F356" s="471">
        <v>75</v>
      </c>
      <c r="G356" s="258">
        <v>10000000</v>
      </c>
      <c r="H356" s="258">
        <f>List34[[#This Row],[Pengajuan Donasi]]</f>
        <v>750000</v>
      </c>
      <c r="I356" s="214" t="str">
        <f>IF(List34[[#This Row],[Tanggal Trf]]&gt;0,"Done","-")</f>
        <v>Done</v>
      </c>
      <c r="J356" s="445"/>
      <c r="K356" s="484">
        <v>44803</v>
      </c>
      <c r="L356" s="100" t="s">
        <v>540</v>
      </c>
      <c r="M356" s="100">
        <f>MONTH(List34[[#This Row],[Tanggal Pengajuan]])</f>
        <v>5</v>
      </c>
      <c r="N356" s="183"/>
      <c r="O356" s="105" t="s">
        <v>1268</v>
      </c>
      <c r="P356" s="111"/>
      <c r="Q356" s="230" t="s">
        <v>958</v>
      </c>
      <c r="S356" s="275">
        <f>+List34[[#This Row],[Pengajuan Donasi]]-List34[[#This Row],[Jumlah Transfer]]</f>
        <v>0</v>
      </c>
      <c r="T356" s="275">
        <f>SUM(G349:G356)</f>
        <v>80000000</v>
      </c>
    </row>
    <row r="357" spans="1:20" s="8" customFormat="1" ht="30" customHeight="1" x14ac:dyDescent="0.2">
      <c r="A357" s="644"/>
      <c r="B357" s="645"/>
      <c r="C357" s="403"/>
      <c r="D357" s="406"/>
      <c r="E357" s="406"/>
      <c r="F357" s="726"/>
      <c r="G357" s="727"/>
      <c r="H357" s="727"/>
      <c r="I357" s="648"/>
      <c r="J357" s="728"/>
      <c r="K357" s="649"/>
      <c r="L357" s="403"/>
      <c r="M357" s="403"/>
      <c r="N357" s="650"/>
      <c r="O357" s="406"/>
      <c r="P357" s="651"/>
      <c r="Q357" s="709"/>
      <c r="S357" s="639"/>
      <c r="T357" s="639"/>
    </row>
    <row r="358" spans="1:20" s="4" customFormat="1" ht="30" customHeight="1" x14ac:dyDescent="0.2">
      <c r="A358" s="102">
        <v>44746</v>
      </c>
      <c r="B358" s="163" t="s">
        <v>1138</v>
      </c>
      <c r="C358" s="164" t="s">
        <v>486</v>
      </c>
      <c r="D358" s="168" t="s">
        <v>57</v>
      </c>
      <c r="E358" s="168" t="s">
        <v>18</v>
      </c>
      <c r="F358" s="470">
        <v>44</v>
      </c>
      <c r="G358" s="261"/>
      <c r="H358" s="261">
        <f>List34[[#This Row],[Pengajuan Donasi]]</f>
        <v>1000000</v>
      </c>
      <c r="I358" s="253" t="str">
        <f>IF(List34[[#This Row],[Tanggal Trf]]&gt;0,"Done","-")</f>
        <v>Done</v>
      </c>
      <c r="J358" s="447" t="s">
        <v>1161</v>
      </c>
      <c r="K358" s="615"/>
      <c r="L358" s="193" t="s">
        <v>709</v>
      </c>
      <c r="M358" s="193">
        <f>MONTH(List34[[#This Row],[Tanggal Pengajuan]])</f>
        <v>5</v>
      </c>
      <c r="N358" s="194"/>
      <c r="O358" s="166" t="s">
        <v>1189</v>
      </c>
      <c r="P358" s="111"/>
      <c r="Q358" s="230" t="s">
        <v>958</v>
      </c>
      <c r="S358" s="275">
        <f>+List34[[#This Row],[Pengajuan Donasi]]-List34[[#This Row],[Jumlah Transfer]]</f>
        <v>0</v>
      </c>
      <c r="T358" s="275"/>
    </row>
    <row r="359" spans="1:20" s="4" customFormat="1" ht="30" customHeight="1" x14ac:dyDescent="0.2">
      <c r="A359" s="102">
        <v>44775</v>
      </c>
      <c r="B359" s="67" t="s">
        <v>1195</v>
      </c>
      <c r="C359" s="164" t="s">
        <v>486</v>
      </c>
      <c r="D359" s="168" t="s">
        <v>57</v>
      </c>
      <c r="E359" s="168" t="s">
        <v>18</v>
      </c>
      <c r="F359" s="470">
        <v>44</v>
      </c>
      <c r="G359" s="261">
        <v>0</v>
      </c>
      <c r="H359" s="261">
        <f>List34[[#This Row],[Pengajuan Donasi]]</f>
        <v>1000000</v>
      </c>
      <c r="I359" s="253" t="str">
        <f>IF(List34[[#This Row],[Tanggal Trf]]&gt;0,"Done","-")</f>
        <v>Done</v>
      </c>
      <c r="J359" s="447" t="s">
        <v>1210</v>
      </c>
      <c r="K359" s="615"/>
      <c r="L359" s="193" t="s">
        <v>709</v>
      </c>
      <c r="M359" s="193">
        <f>MONTH(List34[[#This Row],[Tanggal Pengajuan]])</f>
        <v>5</v>
      </c>
      <c r="N359" s="194" t="s">
        <v>960</v>
      </c>
      <c r="O359" s="166" t="s">
        <v>960</v>
      </c>
      <c r="P359" s="111"/>
      <c r="Q359" s="230" t="s">
        <v>958</v>
      </c>
      <c r="S359" s="275">
        <f>+List34[[#This Row],[Pengajuan Donasi]]-List34[[#This Row],[Jumlah Transfer]]</f>
        <v>0</v>
      </c>
      <c r="T359" s="275"/>
    </row>
    <row r="360" spans="1:20" s="8" customFormat="1" ht="30" customHeight="1" x14ac:dyDescent="0.2">
      <c r="A360" s="644"/>
      <c r="B360" s="645"/>
      <c r="C360" s="405"/>
      <c r="D360" s="729"/>
      <c r="E360" s="729"/>
      <c r="F360" s="702"/>
      <c r="G360" s="703"/>
      <c r="H360" s="703"/>
      <c r="I360" s="730"/>
      <c r="J360" s="705"/>
      <c r="K360" s="731"/>
      <c r="L360" s="405"/>
      <c r="M360" s="405"/>
      <c r="N360" s="715"/>
      <c r="O360" s="729"/>
      <c r="P360" s="651"/>
      <c r="Q360" s="709"/>
      <c r="S360" s="639"/>
      <c r="T360" s="639"/>
    </row>
    <row r="361" spans="1:20" s="4" customFormat="1" ht="30" customHeight="1" x14ac:dyDescent="0.2">
      <c r="A361" s="102">
        <v>44711</v>
      </c>
      <c r="B361" s="67" t="s">
        <v>1062</v>
      </c>
      <c r="C361" s="14" t="s">
        <v>558</v>
      </c>
      <c r="D361" s="103" t="s">
        <v>57</v>
      </c>
      <c r="E361" s="103" t="s">
        <v>28</v>
      </c>
      <c r="F361" s="15">
        <v>25</v>
      </c>
      <c r="G361" s="258">
        <v>25000000</v>
      </c>
      <c r="H361" s="258">
        <f>List34[[#This Row],[Pengajuan Donasi]]</f>
        <v>2640000</v>
      </c>
      <c r="I361" s="213" t="str">
        <f>IF(List34[[#This Row],[Tanggal Trf]]&gt;0,"Done","-")</f>
        <v>Done</v>
      </c>
      <c r="J361" s="445"/>
      <c r="K361" s="221">
        <v>44715</v>
      </c>
      <c r="L361" s="100" t="s">
        <v>556</v>
      </c>
      <c r="M361" s="200">
        <f>MONTH(List34[[#This Row],[Tanggal Pengajuan]])</f>
        <v>5</v>
      </c>
      <c r="N361" s="183">
        <v>44747</v>
      </c>
      <c r="O361" s="105" t="s">
        <v>932</v>
      </c>
      <c r="P361" s="111"/>
      <c r="Q361" s="230" t="s">
        <v>958</v>
      </c>
      <c r="S361" s="275">
        <f>+List34[[#This Row],[Pengajuan Donasi]]-List34[[#This Row],[Jumlah Transfer]]</f>
        <v>0</v>
      </c>
      <c r="T361" s="275"/>
    </row>
    <row r="362" spans="1:20" s="4" customFormat="1" ht="30" customHeight="1" x14ac:dyDescent="0.2">
      <c r="A362" s="102">
        <v>44804</v>
      </c>
      <c r="B362" s="67" t="s">
        <v>1301</v>
      </c>
      <c r="C362" s="14" t="s">
        <v>558</v>
      </c>
      <c r="D362" s="103" t="s">
        <v>57</v>
      </c>
      <c r="E362" s="103" t="s">
        <v>28</v>
      </c>
      <c r="F362" s="471">
        <v>5</v>
      </c>
      <c r="G362" s="258">
        <v>21000000</v>
      </c>
      <c r="H362" s="258">
        <f>List34[[#This Row],[Pengajuan Donasi]]</f>
        <v>10000000</v>
      </c>
      <c r="I362" s="213" t="str">
        <f>IF(List34[[#This Row],[Tanggal Trf]]&gt;0,"Done","-")</f>
        <v>Done</v>
      </c>
      <c r="J362" s="445" t="s">
        <v>1300</v>
      </c>
      <c r="K362" s="484">
        <v>44805</v>
      </c>
      <c r="L362" s="100" t="s">
        <v>556</v>
      </c>
      <c r="M362" s="100">
        <f>MONTH(List34[[#This Row],[Tanggal Pengajuan]])</f>
        <v>5</v>
      </c>
      <c r="N362" s="183"/>
      <c r="O362" s="105" t="s">
        <v>888</v>
      </c>
      <c r="P362" s="111"/>
      <c r="Q362" s="230" t="s">
        <v>958</v>
      </c>
      <c r="S362" s="275">
        <f>+List34[[#This Row],[Pengajuan Donasi]]-List34[[#This Row],[Jumlah Transfer]]</f>
        <v>0</v>
      </c>
      <c r="T362" s="275">
        <f>SUM(G361:G362)</f>
        <v>46000000</v>
      </c>
    </row>
    <row r="363" spans="1:20" s="4" customFormat="1" ht="30" customHeight="1" x14ac:dyDescent="0.2">
      <c r="A363" s="102">
        <v>44567</v>
      </c>
      <c r="B363" s="595" t="s">
        <v>220</v>
      </c>
      <c r="C363" s="14" t="s">
        <v>420</v>
      </c>
      <c r="D363" s="103" t="s">
        <v>57</v>
      </c>
      <c r="E363" s="103" t="s">
        <v>18</v>
      </c>
      <c r="F363" s="15">
        <v>29</v>
      </c>
      <c r="G363" s="258">
        <v>10000000</v>
      </c>
      <c r="H363" s="258">
        <f>List34[[#This Row],[Pengajuan Donasi]]</f>
        <v>2520000</v>
      </c>
      <c r="I363" s="213" t="str">
        <f>IF(List34[[#This Row],[Tanggal Trf]]&gt;0,"Done","-")</f>
        <v>Done</v>
      </c>
      <c r="J363" s="445"/>
      <c r="K363" s="221">
        <v>44580</v>
      </c>
      <c r="L363" s="100" t="s">
        <v>534</v>
      </c>
      <c r="M363" s="100">
        <f>MONTH(List34[[#This Row],[Tanggal Pengajuan]])</f>
        <v>5</v>
      </c>
      <c r="N363" s="183"/>
      <c r="O363" s="105" t="s">
        <v>651</v>
      </c>
      <c r="P363" s="111"/>
      <c r="Q363" s="230" t="s">
        <v>958</v>
      </c>
      <c r="S363" s="275">
        <f>+List34[[#This Row],[Pengajuan Donasi]]-List34[[#This Row],[Jumlah Transfer]]</f>
        <v>0</v>
      </c>
      <c r="T363" s="275"/>
    </row>
    <row r="364" spans="1:20" s="4" customFormat="1" ht="30" customHeight="1" x14ac:dyDescent="0.2">
      <c r="A364" s="102">
        <v>44599</v>
      </c>
      <c r="B364" s="67" t="s">
        <v>718</v>
      </c>
      <c r="C364" s="14" t="s">
        <v>420</v>
      </c>
      <c r="D364" s="103" t="s">
        <v>57</v>
      </c>
      <c r="E364" s="103" t="s">
        <v>18</v>
      </c>
      <c r="F364" s="15">
        <v>29</v>
      </c>
      <c r="G364" s="258">
        <v>10000000</v>
      </c>
      <c r="H364" s="258">
        <f>List34[[#This Row],[Pengajuan Donasi]]</f>
        <v>0</v>
      </c>
      <c r="I364" s="213" t="str">
        <f>IF(List34[[#This Row],[Tanggal Trf]]&gt;0,"Done","-")</f>
        <v>-</v>
      </c>
      <c r="J364" s="445"/>
      <c r="K364" s="221">
        <v>44607</v>
      </c>
      <c r="L364" s="100" t="s">
        <v>534</v>
      </c>
      <c r="M364" s="100">
        <f>MONTH(List34[[#This Row],[Tanggal Pengajuan]])</f>
        <v>5</v>
      </c>
      <c r="N364" s="183"/>
      <c r="O364" s="105" t="s">
        <v>707</v>
      </c>
      <c r="P364" s="111"/>
      <c r="Q364" s="230" t="s">
        <v>958</v>
      </c>
      <c r="S364" s="275">
        <f>+List34[[#This Row],[Pengajuan Donasi]]-List34[[#This Row],[Jumlah Transfer]]</f>
        <v>0</v>
      </c>
      <c r="T364" s="275"/>
    </row>
    <row r="365" spans="1:20" s="4" customFormat="1" ht="30" customHeight="1" x14ac:dyDescent="0.2">
      <c r="A365" s="102">
        <v>44624</v>
      </c>
      <c r="B365" s="67" t="s">
        <v>751</v>
      </c>
      <c r="C365" s="14" t="s">
        <v>420</v>
      </c>
      <c r="D365" s="103" t="s">
        <v>57</v>
      </c>
      <c r="E365" s="103" t="s">
        <v>18</v>
      </c>
      <c r="F365" s="15">
        <v>29</v>
      </c>
      <c r="G365" s="258">
        <v>10000000</v>
      </c>
      <c r="H365" s="258">
        <v>10000000</v>
      </c>
      <c r="I365" s="213" t="str">
        <f>IF(List34[[#This Row],[Tanggal Trf]]&gt;0,"Done","-")</f>
        <v>-</v>
      </c>
      <c r="J365" s="445"/>
      <c r="K365" s="221">
        <v>44630</v>
      </c>
      <c r="L365" s="100" t="s">
        <v>534</v>
      </c>
      <c r="M365" s="100">
        <f>MONTH(List34[[#This Row],[Tanggal Pengajuan]])</f>
        <v>5</v>
      </c>
      <c r="N365" s="183"/>
      <c r="O365" s="105" t="s">
        <v>746</v>
      </c>
      <c r="P365" s="111"/>
      <c r="Q365" s="230" t="s">
        <v>958</v>
      </c>
      <c r="S365" s="275">
        <f>+List34[[#This Row],[Pengajuan Donasi]]-List34[[#This Row],[Jumlah Transfer]]</f>
        <v>0</v>
      </c>
      <c r="T365" s="275"/>
    </row>
    <row r="366" spans="1:20" s="4" customFormat="1" ht="30" customHeight="1" x14ac:dyDescent="0.2">
      <c r="A366" s="13">
        <v>44658</v>
      </c>
      <c r="B366" s="599" t="s">
        <v>808</v>
      </c>
      <c r="C366" s="14" t="s">
        <v>420</v>
      </c>
      <c r="D366" s="14" t="s">
        <v>57</v>
      </c>
      <c r="E366" s="14" t="s">
        <v>18</v>
      </c>
      <c r="F366" s="15">
        <v>29</v>
      </c>
      <c r="G366" s="258">
        <v>10000000</v>
      </c>
      <c r="H366" s="258">
        <f>List34[[#This Row],[Pengajuan Donasi]]</f>
        <v>0</v>
      </c>
      <c r="I366" s="214" t="str">
        <f>IF(List34[[#This Row],[Tanggal Trf]]&gt;0,"Done","-")</f>
        <v>-</v>
      </c>
      <c r="J366" s="437"/>
      <c r="K366" s="221">
        <v>44663</v>
      </c>
      <c r="L366" s="14" t="s">
        <v>534</v>
      </c>
      <c r="M366" s="100">
        <f>MONTH(List34[[#This Row],[Tanggal Pengajuan]])</f>
        <v>5</v>
      </c>
      <c r="N366" s="183">
        <v>44673</v>
      </c>
      <c r="O366" s="100" t="s">
        <v>795</v>
      </c>
      <c r="P366" s="111"/>
      <c r="Q366" s="230" t="s">
        <v>958</v>
      </c>
      <c r="S366" s="275">
        <f>+List34[[#This Row],[Pengajuan Donasi]]-List34[[#This Row],[Jumlah Transfer]]</f>
        <v>0</v>
      </c>
      <c r="T366" s="275"/>
    </row>
    <row r="367" spans="1:20" s="4" customFormat="1" ht="30" customHeight="1" x14ac:dyDescent="0.2">
      <c r="A367" s="13">
        <v>44687</v>
      </c>
      <c r="B367" s="67" t="s">
        <v>946</v>
      </c>
      <c r="C367" s="14" t="s">
        <v>420</v>
      </c>
      <c r="D367" s="14" t="s">
        <v>57</v>
      </c>
      <c r="E367" s="14" t="s">
        <v>18</v>
      </c>
      <c r="F367" s="15">
        <v>29</v>
      </c>
      <c r="G367" s="258">
        <v>10000000</v>
      </c>
      <c r="H367" s="258">
        <f>List34[[#This Row],[Pengajuan Donasi]]</f>
        <v>0</v>
      </c>
      <c r="I367" s="214" t="str">
        <f>IF(List34[[#This Row],[Tanggal Trf]]&gt;0,"Done","-")</f>
        <v>-</v>
      </c>
      <c r="J367" s="437"/>
      <c r="K367" s="221">
        <v>44706</v>
      </c>
      <c r="L367" s="14" t="s">
        <v>534</v>
      </c>
      <c r="M367" s="100">
        <f>MONTH(List34[[#This Row],[Tanggal Pengajuan]])</f>
        <v>5</v>
      </c>
      <c r="N367" s="183">
        <v>44694</v>
      </c>
      <c r="O367" s="100" t="s">
        <v>932</v>
      </c>
      <c r="P367" s="111"/>
      <c r="Q367" s="230" t="s">
        <v>958</v>
      </c>
      <c r="S367" s="275">
        <f>+List34[[#This Row],[Pengajuan Donasi]]-List34[[#This Row],[Jumlah Transfer]]</f>
        <v>0</v>
      </c>
      <c r="T367" s="275"/>
    </row>
    <row r="368" spans="1:20" s="4" customFormat="1" ht="30" customHeight="1" x14ac:dyDescent="0.2">
      <c r="A368" s="13">
        <v>44715</v>
      </c>
      <c r="B368" s="67" t="s">
        <v>1082</v>
      </c>
      <c r="C368" s="14" t="s">
        <v>420</v>
      </c>
      <c r="D368" s="14" t="s">
        <v>57</v>
      </c>
      <c r="E368" s="14" t="s">
        <v>18</v>
      </c>
      <c r="F368" s="15">
        <v>29</v>
      </c>
      <c r="G368" s="258">
        <v>10000000</v>
      </c>
      <c r="H368" s="258">
        <f>List34[[#This Row],[Pengajuan Donasi]]</f>
        <v>0</v>
      </c>
      <c r="I368" s="214" t="str">
        <f>IF(List34[[#This Row],[Tanggal Trf]]&gt;0,"Done","-")</f>
        <v>-</v>
      </c>
      <c r="J368" s="437"/>
      <c r="K368" s="221">
        <v>44721</v>
      </c>
      <c r="L368" s="14" t="s">
        <v>534</v>
      </c>
      <c r="M368" s="100">
        <f>MONTH(List34[[#This Row],[Tanggal Pengajuan]])</f>
        <v>5</v>
      </c>
      <c r="N368" s="183">
        <v>44748</v>
      </c>
      <c r="O368" s="100" t="s">
        <v>1116</v>
      </c>
      <c r="P368" s="111"/>
      <c r="Q368" s="230" t="s">
        <v>958</v>
      </c>
      <c r="S368" s="275">
        <f>+List34[[#This Row],[Pengajuan Donasi]]-List34[[#This Row],[Jumlah Transfer]]</f>
        <v>0</v>
      </c>
      <c r="T368" s="275"/>
    </row>
    <row r="369" spans="1:20" s="4" customFormat="1" ht="30" customHeight="1" x14ac:dyDescent="0.2">
      <c r="A369" s="13">
        <v>44746</v>
      </c>
      <c r="B369" s="67" t="s">
        <v>1141</v>
      </c>
      <c r="C369" s="14" t="s">
        <v>420</v>
      </c>
      <c r="D369" s="14" t="s">
        <v>57</v>
      </c>
      <c r="E369" s="14" t="s">
        <v>18</v>
      </c>
      <c r="F369" s="471">
        <v>29</v>
      </c>
      <c r="G369" s="258">
        <v>10000000</v>
      </c>
      <c r="H369" s="258">
        <f>List34[[#This Row],[Pengajuan Donasi]]</f>
        <v>0</v>
      </c>
      <c r="I369" s="214" t="str">
        <f>IF(List34[[#This Row],[Tanggal Trf]]&gt;0,"Done","-")</f>
        <v>-</v>
      </c>
      <c r="J369" s="437" t="s">
        <v>1164</v>
      </c>
      <c r="K369" s="484">
        <v>44764</v>
      </c>
      <c r="L369" s="14" t="s">
        <v>534</v>
      </c>
      <c r="M369" s="100">
        <f>MONTH(List34[[#This Row],[Tanggal Pengajuan]])</f>
        <v>5</v>
      </c>
      <c r="N369" s="183"/>
      <c r="O369" s="100" t="s">
        <v>1180</v>
      </c>
      <c r="P369" s="111"/>
      <c r="Q369" s="230" t="s">
        <v>958</v>
      </c>
      <c r="S369" s="275">
        <f>+List34[[#This Row],[Pengajuan Donasi]]-List34[[#This Row],[Jumlah Transfer]]</f>
        <v>0</v>
      </c>
      <c r="T369" s="275"/>
    </row>
    <row r="370" spans="1:20" s="4" customFormat="1" ht="30" customHeight="1" x14ac:dyDescent="0.2">
      <c r="A370" s="13">
        <v>44775</v>
      </c>
      <c r="B370" s="67" t="s">
        <v>1198</v>
      </c>
      <c r="C370" s="14" t="s">
        <v>420</v>
      </c>
      <c r="D370" s="14" t="s">
        <v>57</v>
      </c>
      <c r="E370" s="14" t="s">
        <v>18</v>
      </c>
      <c r="F370" s="471">
        <v>29</v>
      </c>
      <c r="G370" s="258">
        <v>10000000</v>
      </c>
      <c r="H370" s="258">
        <f>List34[[#This Row],[Pengajuan Donasi]]</f>
        <v>0</v>
      </c>
      <c r="I370" s="214" t="str">
        <f>IF(List34[[#This Row],[Tanggal Trf]]&gt;0,"Done","-")</f>
        <v>-</v>
      </c>
      <c r="J370" s="437"/>
      <c r="K370" s="484">
        <v>44792</v>
      </c>
      <c r="L370" s="14" t="s">
        <v>534</v>
      </c>
      <c r="M370" s="100">
        <f>MONTH(List34[[#This Row],[Tanggal Pengajuan]])</f>
        <v>5</v>
      </c>
      <c r="N370" s="183"/>
      <c r="O370" s="100" t="s">
        <v>1268</v>
      </c>
      <c r="P370" s="111"/>
      <c r="Q370" s="230" t="s">
        <v>958</v>
      </c>
      <c r="S370" s="275">
        <f>+List34[[#This Row],[Pengajuan Donasi]]-List34[[#This Row],[Jumlah Transfer]]</f>
        <v>0</v>
      </c>
      <c r="T370" s="275">
        <f>SUM(G363:G370)</f>
        <v>80000000</v>
      </c>
    </row>
    <row r="371" spans="1:20" s="4" customFormat="1" ht="30" customHeight="1" x14ac:dyDescent="0.2">
      <c r="A371" s="13">
        <v>44567</v>
      </c>
      <c r="B371" s="595" t="s">
        <v>321</v>
      </c>
      <c r="C371" s="14" t="s">
        <v>429</v>
      </c>
      <c r="D371" s="14" t="s">
        <v>57</v>
      </c>
      <c r="E371" s="14" t="s">
        <v>18</v>
      </c>
      <c r="F371" s="477">
        <v>38</v>
      </c>
      <c r="G371" s="258">
        <v>5000000</v>
      </c>
      <c r="H371" s="258">
        <f>List34[[#This Row],[Pengajuan Donasi]]</f>
        <v>0</v>
      </c>
      <c r="I371" s="214" t="str">
        <f>IF(List34[[#This Row],[Tanggal Trf]]&gt;0,"Done","-")</f>
        <v>-</v>
      </c>
      <c r="J371" s="437"/>
      <c r="K371" s="221">
        <v>44580</v>
      </c>
      <c r="L371" s="14" t="s">
        <v>537</v>
      </c>
      <c r="M371" s="100">
        <f>MONTH(List34[[#This Row],[Tanggal Pengajuan]])</f>
        <v>5</v>
      </c>
      <c r="N371" s="183"/>
      <c r="O371" s="100" t="s">
        <v>651</v>
      </c>
      <c r="P371" s="111"/>
      <c r="Q371" s="230" t="s">
        <v>958</v>
      </c>
      <c r="S371" s="275">
        <f>+List34[[#This Row],[Pengajuan Donasi]]-List34[[#This Row],[Jumlah Transfer]]</f>
        <v>0</v>
      </c>
      <c r="T371" s="275"/>
    </row>
    <row r="372" spans="1:20" s="4" customFormat="1" ht="30" customHeight="1" x14ac:dyDescent="0.2">
      <c r="A372" s="13">
        <v>44599</v>
      </c>
      <c r="B372" s="67" t="s">
        <v>719</v>
      </c>
      <c r="C372" s="14" t="s">
        <v>429</v>
      </c>
      <c r="D372" s="14" t="s">
        <v>57</v>
      </c>
      <c r="E372" s="14" t="s">
        <v>18</v>
      </c>
      <c r="F372" s="15">
        <v>38</v>
      </c>
      <c r="G372" s="258">
        <v>5000000</v>
      </c>
      <c r="H372" s="258">
        <f>List34[[#This Row],[Pengajuan Donasi]]</f>
        <v>0</v>
      </c>
      <c r="I372" s="214" t="str">
        <f>IF(List34[[#This Row],[Tanggal Trf]]&gt;0,"Done","-")</f>
        <v>-</v>
      </c>
      <c r="J372" s="437"/>
      <c r="K372" s="221">
        <v>44607</v>
      </c>
      <c r="L372" s="14" t="s">
        <v>537</v>
      </c>
      <c r="M372" s="100">
        <f>MONTH(List34[[#This Row],[Tanggal Pengajuan]])</f>
        <v>5</v>
      </c>
      <c r="N372" s="183"/>
      <c r="O372" s="100" t="s">
        <v>707</v>
      </c>
      <c r="P372" s="111"/>
      <c r="Q372" s="230" t="s">
        <v>958</v>
      </c>
      <c r="S372" s="275">
        <f>+List34[[#This Row],[Pengajuan Donasi]]-List34[[#This Row],[Jumlah Transfer]]</f>
        <v>0</v>
      </c>
      <c r="T372" s="275"/>
    </row>
    <row r="373" spans="1:20" s="4" customFormat="1" ht="30" customHeight="1" x14ac:dyDescent="0.2">
      <c r="A373" s="13">
        <v>44624</v>
      </c>
      <c r="B373" s="67" t="s">
        <v>752</v>
      </c>
      <c r="C373" s="14" t="s">
        <v>429</v>
      </c>
      <c r="D373" s="14" t="s">
        <v>57</v>
      </c>
      <c r="E373" s="14" t="s">
        <v>18</v>
      </c>
      <c r="F373" s="15">
        <v>38</v>
      </c>
      <c r="G373" s="258">
        <v>5000000</v>
      </c>
      <c r="H373" s="258">
        <v>5000000</v>
      </c>
      <c r="I373" s="214" t="str">
        <f>IF(List34[[#This Row],[Tanggal Trf]]&gt;0,"Done","-")</f>
        <v>-</v>
      </c>
      <c r="J373" s="437"/>
      <c r="K373" s="221">
        <v>44630</v>
      </c>
      <c r="L373" s="14" t="s">
        <v>537</v>
      </c>
      <c r="M373" s="100">
        <f>MONTH(List34[[#This Row],[Tanggal Pengajuan]])</f>
        <v>5</v>
      </c>
      <c r="N373" s="183"/>
      <c r="O373" s="100" t="s">
        <v>746</v>
      </c>
      <c r="P373" s="111"/>
      <c r="Q373" s="230" t="s">
        <v>958</v>
      </c>
      <c r="S373" s="275">
        <f>+List34[[#This Row],[Pengajuan Donasi]]-List34[[#This Row],[Jumlah Transfer]]</f>
        <v>0</v>
      </c>
      <c r="T373" s="275"/>
    </row>
    <row r="374" spans="1:20" s="4" customFormat="1" ht="30" customHeight="1" x14ac:dyDescent="0.2">
      <c r="A374" s="13">
        <v>44658</v>
      </c>
      <c r="B374" s="67" t="s">
        <v>807</v>
      </c>
      <c r="C374" s="14" t="s">
        <v>429</v>
      </c>
      <c r="D374" s="14" t="s">
        <v>57</v>
      </c>
      <c r="E374" s="14" t="s">
        <v>18</v>
      </c>
      <c r="F374" s="15">
        <v>38</v>
      </c>
      <c r="G374" s="258">
        <v>15000000</v>
      </c>
      <c r="H374" s="258">
        <f>List34[[#This Row],[Pengajuan Donasi]]</f>
        <v>0</v>
      </c>
      <c r="I374" s="214" t="str">
        <f>IF(List34[[#This Row],[Tanggal Trf]]&gt;0,"Done","-")</f>
        <v>-</v>
      </c>
      <c r="J374" s="437"/>
      <c r="K374" s="221">
        <v>44663</v>
      </c>
      <c r="L374" s="14" t="s">
        <v>537</v>
      </c>
      <c r="M374" s="100">
        <f>MONTH(List34[[#This Row],[Tanggal Pengajuan]])</f>
        <v>5</v>
      </c>
      <c r="N374" s="183">
        <v>44673</v>
      </c>
      <c r="O374" s="100" t="s">
        <v>795</v>
      </c>
      <c r="P374" s="111"/>
      <c r="Q374" s="230" t="s">
        <v>958</v>
      </c>
      <c r="S374" s="275">
        <f>+List34[[#This Row],[Pengajuan Donasi]]-List34[[#This Row],[Jumlah Transfer]]</f>
        <v>0</v>
      </c>
      <c r="T374" s="275"/>
    </row>
    <row r="375" spans="1:20" s="4" customFormat="1" ht="30" customHeight="1" x14ac:dyDescent="0.2">
      <c r="A375" s="13">
        <v>44687</v>
      </c>
      <c r="B375" s="67" t="s">
        <v>945</v>
      </c>
      <c r="C375" s="14" t="s">
        <v>429</v>
      </c>
      <c r="D375" s="14" t="s">
        <v>57</v>
      </c>
      <c r="E375" s="14" t="s">
        <v>18</v>
      </c>
      <c r="F375" s="15">
        <v>38</v>
      </c>
      <c r="G375" s="258">
        <v>15000000</v>
      </c>
      <c r="H375" s="258">
        <f>List34[[#This Row],[Pengajuan Donasi]]</f>
        <v>0</v>
      </c>
      <c r="I375" s="214" t="str">
        <f>IF(List34[[#This Row],[Tanggal Trf]]&gt;0,"Done","-")</f>
        <v>-</v>
      </c>
      <c r="J375" s="437"/>
      <c r="K375" s="221">
        <v>44693</v>
      </c>
      <c r="L375" s="14" t="s">
        <v>537</v>
      </c>
      <c r="M375" s="100">
        <f>MONTH(List34[[#This Row],[Tanggal Pengajuan]])</f>
        <v>5</v>
      </c>
      <c r="N375" s="183">
        <v>44694</v>
      </c>
      <c r="O375" s="100" t="s">
        <v>932</v>
      </c>
      <c r="P375" s="111"/>
      <c r="Q375" s="230" t="s">
        <v>958</v>
      </c>
      <c r="S375" s="275">
        <f>+List34[[#This Row],[Pengajuan Donasi]]-List34[[#This Row],[Jumlah Transfer]]</f>
        <v>0</v>
      </c>
      <c r="T375" s="275"/>
    </row>
    <row r="376" spans="1:20" s="4" customFormat="1" ht="30" customHeight="1" x14ac:dyDescent="0.2">
      <c r="A376" s="13">
        <v>44715</v>
      </c>
      <c r="B376" s="67" t="s">
        <v>1081</v>
      </c>
      <c r="C376" s="14" t="s">
        <v>429</v>
      </c>
      <c r="D376" s="14" t="s">
        <v>57</v>
      </c>
      <c r="E376" s="14" t="s">
        <v>18</v>
      </c>
      <c r="F376" s="15">
        <v>38</v>
      </c>
      <c r="G376" s="258">
        <v>15000000</v>
      </c>
      <c r="H376" s="258">
        <f>List34[[#This Row],[Pengajuan Donasi]]</f>
        <v>0</v>
      </c>
      <c r="I376" s="214" t="str">
        <f>IF(List34[[#This Row],[Tanggal Trf]]&gt;0,"Done","-")</f>
        <v>-</v>
      </c>
      <c r="J376" s="437"/>
      <c r="K376" s="221">
        <v>44721</v>
      </c>
      <c r="L376" s="14" t="s">
        <v>537</v>
      </c>
      <c r="M376" s="100">
        <f>MONTH(List34[[#This Row],[Tanggal Pengajuan]])</f>
        <v>5</v>
      </c>
      <c r="N376" s="183">
        <v>44748</v>
      </c>
      <c r="O376" s="100" t="s">
        <v>1116</v>
      </c>
      <c r="P376" s="111"/>
      <c r="Q376" s="230" t="s">
        <v>958</v>
      </c>
      <c r="S376" s="275">
        <f>+List34[[#This Row],[Pengajuan Donasi]]-List34[[#This Row],[Jumlah Transfer]]</f>
        <v>0</v>
      </c>
      <c r="T376" s="275"/>
    </row>
    <row r="377" spans="1:20" s="4" customFormat="1" ht="30" customHeight="1" x14ac:dyDescent="0.2">
      <c r="A377" s="13">
        <v>44746</v>
      </c>
      <c r="B377" s="67" t="s">
        <v>1140</v>
      </c>
      <c r="C377" s="14" t="s">
        <v>429</v>
      </c>
      <c r="D377" s="14" t="s">
        <v>57</v>
      </c>
      <c r="E377" s="14" t="s">
        <v>18</v>
      </c>
      <c r="F377" s="471">
        <v>38</v>
      </c>
      <c r="G377" s="258">
        <v>10000000</v>
      </c>
      <c r="H377" s="258">
        <f>List34[[#This Row],[Pengajuan Donasi]]</f>
        <v>0</v>
      </c>
      <c r="I377" s="214" t="str">
        <f>IF(List34[[#This Row],[Tanggal Trf]]&gt;0,"Done","-")</f>
        <v>-</v>
      </c>
      <c r="J377" s="437" t="s">
        <v>1163</v>
      </c>
      <c r="K377" s="484">
        <v>44764</v>
      </c>
      <c r="L377" s="14" t="s">
        <v>537</v>
      </c>
      <c r="M377" s="100">
        <f>MONTH(List34[[#This Row],[Tanggal Pengajuan]])</f>
        <v>5</v>
      </c>
      <c r="N377" s="183"/>
      <c r="O377" s="100" t="s">
        <v>1180</v>
      </c>
      <c r="P377" s="111"/>
      <c r="Q377" s="230" t="s">
        <v>958</v>
      </c>
      <c r="S377" s="275">
        <f>+List34[[#This Row],[Pengajuan Donasi]]-List34[[#This Row],[Jumlah Transfer]]</f>
        <v>0</v>
      </c>
      <c r="T377" s="275"/>
    </row>
    <row r="378" spans="1:20" s="4" customFormat="1" ht="30" customHeight="1" x14ac:dyDescent="0.2">
      <c r="A378" s="13">
        <v>44775</v>
      </c>
      <c r="B378" s="67" t="s">
        <v>1197</v>
      </c>
      <c r="C378" s="14" t="s">
        <v>429</v>
      </c>
      <c r="D378" s="14" t="s">
        <v>57</v>
      </c>
      <c r="E378" s="14" t="s">
        <v>18</v>
      </c>
      <c r="F378" s="471">
        <v>38</v>
      </c>
      <c r="G378" s="258">
        <v>10000000</v>
      </c>
      <c r="H378" s="258">
        <f>List34[[#This Row],[Pengajuan Donasi]]</f>
        <v>0</v>
      </c>
      <c r="I378" s="214" t="str">
        <f>IF(List34[[#This Row],[Tanggal Trf]]&gt;0,"Done","-")</f>
        <v>-</v>
      </c>
      <c r="J378" s="437"/>
      <c r="K378" s="484">
        <v>44792</v>
      </c>
      <c r="L378" s="14" t="s">
        <v>537</v>
      </c>
      <c r="M378" s="100">
        <f>MONTH(List34[[#This Row],[Tanggal Pengajuan]])</f>
        <v>5</v>
      </c>
      <c r="N378" s="183"/>
      <c r="O378" s="100" t="s">
        <v>1268</v>
      </c>
      <c r="P378" s="111"/>
      <c r="Q378" s="230" t="s">
        <v>958</v>
      </c>
      <c r="S378" s="275">
        <f>+List34[[#This Row],[Pengajuan Donasi]]-List34[[#This Row],[Jumlah Transfer]]</f>
        <v>0</v>
      </c>
      <c r="T378" s="275">
        <f>SUM(G371:G378)</f>
        <v>80000000</v>
      </c>
    </row>
    <row r="379" spans="1:20" s="4" customFormat="1" ht="30" customHeight="1" x14ac:dyDescent="0.2">
      <c r="A379" s="13">
        <v>44567</v>
      </c>
      <c r="B379" s="67" t="s">
        <v>662</v>
      </c>
      <c r="C379" s="14" t="s">
        <v>413</v>
      </c>
      <c r="D379" s="14" t="s">
        <v>57</v>
      </c>
      <c r="E379" s="14" t="s">
        <v>18</v>
      </c>
      <c r="F379" s="15">
        <v>16</v>
      </c>
      <c r="G379" s="258">
        <v>10000000</v>
      </c>
      <c r="H379" s="258">
        <f>List34[[#This Row],[Pengajuan Donasi]]</f>
        <v>6000000</v>
      </c>
      <c r="I379" s="213" t="str">
        <f>IF(List34[[#This Row],[Tanggal Trf]]&gt;0,"Done","-")</f>
        <v>Done</v>
      </c>
      <c r="J379" s="445"/>
      <c r="K379" s="221">
        <v>44580</v>
      </c>
      <c r="L379" s="100" t="s">
        <v>544</v>
      </c>
      <c r="M379" s="100">
        <f>MONTH(List34[[#This Row],[Tanggal Pengajuan]])</f>
        <v>5</v>
      </c>
      <c r="N379" s="183"/>
      <c r="O379" s="100" t="s">
        <v>651</v>
      </c>
      <c r="P379" s="111"/>
      <c r="Q379" s="230" t="s">
        <v>958</v>
      </c>
      <c r="S379" s="275">
        <f>+List34[[#This Row],[Pengajuan Donasi]]-List34[[#This Row],[Jumlah Transfer]]</f>
        <v>0</v>
      </c>
      <c r="T379" s="275"/>
    </row>
    <row r="380" spans="1:20" s="4" customFormat="1" ht="30" customHeight="1" x14ac:dyDescent="0.2">
      <c r="A380" s="13">
        <v>44599</v>
      </c>
      <c r="B380" s="67" t="s">
        <v>723</v>
      </c>
      <c r="C380" s="14" t="s">
        <v>413</v>
      </c>
      <c r="D380" s="103" t="s">
        <v>57</v>
      </c>
      <c r="E380" s="103" t="s">
        <v>18</v>
      </c>
      <c r="F380" s="15">
        <v>16</v>
      </c>
      <c r="G380" s="258">
        <v>10000000</v>
      </c>
      <c r="H380" s="258">
        <f>List34[[#This Row],[Pengajuan Donasi]]</f>
        <v>11875000</v>
      </c>
      <c r="I380" s="213" t="str">
        <f>IF(List34[[#This Row],[Tanggal Trf]]&gt;0,"Done","-")</f>
        <v>Done</v>
      </c>
      <c r="J380" s="437"/>
      <c r="K380" s="221">
        <v>44607</v>
      </c>
      <c r="L380" s="100" t="s">
        <v>544</v>
      </c>
      <c r="M380" s="100">
        <f>MONTH(List34[[#This Row],[Tanggal Pengajuan]])</f>
        <v>5</v>
      </c>
      <c r="N380" s="183"/>
      <c r="O380" s="100" t="s">
        <v>707</v>
      </c>
      <c r="P380" s="111"/>
      <c r="Q380" s="230" t="s">
        <v>958</v>
      </c>
      <c r="S380" s="275">
        <f>+List34[[#This Row],[Pengajuan Donasi]]-List34[[#This Row],[Jumlah Transfer]]</f>
        <v>0</v>
      </c>
      <c r="T380" s="275"/>
    </row>
    <row r="381" spans="1:20" s="4" customFormat="1" ht="30" customHeight="1" x14ac:dyDescent="0.2">
      <c r="A381" s="13">
        <v>44624</v>
      </c>
      <c r="B381" s="67" t="s">
        <v>755</v>
      </c>
      <c r="C381" s="14" t="s">
        <v>413</v>
      </c>
      <c r="D381" s="103" t="s">
        <v>57</v>
      </c>
      <c r="E381" s="103" t="s">
        <v>18</v>
      </c>
      <c r="F381" s="15">
        <v>16</v>
      </c>
      <c r="G381" s="258">
        <v>10000000</v>
      </c>
      <c r="H381" s="258">
        <v>10000000</v>
      </c>
      <c r="I381" s="213" t="str">
        <f>IF(List34[[#This Row],[Tanggal Trf]]&gt;0,"Done","-")</f>
        <v>Done</v>
      </c>
      <c r="J381" s="437"/>
      <c r="K381" s="221">
        <v>44630</v>
      </c>
      <c r="L381" s="100" t="s">
        <v>544</v>
      </c>
      <c r="M381" s="100">
        <f>MONTH(List34[[#This Row],[Tanggal Pengajuan]])</f>
        <v>5</v>
      </c>
      <c r="N381" s="183"/>
      <c r="O381" s="100" t="s">
        <v>746</v>
      </c>
      <c r="P381" s="111"/>
      <c r="Q381" s="230" t="s">
        <v>958</v>
      </c>
      <c r="S381" s="275">
        <f>+List34[[#This Row],[Pengajuan Donasi]]-List34[[#This Row],[Jumlah Transfer]]</f>
        <v>0</v>
      </c>
      <c r="T381" s="275"/>
    </row>
    <row r="382" spans="1:20" s="4" customFormat="1" ht="30" customHeight="1" x14ac:dyDescent="0.2">
      <c r="A382" s="13">
        <v>44658</v>
      </c>
      <c r="B382" s="67" t="s">
        <v>814</v>
      </c>
      <c r="C382" s="14" t="s">
        <v>413</v>
      </c>
      <c r="D382" s="14" t="s">
        <v>57</v>
      </c>
      <c r="E382" s="14" t="s">
        <v>18</v>
      </c>
      <c r="F382" s="15">
        <v>16</v>
      </c>
      <c r="G382" s="258">
        <v>10000000</v>
      </c>
      <c r="H382" s="258">
        <f>List34[[#This Row],[Pengajuan Donasi]]</f>
        <v>7950000</v>
      </c>
      <c r="I382" s="213" t="str">
        <f>IF(List34[[#This Row],[Tanggal Trf]]&gt;0,"Done","-")</f>
        <v>Done</v>
      </c>
      <c r="J382" s="437"/>
      <c r="K382" s="221">
        <v>44663</v>
      </c>
      <c r="L382" s="14" t="s">
        <v>544</v>
      </c>
      <c r="M382" s="100">
        <f>MONTH(List34[[#This Row],[Tanggal Pengajuan]])</f>
        <v>5</v>
      </c>
      <c r="N382" s="183">
        <v>44676</v>
      </c>
      <c r="O382" s="100" t="s">
        <v>795</v>
      </c>
      <c r="P382" s="111"/>
      <c r="Q382" s="230" t="s">
        <v>958</v>
      </c>
      <c r="S382" s="275">
        <f>+List34[[#This Row],[Pengajuan Donasi]]-List34[[#This Row],[Jumlah Transfer]]</f>
        <v>0</v>
      </c>
      <c r="T382" s="275"/>
    </row>
    <row r="383" spans="1:20" s="4" customFormat="1" ht="30" customHeight="1" x14ac:dyDescent="0.2">
      <c r="A383" s="13">
        <v>44687</v>
      </c>
      <c r="B383" s="67" t="s">
        <v>947</v>
      </c>
      <c r="C383" s="103" t="s">
        <v>413</v>
      </c>
      <c r="D383" s="14" t="s">
        <v>57</v>
      </c>
      <c r="E383" s="14" t="s">
        <v>18</v>
      </c>
      <c r="F383" s="15">
        <v>16</v>
      </c>
      <c r="G383" s="258">
        <v>10000000</v>
      </c>
      <c r="H383" s="258">
        <f>List34[[#This Row],[Pengajuan Donasi]]</f>
        <v>18700000</v>
      </c>
      <c r="I383" s="213" t="str">
        <f>IF(List34[[#This Row],[Tanggal Trf]]&gt;0,"Done","-")</f>
        <v>Done</v>
      </c>
      <c r="J383" s="437"/>
      <c r="K383" s="221">
        <v>44705</v>
      </c>
      <c r="L383" s="100" t="s">
        <v>544</v>
      </c>
      <c r="M383" s="100">
        <f>MONTH(List34[[#This Row],[Tanggal Pengajuan]])</f>
        <v>5</v>
      </c>
      <c r="N383" s="183">
        <v>44698</v>
      </c>
      <c r="O383" s="100" t="s">
        <v>932</v>
      </c>
      <c r="P383" s="254"/>
      <c r="Q383" s="231" t="s">
        <v>958</v>
      </c>
      <c r="S383" s="275">
        <f>+List34[[#This Row],[Pengajuan Donasi]]-List34[[#This Row],[Jumlah Transfer]]</f>
        <v>0</v>
      </c>
      <c r="T383" s="275"/>
    </row>
    <row r="384" spans="1:20" s="4" customFormat="1" ht="30" customHeight="1" x14ac:dyDescent="0.2">
      <c r="A384" s="13">
        <v>44715</v>
      </c>
      <c r="B384" s="67" t="s">
        <v>1084</v>
      </c>
      <c r="C384" s="103" t="s">
        <v>413</v>
      </c>
      <c r="D384" s="14" t="s">
        <v>57</v>
      </c>
      <c r="E384" s="14" t="s">
        <v>18</v>
      </c>
      <c r="F384" s="15">
        <v>16</v>
      </c>
      <c r="G384" s="258">
        <v>10000000</v>
      </c>
      <c r="H384" s="258">
        <f>List34[[#This Row],[Pengajuan Donasi]]</f>
        <v>3325000</v>
      </c>
      <c r="I384" s="213" t="str">
        <f>IF(List34[[#This Row],[Tanggal Trf]]&gt;0,"Done","-")</f>
        <v>Done</v>
      </c>
      <c r="J384" s="437"/>
      <c r="K384" s="221">
        <v>44722</v>
      </c>
      <c r="L384" s="100" t="s">
        <v>544</v>
      </c>
      <c r="M384" s="100">
        <f>MONTH(List34[[#This Row],[Tanggal Pengajuan]])</f>
        <v>5</v>
      </c>
      <c r="N384" s="183">
        <v>44748</v>
      </c>
      <c r="O384" s="100" t="s">
        <v>1116</v>
      </c>
      <c r="P384" s="254"/>
      <c r="Q384" s="231" t="s">
        <v>958</v>
      </c>
      <c r="S384" s="275">
        <f>+List34[[#This Row],[Pengajuan Donasi]]-List34[[#This Row],[Jumlah Transfer]]</f>
        <v>0</v>
      </c>
      <c r="T384" s="275"/>
    </row>
    <row r="385" spans="1:20" s="4" customFormat="1" ht="30" customHeight="1" x14ac:dyDescent="0.2">
      <c r="A385" s="13">
        <v>44746</v>
      </c>
      <c r="B385" s="67" t="s">
        <v>1143</v>
      </c>
      <c r="C385" s="103" t="s">
        <v>413</v>
      </c>
      <c r="D385" s="14" t="s">
        <v>57</v>
      </c>
      <c r="E385" s="14" t="s">
        <v>18</v>
      </c>
      <c r="F385" s="471">
        <v>16</v>
      </c>
      <c r="G385" s="258">
        <v>10000000</v>
      </c>
      <c r="H385" s="258">
        <f>List34[[#This Row],[Pengajuan Donasi]]</f>
        <v>2400000</v>
      </c>
      <c r="I385" s="213" t="str">
        <f>IF(List34[[#This Row],[Tanggal Trf]]&gt;0,"Done","-")</f>
        <v>Done</v>
      </c>
      <c r="J385" s="437" t="s">
        <v>1166</v>
      </c>
      <c r="K385" s="484">
        <v>44764</v>
      </c>
      <c r="L385" s="100" t="s">
        <v>544</v>
      </c>
      <c r="M385" s="100">
        <f>MONTH(List34[[#This Row],[Tanggal Pengajuan]])</f>
        <v>5</v>
      </c>
      <c r="N385" s="183"/>
      <c r="O385" s="100" t="s">
        <v>1180</v>
      </c>
      <c r="P385" s="254"/>
      <c r="Q385" s="231" t="s">
        <v>958</v>
      </c>
      <c r="S385" s="275">
        <f>+List34[[#This Row],[Pengajuan Donasi]]-List34[[#This Row],[Jumlah Transfer]]</f>
        <v>0</v>
      </c>
      <c r="T385" s="275"/>
    </row>
    <row r="386" spans="1:20" s="4" customFormat="1" ht="30" customHeight="1" x14ac:dyDescent="0.2">
      <c r="A386" s="13">
        <v>44775</v>
      </c>
      <c r="B386" s="67" t="s">
        <v>1200</v>
      </c>
      <c r="C386" s="103" t="s">
        <v>413</v>
      </c>
      <c r="D386" s="14" t="s">
        <v>57</v>
      </c>
      <c r="E386" s="14" t="s">
        <v>18</v>
      </c>
      <c r="F386" s="471">
        <v>16</v>
      </c>
      <c r="G386" s="258">
        <v>10000000</v>
      </c>
      <c r="H386" s="258">
        <f>List34[[#This Row],[Pengajuan Donasi]]</f>
        <v>8500000</v>
      </c>
      <c r="I386" s="213" t="str">
        <f>IF(List34[[#This Row],[Tanggal Trf]]&gt;0,"Done","-")</f>
        <v>Done</v>
      </c>
      <c r="J386" s="437"/>
      <c r="K386" s="484">
        <v>44792</v>
      </c>
      <c r="L386" s="100" t="s">
        <v>544</v>
      </c>
      <c r="M386" s="100">
        <f>MONTH(List34[[#This Row],[Tanggal Pengajuan]])</f>
        <v>5</v>
      </c>
      <c r="N386" s="183"/>
      <c r="O386" s="100" t="s">
        <v>1268</v>
      </c>
      <c r="P386" s="254"/>
      <c r="Q386" s="231" t="s">
        <v>958</v>
      </c>
      <c r="S386" s="275">
        <f>+List34[[#This Row],[Pengajuan Donasi]]-List34[[#This Row],[Jumlah Transfer]]</f>
        <v>0</v>
      </c>
      <c r="T386" s="275">
        <f>SUM(G379:G386)</f>
        <v>80000000</v>
      </c>
    </row>
    <row r="387" spans="1:20" s="4" customFormat="1" ht="30" customHeight="1" x14ac:dyDescent="0.2">
      <c r="A387" s="13">
        <v>44567</v>
      </c>
      <c r="B387" s="163" t="s">
        <v>656</v>
      </c>
      <c r="C387" s="168" t="s">
        <v>423</v>
      </c>
      <c r="D387" s="164" t="s">
        <v>57</v>
      </c>
      <c r="E387" s="164" t="s">
        <v>18</v>
      </c>
      <c r="F387" s="178">
        <v>35</v>
      </c>
      <c r="G387" s="261">
        <v>0</v>
      </c>
      <c r="H387" s="261">
        <v>0</v>
      </c>
      <c r="I387" s="253" t="str">
        <f>IF(List34[[#This Row],[Tanggal Trf]]&gt;0,"Done","-")</f>
        <v>Done</v>
      </c>
      <c r="J387" s="439" t="s">
        <v>1021</v>
      </c>
      <c r="K387" s="222">
        <v>0</v>
      </c>
      <c r="L387" s="193" t="s">
        <v>657</v>
      </c>
      <c r="M387" s="193">
        <f>MONTH(List34[[#This Row],[Tanggal Pengajuan]])</f>
        <v>5</v>
      </c>
      <c r="N387" s="194"/>
      <c r="O387" s="193" t="s">
        <v>651</v>
      </c>
      <c r="P387" s="254"/>
      <c r="Q387" s="231" t="s">
        <v>958</v>
      </c>
      <c r="S387" s="275">
        <f>+List34[[#This Row],[Pengajuan Donasi]]-List34[[#This Row],[Jumlah Transfer]]</f>
        <v>0</v>
      </c>
      <c r="T387" s="275"/>
    </row>
    <row r="388" spans="1:20" s="4" customFormat="1" ht="30" customHeight="1" x14ac:dyDescent="0.2">
      <c r="A388" s="13">
        <v>44599</v>
      </c>
      <c r="B388" s="67" t="s">
        <v>720</v>
      </c>
      <c r="C388" s="103" t="s">
        <v>423</v>
      </c>
      <c r="D388" s="14" t="s">
        <v>57</v>
      </c>
      <c r="E388" s="14" t="s">
        <v>18</v>
      </c>
      <c r="F388" s="15">
        <v>35</v>
      </c>
      <c r="G388" s="258">
        <v>10000000</v>
      </c>
      <c r="H388" s="258">
        <v>10000000</v>
      </c>
      <c r="I388" s="213" t="str">
        <f>IF(List34[[#This Row],[Tanggal Trf]]&gt;0,"Done","-")</f>
        <v>Done</v>
      </c>
      <c r="J388" s="437"/>
      <c r="K388" s="221">
        <v>44607</v>
      </c>
      <c r="L388" s="100" t="s">
        <v>657</v>
      </c>
      <c r="M388" s="100">
        <f>MONTH(List34[[#This Row],[Tanggal Pengajuan]])</f>
        <v>5</v>
      </c>
      <c r="N388" s="183"/>
      <c r="O388" s="100" t="s">
        <v>707</v>
      </c>
      <c r="P388" s="254"/>
      <c r="Q388" s="231" t="s">
        <v>958</v>
      </c>
      <c r="S388" s="275">
        <f>+List34[[#This Row],[Pengajuan Donasi]]-List34[[#This Row],[Jumlah Transfer]]</f>
        <v>0</v>
      </c>
      <c r="T388" s="275">
        <f>+G388</f>
        <v>10000000</v>
      </c>
    </row>
    <row r="389" spans="1:20" s="4" customFormat="1" ht="30" customHeight="1" x14ac:dyDescent="0.2">
      <c r="A389" s="13">
        <v>44567</v>
      </c>
      <c r="B389" s="163" t="s">
        <v>654</v>
      </c>
      <c r="C389" s="168" t="s">
        <v>426</v>
      </c>
      <c r="D389" s="164" t="s">
        <v>57</v>
      </c>
      <c r="E389" s="164" t="s">
        <v>18</v>
      </c>
      <c r="F389" s="178">
        <v>31</v>
      </c>
      <c r="G389" s="261">
        <v>0</v>
      </c>
      <c r="H389" s="261">
        <v>0</v>
      </c>
      <c r="I389" s="253" t="str">
        <f>IF(List34[[#This Row],[Tanggal Trf]]&gt;0,"Done","-")</f>
        <v>Done</v>
      </c>
      <c r="J389" s="439" t="s">
        <v>672</v>
      </c>
      <c r="K389" s="222" t="s">
        <v>960</v>
      </c>
      <c r="L389" s="193" t="s">
        <v>655</v>
      </c>
      <c r="M389" s="193">
        <f>MONTH(List34[[#This Row],[Tanggal Pengajuan]])</f>
        <v>5</v>
      </c>
      <c r="N389" s="194"/>
      <c r="O389" s="193" t="s">
        <v>651</v>
      </c>
      <c r="P389" s="254"/>
      <c r="Q389" s="231" t="s">
        <v>958</v>
      </c>
      <c r="S389" s="275">
        <f>+List34[[#This Row],[Pengajuan Donasi]]-List34[[#This Row],[Jumlah Transfer]]</f>
        <v>0</v>
      </c>
      <c r="T389" s="275"/>
    </row>
    <row r="390" spans="1:20" s="4" customFormat="1" ht="30" customHeight="1" x14ac:dyDescent="0.2">
      <c r="A390" s="13">
        <v>44624</v>
      </c>
      <c r="B390" s="67" t="s">
        <v>756</v>
      </c>
      <c r="C390" s="103" t="s">
        <v>426</v>
      </c>
      <c r="D390" s="14" t="s">
        <v>57</v>
      </c>
      <c r="E390" s="14" t="s">
        <v>18</v>
      </c>
      <c r="F390" s="15">
        <v>31</v>
      </c>
      <c r="G390" s="258">
        <v>20000000</v>
      </c>
      <c r="H390" s="258">
        <v>20000000</v>
      </c>
      <c r="I390" s="213" t="str">
        <f>IF(List34[[#This Row],[Tanggal Trf]]&gt;0,"Done","-")</f>
        <v>Done</v>
      </c>
      <c r="J390" s="437"/>
      <c r="K390" s="221">
        <v>44631</v>
      </c>
      <c r="L390" s="100" t="s">
        <v>655</v>
      </c>
      <c r="M390" s="100">
        <f>MONTH(List34[[#This Row],[Tanggal Pengajuan]])</f>
        <v>5</v>
      </c>
      <c r="N390" s="183"/>
      <c r="O390" s="100" t="s">
        <v>757</v>
      </c>
      <c r="P390" s="254"/>
      <c r="Q390" s="231" t="s">
        <v>958</v>
      </c>
      <c r="S390" s="275">
        <f>+List34[[#This Row],[Pengajuan Donasi]]-List34[[#This Row],[Jumlah Transfer]]</f>
        <v>0</v>
      </c>
      <c r="T390" s="275"/>
    </row>
    <row r="391" spans="1:20" s="4" customFormat="1" ht="30" customHeight="1" x14ac:dyDescent="0.2">
      <c r="A391" s="13">
        <v>44658</v>
      </c>
      <c r="B391" s="67" t="s">
        <v>813</v>
      </c>
      <c r="C391" s="103" t="s">
        <v>426</v>
      </c>
      <c r="D391" s="14" t="s">
        <v>57</v>
      </c>
      <c r="E391" s="14" t="s">
        <v>18</v>
      </c>
      <c r="F391" s="15">
        <v>31</v>
      </c>
      <c r="G391" s="258">
        <v>20000000</v>
      </c>
      <c r="H391" s="258">
        <f>List34[[#This Row],[Pengajuan Donasi]]</f>
        <v>10000000</v>
      </c>
      <c r="I391" s="213" t="str">
        <f>IF(List34[[#This Row],[Tanggal Trf]]&gt;0,"Done","-")</f>
        <v>Done</v>
      </c>
      <c r="J391" s="437"/>
      <c r="K391" s="221">
        <v>44663</v>
      </c>
      <c r="L391" s="100" t="s">
        <v>655</v>
      </c>
      <c r="M391" s="100">
        <f>MONTH(List34[[#This Row],[Tanggal Pengajuan]])</f>
        <v>5</v>
      </c>
      <c r="N391" s="183">
        <v>44676</v>
      </c>
      <c r="O391" s="100" t="s">
        <v>795</v>
      </c>
      <c r="P391" s="254"/>
      <c r="Q391" s="231" t="s">
        <v>958</v>
      </c>
      <c r="S391" s="275">
        <f>+List34[[#This Row],[Pengajuan Donasi]]-List34[[#This Row],[Jumlah Transfer]]</f>
        <v>0</v>
      </c>
      <c r="T391" s="275"/>
    </row>
    <row r="392" spans="1:20" s="4" customFormat="1" ht="30" customHeight="1" x14ac:dyDescent="0.2">
      <c r="A392" s="13">
        <v>44687</v>
      </c>
      <c r="B392" s="67" t="s">
        <v>949</v>
      </c>
      <c r="C392" s="103" t="s">
        <v>426</v>
      </c>
      <c r="D392" s="14" t="s">
        <v>57</v>
      </c>
      <c r="E392" s="14" t="s">
        <v>18</v>
      </c>
      <c r="F392" s="15">
        <v>31</v>
      </c>
      <c r="G392" s="258">
        <v>10000000</v>
      </c>
      <c r="H392" s="258">
        <f>List34[[#This Row],[Pengajuan Donasi]]</f>
        <v>10000000</v>
      </c>
      <c r="I392" s="213" t="str">
        <f>IF(List34[[#This Row],[Tanggal Trf]]&gt;0,"Done","-")</f>
        <v>Done</v>
      </c>
      <c r="J392" s="437"/>
      <c r="K392" s="221">
        <v>44693</v>
      </c>
      <c r="L392" s="100" t="s">
        <v>655</v>
      </c>
      <c r="M392" s="100">
        <f>MONTH(List34[[#This Row],[Tanggal Pengajuan]])</f>
        <v>5</v>
      </c>
      <c r="N392" s="183">
        <v>44698</v>
      </c>
      <c r="O392" s="100" t="s">
        <v>932</v>
      </c>
      <c r="P392" s="254"/>
      <c r="Q392" s="231" t="s">
        <v>958</v>
      </c>
      <c r="S392" s="275">
        <f>+List34[[#This Row],[Pengajuan Donasi]]-List34[[#This Row],[Jumlah Transfer]]</f>
        <v>0</v>
      </c>
      <c r="T392" s="275"/>
    </row>
    <row r="393" spans="1:20" s="4" customFormat="1" ht="30" customHeight="1" x14ac:dyDescent="0.2">
      <c r="A393" s="13">
        <v>44715</v>
      </c>
      <c r="B393" s="67" t="s">
        <v>1083</v>
      </c>
      <c r="C393" s="103" t="s">
        <v>426</v>
      </c>
      <c r="D393" s="14" t="s">
        <v>57</v>
      </c>
      <c r="E393" s="14" t="s">
        <v>18</v>
      </c>
      <c r="F393" s="15">
        <v>31</v>
      </c>
      <c r="G393" s="258">
        <v>10000000</v>
      </c>
      <c r="H393" s="258">
        <f>List34[[#This Row],[Pengajuan Donasi]]</f>
        <v>10000000</v>
      </c>
      <c r="I393" s="213" t="str">
        <f>IF(List34[[#This Row],[Tanggal Trf]]&gt;0,"Done","-")</f>
        <v>Done</v>
      </c>
      <c r="J393" s="437"/>
      <c r="K393" s="221">
        <v>44721</v>
      </c>
      <c r="L393" s="100" t="s">
        <v>655</v>
      </c>
      <c r="M393" s="100">
        <f>MONTH(List34[[#This Row],[Tanggal Pengajuan]])</f>
        <v>5</v>
      </c>
      <c r="N393" s="183">
        <v>44748</v>
      </c>
      <c r="O393" s="100" t="s">
        <v>1116</v>
      </c>
      <c r="P393" s="254"/>
      <c r="Q393" s="231" t="s">
        <v>958</v>
      </c>
      <c r="S393" s="275">
        <f>+List34[[#This Row],[Pengajuan Donasi]]-List34[[#This Row],[Jumlah Transfer]]</f>
        <v>0</v>
      </c>
      <c r="T393" s="275"/>
    </row>
    <row r="394" spans="1:20" s="4" customFormat="1" ht="30" customHeight="1" x14ac:dyDescent="0.2">
      <c r="A394" s="13">
        <v>44746</v>
      </c>
      <c r="B394" s="67" t="s">
        <v>1142</v>
      </c>
      <c r="C394" s="103" t="s">
        <v>426</v>
      </c>
      <c r="D394" s="14" t="s">
        <v>57</v>
      </c>
      <c r="E394" s="14" t="s">
        <v>18</v>
      </c>
      <c r="F394" s="471">
        <v>31</v>
      </c>
      <c r="G394" s="258">
        <v>10000000</v>
      </c>
      <c r="H394" s="258">
        <f>List34[[#This Row],[Pengajuan Donasi]]</f>
        <v>3012300</v>
      </c>
      <c r="I394" s="213" t="str">
        <f>IF(List34[[#This Row],[Tanggal Trf]]&gt;0,"Done","-")</f>
        <v>Done</v>
      </c>
      <c r="J394" s="437" t="s">
        <v>1165</v>
      </c>
      <c r="K394" s="484">
        <v>44764</v>
      </c>
      <c r="L394" s="100" t="s">
        <v>655</v>
      </c>
      <c r="M394" s="100">
        <f>MONTH(List34[[#This Row],[Tanggal Pengajuan]])</f>
        <v>5</v>
      </c>
      <c r="N394" s="183"/>
      <c r="O394" s="100" t="s">
        <v>1180</v>
      </c>
      <c r="P394" s="254"/>
      <c r="Q394" s="231" t="s">
        <v>958</v>
      </c>
      <c r="S394" s="275">
        <f>+List34[[#This Row],[Pengajuan Donasi]]-List34[[#This Row],[Jumlah Transfer]]</f>
        <v>0</v>
      </c>
      <c r="T394" s="275"/>
    </row>
    <row r="395" spans="1:20" s="4" customFormat="1" ht="30" customHeight="1" x14ac:dyDescent="0.2">
      <c r="A395" s="13">
        <v>44775</v>
      </c>
      <c r="B395" s="67" t="s">
        <v>1199</v>
      </c>
      <c r="C395" s="103" t="s">
        <v>426</v>
      </c>
      <c r="D395" s="14" t="s">
        <v>57</v>
      </c>
      <c r="E395" s="14" t="s">
        <v>18</v>
      </c>
      <c r="F395" s="471">
        <v>31</v>
      </c>
      <c r="G395" s="258">
        <v>10000000</v>
      </c>
      <c r="H395" s="258">
        <f>List34[[#This Row],[Pengajuan Donasi]]</f>
        <v>2005000</v>
      </c>
      <c r="I395" s="213" t="str">
        <f>IF(List34[[#This Row],[Tanggal Trf]]&gt;0,"Done","-")</f>
        <v>Done</v>
      </c>
      <c r="J395" s="437"/>
      <c r="K395" s="484">
        <v>44792</v>
      </c>
      <c r="L395" s="100" t="s">
        <v>655</v>
      </c>
      <c r="M395" s="100">
        <f>MONTH(List34[[#This Row],[Tanggal Pengajuan]])</f>
        <v>5</v>
      </c>
      <c r="N395" s="183"/>
      <c r="O395" s="100" t="s">
        <v>1268</v>
      </c>
      <c r="P395" s="254"/>
      <c r="Q395" s="231" t="s">
        <v>958</v>
      </c>
      <c r="S395" s="275">
        <f>+List34[[#This Row],[Pengajuan Donasi]]-List34[[#This Row],[Jumlah Transfer]]</f>
        <v>0</v>
      </c>
      <c r="T395" s="275">
        <f>SUM(G389:G395)</f>
        <v>80000000</v>
      </c>
    </row>
    <row r="396" spans="1:20" s="4" customFormat="1" ht="30" customHeight="1" x14ac:dyDescent="0.2">
      <c r="A396" s="13">
        <v>44567</v>
      </c>
      <c r="B396" s="67" t="s">
        <v>658</v>
      </c>
      <c r="C396" s="103" t="s">
        <v>410</v>
      </c>
      <c r="D396" s="14" t="s">
        <v>57</v>
      </c>
      <c r="E396" s="14" t="s">
        <v>18</v>
      </c>
      <c r="F396" s="477">
        <v>78</v>
      </c>
      <c r="G396" s="258">
        <v>5000000</v>
      </c>
      <c r="H396" s="258">
        <f>List34[[#This Row],[Pengajuan Donasi]]</f>
        <v>3000000</v>
      </c>
      <c r="I396" s="213" t="str">
        <f>IF(List34[[#This Row],[Tanggal Trf]]&gt;0,"Done","-")</f>
        <v>Done</v>
      </c>
      <c r="J396" s="437"/>
      <c r="K396" s="221">
        <v>44580</v>
      </c>
      <c r="L396" s="100" t="s">
        <v>659</v>
      </c>
      <c r="M396" s="100">
        <f>MONTH(List34[[#This Row],[Tanggal Pengajuan]])</f>
        <v>5</v>
      </c>
      <c r="N396" s="183"/>
      <c r="O396" s="100" t="s">
        <v>651</v>
      </c>
      <c r="P396" s="254"/>
      <c r="Q396" s="231" t="s">
        <v>958</v>
      </c>
      <c r="S396" s="275">
        <f>+List34[[#This Row],[Pengajuan Donasi]]-List34[[#This Row],[Jumlah Transfer]]</f>
        <v>0</v>
      </c>
      <c r="T396" s="275"/>
    </row>
    <row r="397" spans="1:20" s="4" customFormat="1" ht="30" customHeight="1" x14ac:dyDescent="0.2">
      <c r="A397" s="13">
        <v>44599</v>
      </c>
      <c r="B397" s="67" t="s">
        <v>721</v>
      </c>
      <c r="C397" s="103" t="s">
        <v>410</v>
      </c>
      <c r="D397" s="14" t="s">
        <v>57</v>
      </c>
      <c r="E397" s="14" t="s">
        <v>18</v>
      </c>
      <c r="F397" s="15">
        <v>78</v>
      </c>
      <c r="G397" s="258">
        <v>5000000</v>
      </c>
      <c r="H397" s="258">
        <f>List34[[#This Row],[Pengajuan Donasi]]</f>
        <v>10000000</v>
      </c>
      <c r="I397" s="213" t="str">
        <f>IF(List34[[#This Row],[Tanggal Trf]]&gt;0,"Done","-")</f>
        <v>Done</v>
      </c>
      <c r="J397" s="437"/>
      <c r="K397" s="221">
        <v>44607</v>
      </c>
      <c r="L397" s="100" t="s">
        <v>659</v>
      </c>
      <c r="M397" s="100">
        <f>MONTH(List34[[#This Row],[Tanggal Pengajuan]])</f>
        <v>5</v>
      </c>
      <c r="N397" s="183"/>
      <c r="O397" s="100" t="s">
        <v>707</v>
      </c>
      <c r="P397" s="254"/>
      <c r="Q397" s="231" t="s">
        <v>958</v>
      </c>
      <c r="S397" s="275">
        <f>+List34[[#This Row],[Pengajuan Donasi]]-List34[[#This Row],[Jumlah Transfer]]</f>
        <v>0</v>
      </c>
      <c r="T397" s="275"/>
    </row>
    <row r="398" spans="1:20" s="4" customFormat="1" ht="30" customHeight="1" x14ac:dyDescent="0.2">
      <c r="A398" s="13">
        <v>44624</v>
      </c>
      <c r="B398" s="67" t="s">
        <v>753</v>
      </c>
      <c r="C398" s="14" t="s">
        <v>410</v>
      </c>
      <c r="D398" s="14" t="s">
        <v>57</v>
      </c>
      <c r="E398" s="14" t="s">
        <v>18</v>
      </c>
      <c r="F398" s="15">
        <v>78</v>
      </c>
      <c r="G398" s="258">
        <v>5000000</v>
      </c>
      <c r="H398" s="258">
        <v>5000000</v>
      </c>
      <c r="I398" s="214" t="str">
        <f>IF(List34[[#This Row],[Tanggal Trf]]&gt;0,"Done","-")</f>
        <v>Done</v>
      </c>
      <c r="J398" s="437"/>
      <c r="K398" s="221">
        <v>44638</v>
      </c>
      <c r="L398" s="105" t="s">
        <v>659</v>
      </c>
      <c r="M398" s="100">
        <f>MONTH(List34[[#This Row],[Tanggal Pengajuan]])</f>
        <v>5</v>
      </c>
      <c r="N398" s="183"/>
      <c r="O398" s="100" t="s">
        <v>746</v>
      </c>
      <c r="P398" s="111"/>
      <c r="Q398" s="230" t="s">
        <v>958</v>
      </c>
      <c r="S398" s="275">
        <f>+List34[[#This Row],[Pengajuan Donasi]]-List34[[#This Row],[Jumlah Transfer]]</f>
        <v>0</v>
      </c>
      <c r="T398" s="275">
        <f>SUM(G396:G398)</f>
        <v>15000000</v>
      </c>
    </row>
    <row r="399" spans="1:20" s="4" customFormat="1" ht="30" customHeight="1" x14ac:dyDescent="0.2">
      <c r="A399" s="13">
        <v>44567</v>
      </c>
      <c r="B399" s="67" t="s">
        <v>660</v>
      </c>
      <c r="C399" s="14" t="s">
        <v>407</v>
      </c>
      <c r="D399" s="103" t="s">
        <v>57</v>
      </c>
      <c r="E399" s="103" t="s">
        <v>18</v>
      </c>
      <c r="F399" s="477">
        <v>64</v>
      </c>
      <c r="G399" s="258">
        <v>10000000</v>
      </c>
      <c r="H399" s="258">
        <f>List34[[#This Row],[Pengajuan Donasi]]</f>
        <v>35000000</v>
      </c>
      <c r="I399" s="213" t="str">
        <f>IF(List34[[#This Row],[Tanggal Trf]]&gt;0,"Done","-")</f>
        <v>Done</v>
      </c>
      <c r="J399" s="437"/>
      <c r="K399" s="221">
        <v>44580</v>
      </c>
      <c r="L399" s="100" t="s">
        <v>661</v>
      </c>
      <c r="M399" s="100">
        <f>MONTH(List34[[#This Row],[Tanggal Pengajuan]])</f>
        <v>5</v>
      </c>
      <c r="N399" s="183"/>
      <c r="O399" s="100" t="s">
        <v>651</v>
      </c>
      <c r="P399" s="111"/>
      <c r="Q399" s="230" t="s">
        <v>958</v>
      </c>
      <c r="S399" s="275">
        <f>+List34[[#This Row],[Pengajuan Donasi]]-List34[[#This Row],[Jumlah Transfer]]</f>
        <v>0</v>
      </c>
      <c r="T399" s="275"/>
    </row>
    <row r="400" spans="1:20" s="4" customFormat="1" ht="30" customHeight="1" x14ac:dyDescent="0.2">
      <c r="A400" s="13">
        <v>44599</v>
      </c>
      <c r="B400" s="67" t="s">
        <v>722</v>
      </c>
      <c r="C400" s="14" t="s">
        <v>407</v>
      </c>
      <c r="D400" s="103" t="s">
        <v>57</v>
      </c>
      <c r="E400" s="103" t="s">
        <v>18</v>
      </c>
      <c r="F400" s="15">
        <v>64</v>
      </c>
      <c r="G400" s="258">
        <v>10000000</v>
      </c>
      <c r="H400" s="258">
        <f>List34[[#This Row],[Pengajuan Donasi]]</f>
        <v>500000</v>
      </c>
      <c r="I400" s="213" t="str">
        <f>IF(List34[[#This Row],[Tanggal Trf]]&gt;0,"Done","-")</f>
        <v>Done</v>
      </c>
      <c r="J400" s="437"/>
      <c r="K400" s="221">
        <v>44607</v>
      </c>
      <c r="L400" s="100" t="s">
        <v>661</v>
      </c>
      <c r="M400" s="100">
        <f>MONTH(List34[[#This Row],[Tanggal Pengajuan]])</f>
        <v>5</v>
      </c>
      <c r="N400" s="183"/>
      <c r="O400" s="100" t="s">
        <v>707</v>
      </c>
      <c r="P400" s="111"/>
      <c r="Q400" s="230" t="s">
        <v>958</v>
      </c>
      <c r="S400" s="275">
        <f>+List34[[#This Row],[Pengajuan Donasi]]-List34[[#This Row],[Jumlah Transfer]]</f>
        <v>0</v>
      </c>
      <c r="T400" s="275"/>
    </row>
    <row r="401" spans="1:20" s="4" customFormat="1" ht="30" customHeight="1" x14ac:dyDescent="0.2">
      <c r="A401" s="13">
        <v>44624</v>
      </c>
      <c r="B401" s="67" t="s">
        <v>754</v>
      </c>
      <c r="C401" s="14" t="s">
        <v>407</v>
      </c>
      <c r="D401" s="103" t="s">
        <v>57</v>
      </c>
      <c r="E401" s="103" t="s">
        <v>18</v>
      </c>
      <c r="F401" s="15">
        <v>64</v>
      </c>
      <c r="G401" s="258">
        <v>10000000</v>
      </c>
      <c r="H401" s="258">
        <v>10000000</v>
      </c>
      <c r="I401" s="213" t="str">
        <f>IF(List34[[#This Row],[Tanggal Trf]]&gt;0,"Done","-")</f>
        <v>Done</v>
      </c>
      <c r="J401" s="437"/>
      <c r="K401" s="221">
        <v>44635</v>
      </c>
      <c r="L401" s="100" t="s">
        <v>661</v>
      </c>
      <c r="M401" s="100">
        <f>MONTH(List34[[#This Row],[Tanggal Pengajuan]])</f>
        <v>5</v>
      </c>
      <c r="N401" s="183"/>
      <c r="O401" s="100" t="s">
        <v>746</v>
      </c>
      <c r="P401" s="111"/>
      <c r="Q401" s="230" t="s">
        <v>958</v>
      </c>
      <c r="S401" s="275">
        <f>+List34[[#This Row],[Pengajuan Donasi]]-List34[[#This Row],[Jumlah Transfer]]</f>
        <v>0</v>
      </c>
      <c r="T401" s="275"/>
    </row>
    <row r="402" spans="1:20" s="4" customFormat="1" ht="30" customHeight="1" x14ac:dyDescent="0.2">
      <c r="A402" s="13">
        <v>44658</v>
      </c>
      <c r="B402" s="67" t="s">
        <v>810</v>
      </c>
      <c r="C402" s="14" t="s">
        <v>407</v>
      </c>
      <c r="D402" s="103" t="s">
        <v>57</v>
      </c>
      <c r="E402" s="103" t="s">
        <v>18</v>
      </c>
      <c r="F402" s="15">
        <v>64</v>
      </c>
      <c r="G402" s="267">
        <v>10000000</v>
      </c>
      <c r="H402" s="258">
        <f>List34[[#This Row],[Pengajuan Donasi]]</f>
        <v>500000</v>
      </c>
      <c r="I402" s="213" t="str">
        <f>IF(List34[[#This Row],[Tanggal Trf]]&gt;0,"Done","-")</f>
        <v>Done</v>
      </c>
      <c r="J402" s="437"/>
      <c r="K402" s="221">
        <v>44663</v>
      </c>
      <c r="L402" s="100" t="s">
        <v>661</v>
      </c>
      <c r="M402" s="100">
        <f>MONTH(List34[[#This Row],[Tanggal Pengajuan]])</f>
        <v>5</v>
      </c>
      <c r="N402" s="183">
        <v>44676</v>
      </c>
      <c r="O402" s="100" t="s">
        <v>795</v>
      </c>
      <c r="P402" s="111"/>
      <c r="Q402" s="230" t="s">
        <v>958</v>
      </c>
      <c r="S402" s="275">
        <f>+List34[[#This Row],[Pengajuan Donasi]]-List34[[#This Row],[Jumlah Transfer]]</f>
        <v>0</v>
      </c>
      <c r="T402" s="275"/>
    </row>
    <row r="403" spans="1:20" s="4" customFormat="1" ht="30" customHeight="1" x14ac:dyDescent="0.2">
      <c r="A403" s="13">
        <v>44687</v>
      </c>
      <c r="B403" s="67" t="s">
        <v>948</v>
      </c>
      <c r="C403" s="14" t="s">
        <v>407</v>
      </c>
      <c r="D403" s="103" t="s">
        <v>57</v>
      </c>
      <c r="E403" s="103" t="s">
        <v>18</v>
      </c>
      <c r="F403" s="15">
        <v>64</v>
      </c>
      <c r="G403" s="258">
        <v>10000000</v>
      </c>
      <c r="H403" s="258">
        <f>List34[[#This Row],[Pengajuan Donasi]]</f>
        <v>500000</v>
      </c>
      <c r="I403" s="213" t="str">
        <f>IF(List34[[#This Row],[Tanggal Trf]]&gt;0,"Done","-")</f>
        <v>Done</v>
      </c>
      <c r="J403" s="437"/>
      <c r="K403" s="221">
        <v>44693</v>
      </c>
      <c r="L403" s="100" t="s">
        <v>661</v>
      </c>
      <c r="M403" s="100">
        <f>MONTH(List34[[#This Row],[Tanggal Pengajuan]])</f>
        <v>5</v>
      </c>
      <c r="N403" s="183">
        <v>44698</v>
      </c>
      <c r="O403" s="100" t="s">
        <v>932</v>
      </c>
      <c r="P403" s="111"/>
      <c r="Q403" s="230" t="s">
        <v>958</v>
      </c>
      <c r="S403" s="275">
        <f>+List34[[#This Row],[Pengajuan Donasi]]-List34[[#This Row],[Jumlah Transfer]]</f>
        <v>0</v>
      </c>
      <c r="T403" s="275"/>
    </row>
    <row r="404" spans="1:20" s="4" customFormat="1" ht="30" customHeight="1" x14ac:dyDescent="0.2">
      <c r="A404" s="13">
        <v>44715</v>
      </c>
      <c r="B404" s="67" t="s">
        <v>1085</v>
      </c>
      <c r="C404" s="14" t="s">
        <v>407</v>
      </c>
      <c r="D404" s="103" t="s">
        <v>57</v>
      </c>
      <c r="E404" s="103" t="s">
        <v>18</v>
      </c>
      <c r="F404" s="15">
        <v>64</v>
      </c>
      <c r="G404" s="258">
        <v>10000000</v>
      </c>
      <c r="H404" s="258">
        <f>List34[[#This Row],[Pengajuan Donasi]]</f>
        <v>500000</v>
      </c>
      <c r="I404" s="213" t="str">
        <f>IF(List34[[#This Row],[Tanggal Trf]]&gt;0,"Done","-")</f>
        <v>Done</v>
      </c>
      <c r="J404" s="437"/>
      <c r="K404" s="221">
        <v>44721</v>
      </c>
      <c r="L404" s="100" t="s">
        <v>661</v>
      </c>
      <c r="M404" s="100">
        <f>MONTH(List34[[#This Row],[Tanggal Pengajuan]])</f>
        <v>5</v>
      </c>
      <c r="N404" s="183">
        <v>44748</v>
      </c>
      <c r="O404" s="100" t="s">
        <v>1116</v>
      </c>
      <c r="P404" s="111"/>
      <c r="Q404" s="230" t="s">
        <v>958</v>
      </c>
      <c r="S404" s="275">
        <f>+List34[[#This Row],[Pengajuan Donasi]]-List34[[#This Row],[Jumlah Transfer]]</f>
        <v>0</v>
      </c>
      <c r="T404" s="275"/>
    </row>
    <row r="405" spans="1:20" s="4" customFormat="1" ht="30" customHeight="1" x14ac:dyDescent="0.2">
      <c r="A405" s="13">
        <v>44746</v>
      </c>
      <c r="B405" s="67" t="s">
        <v>1144</v>
      </c>
      <c r="C405" s="14" t="s">
        <v>407</v>
      </c>
      <c r="D405" s="103" t="s">
        <v>57</v>
      </c>
      <c r="E405" s="103" t="s">
        <v>18</v>
      </c>
      <c r="F405" s="471">
        <v>64</v>
      </c>
      <c r="G405" s="258">
        <v>10000000</v>
      </c>
      <c r="H405" s="258">
        <f>List34[[#This Row],[Pengajuan Donasi]]</f>
        <v>500000</v>
      </c>
      <c r="I405" s="213" t="str">
        <f>IF(List34[[#This Row],[Tanggal Trf]]&gt;0,"Done","-")</f>
        <v>Done</v>
      </c>
      <c r="J405" s="437" t="s">
        <v>1167</v>
      </c>
      <c r="K405" s="484">
        <v>44771</v>
      </c>
      <c r="L405" s="100" t="s">
        <v>661</v>
      </c>
      <c r="M405" s="100">
        <f>MONTH(List34[[#This Row],[Tanggal Pengajuan]])</f>
        <v>5</v>
      </c>
      <c r="N405" s="183"/>
      <c r="O405" s="100" t="s">
        <v>1180</v>
      </c>
      <c r="P405" s="111"/>
      <c r="Q405" s="230" t="s">
        <v>958</v>
      </c>
      <c r="S405" s="275">
        <f>+List34[[#This Row],[Pengajuan Donasi]]-List34[[#This Row],[Jumlah Transfer]]</f>
        <v>0</v>
      </c>
      <c r="T405" s="275"/>
    </row>
    <row r="406" spans="1:20" s="4" customFormat="1" ht="30" customHeight="1" x14ac:dyDescent="0.2">
      <c r="A406" s="13">
        <v>44775</v>
      </c>
      <c r="B406" s="67" t="s">
        <v>1201</v>
      </c>
      <c r="C406" s="14" t="s">
        <v>407</v>
      </c>
      <c r="D406" s="103" t="s">
        <v>57</v>
      </c>
      <c r="E406" s="103" t="s">
        <v>18</v>
      </c>
      <c r="F406" s="471">
        <v>64</v>
      </c>
      <c r="G406" s="258">
        <v>10000000</v>
      </c>
      <c r="H406" s="258">
        <f>List34[[#This Row],[Pengajuan Donasi]]</f>
        <v>500000</v>
      </c>
      <c r="I406" s="213" t="str">
        <f>IF(List34[[#This Row],[Tanggal Trf]]&gt;0,"Done","-")</f>
        <v>Done</v>
      </c>
      <c r="J406" s="437"/>
      <c r="K406" s="484">
        <v>44792</v>
      </c>
      <c r="L406" s="100" t="s">
        <v>661</v>
      </c>
      <c r="M406" s="100">
        <f>MONTH(List34[[#This Row],[Tanggal Pengajuan]])</f>
        <v>5</v>
      </c>
      <c r="N406" s="183"/>
      <c r="O406" s="100" t="s">
        <v>1268</v>
      </c>
      <c r="P406" s="111"/>
      <c r="Q406" s="230"/>
      <c r="S406" s="275"/>
      <c r="T406" s="275">
        <f>SUM(G399:G406)</f>
        <v>80000000</v>
      </c>
    </row>
    <row r="407" spans="1:20" s="8" customFormat="1" ht="30" customHeight="1" x14ac:dyDescent="0.2">
      <c r="A407" s="644"/>
      <c r="B407" s="645"/>
      <c r="C407" s="406"/>
      <c r="D407" s="406"/>
      <c r="E407" s="406"/>
      <c r="F407" s="646"/>
      <c r="G407" s="647"/>
      <c r="H407" s="647"/>
      <c r="I407" s="648"/>
      <c r="J407" s="671"/>
      <c r="K407" s="649"/>
      <c r="L407" s="406"/>
      <c r="M407" s="406"/>
      <c r="N407" s="650"/>
      <c r="O407" s="406"/>
      <c r="P407" s="651"/>
      <c r="Q407" s="652"/>
      <c r="S407" s="639"/>
      <c r="T407" s="639"/>
    </row>
    <row r="408" spans="1:20" s="8" customFormat="1" ht="30" customHeight="1" x14ac:dyDescent="0.2">
      <c r="A408" s="653"/>
      <c r="B408" s="654"/>
      <c r="C408" s="618"/>
      <c r="D408" s="618"/>
      <c r="E408" s="618"/>
      <c r="F408" s="655"/>
      <c r="G408" s="639">
        <f>SUM(G349:G407)</f>
        <v>551000000</v>
      </c>
      <c r="H408" s="603"/>
      <c r="I408" s="656"/>
      <c r="J408" s="672"/>
      <c r="K408" s="657"/>
      <c r="L408" s="618"/>
      <c r="M408" s="618"/>
      <c r="N408" s="658"/>
      <c r="O408" s="618"/>
      <c r="P408" s="659"/>
      <c r="Q408" s="660"/>
      <c r="S408" s="639"/>
      <c r="T408" s="639">
        <f>SUM(T349:T407)</f>
        <v>551000000</v>
      </c>
    </row>
    <row r="409" spans="1:20" s="8" customFormat="1" ht="30" customHeight="1" x14ac:dyDescent="0.2">
      <c r="A409" s="653"/>
      <c r="B409" s="654"/>
      <c r="C409" s="618"/>
      <c r="D409" s="618"/>
      <c r="E409" s="618"/>
      <c r="F409" s="655"/>
      <c r="G409" s="603"/>
      <c r="H409" s="603"/>
      <c r="I409" s="656"/>
      <c r="J409" s="672"/>
      <c r="K409" s="657"/>
      <c r="L409" s="618"/>
      <c r="M409" s="618"/>
      <c r="N409" s="658"/>
      <c r="O409" s="618"/>
      <c r="P409" s="659"/>
      <c r="Q409" s="660"/>
      <c r="S409" s="639"/>
      <c r="T409" s="639">
        <f>+T408-'S1 - S2  2022'!O7</f>
        <v>-332114000</v>
      </c>
    </row>
    <row r="410" spans="1:20" s="8" customFormat="1" ht="30" customHeight="1" x14ac:dyDescent="0.2">
      <c r="A410" s="653"/>
      <c r="B410" s="654"/>
      <c r="C410" s="618"/>
      <c r="D410" s="618"/>
      <c r="E410" s="618"/>
      <c r="F410" s="655"/>
      <c r="G410" s="603"/>
      <c r="H410" s="603"/>
      <c r="I410" s="656"/>
      <c r="J410" s="672"/>
      <c r="K410" s="657"/>
      <c r="L410" s="618"/>
      <c r="M410" s="618"/>
      <c r="N410" s="658"/>
      <c r="O410" s="618"/>
      <c r="P410" s="659"/>
      <c r="Q410" s="660"/>
      <c r="S410" s="639"/>
      <c r="T410" s="639"/>
    </row>
    <row r="411" spans="1:20" s="8" customFormat="1" ht="30" customHeight="1" x14ac:dyDescent="0.2">
      <c r="A411" s="661"/>
      <c r="B411" s="654"/>
      <c r="C411" s="663"/>
      <c r="D411" s="618"/>
      <c r="E411" s="618"/>
      <c r="F411" s="664"/>
      <c r="G411" s="665"/>
      <c r="H411" s="665"/>
      <c r="I411" s="666"/>
      <c r="J411" s="673"/>
      <c r="K411" s="657"/>
      <c r="L411" s="663"/>
      <c r="M411" s="663"/>
      <c r="N411" s="658"/>
      <c r="O411" s="663"/>
      <c r="P411" s="659"/>
      <c r="Q411" s="670"/>
      <c r="S411" s="639"/>
      <c r="T411" s="639"/>
    </row>
    <row r="412" spans="1:20" s="4" customFormat="1" ht="30" customHeight="1" x14ac:dyDescent="0.2">
      <c r="A412" s="13">
        <v>44741</v>
      </c>
      <c r="B412" s="67" t="s">
        <v>1110</v>
      </c>
      <c r="C412" s="14" t="s">
        <v>1114</v>
      </c>
      <c r="D412" s="14" t="s">
        <v>1054</v>
      </c>
      <c r="E412" s="103" t="s">
        <v>28</v>
      </c>
      <c r="F412" s="471">
        <v>1</v>
      </c>
      <c r="G412" s="258">
        <v>777000</v>
      </c>
      <c r="H412" s="258">
        <f>List34[[#This Row],[Pengajuan Donasi]]</f>
        <v>500000</v>
      </c>
      <c r="I412" s="213" t="str">
        <f>IF(List34[[#This Row],[Tanggal Trf]]&gt;0,"Done","-")</f>
        <v>Done</v>
      </c>
      <c r="J412" s="100" t="s">
        <v>1109</v>
      </c>
      <c r="K412" s="484">
        <v>44743</v>
      </c>
      <c r="L412" s="100" t="s">
        <v>227</v>
      </c>
      <c r="M412" s="100">
        <f>MONTH(List34[[#This Row],[Tanggal Pengajuan]])</f>
        <v>5</v>
      </c>
      <c r="N412" s="183">
        <v>44749</v>
      </c>
      <c r="O412" s="100" t="s">
        <v>1116</v>
      </c>
      <c r="P412" s="111"/>
      <c r="Q412" s="230"/>
      <c r="S412" s="275"/>
      <c r="T412" s="275">
        <f>+G412</f>
        <v>777000</v>
      </c>
    </row>
    <row r="413" spans="1:20" s="4" customFormat="1" ht="30" customHeight="1" x14ac:dyDescent="0.2">
      <c r="A413" s="13">
        <v>44672</v>
      </c>
      <c r="B413" s="67" t="s">
        <v>913</v>
      </c>
      <c r="C413" s="103" t="s">
        <v>1019</v>
      </c>
      <c r="D413" s="103" t="s">
        <v>1054</v>
      </c>
      <c r="E413" s="103" t="s">
        <v>28</v>
      </c>
      <c r="F413" s="15"/>
      <c r="G413" s="258">
        <v>60939000</v>
      </c>
      <c r="H413" s="258">
        <f>List34[[#This Row],[Pengajuan Donasi]]</f>
        <v>500000</v>
      </c>
      <c r="I413" s="213" t="str">
        <f>IF(List34[[#This Row],[Tanggal Trf]]&gt;0,"Done","-")</f>
        <v>Done</v>
      </c>
      <c r="J413" s="437" t="s">
        <v>25</v>
      </c>
      <c r="K413" s="221">
        <v>44705</v>
      </c>
      <c r="L413" s="105" t="s">
        <v>1018</v>
      </c>
      <c r="M413" s="100">
        <f>MONTH(List34[[#This Row],[Tanggal Pengajuan]])</f>
        <v>5</v>
      </c>
      <c r="N413" s="183">
        <v>44763</v>
      </c>
      <c r="O413" s="100"/>
      <c r="P413" s="111"/>
      <c r="Q413" s="230" t="s">
        <v>958</v>
      </c>
      <c r="S413" s="275">
        <f>+List34[[#This Row],[Pengajuan Donasi]]-List34[[#This Row],[Jumlah Transfer]]</f>
        <v>0</v>
      </c>
      <c r="T413" s="275">
        <f>+G413</f>
        <v>60939000</v>
      </c>
    </row>
    <row r="414" spans="1:20" s="4" customFormat="1" ht="30" customHeight="1" x14ac:dyDescent="0.2">
      <c r="A414" s="13">
        <v>44803</v>
      </c>
      <c r="B414" s="67" t="s">
        <v>1296</v>
      </c>
      <c r="C414" s="14" t="s">
        <v>1291</v>
      </c>
      <c r="D414" s="103" t="s">
        <v>1054</v>
      </c>
      <c r="E414" s="103" t="s">
        <v>18</v>
      </c>
      <c r="F414" s="471"/>
      <c r="G414" s="258">
        <v>0</v>
      </c>
      <c r="H414" s="258">
        <f>List34[[#This Row],[Pengajuan Donasi]]</f>
        <v>500000</v>
      </c>
      <c r="I414" s="213" t="str">
        <f>IF(List34[[#This Row],[Tanggal Trf]]&gt;0,"Done","-")</f>
        <v>Done</v>
      </c>
      <c r="J414" s="437"/>
      <c r="K414" s="484" t="s">
        <v>960</v>
      </c>
      <c r="L414" s="100" t="s">
        <v>683</v>
      </c>
      <c r="M414" s="100">
        <f>MONTH(List34[[#This Row],[Tanggal Pengajuan]])</f>
        <v>5</v>
      </c>
      <c r="N414" s="183"/>
      <c r="O414" s="100" t="s">
        <v>888</v>
      </c>
      <c r="P414" s="111"/>
      <c r="Q414" s="230" t="s">
        <v>958</v>
      </c>
      <c r="S414" s="275">
        <f>+List34[[#This Row],[Pengajuan Donasi]]-List34[[#This Row],[Jumlah Transfer]]</f>
        <v>0</v>
      </c>
      <c r="T414" s="275"/>
    </row>
    <row r="415" spans="1:20" s="4" customFormat="1" ht="30" customHeight="1" x14ac:dyDescent="0.2">
      <c r="A415" s="13">
        <v>44803</v>
      </c>
      <c r="B415" s="67" t="s">
        <v>1297</v>
      </c>
      <c r="C415" s="103" t="s">
        <v>1292</v>
      </c>
      <c r="D415" s="14" t="s">
        <v>1054</v>
      </c>
      <c r="E415" s="14" t="s">
        <v>18</v>
      </c>
      <c r="F415" s="471"/>
      <c r="G415" s="258">
        <v>0</v>
      </c>
      <c r="H415" s="258">
        <f>List34[[#This Row],[Pengajuan Donasi]]</f>
        <v>0</v>
      </c>
      <c r="I415" s="213" t="str">
        <f>IF(List34[[#This Row],[Tanggal Trf]]&gt;0,"Done","-")</f>
        <v>Done</v>
      </c>
      <c r="J415" s="437"/>
      <c r="K415" s="484" t="s">
        <v>960</v>
      </c>
      <c r="L415" s="105" t="s">
        <v>778</v>
      </c>
      <c r="M415" s="100">
        <f>MONTH(List34[[#This Row],[Tanggal Pengajuan]])</f>
        <v>5</v>
      </c>
      <c r="N415" s="183"/>
      <c r="O415" s="100" t="s">
        <v>888</v>
      </c>
      <c r="P415" s="111"/>
      <c r="Q415" s="230" t="s">
        <v>958</v>
      </c>
      <c r="S415" s="275">
        <f>+List34[[#This Row],[Pengajuan Donasi]]-List34[[#This Row],[Jumlah Transfer]]</f>
        <v>0</v>
      </c>
      <c r="T415" s="275"/>
    </row>
    <row r="416" spans="1:20" s="4" customFormat="1" ht="30" customHeight="1" x14ac:dyDescent="0.2">
      <c r="A416" s="13">
        <v>44648</v>
      </c>
      <c r="B416" s="67" t="s">
        <v>781</v>
      </c>
      <c r="C416" s="14" t="s">
        <v>1057</v>
      </c>
      <c r="D416" s="103" t="s">
        <v>782</v>
      </c>
      <c r="E416" s="103" t="s">
        <v>18</v>
      </c>
      <c r="F416" s="15"/>
      <c r="G416" s="258">
        <v>0</v>
      </c>
      <c r="H416" s="258">
        <v>0</v>
      </c>
      <c r="I416" s="213" t="str">
        <f>IF(List34[[#This Row],[Tanggal Trf]]&gt;0,"Done","-")</f>
        <v>Done</v>
      </c>
      <c r="J416" s="437"/>
      <c r="K416" s="221">
        <v>44649</v>
      </c>
      <c r="L416" s="105" t="s">
        <v>683</v>
      </c>
      <c r="M416" s="100">
        <f>MONTH(List34[[#This Row],[Tanggal Pengajuan]])</f>
        <v>5</v>
      </c>
      <c r="N416" s="183"/>
      <c r="O416" s="100" t="s">
        <v>746</v>
      </c>
      <c r="P416" s="111"/>
      <c r="Q416" s="230" t="s">
        <v>958</v>
      </c>
      <c r="S416" s="275">
        <f>+List34[[#This Row],[Pengajuan Donasi]]-List34[[#This Row],[Jumlah Transfer]]</f>
        <v>0</v>
      </c>
      <c r="T416" s="275"/>
    </row>
    <row r="417" spans="1:20" s="4" customFormat="1" ht="30" customHeight="1" x14ac:dyDescent="0.2">
      <c r="A417" s="13">
        <v>44644</v>
      </c>
      <c r="B417" s="67" t="s">
        <v>776</v>
      </c>
      <c r="C417" s="103" t="s">
        <v>1057</v>
      </c>
      <c r="D417" s="14" t="s">
        <v>1054</v>
      </c>
      <c r="E417" s="14" t="s">
        <v>18</v>
      </c>
      <c r="F417" s="15"/>
      <c r="G417" s="258">
        <v>0</v>
      </c>
      <c r="H417" s="258">
        <v>0</v>
      </c>
      <c r="I417" s="213" t="str">
        <f>IF(List34[[#This Row],[Tanggal Trf]]&gt;0,"Done","-")</f>
        <v>Done</v>
      </c>
      <c r="J417" s="437"/>
      <c r="K417" s="221">
        <v>44648</v>
      </c>
      <c r="L417" s="100" t="s">
        <v>778</v>
      </c>
      <c r="M417" s="100">
        <f>MONTH(List34[[#This Row],[Tanggal Pengajuan]])</f>
        <v>5</v>
      </c>
      <c r="N417" s="183"/>
      <c r="O417" s="100" t="s">
        <v>746</v>
      </c>
      <c r="P417" s="111"/>
      <c r="Q417" s="230" t="s">
        <v>958</v>
      </c>
      <c r="S417" s="275">
        <f>+List34[[#This Row],[Pengajuan Donasi]]-List34[[#This Row],[Jumlah Transfer]]</f>
        <v>0</v>
      </c>
      <c r="T417" s="275"/>
    </row>
    <row r="418" spans="1:20" s="4" customFormat="1" ht="30" customHeight="1" x14ac:dyDescent="0.2">
      <c r="A418" s="102">
        <v>44708</v>
      </c>
      <c r="B418" s="67" t="s">
        <v>1064</v>
      </c>
      <c r="C418" s="14" t="s">
        <v>1057</v>
      </c>
      <c r="D418" s="103" t="s">
        <v>1054</v>
      </c>
      <c r="E418" s="103" t="s">
        <v>18</v>
      </c>
      <c r="F418" s="15">
        <v>0</v>
      </c>
      <c r="G418" s="258">
        <v>0</v>
      </c>
      <c r="H418" s="258">
        <f>List34[[#This Row],[Pengajuan Donasi]]</f>
        <v>25000000</v>
      </c>
      <c r="I418" s="214" t="str">
        <f>IF(List34[[#This Row],[Tanggal Trf]]&gt;0,"Done","-")</f>
        <v>Done</v>
      </c>
      <c r="J418" s="437"/>
      <c r="K418" s="221">
        <v>44708</v>
      </c>
      <c r="L418" s="105" t="s">
        <v>960</v>
      </c>
      <c r="M418" s="200">
        <f>MONTH(List34[[#This Row],[Tanggal Pengajuan]])</f>
        <v>5</v>
      </c>
      <c r="N418" s="183" t="s">
        <v>960</v>
      </c>
      <c r="O418" s="100" t="s">
        <v>932</v>
      </c>
      <c r="P418" s="111"/>
      <c r="Q418" s="230" t="s">
        <v>958</v>
      </c>
      <c r="S418" s="275">
        <f>+List34[[#This Row],[Pengajuan Donasi]]-List34[[#This Row],[Jumlah Transfer]]</f>
        <v>0</v>
      </c>
      <c r="T418" s="275"/>
    </row>
    <row r="419" spans="1:20" s="4" customFormat="1" ht="30" customHeight="1" x14ac:dyDescent="0.2">
      <c r="A419" s="102">
        <v>44708</v>
      </c>
      <c r="B419" s="67" t="s">
        <v>1063</v>
      </c>
      <c r="C419" s="14" t="s">
        <v>1057</v>
      </c>
      <c r="D419" s="103" t="s">
        <v>1054</v>
      </c>
      <c r="E419" s="103" t="s">
        <v>18</v>
      </c>
      <c r="F419" s="15">
        <v>0</v>
      </c>
      <c r="G419" s="258">
        <v>0</v>
      </c>
      <c r="H419" s="258">
        <f>List34[[#This Row],[Pengajuan Donasi]]</f>
        <v>6202600</v>
      </c>
      <c r="I419" s="214" t="str">
        <f>IF(List34[[#This Row],[Tanggal Trf]]&gt;0,"Done","-")</f>
        <v>Done</v>
      </c>
      <c r="J419" s="437"/>
      <c r="K419" s="221">
        <v>44708</v>
      </c>
      <c r="L419" s="105" t="s">
        <v>960</v>
      </c>
      <c r="M419" s="200">
        <f>MONTH(List34[[#This Row],[Tanggal Pengajuan]])</f>
        <v>5</v>
      </c>
      <c r="N419" s="183" t="s">
        <v>960</v>
      </c>
      <c r="O419" s="100" t="s">
        <v>932</v>
      </c>
      <c r="P419" s="111"/>
      <c r="Q419" s="230" t="s">
        <v>958</v>
      </c>
      <c r="S419" s="275">
        <f>+List34[[#This Row],[Pengajuan Donasi]]-List34[[#This Row],[Jumlah Transfer]]</f>
        <v>0</v>
      </c>
      <c r="T419" s="275"/>
    </row>
    <row r="420" spans="1:20" s="4" customFormat="1" ht="30" customHeight="1" x14ac:dyDescent="0.2">
      <c r="A420" s="102">
        <v>44741</v>
      </c>
      <c r="B420" s="67" t="s">
        <v>1111</v>
      </c>
      <c r="C420" s="14" t="s">
        <v>1057</v>
      </c>
      <c r="D420" s="103" t="s">
        <v>1054</v>
      </c>
      <c r="E420" s="103" t="s">
        <v>18</v>
      </c>
      <c r="F420" s="471"/>
      <c r="G420" s="258">
        <v>0</v>
      </c>
      <c r="H420" s="258">
        <f>List34[[#This Row],[Pengajuan Donasi]]</f>
        <v>5579800</v>
      </c>
      <c r="I420" s="214" t="str">
        <f>IF(List34[[#This Row],[Tanggal Trf]]&gt;0,"Done","-")</f>
        <v>Done</v>
      </c>
      <c r="J420" s="437" t="s">
        <v>960</v>
      </c>
      <c r="K420" s="484" t="s">
        <v>960</v>
      </c>
      <c r="L420" s="105" t="s">
        <v>960</v>
      </c>
      <c r="M420" s="100">
        <f>MONTH(List34[[#This Row],[Tanggal Pengajuan]])</f>
        <v>5</v>
      </c>
      <c r="N420" s="183" t="s">
        <v>960</v>
      </c>
      <c r="O420" s="100" t="s">
        <v>1116</v>
      </c>
      <c r="P420" s="111"/>
      <c r="Q420" s="230" t="s">
        <v>958</v>
      </c>
      <c r="S420" s="275">
        <f>+List34[[#This Row],[Pengajuan Donasi]]-List34[[#This Row],[Jumlah Transfer]]</f>
        <v>0</v>
      </c>
      <c r="T420" s="275"/>
    </row>
    <row r="421" spans="1:20" s="4" customFormat="1" ht="30" customHeight="1" x14ac:dyDescent="0.2">
      <c r="A421" s="102">
        <v>44741</v>
      </c>
      <c r="B421" s="67" t="s">
        <v>1112</v>
      </c>
      <c r="C421" s="14" t="s">
        <v>1057</v>
      </c>
      <c r="D421" s="103" t="s">
        <v>1054</v>
      </c>
      <c r="E421" s="103" t="s">
        <v>18</v>
      </c>
      <c r="F421" s="471"/>
      <c r="G421" s="258">
        <v>0</v>
      </c>
      <c r="H421" s="258">
        <f>List34[[#This Row],[Pengajuan Donasi]]</f>
        <v>6165700</v>
      </c>
      <c r="I421" s="214" t="str">
        <f>IF(List34[[#This Row],[Tanggal Trf]]&gt;0,"Done","-")</f>
        <v>Done</v>
      </c>
      <c r="J421" s="437" t="s">
        <v>960</v>
      </c>
      <c r="K421" s="484" t="s">
        <v>960</v>
      </c>
      <c r="L421" s="105" t="s">
        <v>960</v>
      </c>
      <c r="M421" s="100">
        <f>MONTH(List34[[#This Row],[Tanggal Pengajuan]])</f>
        <v>5</v>
      </c>
      <c r="N421" s="183" t="s">
        <v>960</v>
      </c>
      <c r="O421" s="100" t="s">
        <v>1116</v>
      </c>
      <c r="P421" s="111"/>
      <c r="Q421" s="230" t="s">
        <v>958</v>
      </c>
      <c r="S421" s="275">
        <f>+List34[[#This Row],[Pengajuan Donasi]]-List34[[#This Row],[Jumlah Transfer]]</f>
        <v>0</v>
      </c>
      <c r="T421" s="275"/>
    </row>
    <row r="422" spans="1:20" s="4" customFormat="1" ht="30" customHeight="1" x14ac:dyDescent="0.2">
      <c r="A422" s="102">
        <v>44764</v>
      </c>
      <c r="B422" s="67" t="s">
        <v>1183</v>
      </c>
      <c r="C422" s="14" t="s">
        <v>1057</v>
      </c>
      <c r="D422" s="103" t="s">
        <v>1054</v>
      </c>
      <c r="E422" s="103" t="s">
        <v>18</v>
      </c>
      <c r="F422" s="471">
        <v>1</v>
      </c>
      <c r="G422" s="258">
        <v>0</v>
      </c>
      <c r="H422" s="258">
        <f>List34[[#This Row],[Pengajuan Donasi]]</f>
        <v>6333300</v>
      </c>
      <c r="I422" s="214" t="str">
        <f>IF(List34[[#This Row],[Tanggal Trf]]&gt;0,"Done","-")</f>
        <v>Done</v>
      </c>
      <c r="J422" s="437" t="s">
        <v>960</v>
      </c>
      <c r="K422" s="484">
        <v>44771</v>
      </c>
      <c r="L422" s="105" t="s">
        <v>683</v>
      </c>
      <c r="M422" s="100">
        <f>MONTH(List34[[#This Row],[Tanggal Pengajuan]])</f>
        <v>5</v>
      </c>
      <c r="N422" s="183" t="s">
        <v>960</v>
      </c>
      <c r="O422" s="100" t="s">
        <v>1180</v>
      </c>
      <c r="P422" s="111"/>
      <c r="Q422" s="229"/>
      <c r="S422" s="275">
        <f>+List34[[#This Row],[Pengajuan Donasi]]-List34[[#This Row],[Jumlah Transfer]]</f>
        <v>0</v>
      </c>
      <c r="T422" s="275"/>
    </row>
    <row r="423" spans="1:20" s="4" customFormat="1" ht="30" customHeight="1" x14ac:dyDescent="0.2">
      <c r="A423" s="102">
        <v>44764</v>
      </c>
      <c r="B423" s="67" t="s">
        <v>1184</v>
      </c>
      <c r="C423" s="14" t="s">
        <v>1057</v>
      </c>
      <c r="D423" s="103" t="s">
        <v>1054</v>
      </c>
      <c r="E423" s="103" t="s">
        <v>18</v>
      </c>
      <c r="F423" s="471">
        <v>1</v>
      </c>
      <c r="G423" s="258">
        <v>0</v>
      </c>
      <c r="H423" s="258">
        <f>List34[[#This Row],[Pengajuan Donasi]]</f>
        <v>6140200</v>
      </c>
      <c r="I423" s="214" t="str">
        <f>IF(List34[[#This Row],[Tanggal Trf]]&gt;0,"Done","-")</f>
        <v>Done</v>
      </c>
      <c r="J423" s="437" t="s">
        <v>960</v>
      </c>
      <c r="K423" s="484">
        <v>44776</v>
      </c>
      <c r="L423" s="105" t="s">
        <v>778</v>
      </c>
      <c r="M423" s="100">
        <f>MONTH(List34[[#This Row],[Tanggal Pengajuan]])</f>
        <v>5</v>
      </c>
      <c r="N423" s="183" t="s">
        <v>960</v>
      </c>
      <c r="O423" s="100" t="s">
        <v>1180</v>
      </c>
      <c r="P423" s="111"/>
      <c r="Q423" s="229"/>
      <c r="S423" s="275">
        <f>+List34[[#This Row],[Pengajuan Donasi]]-List34[[#This Row],[Jumlah Transfer]]</f>
        <v>0</v>
      </c>
      <c r="T423" s="275"/>
    </row>
    <row r="424" spans="1:20" s="4" customFormat="1" ht="30" customHeight="1" x14ac:dyDescent="0.2">
      <c r="A424" s="102">
        <v>44669</v>
      </c>
      <c r="B424" s="67" t="s">
        <v>885</v>
      </c>
      <c r="C424" s="103" t="s">
        <v>782</v>
      </c>
      <c r="D424" s="14" t="s">
        <v>1054</v>
      </c>
      <c r="E424" s="14" t="s">
        <v>18</v>
      </c>
      <c r="F424" s="15"/>
      <c r="G424" s="258">
        <v>0</v>
      </c>
      <c r="H424" s="258">
        <f>List34[[#This Row],[Pengajuan Donasi]]</f>
        <v>6227200</v>
      </c>
      <c r="I424" s="213" t="str">
        <f>IF(List34[[#This Row],[Tanggal Trf]]&gt;0,"Done","-")</f>
        <v>Done</v>
      </c>
      <c r="J424" s="437"/>
      <c r="K424" s="221">
        <v>44671</v>
      </c>
      <c r="L424" s="100" t="s">
        <v>683</v>
      </c>
      <c r="M424" s="100">
        <f>MONTH(List34[[#This Row],[Tanggal Pengajuan]])</f>
        <v>5</v>
      </c>
      <c r="N424" s="183" t="s">
        <v>960</v>
      </c>
      <c r="O424" s="100" t="s">
        <v>795</v>
      </c>
      <c r="P424" s="111"/>
      <c r="Q424" s="229"/>
      <c r="S424" s="275">
        <f>+List34[[#This Row],[Pengajuan Donasi]]-List34[[#This Row],[Jumlah Transfer]]</f>
        <v>0</v>
      </c>
      <c r="T424" s="275"/>
    </row>
    <row r="425" spans="1:20" s="4" customFormat="1" ht="30" customHeight="1" x14ac:dyDescent="0.2">
      <c r="A425" s="102">
        <v>44669</v>
      </c>
      <c r="B425" s="67" t="s">
        <v>886</v>
      </c>
      <c r="C425" s="103" t="s">
        <v>777</v>
      </c>
      <c r="D425" s="14" t="s">
        <v>1054</v>
      </c>
      <c r="E425" s="14" t="s">
        <v>18</v>
      </c>
      <c r="F425" s="15"/>
      <c r="G425" s="258">
        <v>0</v>
      </c>
      <c r="H425" s="258">
        <f>List34[[#This Row],[Pengajuan Donasi]]</f>
        <v>6386400</v>
      </c>
      <c r="I425" s="213" t="str">
        <f>IF(List34[[#This Row],[Tanggal Trf]]&gt;0,"Done","-")</f>
        <v>Done</v>
      </c>
      <c r="J425" s="437"/>
      <c r="K425" s="221">
        <v>44671</v>
      </c>
      <c r="L425" s="100" t="s">
        <v>778</v>
      </c>
      <c r="M425" s="100">
        <f>MONTH(List34[[#This Row],[Tanggal Pengajuan]])</f>
        <v>5</v>
      </c>
      <c r="N425" s="183" t="s">
        <v>960</v>
      </c>
      <c r="O425" s="100" t="s">
        <v>795</v>
      </c>
      <c r="P425" s="111"/>
      <c r="Q425" s="229"/>
      <c r="S425" s="275">
        <f>+List34[[#This Row],[Pengajuan Donasi]]-List34[[#This Row],[Jumlah Transfer]]</f>
        <v>0</v>
      </c>
      <c r="T425" s="275"/>
    </row>
    <row r="426" spans="1:20" s="4" customFormat="1" ht="30" customHeight="1" x14ac:dyDescent="0.2">
      <c r="A426" s="102">
        <v>44589</v>
      </c>
      <c r="B426" s="67" t="s">
        <v>696</v>
      </c>
      <c r="C426" s="103" t="s">
        <v>697</v>
      </c>
      <c r="D426" s="14" t="s">
        <v>1054</v>
      </c>
      <c r="E426" s="14" t="s">
        <v>18</v>
      </c>
      <c r="F426" s="15"/>
      <c r="G426" s="258"/>
      <c r="H426" s="258">
        <f>List34[[#This Row],[Pengajuan Donasi]]</f>
        <v>6373100</v>
      </c>
      <c r="I426" s="213" t="str">
        <f>IF(List34[[#This Row],[Tanggal Trf]]&gt;0,"Done","-")</f>
        <v>Done</v>
      </c>
      <c r="J426" s="437"/>
      <c r="K426" s="221">
        <v>44589</v>
      </c>
      <c r="L426" s="100" t="s">
        <v>683</v>
      </c>
      <c r="M426" s="100">
        <f>MONTH(List34[[#This Row],[Tanggal Pengajuan]])</f>
        <v>5</v>
      </c>
      <c r="N426" s="183"/>
      <c r="O426" s="100" t="s">
        <v>651</v>
      </c>
      <c r="P426" s="111"/>
      <c r="Q426" s="229"/>
      <c r="S426" s="275">
        <f>+List34[[#This Row],[Pengajuan Donasi]]-List34[[#This Row],[Jumlah Transfer]]</f>
        <v>0</v>
      </c>
      <c r="T426" s="275"/>
    </row>
    <row r="427" spans="1:20" s="4" customFormat="1" ht="30" customHeight="1" x14ac:dyDescent="0.2">
      <c r="A427" s="102">
        <v>44616</v>
      </c>
      <c r="B427" s="67" t="s">
        <v>730</v>
      </c>
      <c r="C427" s="103" t="s">
        <v>697</v>
      </c>
      <c r="D427" s="14" t="s">
        <v>1054</v>
      </c>
      <c r="E427" s="14" t="s">
        <v>18</v>
      </c>
      <c r="F427" s="15"/>
      <c r="G427" s="258">
        <v>0</v>
      </c>
      <c r="H427" s="258">
        <f>List34[[#This Row],[Pengajuan Donasi]]</f>
        <v>6282900</v>
      </c>
      <c r="I427" s="213" t="str">
        <f>IF(List34[[#This Row],[Tanggal Trf]]&gt;0,"Done","-")</f>
        <v>Done</v>
      </c>
      <c r="J427" s="437"/>
      <c r="K427" s="221">
        <v>44618</v>
      </c>
      <c r="L427" s="100" t="s">
        <v>683</v>
      </c>
      <c r="M427" s="100">
        <f>MONTH(List34[[#This Row],[Tanggal Pengajuan]])</f>
        <v>5</v>
      </c>
      <c r="N427" s="183" t="s">
        <v>960</v>
      </c>
      <c r="O427" s="100" t="s">
        <v>707</v>
      </c>
      <c r="P427" s="111"/>
      <c r="Q427" s="229"/>
      <c r="S427" s="275">
        <f>+List34[[#This Row],[Pengajuan Donasi]]-List34[[#This Row],[Jumlah Transfer]]</f>
        <v>0</v>
      </c>
      <c r="T427" s="275"/>
    </row>
    <row r="428" spans="1:20" s="4" customFormat="1" ht="30" customHeight="1" x14ac:dyDescent="0.2">
      <c r="A428" s="102">
        <v>44670</v>
      </c>
      <c r="B428" s="67" t="s">
        <v>904</v>
      </c>
      <c r="C428" s="103" t="s">
        <v>907</v>
      </c>
      <c r="D428" s="14" t="s">
        <v>1054</v>
      </c>
      <c r="E428" s="14" t="s">
        <v>28</v>
      </c>
      <c r="F428" s="15"/>
      <c r="G428" s="258">
        <v>450000</v>
      </c>
      <c r="H428" s="258">
        <f>List34[[#This Row],[Pengajuan Donasi]]</f>
        <v>6280500</v>
      </c>
      <c r="I428" s="213" t="str">
        <f>IF(List34[[#This Row],[Tanggal Trf]]&gt;0,"Done","-")</f>
        <v>Done</v>
      </c>
      <c r="J428" s="437" t="s">
        <v>961</v>
      </c>
      <c r="K428" s="221">
        <v>44666</v>
      </c>
      <c r="L428" s="100" t="s">
        <v>683</v>
      </c>
      <c r="M428" s="100">
        <f>MONTH(List34[[#This Row],[Tanggal Pengajuan]])</f>
        <v>5</v>
      </c>
      <c r="N428" s="183">
        <v>44686</v>
      </c>
      <c r="O428" s="100" t="s">
        <v>795</v>
      </c>
      <c r="P428" s="105"/>
      <c r="Q428" s="229"/>
      <c r="S428" s="275">
        <f>+List34[[#This Row],[Pengajuan Donasi]]-List34[[#This Row],[Jumlah Transfer]]</f>
        <v>0</v>
      </c>
      <c r="T428" s="275">
        <f>+G428</f>
        <v>450000</v>
      </c>
    </row>
    <row r="429" spans="1:20" s="4" customFormat="1" ht="30" customHeight="1" x14ac:dyDescent="0.2">
      <c r="A429" s="102">
        <v>44753</v>
      </c>
      <c r="B429" s="67" t="s">
        <v>1153</v>
      </c>
      <c r="C429" s="103" t="s">
        <v>1175</v>
      </c>
      <c r="D429" s="14" t="s">
        <v>1054</v>
      </c>
      <c r="E429" s="14" t="s">
        <v>18</v>
      </c>
      <c r="F429" s="471"/>
      <c r="G429" s="258">
        <v>2400000</v>
      </c>
      <c r="H429" s="258">
        <f>List34[[#This Row],[Pengajuan Donasi]]</f>
        <v>6243400</v>
      </c>
      <c r="I429" s="213" t="str">
        <f>IF(List34[[#This Row],[Tanggal Trf]]&gt;0,"Done","-")</f>
        <v>Done</v>
      </c>
      <c r="J429" s="437" t="s">
        <v>960</v>
      </c>
      <c r="K429" s="484">
        <v>44757</v>
      </c>
      <c r="L429" s="618" t="s">
        <v>683</v>
      </c>
      <c r="M429" s="100">
        <f>MONTH(List34[[#This Row],[Tanggal Pengajuan]])</f>
        <v>5</v>
      </c>
      <c r="N429" s="183">
        <v>44761</v>
      </c>
      <c r="O429" s="100" t="s">
        <v>1180</v>
      </c>
      <c r="P429" s="105"/>
      <c r="Q429" s="229"/>
      <c r="S429" s="275">
        <f>+List34[[#This Row],[Pengajuan Donasi]]-List34[[#This Row],[Jumlah Transfer]]</f>
        <v>0</v>
      </c>
      <c r="T429" s="275">
        <f>+G429</f>
        <v>2400000</v>
      </c>
    </row>
    <row r="430" spans="1:20" s="4" customFormat="1" ht="30" customHeight="1" x14ac:dyDescent="0.2">
      <c r="A430" s="592">
        <v>44802</v>
      </c>
      <c r="B430" s="597" t="s">
        <v>1294</v>
      </c>
      <c r="C430" s="488" t="s">
        <v>1289</v>
      </c>
      <c r="D430" s="487" t="s">
        <v>1054</v>
      </c>
      <c r="E430" s="487" t="s">
        <v>28</v>
      </c>
      <c r="F430" s="489"/>
      <c r="G430" s="490">
        <v>392000</v>
      </c>
      <c r="H430" s="490">
        <f>List34[[#This Row],[Pengajuan Donasi]]</f>
        <v>6294800</v>
      </c>
      <c r="I430" s="491" t="str">
        <f>IF(List34[[#This Row],[Tanggal Trf]]&gt;0,"Done","-")</f>
        <v>Done</v>
      </c>
      <c r="J430" s="610"/>
      <c r="K430" s="616"/>
      <c r="L430" s="493" t="s">
        <v>683</v>
      </c>
      <c r="M430" s="493">
        <f>MONTH(List34[[#This Row],[Tanggal Pengajuan]])</f>
        <v>5</v>
      </c>
      <c r="N430" s="494"/>
      <c r="O430" s="493"/>
      <c r="P430" s="105"/>
      <c r="Q430" s="229"/>
      <c r="S430" s="275">
        <f>+List34[[#This Row],[Pengajuan Donasi]]-List34[[#This Row],[Jumlah Transfer]]</f>
        <v>0</v>
      </c>
      <c r="T430" s="275">
        <f>+G430</f>
        <v>392000</v>
      </c>
    </row>
    <row r="431" spans="1:20" s="4" customFormat="1" ht="30" customHeight="1" x14ac:dyDescent="0.2">
      <c r="A431" s="102">
        <v>44644</v>
      </c>
      <c r="B431" s="197" t="s">
        <v>779</v>
      </c>
      <c r="C431" s="103" t="s">
        <v>780</v>
      </c>
      <c r="D431" s="14" t="s">
        <v>1054</v>
      </c>
      <c r="E431" s="14" t="s">
        <v>28</v>
      </c>
      <c r="F431" s="15"/>
      <c r="G431" s="258">
        <v>2140000</v>
      </c>
      <c r="H431" s="258">
        <v>2140000</v>
      </c>
      <c r="I431" s="213" t="str">
        <f>IF(List34[[#This Row],[Tanggal Trf]]&gt;0,"Done","-")</f>
        <v>Done</v>
      </c>
      <c r="J431" s="437"/>
      <c r="K431" s="221">
        <v>44649</v>
      </c>
      <c r="L431" s="100" t="s">
        <v>683</v>
      </c>
      <c r="M431" s="100">
        <f>MONTH(List34[[#This Row],[Tanggal Pengajuan]])</f>
        <v>5</v>
      </c>
      <c r="N431" s="183"/>
      <c r="O431" s="100" t="s">
        <v>746</v>
      </c>
      <c r="P431" s="111"/>
      <c r="Q431" s="229"/>
      <c r="S431" s="275">
        <f>+List34[[#This Row],[Pengajuan Donasi]]-List34[[#This Row],[Jumlah Transfer]]</f>
        <v>0</v>
      </c>
      <c r="T431" s="275">
        <f>+G431</f>
        <v>2140000</v>
      </c>
    </row>
    <row r="432" spans="1:20" s="4" customFormat="1" ht="30" customHeight="1" x14ac:dyDescent="0.2">
      <c r="A432" s="102">
        <v>44671</v>
      </c>
      <c r="B432" s="67" t="s">
        <v>905</v>
      </c>
      <c r="C432" s="103" t="s">
        <v>906</v>
      </c>
      <c r="D432" s="14" t="s">
        <v>1054</v>
      </c>
      <c r="E432" s="14" t="s">
        <v>28</v>
      </c>
      <c r="F432" s="15"/>
      <c r="G432" s="258">
        <v>1550000</v>
      </c>
      <c r="H432" s="258">
        <f>List34[[#This Row],[Pengajuan Donasi]]</f>
        <v>6310000</v>
      </c>
      <c r="I432" s="213" t="str">
        <f>IF(List34[[#This Row],[Tanggal Trf]]&gt;0,"Done","-")</f>
        <v>Done</v>
      </c>
      <c r="J432" s="437" t="s">
        <v>962</v>
      </c>
      <c r="K432" s="221">
        <v>44679</v>
      </c>
      <c r="L432" s="100" t="s">
        <v>683</v>
      </c>
      <c r="M432" s="100">
        <f>MONTH(List34[[#This Row],[Tanggal Pengajuan]])</f>
        <v>5</v>
      </c>
      <c r="N432" s="183">
        <v>44686</v>
      </c>
      <c r="O432" s="100" t="s">
        <v>795</v>
      </c>
      <c r="P432" s="111"/>
      <c r="Q432" s="229"/>
      <c r="S432" s="275">
        <f>+List34[[#This Row],[Pengajuan Donasi]]-List34[[#This Row],[Jumlah Transfer]]</f>
        <v>0</v>
      </c>
      <c r="T432" s="275">
        <f>+G432</f>
        <v>1550000</v>
      </c>
    </row>
    <row r="433" spans="1:21" s="8" customFormat="1" ht="30" customHeight="1" x14ac:dyDescent="0.2">
      <c r="A433" s="644"/>
      <c r="B433" s="645"/>
      <c r="C433" s="406"/>
      <c r="D433" s="406"/>
      <c r="E433" s="406"/>
      <c r="F433" s="646"/>
      <c r="G433" s="647"/>
      <c r="H433" s="647"/>
      <c r="I433" s="648"/>
      <c r="J433" s="671"/>
      <c r="K433" s="649"/>
      <c r="L433" s="618"/>
      <c r="M433" s="406"/>
      <c r="N433" s="650"/>
      <c r="O433" s="406"/>
      <c r="P433" s="651"/>
      <c r="Q433" s="674"/>
      <c r="S433" s="639"/>
      <c r="T433" s="639"/>
    </row>
    <row r="434" spans="1:21" s="8" customFormat="1" ht="30" customHeight="1" x14ac:dyDescent="0.2">
      <c r="A434" s="653"/>
      <c r="B434" s="654"/>
      <c r="C434" s="618"/>
      <c r="D434" s="618"/>
      <c r="E434" s="618"/>
      <c r="F434" s="655"/>
      <c r="G434" s="639">
        <f>SUM(G412:G433)</f>
        <v>68648000</v>
      </c>
      <c r="H434" s="603"/>
      <c r="I434" s="656"/>
      <c r="J434" s="672"/>
      <c r="K434" s="657"/>
      <c r="L434" s="618"/>
      <c r="M434" s="618"/>
      <c r="N434" s="658"/>
      <c r="O434" s="618"/>
      <c r="P434" s="659"/>
      <c r="Q434" s="675"/>
      <c r="S434" s="639"/>
      <c r="T434" s="639">
        <f>SUM(T412:T433)</f>
        <v>68648000</v>
      </c>
    </row>
    <row r="435" spans="1:21" s="8" customFormat="1" ht="30" customHeight="1" x14ac:dyDescent="0.2">
      <c r="A435" s="653"/>
      <c r="B435" s="654"/>
      <c r="C435" s="618"/>
      <c r="D435" s="618"/>
      <c r="E435" s="618"/>
      <c r="F435" s="655"/>
      <c r="G435" s="603"/>
      <c r="H435" s="603"/>
      <c r="I435" s="656"/>
      <c r="J435" s="672"/>
      <c r="K435" s="657"/>
      <c r="L435" s="618"/>
      <c r="M435" s="618"/>
      <c r="N435" s="658"/>
      <c r="O435" s="618"/>
      <c r="P435" s="659"/>
      <c r="Q435" s="675"/>
      <c r="S435" s="639"/>
      <c r="T435" s="639">
        <f>+T434-'S1 - S2  2022'!O9</f>
        <v>-165789850</v>
      </c>
    </row>
    <row r="436" spans="1:21" s="8" customFormat="1" ht="30" customHeight="1" x14ac:dyDescent="0.2">
      <c r="A436" s="653"/>
      <c r="B436" s="654"/>
      <c r="C436" s="618"/>
      <c r="D436" s="618"/>
      <c r="E436" s="618"/>
      <c r="F436" s="655"/>
      <c r="G436" s="603"/>
      <c r="H436" s="603"/>
      <c r="I436" s="656"/>
      <c r="J436" s="672"/>
      <c r="K436" s="657"/>
      <c r="L436" s="618"/>
      <c r="M436" s="618"/>
      <c r="N436" s="658"/>
      <c r="O436" s="618"/>
      <c r="P436" s="659"/>
      <c r="Q436" s="675"/>
      <c r="S436" s="639"/>
      <c r="T436" s="639"/>
    </row>
    <row r="437" spans="1:21" s="8" customFormat="1" ht="30" customHeight="1" x14ac:dyDescent="0.2">
      <c r="A437" s="653"/>
      <c r="B437" s="654"/>
      <c r="C437" s="618"/>
      <c r="D437" s="618"/>
      <c r="E437" s="618"/>
      <c r="F437" s="655"/>
      <c r="G437" s="603"/>
      <c r="H437" s="603"/>
      <c r="I437" s="656"/>
      <c r="J437" s="672"/>
      <c r="K437" s="657"/>
      <c r="L437" s="618"/>
      <c r="M437" s="618"/>
      <c r="N437" s="658"/>
      <c r="O437" s="618"/>
      <c r="P437" s="659"/>
      <c r="Q437" s="675"/>
      <c r="S437" s="639"/>
      <c r="T437" s="639"/>
    </row>
    <row r="438" spans="1:21" s="8" customFormat="1" ht="30" customHeight="1" x14ac:dyDescent="0.2">
      <c r="A438" s="653"/>
      <c r="B438" s="654"/>
      <c r="C438" s="618"/>
      <c r="D438" s="663"/>
      <c r="E438" s="663"/>
      <c r="F438" s="664"/>
      <c r="G438" s="665"/>
      <c r="H438" s="665"/>
      <c r="I438" s="666"/>
      <c r="J438" s="673"/>
      <c r="K438" s="657"/>
      <c r="L438" s="618"/>
      <c r="M438" s="663"/>
      <c r="N438" s="658"/>
      <c r="O438" s="663"/>
      <c r="P438" s="659"/>
      <c r="Q438" s="676"/>
      <c r="S438" s="639"/>
      <c r="T438" s="639"/>
    </row>
    <row r="439" spans="1:21" s="4" customFormat="1" ht="30" customHeight="1" x14ac:dyDescent="0.2">
      <c r="A439" s="102">
        <v>44775</v>
      </c>
      <c r="B439" s="163" t="s">
        <v>1191</v>
      </c>
      <c r="C439" s="168" t="s">
        <v>1206</v>
      </c>
      <c r="D439" s="164" t="s">
        <v>17</v>
      </c>
      <c r="E439" s="164" t="s">
        <v>17</v>
      </c>
      <c r="F439" s="470"/>
      <c r="G439" s="261"/>
      <c r="H439" s="261">
        <f>List34[[#This Row],[Pengajuan Donasi]]</f>
        <v>6406500</v>
      </c>
      <c r="I439" s="253" t="str">
        <f>IF(List34[[#This Row],[Tanggal Trf]]&gt;0,"Done","-")</f>
        <v>Done</v>
      </c>
      <c r="J439" s="193" t="s">
        <v>1206</v>
      </c>
      <c r="K439" s="615"/>
      <c r="L439" s="712"/>
      <c r="M439" s="193">
        <f>MONTH(List34[[#This Row],[Tanggal Pengajuan]])</f>
        <v>5</v>
      </c>
      <c r="N439" s="194" t="s">
        <v>960</v>
      </c>
      <c r="O439" s="193" t="s">
        <v>1266</v>
      </c>
      <c r="P439" s="105"/>
      <c r="Q439" s="229"/>
      <c r="S439" s="275">
        <f>+List34[[#This Row],[Pengajuan Donasi]]-List34[[#This Row],[Jumlah Transfer]]</f>
        <v>0</v>
      </c>
      <c r="T439" s="275"/>
    </row>
    <row r="440" spans="1:21" s="8" customFormat="1" ht="30" customHeight="1" x14ac:dyDescent="0.2">
      <c r="A440" s="644"/>
      <c r="B440" s="735"/>
      <c r="C440" s="729"/>
      <c r="D440" s="405"/>
      <c r="E440" s="405"/>
      <c r="F440" s="702"/>
      <c r="G440" s="703"/>
      <c r="H440" s="703"/>
      <c r="I440" s="730"/>
      <c r="J440" s="405"/>
      <c r="K440" s="731"/>
      <c r="L440" s="712"/>
      <c r="M440" s="405"/>
      <c r="N440" s="715"/>
      <c r="O440" s="405"/>
      <c r="P440" s="406"/>
      <c r="Q440" s="736"/>
      <c r="S440" s="639"/>
      <c r="T440" s="639"/>
    </row>
    <row r="441" spans="1:21" s="4" customFormat="1" ht="30" customHeight="1" x14ac:dyDescent="0.2">
      <c r="A441" s="102">
        <v>44567</v>
      </c>
      <c r="B441" s="67"/>
      <c r="C441" s="103" t="s">
        <v>257</v>
      </c>
      <c r="D441" s="14" t="s">
        <v>17</v>
      </c>
      <c r="E441" s="14" t="s">
        <v>18</v>
      </c>
      <c r="F441" s="15">
        <v>134</v>
      </c>
      <c r="G441" s="258">
        <v>5500000</v>
      </c>
      <c r="H441" s="258">
        <f>List34[[#This Row],[Pengajuan Donasi]]</f>
        <v>6076100</v>
      </c>
      <c r="I441" s="213" t="str">
        <f>IF(List34[[#This Row],[Tanggal Trf]]&gt;0,"Done","-")</f>
        <v>Done</v>
      </c>
      <c r="J441" s="437"/>
      <c r="K441" s="221">
        <v>44580</v>
      </c>
      <c r="L441" s="618" t="s">
        <v>136</v>
      </c>
      <c r="M441" s="100">
        <f>MONTH(List34[[#This Row],[Tanggal Pengajuan]])</f>
        <v>5</v>
      </c>
      <c r="N441" s="183">
        <v>44690</v>
      </c>
      <c r="O441" s="100" t="s">
        <v>665</v>
      </c>
      <c r="P441" s="111"/>
      <c r="Q441" s="229"/>
      <c r="S441" s="275">
        <f>+List34[[#This Row],[Pengajuan Donasi]]-List34[[#This Row],[Jumlah Transfer]]</f>
        <v>0</v>
      </c>
      <c r="T441" s="275"/>
    </row>
    <row r="442" spans="1:21" s="4" customFormat="1" ht="30" customHeight="1" x14ac:dyDescent="0.2">
      <c r="A442" s="102">
        <v>44599</v>
      </c>
      <c r="B442" s="67"/>
      <c r="C442" s="103" t="s">
        <v>257</v>
      </c>
      <c r="D442" s="14" t="s">
        <v>17</v>
      </c>
      <c r="E442" s="14" t="s">
        <v>18</v>
      </c>
      <c r="F442" s="15">
        <v>134</v>
      </c>
      <c r="G442" s="258">
        <v>5500000</v>
      </c>
      <c r="H442" s="258">
        <f>List34[[#This Row],[Pengajuan Donasi]]</f>
        <v>6413000</v>
      </c>
      <c r="I442" s="213" t="str">
        <f>IF(List34[[#This Row],[Tanggal Trf]]&gt;0,"Done","-")</f>
        <v>Done</v>
      </c>
      <c r="J442" s="437"/>
      <c r="K442" s="221">
        <v>44607</v>
      </c>
      <c r="L442" s="618" t="s">
        <v>136</v>
      </c>
      <c r="M442" s="100">
        <f>MONTH(List34[[#This Row],[Tanggal Pengajuan]])</f>
        <v>5</v>
      </c>
      <c r="N442" s="183">
        <v>44691</v>
      </c>
      <c r="O442" s="100" t="s">
        <v>707</v>
      </c>
      <c r="P442" s="111"/>
      <c r="Q442" s="229"/>
      <c r="S442" s="275">
        <f>+List34[[#This Row],[Pengajuan Donasi]]-List34[[#This Row],[Jumlah Transfer]]</f>
        <v>0</v>
      </c>
      <c r="T442" s="275"/>
    </row>
    <row r="443" spans="1:21" s="4" customFormat="1" ht="30" customHeight="1" x14ac:dyDescent="0.2">
      <c r="A443" s="102">
        <v>44631</v>
      </c>
      <c r="B443" s="67"/>
      <c r="C443" s="103" t="s">
        <v>257</v>
      </c>
      <c r="D443" s="14" t="s">
        <v>17</v>
      </c>
      <c r="E443" s="14" t="s">
        <v>18</v>
      </c>
      <c r="F443" s="15">
        <v>134</v>
      </c>
      <c r="G443" s="258">
        <v>5500000</v>
      </c>
      <c r="H443" s="258">
        <f>List34[[#This Row],[Pengajuan Donasi]]</f>
        <v>6299500</v>
      </c>
      <c r="I443" s="213" t="str">
        <f>IF(List34[[#This Row],[Tanggal Trf]]&gt;0,"Done","-")</f>
        <v>Done</v>
      </c>
      <c r="J443" s="437" t="s">
        <v>35</v>
      </c>
      <c r="K443" s="221">
        <v>44648</v>
      </c>
      <c r="L443" s="618" t="s">
        <v>136</v>
      </c>
      <c r="M443" s="100">
        <f>MONTH(List34[[#This Row],[Tanggal Pengajuan]])</f>
        <v>5</v>
      </c>
      <c r="N443" s="183">
        <v>44691</v>
      </c>
      <c r="O443" s="100" t="s">
        <v>746</v>
      </c>
      <c r="P443" s="111"/>
      <c r="Q443" s="229"/>
      <c r="S443" s="275">
        <f>+List34[[#This Row],[Pengajuan Donasi]]-List34[[#This Row],[Jumlah Transfer]]</f>
        <v>0</v>
      </c>
      <c r="T443" s="275"/>
    </row>
    <row r="444" spans="1:21" s="4" customFormat="1" ht="30" customHeight="1" x14ac:dyDescent="0.2">
      <c r="A444" s="102">
        <v>44659</v>
      </c>
      <c r="B444" s="593"/>
      <c r="C444" s="103" t="s">
        <v>257</v>
      </c>
      <c r="D444" s="176" t="s">
        <v>17</v>
      </c>
      <c r="E444" s="14" t="s">
        <v>18</v>
      </c>
      <c r="F444" s="469">
        <v>134</v>
      </c>
      <c r="G444" s="258">
        <v>5500000</v>
      </c>
      <c r="H444" s="258">
        <f>List34[[#This Row],[Pengajuan Donasi]]</f>
        <v>6247600</v>
      </c>
      <c r="I444" s="213" t="str">
        <f>IF(List34[[#This Row],[Tanggal Trf]]&gt;0,"Done","-")</f>
        <v>Done</v>
      </c>
      <c r="J444" s="608"/>
      <c r="K444" s="221">
        <v>44663</v>
      </c>
      <c r="L444" s="20" t="s">
        <v>136</v>
      </c>
      <c r="M444" s="20">
        <f>MONTH(List34[[#This Row],[Tanggal Pengajuan]])</f>
        <v>5</v>
      </c>
      <c r="N444" s="183">
        <v>44677</v>
      </c>
      <c r="O444" s="20" t="s">
        <v>795</v>
      </c>
      <c r="P444" s="111"/>
      <c r="Q444" s="229"/>
      <c r="S444" s="275">
        <f>+List34[[#This Row],[Pengajuan Donasi]]-List34[[#This Row],[Jumlah Transfer]]</f>
        <v>0</v>
      </c>
      <c r="T444" s="275"/>
    </row>
    <row r="445" spans="1:21" s="4" customFormat="1" ht="30" customHeight="1" x14ac:dyDescent="0.2">
      <c r="A445" s="102">
        <v>44687</v>
      </c>
      <c r="B445" s="67"/>
      <c r="C445" s="103" t="s">
        <v>257</v>
      </c>
      <c r="D445" s="14" t="s">
        <v>17</v>
      </c>
      <c r="E445" s="14" t="s">
        <v>18</v>
      </c>
      <c r="F445" s="469">
        <v>134</v>
      </c>
      <c r="G445" s="258">
        <v>5500000</v>
      </c>
      <c r="H445" s="258">
        <f>List34[[#This Row],[Pengajuan Donasi]]</f>
        <v>6354200</v>
      </c>
      <c r="I445" s="213" t="str">
        <f>IF(List34[[#This Row],[Tanggal Trf]]&gt;0,"Done","-")</f>
        <v>Done</v>
      </c>
      <c r="J445" s="437"/>
      <c r="K445" s="221">
        <v>44693</v>
      </c>
      <c r="L445" s="100" t="s">
        <v>136</v>
      </c>
      <c r="M445" s="100">
        <f>MONTH(List34[[#This Row],[Tanggal Pengajuan]])</f>
        <v>5</v>
      </c>
      <c r="N445" s="183">
        <v>44698</v>
      </c>
      <c r="O445" s="100"/>
      <c r="P445" s="111"/>
      <c r="Q445" s="229"/>
      <c r="S445" s="275">
        <f>+List34[[#This Row],[Pengajuan Donasi]]-List34[[#This Row],[Jumlah Transfer]]</f>
        <v>0</v>
      </c>
      <c r="T445" s="275"/>
    </row>
    <row r="446" spans="1:21" s="4" customFormat="1" ht="30" customHeight="1" x14ac:dyDescent="0.2">
      <c r="A446" s="102">
        <v>44715</v>
      </c>
      <c r="B446" s="593"/>
      <c r="C446" s="103" t="s">
        <v>257</v>
      </c>
      <c r="D446" s="103" t="s">
        <v>17</v>
      </c>
      <c r="E446" s="14" t="s">
        <v>18</v>
      </c>
      <c r="F446" s="469">
        <v>134</v>
      </c>
      <c r="G446" s="258">
        <v>5500000</v>
      </c>
      <c r="H446" s="258">
        <f>List34[[#This Row],[Pengajuan Donasi]]</f>
        <v>6478200</v>
      </c>
      <c r="I446" s="214" t="str">
        <f>IF(List34[[#This Row],[Tanggal Trf]]&gt;0,"Done","-")</f>
        <v>Done</v>
      </c>
      <c r="J446" s="437"/>
      <c r="K446" s="221">
        <v>44721</v>
      </c>
      <c r="L446" s="105" t="s">
        <v>136</v>
      </c>
      <c r="M446" s="100">
        <f>MONTH(List34[[#This Row],[Tanggal Pengajuan]])</f>
        <v>5</v>
      </c>
      <c r="N446" s="183">
        <v>44748</v>
      </c>
      <c r="O446" s="100" t="s">
        <v>1116</v>
      </c>
      <c r="P446" s="111"/>
      <c r="Q446" s="229"/>
      <c r="S446" s="275"/>
      <c r="T446" s="275"/>
    </row>
    <row r="447" spans="1:21" s="4" customFormat="1" ht="30" customHeight="1" x14ac:dyDescent="0.2">
      <c r="A447" s="102">
        <v>44746</v>
      </c>
      <c r="B447" s="67"/>
      <c r="C447" s="103" t="s">
        <v>257</v>
      </c>
      <c r="D447" s="103" t="s">
        <v>17</v>
      </c>
      <c r="E447" s="14" t="s">
        <v>18</v>
      </c>
      <c r="F447" s="471">
        <v>134</v>
      </c>
      <c r="G447" s="258">
        <v>5500000</v>
      </c>
      <c r="H447" s="258">
        <f>List34[[#This Row],[Pengajuan Donasi]]</f>
        <v>5661300</v>
      </c>
      <c r="I447" s="214" t="str">
        <f>IF(List34[[#This Row],[Tanggal Trf]]&gt;0,"Done","-")</f>
        <v>Done</v>
      </c>
      <c r="J447" s="437" t="s">
        <v>960</v>
      </c>
      <c r="K447" s="484">
        <v>44776</v>
      </c>
      <c r="L447" s="105" t="s">
        <v>136</v>
      </c>
      <c r="M447" s="100">
        <f>MONTH(List34[[#This Row],[Tanggal Pengajuan]])</f>
        <v>5</v>
      </c>
      <c r="N447" s="183"/>
      <c r="O447" s="100" t="s">
        <v>1180</v>
      </c>
      <c r="P447" s="111"/>
      <c r="Q447" s="229"/>
      <c r="S447" s="275"/>
      <c r="T447" s="275"/>
    </row>
    <row r="448" spans="1:21" s="4" customFormat="1" ht="30" customHeight="1" x14ac:dyDescent="0.2">
      <c r="A448" s="102">
        <v>44775</v>
      </c>
      <c r="B448" s="67"/>
      <c r="C448" s="103" t="s">
        <v>257</v>
      </c>
      <c r="D448" s="103" t="s">
        <v>17</v>
      </c>
      <c r="E448" s="103" t="s">
        <v>18</v>
      </c>
      <c r="F448" s="471">
        <v>128</v>
      </c>
      <c r="G448" s="258">
        <v>5500000</v>
      </c>
      <c r="H448" s="258">
        <f>List34[[#This Row],[Pengajuan Donasi]]</f>
        <v>6172300</v>
      </c>
      <c r="I448" s="214" t="str">
        <f>IF(List34[[#This Row],[Tanggal Trf]]&gt;0,"Done","-")</f>
        <v>Done</v>
      </c>
      <c r="J448" s="437"/>
      <c r="K448" s="484">
        <v>44792</v>
      </c>
      <c r="L448" s="105" t="s">
        <v>136</v>
      </c>
      <c r="M448" s="100">
        <f>MONTH(List34[[#This Row],[Tanggal Pengajuan]])</f>
        <v>5</v>
      </c>
      <c r="N448" s="183"/>
      <c r="O448" s="100" t="s">
        <v>888</v>
      </c>
      <c r="P448" s="111"/>
      <c r="Q448" s="229"/>
      <c r="S448" s="275"/>
      <c r="T448" s="275">
        <f>SUM(G441:G448)</f>
        <v>44000000</v>
      </c>
      <c r="U448" s="737">
        <f>+T448</f>
        <v>44000000</v>
      </c>
    </row>
    <row r="449" spans="1:20" s="4" customFormat="1" ht="30" customHeight="1" x14ac:dyDescent="0.2">
      <c r="A449" s="102">
        <v>44587</v>
      </c>
      <c r="B449" s="67"/>
      <c r="C449" s="103" t="s">
        <v>857</v>
      </c>
      <c r="D449" s="103" t="s">
        <v>17</v>
      </c>
      <c r="E449" s="103" t="s">
        <v>18</v>
      </c>
      <c r="F449" s="15">
        <v>78</v>
      </c>
      <c r="G449" s="262">
        <f>'[5]REV-PENAWARAN PER JAN''22'!$E$998</f>
        <v>6000800</v>
      </c>
      <c r="H449" s="258">
        <f>List34[[#This Row],[Pengajuan Donasi]]</f>
        <v>6442100</v>
      </c>
      <c r="I449" s="214" t="str">
        <f>IF(List34[[#This Row],[Tanggal Trf]]&gt;0,"Done","-")</f>
        <v>Done</v>
      </c>
      <c r="J449" s="606" t="s">
        <v>837</v>
      </c>
      <c r="K449" s="221">
        <v>44589</v>
      </c>
      <c r="L449" s="105" t="s">
        <v>1015</v>
      </c>
      <c r="M449" s="100">
        <f>MONTH(List34[[#This Row],[Tanggal Pengajuan]])</f>
        <v>5</v>
      </c>
      <c r="N449" s="183"/>
      <c r="O449" s="100" t="s">
        <v>651</v>
      </c>
      <c r="P449" s="111"/>
      <c r="Q449" s="229"/>
      <c r="S449" s="275"/>
      <c r="T449" s="275"/>
    </row>
    <row r="450" spans="1:20" s="4" customFormat="1" ht="30" customHeight="1" x14ac:dyDescent="0.2">
      <c r="A450" s="102">
        <v>44644</v>
      </c>
      <c r="B450" s="593"/>
      <c r="C450" s="103" t="s">
        <v>857</v>
      </c>
      <c r="D450" s="103" t="s">
        <v>17</v>
      </c>
      <c r="E450" s="103" t="s">
        <v>18</v>
      </c>
      <c r="F450" s="15">
        <v>78</v>
      </c>
      <c r="G450" s="258">
        <v>5999600</v>
      </c>
      <c r="H450" s="258">
        <f>List34[[#This Row],[Pengajuan Donasi]]</f>
        <v>6000000</v>
      </c>
      <c r="I450" s="214" t="str">
        <f>IF(List34[[#This Row],[Tanggal Trf]]&gt;0,"Done","-")</f>
        <v>Done</v>
      </c>
      <c r="J450" s="437" t="s">
        <v>25</v>
      </c>
      <c r="K450" s="221">
        <v>44645</v>
      </c>
      <c r="L450" s="105" t="s">
        <v>1015</v>
      </c>
      <c r="M450" s="20">
        <f>MONTH(List34[[#This Row],[Tanggal Pengajuan]])</f>
        <v>6</v>
      </c>
      <c r="N450" s="183"/>
      <c r="O450" s="100" t="s">
        <v>707</v>
      </c>
      <c r="P450" s="111"/>
      <c r="Q450" s="229"/>
      <c r="S450" s="275">
        <f>+List34[[#This Row],[Pengajuan Donasi]]-List34[[#This Row],[Jumlah Transfer]]</f>
        <v>0</v>
      </c>
      <c r="T450" s="275"/>
    </row>
    <row r="451" spans="1:20" s="4" customFormat="1" ht="30" customHeight="1" x14ac:dyDescent="0.2">
      <c r="A451" s="102">
        <v>44651</v>
      </c>
      <c r="B451" s="593"/>
      <c r="C451" s="103" t="s">
        <v>857</v>
      </c>
      <c r="D451" s="103" t="s">
        <v>17</v>
      </c>
      <c r="E451" s="103" t="s">
        <v>18</v>
      </c>
      <c r="F451" s="15">
        <v>78</v>
      </c>
      <c r="G451" s="258">
        <v>5997300</v>
      </c>
      <c r="H451" s="258">
        <f>List34[[#This Row],[Pengajuan Donasi]]</f>
        <v>5000000</v>
      </c>
      <c r="I451" s="733" t="str">
        <f>IF(List34[[#This Row],[Tanggal Trf]]&gt;0,"Done","-")</f>
        <v>Done</v>
      </c>
      <c r="J451" s="437" t="s">
        <v>25</v>
      </c>
      <c r="K451" s="221">
        <v>44652</v>
      </c>
      <c r="L451" s="105" t="s">
        <v>1015</v>
      </c>
      <c r="M451" s="20">
        <f>MONTH(List34[[#This Row],[Tanggal Pengajuan]])</f>
        <v>6</v>
      </c>
      <c r="N451" s="183"/>
      <c r="O451" s="100" t="s">
        <v>746</v>
      </c>
      <c r="P451" s="111"/>
      <c r="Q451" s="229"/>
      <c r="S451" s="275">
        <f>+List34[[#This Row],[Pengajuan Donasi]]-List34[[#This Row],[Jumlah Transfer]]</f>
        <v>0</v>
      </c>
    </row>
    <row r="452" spans="1:20" s="4" customFormat="1" ht="30" customHeight="1" x14ac:dyDescent="0.2">
      <c r="A452" s="102">
        <v>44678</v>
      </c>
      <c r="B452" s="67"/>
      <c r="C452" s="103" t="s">
        <v>857</v>
      </c>
      <c r="D452" s="103" t="s">
        <v>17</v>
      </c>
      <c r="E452" s="103" t="s">
        <v>18</v>
      </c>
      <c r="F452" s="15">
        <v>78</v>
      </c>
      <c r="G452" s="258">
        <v>6368400</v>
      </c>
      <c r="H452" s="258">
        <f>List34[[#This Row],[Pengajuan Donasi]]</f>
        <v>1000000</v>
      </c>
      <c r="I452" s="214" t="str">
        <f>IF(List34[[#This Row],[Tanggal Trf]]&gt;0,"Done","-")</f>
        <v>Done</v>
      </c>
      <c r="J452" s="437" t="s">
        <v>25</v>
      </c>
      <c r="K452" s="221">
        <v>44679</v>
      </c>
      <c r="L452" s="105" t="s">
        <v>1015</v>
      </c>
      <c r="M452" s="100">
        <f>MONTH(List34[[#This Row],[Tanggal Pengajuan]])</f>
        <v>6</v>
      </c>
      <c r="N452" s="183">
        <v>44686</v>
      </c>
      <c r="O452" s="100" t="s">
        <v>795</v>
      </c>
      <c r="P452" s="111"/>
      <c r="Q452" s="229"/>
      <c r="S452" s="275">
        <f>+List34[[#This Row],[Pengajuan Donasi]]-List34[[#This Row],[Jumlah Transfer]]</f>
        <v>0</v>
      </c>
    </row>
    <row r="453" spans="1:20" s="4" customFormat="1" ht="30" customHeight="1" x14ac:dyDescent="0.2">
      <c r="A453" s="102">
        <v>44711</v>
      </c>
      <c r="B453" s="163"/>
      <c r="C453" s="103" t="s">
        <v>857</v>
      </c>
      <c r="D453" s="103" t="s">
        <v>17</v>
      </c>
      <c r="E453" s="103" t="s">
        <v>18</v>
      </c>
      <c r="F453" s="15">
        <v>78</v>
      </c>
      <c r="G453" s="258">
        <v>6406500</v>
      </c>
      <c r="H453" s="258">
        <f>List34[[#This Row],[Pengajuan Donasi]]</f>
        <v>1000000</v>
      </c>
      <c r="I453" s="214" t="str">
        <f>IF(List34[[#This Row],[Tanggal Trf]]&gt;0,"Done","-")</f>
        <v>Done</v>
      </c>
      <c r="J453" s="437"/>
      <c r="K453" s="221">
        <v>44715</v>
      </c>
      <c r="L453" s="105" t="s">
        <v>1015</v>
      </c>
      <c r="M453" s="100">
        <f>MONTH(List34[[#This Row],[Tanggal Pengajuan]])</f>
        <v>6</v>
      </c>
      <c r="N453" s="183">
        <v>44747</v>
      </c>
      <c r="O453" s="100" t="s">
        <v>932</v>
      </c>
      <c r="P453" s="111"/>
      <c r="Q453" s="229"/>
      <c r="S453" s="275">
        <f>+List34[[#This Row],[Pengajuan Donasi]]-List34[[#This Row],[Jumlah Transfer]]</f>
        <v>0</v>
      </c>
    </row>
    <row r="454" spans="1:20" s="4" customFormat="1" ht="30" customHeight="1" x14ac:dyDescent="0.2">
      <c r="A454" s="102">
        <v>44736</v>
      </c>
      <c r="B454" s="67"/>
      <c r="C454" s="103" t="s">
        <v>857</v>
      </c>
      <c r="D454" s="103" t="s">
        <v>17</v>
      </c>
      <c r="E454" s="103" t="s">
        <v>18</v>
      </c>
      <c r="F454" s="471">
        <v>78</v>
      </c>
      <c r="G454" s="271">
        <v>6002100</v>
      </c>
      <c r="H454" s="258">
        <f>List34[[#This Row],[Pengajuan Donasi]]</f>
        <v>1000000</v>
      </c>
      <c r="I454" s="214" t="str">
        <f>IF(List34[[#This Row],[Tanggal Trf]]&gt;0,"Done","-")</f>
        <v>Done</v>
      </c>
      <c r="J454" s="437"/>
      <c r="K454" s="484">
        <v>44741</v>
      </c>
      <c r="L454" s="105" t="s">
        <v>1015</v>
      </c>
      <c r="M454" s="100">
        <f>MONTH(List34[[#This Row],[Tanggal Pengajuan]])</f>
        <v>6</v>
      </c>
      <c r="N454" s="183"/>
      <c r="O454" s="100" t="s">
        <v>1116</v>
      </c>
      <c r="P454" s="111"/>
      <c r="Q454" s="229"/>
      <c r="S454" s="275">
        <f>+List34[[#This Row],[Pengajuan Donasi]]-List34[[#This Row],[Jumlah Transfer]]</f>
        <v>0</v>
      </c>
    </row>
    <row r="455" spans="1:20" s="4" customFormat="1" ht="30" customHeight="1" x14ac:dyDescent="0.2">
      <c r="A455" s="102">
        <v>44754</v>
      </c>
      <c r="B455" s="67"/>
      <c r="C455" s="103" t="s">
        <v>857</v>
      </c>
      <c r="D455" s="103" t="s">
        <v>17</v>
      </c>
      <c r="E455" s="103" t="s">
        <v>18</v>
      </c>
      <c r="F455" s="471">
        <v>78</v>
      </c>
      <c r="G455" s="271">
        <v>6000000</v>
      </c>
      <c r="H455" s="258">
        <f>List34[[#This Row],[Pengajuan Donasi]]</f>
        <v>1000000</v>
      </c>
      <c r="I455" s="214" t="str">
        <f>IF(List34[[#This Row],[Tanggal Trf]]&gt;0,"Done","-")</f>
        <v>Done</v>
      </c>
      <c r="J455" s="437" t="s">
        <v>1176</v>
      </c>
      <c r="K455" s="484">
        <v>44764</v>
      </c>
      <c r="L455" s="105" t="s">
        <v>1213</v>
      </c>
      <c r="M455" s="100">
        <f>MONTH(List34[[#This Row],[Tanggal Pengajuan]])</f>
        <v>6</v>
      </c>
      <c r="N455" s="183">
        <v>44775</v>
      </c>
      <c r="O455" s="100" t="s">
        <v>1180</v>
      </c>
      <c r="P455" s="111"/>
      <c r="Q455" s="229"/>
      <c r="S455" s="275">
        <f>+List34[[#This Row],[Pengajuan Donasi]]-List34[[#This Row],[Jumlah Transfer]]</f>
        <v>0</v>
      </c>
    </row>
    <row r="456" spans="1:20" s="4" customFormat="1" ht="30" customHeight="1" x14ac:dyDescent="0.2">
      <c r="A456" s="102">
        <v>44781</v>
      </c>
      <c r="B456" s="67"/>
      <c r="C456" s="103" t="s">
        <v>857</v>
      </c>
      <c r="D456" s="103" t="s">
        <v>17</v>
      </c>
      <c r="E456" s="103" t="s">
        <v>18</v>
      </c>
      <c r="F456" s="471">
        <v>83</v>
      </c>
      <c r="G456" s="258">
        <v>6251860</v>
      </c>
      <c r="H456" s="258">
        <f>List34[[#This Row],[Pengajuan Donasi]]</f>
        <v>1000000</v>
      </c>
      <c r="I456" s="214" t="str">
        <f>IF(List34[[#This Row],[Tanggal Trf]]&gt;0,"Done","-")</f>
        <v>Done</v>
      </c>
      <c r="J456" s="100" t="s">
        <v>1261</v>
      </c>
      <c r="K456" s="484">
        <v>44783</v>
      </c>
      <c r="L456" s="105" t="s">
        <v>683</v>
      </c>
      <c r="M456" s="100">
        <f>MONTH(List34[[#This Row],[Tanggal Pengajuan]])</f>
        <v>6</v>
      </c>
      <c r="N456" s="183">
        <v>44791</v>
      </c>
      <c r="O456" s="100" t="s">
        <v>1224</v>
      </c>
      <c r="P456" s="111"/>
      <c r="Q456" s="229"/>
      <c r="S456" s="275">
        <f>+List34[[#This Row],[Pengajuan Donasi]]-List34[[#This Row],[Jumlah Transfer]]</f>
        <v>0</v>
      </c>
      <c r="T456" s="738">
        <f>SUM(G449:G456)</f>
        <v>49026560</v>
      </c>
    </row>
    <row r="457" spans="1:20" s="4" customFormat="1" ht="30" customHeight="1" x14ac:dyDescent="0.2">
      <c r="A457" s="102">
        <v>44587</v>
      </c>
      <c r="B457" s="593"/>
      <c r="C457" s="103" t="s">
        <v>866</v>
      </c>
      <c r="D457" s="103" t="s">
        <v>17</v>
      </c>
      <c r="E457" s="103" t="s">
        <v>18</v>
      </c>
      <c r="F457" s="469">
        <v>56</v>
      </c>
      <c r="G457" s="602">
        <f>'[5]REV-PENAWARAN PER JAN''22'!$E$1454</f>
        <v>6000400</v>
      </c>
      <c r="H457" s="258">
        <f>List34[[#This Row],[Pengajuan Donasi]]</f>
        <v>1000000</v>
      </c>
      <c r="I457" s="214" t="str">
        <f>IF(List34[[#This Row],[Tanggal Trf]]&gt;0,"Done","-")</f>
        <v>Done</v>
      </c>
      <c r="J457" s="606" t="s">
        <v>847</v>
      </c>
      <c r="K457" s="221">
        <v>44589</v>
      </c>
      <c r="L457" s="105" t="s">
        <v>1015</v>
      </c>
      <c r="M457" s="20">
        <f>MONTH(List34[[#This Row],[Tanggal Pengajuan]])</f>
        <v>6</v>
      </c>
      <c r="N457" s="183"/>
      <c r="O457" s="100" t="s">
        <v>687</v>
      </c>
      <c r="P457" s="111"/>
      <c r="Q457" s="229"/>
      <c r="S457" s="275">
        <f>+List34[[#This Row],[Pengajuan Donasi]]-List34[[#This Row],[Jumlah Transfer]]</f>
        <v>0</v>
      </c>
    </row>
    <row r="458" spans="1:20" s="4" customFormat="1" ht="30" customHeight="1" x14ac:dyDescent="0.2">
      <c r="A458" s="102">
        <v>44644</v>
      </c>
      <c r="B458" s="593"/>
      <c r="C458" s="103" t="s">
        <v>866</v>
      </c>
      <c r="D458" s="103" t="s">
        <v>17</v>
      </c>
      <c r="E458" s="103" t="s">
        <v>18</v>
      </c>
      <c r="F458" s="469">
        <v>56</v>
      </c>
      <c r="G458" s="271">
        <v>5999900</v>
      </c>
      <c r="H458" s="258">
        <f>List34[[#This Row],[Pengajuan Donasi]]</f>
        <v>1000000</v>
      </c>
      <c r="I458" s="214" t="str">
        <f>IF(List34[[#This Row],[Tanggal Trf]]&gt;0,"Done","-")</f>
        <v>Done</v>
      </c>
      <c r="J458" s="437" t="s">
        <v>25</v>
      </c>
      <c r="K458" s="221">
        <v>44645</v>
      </c>
      <c r="L458" s="105" t="s">
        <v>1015</v>
      </c>
      <c r="M458" s="20">
        <f>MONTH(List34[[#This Row],[Tanggal Pengajuan]])</f>
        <v>6</v>
      </c>
      <c r="N458" s="183"/>
      <c r="O458" s="100" t="s">
        <v>707</v>
      </c>
      <c r="P458" s="111"/>
      <c r="Q458" s="229"/>
      <c r="S458" s="275">
        <f>+List34[[#This Row],[Pengajuan Donasi]]-List34[[#This Row],[Jumlah Transfer]]</f>
        <v>0</v>
      </c>
    </row>
    <row r="459" spans="1:20" s="4" customFormat="1" ht="30" customHeight="1" x14ac:dyDescent="0.2">
      <c r="A459" s="102">
        <v>44651</v>
      </c>
      <c r="B459" s="67"/>
      <c r="C459" s="103" t="s">
        <v>866</v>
      </c>
      <c r="D459" s="103" t="s">
        <v>17</v>
      </c>
      <c r="E459" s="103" t="s">
        <v>18</v>
      </c>
      <c r="F459" s="469">
        <v>56</v>
      </c>
      <c r="G459" s="271">
        <v>5784000</v>
      </c>
      <c r="H459" s="258">
        <f>List34[[#This Row],[Pengajuan Donasi]]</f>
        <v>1000000</v>
      </c>
      <c r="I459" s="214" t="str">
        <f>IF(List34[[#This Row],[Tanggal Trf]]&gt;0,"Done","-")</f>
        <v>Done</v>
      </c>
      <c r="J459" s="437" t="s">
        <v>25</v>
      </c>
      <c r="K459" s="221">
        <v>44652</v>
      </c>
      <c r="L459" s="105" t="s">
        <v>1015</v>
      </c>
      <c r="M459" s="100">
        <f>MONTH(List34[[#This Row],[Tanggal Pengajuan]])</f>
        <v>6</v>
      </c>
      <c r="N459" s="183"/>
      <c r="O459" s="100" t="s">
        <v>746</v>
      </c>
      <c r="P459" s="111"/>
      <c r="Q459" s="229"/>
      <c r="S459" s="275">
        <f>+List34[[#This Row],[Pengajuan Donasi]]-List34[[#This Row],[Jumlah Transfer]]</f>
        <v>0</v>
      </c>
    </row>
    <row r="460" spans="1:20" s="4" customFormat="1" ht="30" customHeight="1" x14ac:dyDescent="0.2">
      <c r="A460" s="102">
        <v>44678</v>
      </c>
      <c r="B460" s="67"/>
      <c r="C460" s="103" t="s">
        <v>866</v>
      </c>
      <c r="D460" s="103" t="s">
        <v>17</v>
      </c>
      <c r="E460" s="103" t="s">
        <v>18</v>
      </c>
      <c r="F460" s="469">
        <v>56</v>
      </c>
      <c r="G460" s="271">
        <v>6313300</v>
      </c>
      <c r="H460" s="258">
        <f>List34[[#This Row],[Pengajuan Donasi]]</f>
        <v>750000</v>
      </c>
      <c r="I460" s="214" t="str">
        <f>IF(List34[[#This Row],[Tanggal Trf]]&gt;0,"Done","-")</f>
        <v>Done</v>
      </c>
      <c r="J460" s="437" t="s">
        <v>25</v>
      </c>
      <c r="K460" s="221">
        <v>44679</v>
      </c>
      <c r="L460" s="105" t="s">
        <v>1015</v>
      </c>
      <c r="M460" s="100">
        <f>MONTH(List34[[#This Row],[Tanggal Pengajuan]])</f>
        <v>6</v>
      </c>
      <c r="N460" s="183">
        <v>44686</v>
      </c>
      <c r="O460" s="100" t="s">
        <v>795</v>
      </c>
      <c r="P460" s="111"/>
      <c r="Q460" s="229"/>
      <c r="S460" s="275">
        <f>+List34[[#This Row],[Pengajuan Donasi]]-List34[[#This Row],[Jumlah Transfer]]</f>
        <v>0</v>
      </c>
    </row>
    <row r="461" spans="1:20" s="4" customFormat="1" ht="30" customHeight="1" x14ac:dyDescent="0.2">
      <c r="A461" s="102">
        <v>44711</v>
      </c>
      <c r="B461" s="163"/>
      <c r="C461" s="103" t="s">
        <v>866</v>
      </c>
      <c r="D461" s="103" t="s">
        <v>17</v>
      </c>
      <c r="E461" s="103" t="s">
        <v>18</v>
      </c>
      <c r="F461" s="469">
        <v>56</v>
      </c>
      <c r="G461" s="271">
        <v>6442100</v>
      </c>
      <c r="H461" s="258">
        <f>List34[[#This Row],[Pengajuan Donasi]]</f>
        <v>750000</v>
      </c>
      <c r="I461" s="214" t="str">
        <f>IF(List34[[#This Row],[Tanggal Trf]]&gt;0,"Done","-")</f>
        <v>Done</v>
      </c>
      <c r="J461" s="437"/>
      <c r="K461" s="221">
        <v>44715</v>
      </c>
      <c r="L461" s="105" t="s">
        <v>1015</v>
      </c>
      <c r="M461" s="100">
        <f>MONTH(List34[[#This Row],[Tanggal Pengajuan]])</f>
        <v>6</v>
      </c>
      <c r="N461" s="183">
        <v>44747</v>
      </c>
      <c r="O461" s="100" t="s">
        <v>932</v>
      </c>
      <c r="P461" s="111"/>
      <c r="Q461" s="229"/>
      <c r="S461" s="275">
        <f>+List34[[#This Row],[Pengajuan Donasi]]-List34[[#This Row],[Jumlah Transfer]]</f>
        <v>0</v>
      </c>
    </row>
    <row r="462" spans="1:20" s="4" customFormat="1" ht="30" customHeight="1" x14ac:dyDescent="0.2">
      <c r="A462" s="102">
        <v>44736</v>
      </c>
      <c r="B462" s="67"/>
      <c r="C462" s="103" t="s">
        <v>866</v>
      </c>
      <c r="D462" s="103" t="s">
        <v>17</v>
      </c>
      <c r="E462" s="103" t="s">
        <v>18</v>
      </c>
      <c r="F462" s="471">
        <v>56</v>
      </c>
      <c r="G462" s="271">
        <v>6010600</v>
      </c>
      <c r="H462" s="258">
        <f>List34[[#This Row],[Pengajuan Donasi]]</f>
        <v>1000000</v>
      </c>
      <c r="I462" s="214" t="str">
        <f>IF(List34[[#This Row],[Tanggal Trf]]&gt;0,"Done","-")</f>
        <v>Done</v>
      </c>
      <c r="J462" s="437"/>
      <c r="K462" s="484">
        <v>44741</v>
      </c>
      <c r="L462" s="105" t="s">
        <v>1015</v>
      </c>
      <c r="M462" s="100">
        <f>MONTH(List34[[#This Row],[Tanggal Pengajuan]])</f>
        <v>6</v>
      </c>
      <c r="N462" s="183"/>
      <c r="O462" s="100" t="s">
        <v>1116</v>
      </c>
      <c r="P462" s="111"/>
      <c r="Q462" s="229"/>
      <c r="S462" s="275">
        <f>+List34[[#This Row],[Pengajuan Donasi]]-List34[[#This Row],[Jumlah Transfer]]</f>
        <v>0</v>
      </c>
    </row>
    <row r="463" spans="1:20" s="4" customFormat="1" ht="30" customHeight="1" x14ac:dyDescent="0.2">
      <c r="A463" s="102">
        <v>44754</v>
      </c>
      <c r="B463" s="67"/>
      <c r="C463" s="103" t="s">
        <v>866</v>
      </c>
      <c r="D463" s="103" t="s">
        <v>17</v>
      </c>
      <c r="E463" s="103" t="s">
        <v>18</v>
      </c>
      <c r="F463" s="471">
        <v>56</v>
      </c>
      <c r="G463" s="271">
        <v>6000000</v>
      </c>
      <c r="H463" s="258">
        <f>List34[[#This Row],[Pengajuan Donasi]]</f>
        <v>1000000</v>
      </c>
      <c r="I463" s="214" t="str">
        <f>IF(List34[[#This Row],[Tanggal Trf]]&gt;0,"Done","-")</f>
        <v>Done</v>
      </c>
      <c r="J463" s="437" t="s">
        <v>1176</v>
      </c>
      <c r="K463" s="484">
        <v>44764</v>
      </c>
      <c r="L463" s="105" t="s">
        <v>1213</v>
      </c>
      <c r="M463" s="100">
        <f>MONTH(List34[[#This Row],[Tanggal Pengajuan]])</f>
        <v>6</v>
      </c>
      <c r="N463" s="183">
        <v>44775</v>
      </c>
      <c r="O463" s="100" t="s">
        <v>1180</v>
      </c>
      <c r="P463" s="111"/>
      <c r="Q463" s="229"/>
      <c r="S463" s="275">
        <f>+List34[[#This Row],[Pengajuan Donasi]]-List34[[#This Row],[Jumlah Transfer]]</f>
        <v>0</v>
      </c>
    </row>
    <row r="464" spans="1:20" s="4" customFormat="1" ht="30" customHeight="1" x14ac:dyDescent="0.2">
      <c r="A464" s="102">
        <v>44781</v>
      </c>
      <c r="B464" s="67"/>
      <c r="C464" s="103" t="s">
        <v>866</v>
      </c>
      <c r="D464" s="103" t="s">
        <v>17</v>
      </c>
      <c r="E464" s="103" t="s">
        <v>18</v>
      </c>
      <c r="F464" s="471">
        <v>56</v>
      </c>
      <c r="G464" s="271">
        <v>6000000</v>
      </c>
      <c r="H464" s="258">
        <f>List34[[#This Row],[Pengajuan Donasi]]</f>
        <v>1000000</v>
      </c>
      <c r="I464" s="214" t="str">
        <f>IF(List34[[#This Row],[Tanggal Trf]]&gt;0,"Done","-")</f>
        <v>Done</v>
      </c>
      <c r="J464" s="100" t="s">
        <v>1206</v>
      </c>
      <c r="K464" s="484">
        <v>44792</v>
      </c>
      <c r="L464" s="105" t="s">
        <v>1213</v>
      </c>
      <c r="M464" s="100">
        <f>MONTH(List34[[#This Row],[Tanggal Pengajuan]])</f>
        <v>6</v>
      </c>
      <c r="N464" s="183"/>
      <c r="O464" s="100" t="s">
        <v>888</v>
      </c>
      <c r="P464" s="111"/>
      <c r="Q464" s="229"/>
      <c r="S464" s="275">
        <f>+List34[[#This Row],[Pengajuan Donasi]]-List34[[#This Row],[Jumlah Transfer]]</f>
        <v>0</v>
      </c>
      <c r="T464" s="738">
        <f>SUM(G457:G464)</f>
        <v>48550300</v>
      </c>
    </row>
    <row r="465" spans="1:20" s="4" customFormat="1" ht="30" customHeight="1" x14ac:dyDescent="0.2">
      <c r="A465" s="102">
        <v>44566</v>
      </c>
      <c r="B465" s="67" t="s">
        <v>649</v>
      </c>
      <c r="C465" s="103" t="s">
        <v>859</v>
      </c>
      <c r="D465" s="103" t="s">
        <v>17</v>
      </c>
      <c r="E465" s="103" t="s">
        <v>18</v>
      </c>
      <c r="F465" s="15">
        <v>23</v>
      </c>
      <c r="G465" s="271">
        <v>6000000</v>
      </c>
      <c r="H465" s="258">
        <f>List34[[#This Row],[Pengajuan Donasi]]</f>
        <v>2640000</v>
      </c>
      <c r="I465" s="214" t="str">
        <f>IF(List34[[#This Row],[Tanggal Trf]]&gt;0,"Done","-")</f>
        <v>Done</v>
      </c>
      <c r="J465" s="437"/>
      <c r="K465" s="221">
        <v>44580</v>
      </c>
      <c r="L465" s="105" t="s">
        <v>650</v>
      </c>
      <c r="M465" s="100">
        <f>MONTH(List34[[#This Row],[Tanggal Pengajuan]])</f>
        <v>6</v>
      </c>
      <c r="N465" s="183"/>
      <c r="O465" s="100" t="s">
        <v>651</v>
      </c>
      <c r="P465" s="111"/>
      <c r="Q465" s="229"/>
      <c r="S465" s="275">
        <f>+List34[[#This Row],[Pengajuan Donasi]]-List34[[#This Row],[Jumlah Transfer]]</f>
        <v>0</v>
      </c>
    </row>
    <row r="466" spans="1:20" s="4" customFormat="1" ht="30" customHeight="1" x14ac:dyDescent="0.2">
      <c r="A466" s="102">
        <v>44596</v>
      </c>
      <c r="B466" s="67" t="s">
        <v>711</v>
      </c>
      <c r="C466" s="103" t="s">
        <v>859</v>
      </c>
      <c r="D466" s="103" t="s">
        <v>17</v>
      </c>
      <c r="E466" s="103" t="s">
        <v>18</v>
      </c>
      <c r="F466" s="15">
        <v>23</v>
      </c>
      <c r="G466" s="271">
        <v>6000000</v>
      </c>
      <c r="H466" s="258">
        <f>List34[[#This Row],[Pengajuan Donasi]]</f>
        <v>10000000</v>
      </c>
      <c r="I466" s="214" t="str">
        <f>IF(List34[[#This Row],[Tanggal Trf]]&gt;0,"Done","-")</f>
        <v>Done</v>
      </c>
      <c r="J466" s="437"/>
      <c r="K466" s="221">
        <v>44599</v>
      </c>
      <c r="L466" s="105" t="s">
        <v>650</v>
      </c>
      <c r="M466" s="100">
        <f>MONTH(List34[[#This Row],[Tanggal Pengajuan]])</f>
        <v>6</v>
      </c>
      <c r="N466" s="183">
        <v>44699</v>
      </c>
      <c r="O466" s="100" t="s">
        <v>707</v>
      </c>
      <c r="P466" s="111"/>
      <c r="Q466" s="229"/>
      <c r="S466" s="275">
        <f>+List34[[#This Row],[Pengajuan Donasi]]-List34[[#This Row],[Jumlah Transfer]]</f>
        <v>0</v>
      </c>
    </row>
    <row r="467" spans="1:20" s="4" customFormat="1" ht="30" customHeight="1" x14ac:dyDescent="0.2">
      <c r="A467" s="102">
        <v>44624</v>
      </c>
      <c r="B467" s="67" t="s">
        <v>747</v>
      </c>
      <c r="C467" s="103" t="s">
        <v>859</v>
      </c>
      <c r="D467" s="103" t="s">
        <v>17</v>
      </c>
      <c r="E467" s="103" t="s">
        <v>18</v>
      </c>
      <c r="F467" s="15">
        <v>23</v>
      </c>
      <c r="G467" s="271">
        <v>6000000</v>
      </c>
      <c r="H467" s="258">
        <v>6000000</v>
      </c>
      <c r="I467" s="214" t="str">
        <f>IF(List34[[#This Row],[Tanggal Trf]]&gt;0,"Done","-")</f>
        <v>Done</v>
      </c>
      <c r="J467" s="437"/>
      <c r="K467" s="221">
        <v>44630</v>
      </c>
      <c r="L467" s="105" t="s">
        <v>650</v>
      </c>
      <c r="M467" s="100">
        <f>MONTH(List34[[#This Row],[Tanggal Pengajuan]])</f>
        <v>6</v>
      </c>
      <c r="N467" s="183">
        <v>44699</v>
      </c>
      <c r="O467" s="100" t="s">
        <v>746</v>
      </c>
      <c r="P467" s="111"/>
      <c r="Q467" s="229"/>
      <c r="S467" s="275">
        <f>+List34[[#This Row],[Pengajuan Donasi]]-List34[[#This Row],[Jumlah Transfer]]</f>
        <v>0</v>
      </c>
    </row>
    <row r="468" spans="1:20" s="4" customFormat="1" ht="30" customHeight="1" x14ac:dyDescent="0.2">
      <c r="A468" s="102">
        <v>44658</v>
      </c>
      <c r="B468" s="67" t="s">
        <v>809</v>
      </c>
      <c r="C468" s="103" t="s">
        <v>859</v>
      </c>
      <c r="D468" s="103" t="s">
        <v>17</v>
      </c>
      <c r="E468" s="103" t="s">
        <v>18</v>
      </c>
      <c r="F468" s="15">
        <v>23</v>
      </c>
      <c r="G468" s="271">
        <v>6000000</v>
      </c>
      <c r="H468" s="258">
        <f>List34[[#This Row],[Pengajuan Donasi]]</f>
        <v>10000000</v>
      </c>
      <c r="I468" s="214" t="str">
        <f>IF(List34[[#This Row],[Tanggal Trf]]&gt;0,"Done","-")</f>
        <v>Done</v>
      </c>
      <c r="J468" s="440"/>
      <c r="K468" s="221">
        <v>44670</v>
      </c>
      <c r="L468" s="105" t="s">
        <v>650</v>
      </c>
      <c r="M468" s="100">
        <f>MONTH(List34[[#This Row],[Tanggal Pengajuan]])</f>
        <v>6</v>
      </c>
      <c r="N468" s="183">
        <v>44676</v>
      </c>
      <c r="O468" s="100" t="s">
        <v>795</v>
      </c>
      <c r="P468" s="111"/>
      <c r="Q468" s="229"/>
      <c r="S468" s="275">
        <f>+List34[[#This Row],[Pengajuan Donasi]]-List34[[#This Row],[Jumlah Transfer]]</f>
        <v>0</v>
      </c>
    </row>
    <row r="469" spans="1:20" s="4" customFormat="1" ht="30" customHeight="1" x14ac:dyDescent="0.2">
      <c r="A469" s="102">
        <v>44687</v>
      </c>
      <c r="B469" s="67" t="s">
        <v>937</v>
      </c>
      <c r="C469" s="103" t="s">
        <v>859</v>
      </c>
      <c r="D469" s="103" t="s">
        <v>17</v>
      </c>
      <c r="E469" s="103" t="s">
        <v>18</v>
      </c>
      <c r="F469" s="15">
        <v>23</v>
      </c>
      <c r="G469" s="271">
        <v>6000000</v>
      </c>
      <c r="H469" s="258">
        <f>List34[[#This Row],[Pengajuan Donasi]]</f>
        <v>10000000</v>
      </c>
      <c r="I469" s="214" t="str">
        <f>IF(List34[[#This Row],[Tanggal Trf]]&gt;0,"Done","-")</f>
        <v>Done</v>
      </c>
      <c r="J469" s="440"/>
      <c r="K469" s="221">
        <v>44705</v>
      </c>
      <c r="L469" s="105" t="s">
        <v>650</v>
      </c>
      <c r="M469" s="100">
        <f>MONTH(List34[[#This Row],[Tanggal Pengajuan]])</f>
        <v>6</v>
      </c>
      <c r="N469" s="183">
        <v>44694</v>
      </c>
      <c r="O469" s="100" t="s">
        <v>932</v>
      </c>
      <c r="P469" s="111"/>
      <c r="Q469" s="229"/>
      <c r="S469" s="275">
        <f>+List34[[#This Row],[Pengajuan Donasi]]-List34[[#This Row],[Jumlah Transfer]]</f>
        <v>0</v>
      </c>
    </row>
    <row r="470" spans="1:20" s="4" customFormat="1" ht="30" customHeight="1" x14ac:dyDescent="0.2">
      <c r="A470" s="102">
        <v>44715</v>
      </c>
      <c r="B470" s="67" t="s">
        <v>1077</v>
      </c>
      <c r="C470" s="103" t="s">
        <v>859</v>
      </c>
      <c r="D470" s="103" t="s">
        <v>17</v>
      </c>
      <c r="E470" s="103" t="s">
        <v>18</v>
      </c>
      <c r="F470" s="15">
        <v>23</v>
      </c>
      <c r="G470" s="271">
        <v>6000000</v>
      </c>
      <c r="H470" s="258">
        <f>List34[[#This Row],[Pengajuan Donasi]]</f>
        <v>10000000</v>
      </c>
      <c r="I470" s="214" t="str">
        <f>IF(List34[[#This Row],[Tanggal Trf]]&gt;0,"Done","-")</f>
        <v>Done</v>
      </c>
      <c r="J470" s="437"/>
      <c r="K470" s="221">
        <v>44721</v>
      </c>
      <c r="L470" s="105" t="s">
        <v>650</v>
      </c>
      <c r="M470" s="100">
        <f>MONTH(List34[[#This Row],[Tanggal Pengajuan]])</f>
        <v>6</v>
      </c>
      <c r="N470" s="183">
        <v>44747</v>
      </c>
      <c r="O470" s="100" t="s">
        <v>1116</v>
      </c>
      <c r="P470" s="111"/>
      <c r="Q470" s="229"/>
      <c r="S470" s="275"/>
    </row>
    <row r="471" spans="1:20" s="4" customFormat="1" ht="30" customHeight="1" x14ac:dyDescent="0.2">
      <c r="A471" s="102">
        <v>44746</v>
      </c>
      <c r="B471" s="67" t="s">
        <v>1136</v>
      </c>
      <c r="C471" s="103" t="s">
        <v>859</v>
      </c>
      <c r="D471" s="103" t="s">
        <v>17</v>
      </c>
      <c r="E471" s="103" t="s">
        <v>18</v>
      </c>
      <c r="F471" s="471">
        <v>23</v>
      </c>
      <c r="G471" s="258">
        <v>6000000</v>
      </c>
      <c r="H471" s="258">
        <f>List34[[#This Row],[Pengajuan Donasi]]</f>
        <v>10000000</v>
      </c>
      <c r="I471" s="214" t="str">
        <f>IF(List34[[#This Row],[Tanggal Trf]]&gt;0,"Done","-")</f>
        <v>Done</v>
      </c>
      <c r="J471" s="440" t="s">
        <v>1159</v>
      </c>
      <c r="K471" s="484">
        <v>44764</v>
      </c>
      <c r="L471" s="105" t="s">
        <v>650</v>
      </c>
      <c r="M471" s="100">
        <f>MONTH(List34[[#This Row],[Tanggal Pengajuan]])</f>
        <v>6</v>
      </c>
      <c r="N471" s="183"/>
      <c r="O471" s="100" t="s">
        <v>1180</v>
      </c>
      <c r="P471" s="111"/>
      <c r="Q471" s="229"/>
      <c r="S471" s="275"/>
    </row>
    <row r="472" spans="1:20" s="4" customFormat="1" ht="30" customHeight="1" x14ac:dyDescent="0.2">
      <c r="A472" s="102">
        <v>44775</v>
      </c>
      <c r="B472" s="67" t="s">
        <v>1193</v>
      </c>
      <c r="C472" s="103" t="s">
        <v>859</v>
      </c>
      <c r="D472" s="103" t="s">
        <v>17</v>
      </c>
      <c r="E472" s="103" t="s">
        <v>18</v>
      </c>
      <c r="F472" s="471">
        <v>23</v>
      </c>
      <c r="G472" s="258">
        <v>6000000</v>
      </c>
      <c r="H472" s="258">
        <f>List34[[#This Row],[Pengajuan Donasi]]</f>
        <v>500000</v>
      </c>
      <c r="I472" s="214" t="str">
        <f>IF(List34[[#This Row],[Tanggal Trf]]&gt;0,"Done","-")</f>
        <v>Done</v>
      </c>
      <c r="J472" s="105" t="s">
        <v>1208</v>
      </c>
      <c r="K472" s="484">
        <v>44792</v>
      </c>
      <c r="L472" s="105" t="s">
        <v>650</v>
      </c>
      <c r="M472" s="100">
        <f>MONTH(List34[[#This Row],[Tanggal Pengajuan]])</f>
        <v>6</v>
      </c>
      <c r="N472" s="183"/>
      <c r="O472" s="100" t="s">
        <v>1268</v>
      </c>
      <c r="P472" s="111"/>
      <c r="Q472" s="229"/>
      <c r="S472" s="275"/>
      <c r="T472" s="738">
        <f>SUM(G465:G472)</f>
        <v>48000000</v>
      </c>
    </row>
    <row r="473" spans="1:20" s="4" customFormat="1" ht="30" customHeight="1" x14ac:dyDescent="0.2">
      <c r="A473" s="102">
        <v>44587</v>
      </c>
      <c r="B473" s="67"/>
      <c r="C473" s="103" t="s">
        <v>867</v>
      </c>
      <c r="D473" s="103" t="s">
        <v>17</v>
      </c>
      <c r="E473" s="103" t="s">
        <v>18</v>
      </c>
      <c r="F473" s="15">
        <v>129</v>
      </c>
      <c r="G473" s="262">
        <f>'[5]REV-PENAWARAN PER JAN''22'!$E$320</f>
        <v>6000700</v>
      </c>
      <c r="H473" s="258">
        <f>List34[[#This Row],[Pengajuan Donasi]]</f>
        <v>500000</v>
      </c>
      <c r="I473" s="214" t="str">
        <f>IF(List34[[#This Row],[Tanggal Trf]]&gt;0,"Done","-")</f>
        <v>Done</v>
      </c>
      <c r="J473" s="607" t="s">
        <v>823</v>
      </c>
      <c r="K473" s="221">
        <v>44589</v>
      </c>
      <c r="L473" s="105" t="s">
        <v>1015</v>
      </c>
      <c r="M473" s="100">
        <f>MONTH(List34[[#This Row],[Tanggal Pengajuan]])</f>
        <v>6</v>
      </c>
      <c r="N473" s="183"/>
      <c r="O473" s="100" t="s">
        <v>687</v>
      </c>
      <c r="P473" s="111"/>
      <c r="Q473" s="229"/>
      <c r="S473" s="275"/>
    </row>
    <row r="474" spans="1:20" s="4" customFormat="1" ht="30" customHeight="1" x14ac:dyDescent="0.2">
      <c r="A474" s="102">
        <v>44644</v>
      </c>
      <c r="B474" s="593"/>
      <c r="C474" s="103" t="s">
        <v>867</v>
      </c>
      <c r="D474" s="103" t="s">
        <v>17</v>
      </c>
      <c r="E474" s="103" t="s">
        <v>18</v>
      </c>
      <c r="F474" s="15">
        <v>129</v>
      </c>
      <c r="G474" s="258">
        <v>5999800</v>
      </c>
      <c r="H474" s="258">
        <f>List34[[#This Row],[Pengajuan Donasi]]</f>
        <v>500000</v>
      </c>
      <c r="I474" s="214" t="str">
        <f>IF(List34[[#This Row],[Tanggal Trf]]&gt;0,"Done","-")</f>
        <v>Done</v>
      </c>
      <c r="J474" s="440" t="s">
        <v>25</v>
      </c>
      <c r="K474" s="221">
        <v>44645</v>
      </c>
      <c r="L474" s="105" t="s">
        <v>1015</v>
      </c>
      <c r="M474" s="20">
        <f>MONTH(List34[[#This Row],[Tanggal Pengajuan]])</f>
        <v>6</v>
      </c>
      <c r="N474" s="183"/>
      <c r="O474" s="100" t="s">
        <v>707</v>
      </c>
      <c r="P474" s="111"/>
      <c r="Q474" s="229"/>
      <c r="S474" s="275"/>
    </row>
    <row r="475" spans="1:20" s="4" customFormat="1" ht="30" customHeight="1" x14ac:dyDescent="0.2">
      <c r="A475" s="102">
        <v>44651</v>
      </c>
      <c r="B475" s="67"/>
      <c r="C475" s="103" t="s">
        <v>867</v>
      </c>
      <c r="D475" s="103" t="s">
        <v>17</v>
      </c>
      <c r="E475" s="103" t="s">
        <v>18</v>
      </c>
      <c r="F475" s="15">
        <v>129</v>
      </c>
      <c r="G475" s="258">
        <v>5999800</v>
      </c>
      <c r="H475" s="258">
        <f>List34[[#This Row],[Pengajuan Donasi]]</f>
        <v>500000</v>
      </c>
      <c r="I475" s="213" t="str">
        <f>IF(List34[[#This Row],[Tanggal Trf]]&gt;0,"Done","-")</f>
        <v>Done</v>
      </c>
      <c r="J475" s="440" t="s">
        <v>25</v>
      </c>
      <c r="K475" s="221">
        <v>44652</v>
      </c>
      <c r="L475" s="105" t="s">
        <v>1015</v>
      </c>
      <c r="M475" s="100">
        <f>MONTH(List34[[#This Row],[Tanggal Pengajuan]])</f>
        <v>6</v>
      </c>
      <c r="N475" s="183"/>
      <c r="O475" s="100" t="s">
        <v>746</v>
      </c>
      <c r="P475" s="111"/>
      <c r="Q475" s="229"/>
      <c r="S475" s="275"/>
    </row>
    <row r="476" spans="1:20" s="4" customFormat="1" ht="30" customHeight="1" x14ac:dyDescent="0.2">
      <c r="A476" s="102">
        <v>44678</v>
      </c>
      <c r="B476" s="67"/>
      <c r="C476" s="103" t="s">
        <v>867</v>
      </c>
      <c r="D476" s="103" t="s">
        <v>17</v>
      </c>
      <c r="E476" s="103" t="s">
        <v>18</v>
      </c>
      <c r="F476" s="15">
        <v>129</v>
      </c>
      <c r="G476" s="258">
        <v>6224600</v>
      </c>
      <c r="H476" s="258">
        <f>List34[[#This Row],[Pengajuan Donasi]]</f>
        <v>500000</v>
      </c>
      <c r="I476" s="214" t="str">
        <f>IF(List34[[#This Row],[Tanggal Trf]]&gt;0,"Done","-")</f>
        <v>Done</v>
      </c>
      <c r="J476" s="440" t="s">
        <v>25</v>
      </c>
      <c r="K476" s="221">
        <v>44679</v>
      </c>
      <c r="L476" s="105" t="s">
        <v>1015</v>
      </c>
      <c r="M476" s="100">
        <f>MONTH(List34[[#This Row],[Tanggal Pengajuan]])</f>
        <v>6</v>
      </c>
      <c r="N476" s="183">
        <v>44686</v>
      </c>
      <c r="O476" s="100" t="s">
        <v>795</v>
      </c>
      <c r="P476" s="111"/>
      <c r="Q476" s="229"/>
      <c r="S476" s="275"/>
    </row>
    <row r="477" spans="1:20" s="4" customFormat="1" ht="30" customHeight="1" x14ac:dyDescent="0.2">
      <c r="A477" s="102">
        <v>44711</v>
      </c>
      <c r="B477" s="163"/>
      <c r="C477" s="103" t="s">
        <v>867</v>
      </c>
      <c r="D477" s="103" t="s">
        <v>17</v>
      </c>
      <c r="E477" s="103" t="s">
        <v>18</v>
      </c>
      <c r="F477" s="15">
        <v>129</v>
      </c>
      <c r="G477" s="271">
        <v>6386400</v>
      </c>
      <c r="H477" s="258">
        <f>List34[[#This Row],[Pengajuan Donasi]]</f>
        <v>500000</v>
      </c>
      <c r="I477" s="214" t="str">
        <f>IF(List34[[#This Row],[Tanggal Trf]]&gt;0,"Done","-")</f>
        <v>Done</v>
      </c>
      <c r="J477" s="437"/>
      <c r="K477" s="221">
        <v>44715</v>
      </c>
      <c r="L477" s="105" t="s">
        <v>1015</v>
      </c>
      <c r="M477" s="100">
        <f>MONTH(List34[[#This Row],[Tanggal Pengajuan]])</f>
        <v>6</v>
      </c>
      <c r="N477" s="183">
        <v>44747</v>
      </c>
      <c r="O477" s="100" t="s">
        <v>932</v>
      </c>
      <c r="P477" s="111"/>
      <c r="Q477" s="229"/>
      <c r="S477" s="275"/>
    </row>
    <row r="478" spans="1:20" s="4" customFormat="1" ht="15.75" x14ac:dyDescent="0.2">
      <c r="A478" s="102">
        <v>44736</v>
      </c>
      <c r="B478" s="67"/>
      <c r="C478" s="103" t="s">
        <v>867</v>
      </c>
      <c r="D478" s="103" t="s">
        <v>17</v>
      </c>
      <c r="E478" s="103" t="s">
        <v>18</v>
      </c>
      <c r="F478" s="471">
        <v>129</v>
      </c>
      <c r="G478" s="271">
        <v>6001500</v>
      </c>
      <c r="H478" s="258">
        <f>List34[[#This Row],[Pengajuan Donasi]]</f>
        <v>500000</v>
      </c>
      <c r="I478" s="214" t="str">
        <f>IF(List34[[#This Row],[Tanggal Trf]]&gt;0,"Done","-")</f>
        <v>Done</v>
      </c>
      <c r="J478" s="437"/>
      <c r="K478" s="484">
        <v>44741</v>
      </c>
      <c r="L478" s="105" t="s">
        <v>1015</v>
      </c>
      <c r="M478" s="100">
        <f>MONTH(List34[[#This Row],[Tanggal Pengajuan]])</f>
        <v>6</v>
      </c>
      <c r="N478" s="183"/>
      <c r="O478" s="100" t="s">
        <v>1116</v>
      </c>
      <c r="P478" s="111"/>
      <c r="Q478" s="229"/>
      <c r="S478" s="275"/>
    </row>
    <row r="479" spans="1:20" s="4" customFormat="1" ht="24.75" x14ac:dyDescent="0.2">
      <c r="A479" s="102">
        <v>44754</v>
      </c>
      <c r="B479" s="67"/>
      <c r="C479" s="103" t="s">
        <v>867</v>
      </c>
      <c r="D479" s="103" t="s">
        <v>17</v>
      </c>
      <c r="E479" s="103" t="s">
        <v>18</v>
      </c>
      <c r="F479" s="471">
        <v>129</v>
      </c>
      <c r="G479" s="271">
        <v>6000000</v>
      </c>
      <c r="H479" s="258">
        <f>List34[[#This Row],[Pengajuan Donasi]]</f>
        <v>500000</v>
      </c>
      <c r="I479" s="214" t="str">
        <f>IF(List34[[#This Row],[Tanggal Trf]]&gt;0,"Done","-")</f>
        <v>Done</v>
      </c>
      <c r="J479" s="437" t="s">
        <v>1176</v>
      </c>
      <c r="K479" s="484">
        <v>44764</v>
      </c>
      <c r="L479" s="105" t="s">
        <v>1213</v>
      </c>
      <c r="M479" s="100">
        <f>MONTH(List34[[#This Row],[Tanggal Pengajuan]])</f>
        <v>6</v>
      </c>
      <c r="N479" s="183">
        <v>44775</v>
      </c>
      <c r="O479" s="100" t="s">
        <v>1180</v>
      </c>
      <c r="P479" s="111"/>
      <c r="Q479" s="229"/>
      <c r="S479" s="275"/>
    </row>
    <row r="480" spans="1:20" s="4" customFormat="1" ht="36.75" x14ac:dyDescent="0.2">
      <c r="A480" s="102">
        <v>44782</v>
      </c>
      <c r="B480" s="67"/>
      <c r="C480" s="103" t="s">
        <v>867</v>
      </c>
      <c r="D480" s="103" t="s">
        <v>17</v>
      </c>
      <c r="E480" s="103" t="s">
        <v>18</v>
      </c>
      <c r="F480" s="471">
        <v>83</v>
      </c>
      <c r="G480" s="271">
        <v>6250560</v>
      </c>
      <c r="H480" s="258">
        <f>List34[[#This Row],[Pengajuan Donasi]]</f>
        <v>500000</v>
      </c>
      <c r="I480" s="214" t="str">
        <f>IF(List34[[#This Row],[Tanggal Trf]]&gt;0,"Done","-")</f>
        <v>Done</v>
      </c>
      <c r="J480" s="437" t="s">
        <v>1265</v>
      </c>
      <c r="K480" s="484">
        <v>44792</v>
      </c>
      <c r="L480" s="105" t="s">
        <v>1267</v>
      </c>
      <c r="M480" s="100">
        <f>MONTH(List34[[#This Row],[Tanggal Pengajuan]])</f>
        <v>6</v>
      </c>
      <c r="N480" s="183">
        <v>44796</v>
      </c>
      <c r="O480" s="100" t="s">
        <v>888</v>
      </c>
      <c r="P480" s="111"/>
      <c r="Q480" s="229"/>
      <c r="S480" s="275"/>
      <c r="T480" s="738">
        <f>SUM(G473:G480)</f>
        <v>48863360</v>
      </c>
    </row>
    <row r="481" spans="1:20" s="4" customFormat="1" ht="15.75" x14ac:dyDescent="0.2">
      <c r="A481" s="102">
        <v>44587</v>
      </c>
      <c r="B481" s="67"/>
      <c r="C481" s="14" t="s">
        <v>861</v>
      </c>
      <c r="D481" s="14" t="s">
        <v>17</v>
      </c>
      <c r="E481" s="103" t="s">
        <v>18</v>
      </c>
      <c r="F481" s="15">
        <v>65</v>
      </c>
      <c r="G481" s="602">
        <f>'[5]REV-PENAWARAN PER JAN''22'!$E$1217</f>
        <v>5999000</v>
      </c>
      <c r="H481" s="258">
        <f>List34[[#This Row],[Pengajuan Donasi]]</f>
        <v>500000</v>
      </c>
      <c r="I481" s="214" t="str">
        <f>IF(List34[[#This Row],[Tanggal Trf]]&gt;0,"Done","-")</f>
        <v>Done</v>
      </c>
      <c r="J481" s="606" t="s">
        <v>842</v>
      </c>
      <c r="K481" s="223">
        <v>44589</v>
      </c>
      <c r="L481" s="105" t="s">
        <v>1015</v>
      </c>
      <c r="M481" s="100">
        <f>MONTH(List34[[#This Row],[Tanggal Pengajuan]])</f>
        <v>6</v>
      </c>
      <c r="N481" s="183"/>
      <c r="O481" s="105" t="s">
        <v>687</v>
      </c>
      <c r="P481" s="111"/>
      <c r="Q481" s="229"/>
      <c r="S481" s="275"/>
    </row>
    <row r="482" spans="1:20" s="4" customFormat="1" ht="15.75" x14ac:dyDescent="0.2">
      <c r="A482" s="102">
        <v>44644</v>
      </c>
      <c r="B482" s="593"/>
      <c r="C482" s="14" t="s">
        <v>861</v>
      </c>
      <c r="D482" s="14" t="s">
        <v>17</v>
      </c>
      <c r="E482" s="14" t="s">
        <v>18</v>
      </c>
      <c r="F482" s="15">
        <v>65</v>
      </c>
      <c r="G482" s="258">
        <v>5999100</v>
      </c>
      <c r="H482" s="258">
        <f>List34[[#This Row],[Pengajuan Donasi]]</f>
        <v>500000</v>
      </c>
      <c r="I482" s="214" t="str">
        <f>IF(List34[[#This Row],[Tanggal Trf]]&gt;0,"Done","-")</f>
        <v>Done</v>
      </c>
      <c r="J482" s="437" t="s">
        <v>25</v>
      </c>
      <c r="K482" s="223">
        <v>44645</v>
      </c>
      <c r="L482" s="14" t="s">
        <v>1015</v>
      </c>
      <c r="M482" s="20">
        <f>MONTH(List34[[#This Row],[Tanggal Pengajuan]])</f>
        <v>6</v>
      </c>
      <c r="N482" s="183"/>
      <c r="O482" s="105" t="s">
        <v>707</v>
      </c>
      <c r="P482" s="111"/>
      <c r="Q482" s="229"/>
      <c r="S482" s="275"/>
    </row>
    <row r="483" spans="1:20" s="4" customFormat="1" ht="15.75" x14ac:dyDescent="0.2">
      <c r="A483" s="102">
        <v>44651</v>
      </c>
      <c r="B483" s="67"/>
      <c r="C483" s="14" t="s">
        <v>861</v>
      </c>
      <c r="D483" s="14" t="s">
        <v>17</v>
      </c>
      <c r="E483" s="14" t="s">
        <v>18</v>
      </c>
      <c r="F483" s="15">
        <v>65</v>
      </c>
      <c r="G483" s="258">
        <v>5999000</v>
      </c>
      <c r="H483" s="258">
        <f>List34[[#This Row],[Pengajuan Donasi]]</f>
        <v>500000</v>
      </c>
      <c r="I483" s="214" t="str">
        <f>IF(List34[[#This Row],[Tanggal Trf]]&gt;0,"Done","-")</f>
        <v>Done</v>
      </c>
      <c r="J483" s="437" t="s">
        <v>25</v>
      </c>
      <c r="K483" s="223">
        <v>44652</v>
      </c>
      <c r="L483" s="14" t="s">
        <v>1015</v>
      </c>
      <c r="M483" s="100">
        <f>MONTH(List34[[#This Row],[Tanggal Pengajuan]])</f>
        <v>6</v>
      </c>
      <c r="N483" s="183"/>
      <c r="O483" s="105" t="s">
        <v>746</v>
      </c>
      <c r="P483" s="111"/>
      <c r="Q483" s="229"/>
      <c r="S483" s="275"/>
    </row>
    <row r="484" spans="1:20" s="4" customFormat="1" ht="15.75" x14ac:dyDescent="0.2">
      <c r="A484" s="102">
        <v>44678</v>
      </c>
      <c r="B484" s="67"/>
      <c r="C484" s="14" t="s">
        <v>861</v>
      </c>
      <c r="D484" s="14" t="s">
        <v>17</v>
      </c>
      <c r="E484" s="14" t="s">
        <v>18</v>
      </c>
      <c r="F484" s="15">
        <v>65</v>
      </c>
      <c r="G484" s="258">
        <v>6271300</v>
      </c>
      <c r="H484" s="258">
        <f>List34[[#This Row],[Pengajuan Donasi]]</f>
        <v>500000</v>
      </c>
      <c r="I484" s="214" t="str">
        <f>IF(List34[[#This Row],[Tanggal Trf]]&gt;0,"Done","-")</f>
        <v>Done</v>
      </c>
      <c r="J484" s="437" t="s">
        <v>25</v>
      </c>
      <c r="K484" s="223">
        <v>44679</v>
      </c>
      <c r="L484" s="14" t="s">
        <v>1015</v>
      </c>
      <c r="M484" s="100">
        <f>MONTH(List34[[#This Row],[Tanggal Pengajuan]])</f>
        <v>6</v>
      </c>
      <c r="N484" s="183">
        <v>44686</v>
      </c>
      <c r="O484" s="105" t="s">
        <v>795</v>
      </c>
      <c r="P484" s="111"/>
      <c r="Q484" s="229"/>
      <c r="S484" s="275"/>
    </row>
    <row r="485" spans="1:20" s="4" customFormat="1" ht="15.75" x14ac:dyDescent="0.2">
      <c r="A485" s="102">
        <v>44711</v>
      </c>
      <c r="B485" s="163"/>
      <c r="C485" s="14" t="s">
        <v>861</v>
      </c>
      <c r="D485" s="14" t="s">
        <v>17</v>
      </c>
      <c r="E485" s="14" t="s">
        <v>18</v>
      </c>
      <c r="F485" s="15">
        <v>65</v>
      </c>
      <c r="G485" s="258">
        <v>6247600</v>
      </c>
      <c r="H485" s="258">
        <f>List34[[#This Row],[Pengajuan Donasi]]</f>
        <v>500000</v>
      </c>
      <c r="I485" s="214" t="str">
        <f>IF(List34[[#This Row],[Tanggal Trf]]&gt;0,"Done","-")</f>
        <v>Done</v>
      </c>
      <c r="J485" s="437"/>
      <c r="K485" s="223">
        <v>44715</v>
      </c>
      <c r="L485" s="14" t="s">
        <v>1015</v>
      </c>
      <c r="M485" s="100">
        <f>MONTH(List34[[#This Row],[Tanggal Pengajuan]])</f>
        <v>6</v>
      </c>
      <c r="N485" s="183">
        <v>44747</v>
      </c>
      <c r="O485" s="105" t="s">
        <v>932</v>
      </c>
      <c r="P485" s="111"/>
      <c r="Q485" s="229"/>
      <c r="S485" s="275"/>
    </row>
    <row r="486" spans="1:20" s="4" customFormat="1" ht="15.75" x14ac:dyDescent="0.2">
      <c r="A486" s="102">
        <v>44725</v>
      </c>
      <c r="B486" s="67"/>
      <c r="C486" s="14" t="s">
        <v>861</v>
      </c>
      <c r="D486" s="14" t="s">
        <v>17</v>
      </c>
      <c r="E486" s="14" t="s">
        <v>18</v>
      </c>
      <c r="F486" s="471">
        <v>65</v>
      </c>
      <c r="G486" s="258">
        <v>6247600</v>
      </c>
      <c r="H486" s="258">
        <f>List34[[#This Row],[Pengajuan Donasi]]</f>
        <v>500000</v>
      </c>
      <c r="I486" s="214" t="str">
        <f>IF(List34[[#This Row],[Tanggal Trf]]&gt;0,"Done","-")</f>
        <v>Done</v>
      </c>
      <c r="J486" s="437"/>
      <c r="K486" s="734">
        <v>44735</v>
      </c>
      <c r="L486" s="14" t="s">
        <v>683</v>
      </c>
      <c r="M486" s="100">
        <f>MONTH(List34[[#This Row],[Tanggal Pengajuan]])</f>
        <v>6</v>
      </c>
      <c r="N486" s="183">
        <v>44749</v>
      </c>
      <c r="O486" s="105" t="s">
        <v>1116</v>
      </c>
      <c r="P486" s="111"/>
      <c r="Q486" s="229"/>
      <c r="S486" s="275"/>
    </row>
    <row r="487" spans="1:20" s="4" customFormat="1" ht="24.75" x14ac:dyDescent="0.2">
      <c r="A487" s="102">
        <v>44754</v>
      </c>
      <c r="B487" s="67"/>
      <c r="C487" s="14" t="s">
        <v>861</v>
      </c>
      <c r="D487" s="14" t="s">
        <v>17</v>
      </c>
      <c r="E487" s="14" t="s">
        <v>18</v>
      </c>
      <c r="F487" s="471">
        <v>65</v>
      </c>
      <c r="G487" s="258">
        <v>6000000</v>
      </c>
      <c r="H487" s="258">
        <f>List34[[#This Row],[Pengajuan Donasi]]</f>
        <v>2520000</v>
      </c>
      <c r="I487" s="214" t="str">
        <f>IF(List34[[#This Row],[Tanggal Trf]]&gt;0,"Done","-")</f>
        <v>Done</v>
      </c>
      <c r="J487" s="437" t="s">
        <v>1176</v>
      </c>
      <c r="K487" s="734">
        <v>44764</v>
      </c>
      <c r="L487" s="14" t="s">
        <v>1213</v>
      </c>
      <c r="M487" s="100">
        <f>MONTH(List34[[#This Row],[Tanggal Pengajuan]])</f>
        <v>6</v>
      </c>
      <c r="N487" s="183">
        <v>44775</v>
      </c>
      <c r="O487" s="105" t="s">
        <v>1180</v>
      </c>
      <c r="P487" s="111"/>
      <c r="Q487" s="229"/>
      <c r="S487" s="275"/>
    </row>
    <row r="488" spans="1:20" s="4" customFormat="1" ht="29.25" x14ac:dyDescent="0.2">
      <c r="A488" s="102">
        <v>44781</v>
      </c>
      <c r="B488" s="67"/>
      <c r="C488" s="14" t="s">
        <v>861</v>
      </c>
      <c r="D488" s="14" t="s">
        <v>17</v>
      </c>
      <c r="E488" s="14" t="s">
        <v>18</v>
      </c>
      <c r="F488" s="471">
        <v>65</v>
      </c>
      <c r="G488" s="258">
        <v>6000000</v>
      </c>
      <c r="H488" s="258">
        <f>List34[[#This Row],[Pengajuan Donasi]]</f>
        <v>8500000</v>
      </c>
      <c r="I488" s="214" t="str">
        <f>IF(List34[[#This Row],[Tanggal Trf]]&gt;0,"Done","-")</f>
        <v>Done</v>
      </c>
      <c r="J488" s="100" t="s">
        <v>1206</v>
      </c>
      <c r="K488" s="734">
        <v>44792</v>
      </c>
      <c r="L488" s="14" t="s">
        <v>1213</v>
      </c>
      <c r="M488" s="100">
        <f>MONTH(List34[[#This Row],[Tanggal Pengajuan]])</f>
        <v>6</v>
      </c>
      <c r="N488" s="183"/>
      <c r="O488" s="105" t="s">
        <v>888</v>
      </c>
      <c r="P488" s="111"/>
      <c r="Q488" s="229"/>
      <c r="S488" s="275"/>
      <c r="T488" s="738">
        <f>SUM(G481:G488)</f>
        <v>48763600</v>
      </c>
    </row>
    <row r="489" spans="1:20" s="4" customFormat="1" ht="15.75" x14ac:dyDescent="0.2">
      <c r="A489" s="102">
        <v>44587</v>
      </c>
      <c r="B489" s="67"/>
      <c r="C489" s="14" t="s">
        <v>862</v>
      </c>
      <c r="D489" s="14" t="s">
        <v>17</v>
      </c>
      <c r="E489" s="14" t="s">
        <v>18</v>
      </c>
      <c r="F489" s="15">
        <v>40</v>
      </c>
      <c r="G489" s="262">
        <f>'[5]REV-PENAWARAN PER JAN''22'!$E$1269</f>
        <v>6000200</v>
      </c>
      <c r="H489" s="258">
        <f>List34[[#This Row],[Pengajuan Donasi]]</f>
        <v>5500000</v>
      </c>
      <c r="I489" s="214" t="str">
        <f>IF(List34[[#This Row],[Tanggal Trf]]&gt;0,"Done","-")</f>
        <v>Done</v>
      </c>
      <c r="J489" s="606" t="s">
        <v>843</v>
      </c>
      <c r="K489" s="223">
        <v>44589</v>
      </c>
      <c r="L489" s="14" t="s">
        <v>1015</v>
      </c>
      <c r="M489" s="100">
        <f>MONTH(List34[[#This Row],[Tanggal Pengajuan]])</f>
        <v>6</v>
      </c>
      <c r="N489" s="183"/>
      <c r="O489" s="105" t="s">
        <v>687</v>
      </c>
      <c r="P489" s="111"/>
      <c r="Q489" s="229"/>
      <c r="S489" s="275"/>
    </row>
    <row r="490" spans="1:20" s="4" customFormat="1" ht="15.75" x14ac:dyDescent="0.2">
      <c r="A490" s="102">
        <v>44644</v>
      </c>
      <c r="B490" s="593"/>
      <c r="C490" s="14" t="s">
        <v>862</v>
      </c>
      <c r="D490" s="14" t="s">
        <v>17</v>
      </c>
      <c r="E490" s="14" t="s">
        <v>18</v>
      </c>
      <c r="F490" s="15">
        <v>40</v>
      </c>
      <c r="G490" s="258">
        <v>5996200</v>
      </c>
      <c r="H490" s="258">
        <f>List34[[#This Row],[Pengajuan Donasi]]</f>
        <v>5500000</v>
      </c>
      <c r="I490" s="214" t="str">
        <f>IF(List34[[#This Row],[Tanggal Trf]]&gt;0,"Done","-")</f>
        <v>Done</v>
      </c>
      <c r="J490" s="437" t="s">
        <v>25</v>
      </c>
      <c r="K490" s="223">
        <v>44645</v>
      </c>
      <c r="L490" s="14" t="s">
        <v>1015</v>
      </c>
      <c r="M490" s="20">
        <f>MONTH(List34[[#This Row],[Tanggal Pengajuan]])</f>
        <v>6</v>
      </c>
      <c r="N490" s="183"/>
      <c r="O490" s="105" t="s">
        <v>707</v>
      </c>
      <c r="P490" s="111"/>
      <c r="Q490" s="229"/>
      <c r="S490" s="275"/>
    </row>
    <row r="491" spans="1:20" s="4" customFormat="1" ht="15.75" x14ac:dyDescent="0.2">
      <c r="A491" s="102">
        <v>44651</v>
      </c>
      <c r="B491" s="67"/>
      <c r="C491" s="14" t="s">
        <v>862</v>
      </c>
      <c r="D491" s="14" t="s">
        <v>17</v>
      </c>
      <c r="E491" s="14" t="s">
        <v>18</v>
      </c>
      <c r="F491" s="15">
        <v>40</v>
      </c>
      <c r="G491" s="258">
        <v>5995000</v>
      </c>
      <c r="H491" s="258">
        <f>List34[[#This Row],[Pengajuan Donasi]]</f>
        <v>0</v>
      </c>
      <c r="I491" s="214" t="str">
        <f>IF(List34[[#This Row],[Tanggal Trf]]&gt;0,"Done","-")</f>
        <v>-</v>
      </c>
      <c r="J491" s="437" t="s">
        <v>25</v>
      </c>
      <c r="K491" s="223">
        <v>44652</v>
      </c>
      <c r="L491" s="14" t="s">
        <v>1015</v>
      </c>
      <c r="M491" s="100">
        <f>MONTH(List34[[#This Row],[Tanggal Pengajuan]])</f>
        <v>6</v>
      </c>
      <c r="N491" s="183"/>
      <c r="O491" s="105" t="s">
        <v>746</v>
      </c>
      <c r="P491" s="111"/>
      <c r="Q491" s="229"/>
      <c r="S491" s="275"/>
    </row>
    <row r="492" spans="1:20" s="4" customFormat="1" ht="15.75" x14ac:dyDescent="0.2">
      <c r="A492" s="102">
        <v>44678</v>
      </c>
      <c r="B492" s="67"/>
      <c r="C492" s="14" t="s">
        <v>862</v>
      </c>
      <c r="D492" s="14" t="s">
        <v>17</v>
      </c>
      <c r="E492" s="14" t="s">
        <v>18</v>
      </c>
      <c r="F492" s="15">
        <v>40</v>
      </c>
      <c r="G492" s="258">
        <v>6294400</v>
      </c>
      <c r="H492" s="258">
        <f>List34[[#This Row],[Pengajuan Donasi]]</f>
        <v>0</v>
      </c>
      <c r="I492" s="214" t="str">
        <f>IF(List34[[#This Row],[Tanggal Trf]]&gt;0,"Done","-")</f>
        <v>-</v>
      </c>
      <c r="J492" s="437" t="s">
        <v>25</v>
      </c>
      <c r="K492" s="223">
        <v>44679</v>
      </c>
      <c r="L492" s="14" t="s">
        <v>1015</v>
      </c>
      <c r="M492" s="100">
        <f>MONTH(List34[[#This Row],[Tanggal Pengajuan]])</f>
        <v>6</v>
      </c>
      <c r="N492" s="183">
        <v>44686</v>
      </c>
      <c r="O492" s="105" t="s">
        <v>795</v>
      </c>
      <c r="P492" s="111"/>
      <c r="Q492" s="229"/>
      <c r="S492" s="275"/>
    </row>
    <row r="493" spans="1:20" s="4" customFormat="1" ht="15.75" x14ac:dyDescent="0.2">
      <c r="A493" s="102">
        <v>44711</v>
      </c>
      <c r="B493" s="163"/>
      <c r="C493" s="14" t="s">
        <v>862</v>
      </c>
      <c r="D493" s="14" t="s">
        <v>17</v>
      </c>
      <c r="E493" s="14" t="s">
        <v>18</v>
      </c>
      <c r="F493" s="15">
        <v>40</v>
      </c>
      <c r="G493" s="258">
        <v>6354200</v>
      </c>
      <c r="H493" s="258">
        <f>List34[[#This Row],[Pengajuan Donasi]]</f>
        <v>3325000</v>
      </c>
      <c r="I493" s="214" t="str">
        <f>IF(List34[[#This Row],[Tanggal Trf]]&gt;0,"Done","-")</f>
        <v>Done</v>
      </c>
      <c r="J493" s="437"/>
      <c r="K493" s="223">
        <v>44715</v>
      </c>
      <c r="L493" s="14" t="s">
        <v>1015</v>
      </c>
      <c r="M493" s="100">
        <f>MONTH(List34[[#This Row],[Tanggal Pengajuan]])</f>
        <v>6</v>
      </c>
      <c r="N493" s="183">
        <v>44747</v>
      </c>
      <c r="O493" s="105" t="s">
        <v>932</v>
      </c>
      <c r="P493" s="111"/>
      <c r="Q493" s="229"/>
      <c r="S493" s="275"/>
    </row>
    <row r="494" spans="1:20" s="4" customFormat="1" ht="15.75" x14ac:dyDescent="0.2">
      <c r="A494" s="102">
        <v>44736</v>
      </c>
      <c r="B494" s="67"/>
      <c r="C494" s="14" t="s">
        <v>862</v>
      </c>
      <c r="D494" s="14" t="s">
        <v>17</v>
      </c>
      <c r="E494" s="14" t="s">
        <v>18</v>
      </c>
      <c r="F494" s="471">
        <v>40</v>
      </c>
      <c r="G494" s="258">
        <v>6009500</v>
      </c>
      <c r="H494" s="258">
        <f>List34[[#This Row],[Pengajuan Donasi]]</f>
        <v>11875000</v>
      </c>
      <c r="I494" s="214" t="str">
        <f>IF(List34[[#This Row],[Tanggal Trf]]&gt;0,"Done","-")</f>
        <v>Done</v>
      </c>
      <c r="J494" s="437"/>
      <c r="K494" s="734">
        <v>44741</v>
      </c>
      <c r="L494" s="14" t="s">
        <v>1015</v>
      </c>
      <c r="M494" s="100">
        <f>MONTH(List34[[#This Row],[Tanggal Pengajuan]])</f>
        <v>6</v>
      </c>
      <c r="N494" s="183"/>
      <c r="O494" s="105" t="s">
        <v>1116</v>
      </c>
      <c r="P494" s="111"/>
      <c r="Q494" s="229"/>
      <c r="S494" s="275"/>
    </row>
    <row r="495" spans="1:20" s="4" customFormat="1" ht="24.75" x14ac:dyDescent="0.2">
      <c r="A495" s="102">
        <v>44754</v>
      </c>
      <c r="B495" s="67"/>
      <c r="C495" s="14" t="s">
        <v>862</v>
      </c>
      <c r="D495" s="14" t="s">
        <v>17</v>
      </c>
      <c r="E495" s="14" t="s">
        <v>18</v>
      </c>
      <c r="F495" s="471">
        <v>40</v>
      </c>
      <c r="G495" s="258">
        <v>6000000</v>
      </c>
      <c r="H495" s="258">
        <f>List34[[#This Row],[Pengajuan Donasi]]</f>
        <v>1200000</v>
      </c>
      <c r="I495" s="214" t="str">
        <f>IF(List34[[#This Row],[Tanggal Trf]]&gt;0,"Done","-")</f>
        <v>Done</v>
      </c>
      <c r="J495" s="437" t="s">
        <v>1176</v>
      </c>
      <c r="K495" s="734">
        <v>44764</v>
      </c>
      <c r="L495" s="100" t="s">
        <v>1213</v>
      </c>
      <c r="M495" s="100">
        <f>MONTH(List34[[#This Row],[Tanggal Pengajuan]])</f>
        <v>6</v>
      </c>
      <c r="N495" s="183">
        <v>44775</v>
      </c>
      <c r="O495" s="105" t="s">
        <v>1180</v>
      </c>
      <c r="P495" s="111"/>
      <c r="Q495" s="229"/>
      <c r="S495" s="275"/>
    </row>
    <row r="496" spans="1:20" s="4" customFormat="1" ht="29.25" x14ac:dyDescent="0.2">
      <c r="A496" s="102">
        <v>44781</v>
      </c>
      <c r="B496" s="67"/>
      <c r="C496" s="14" t="s">
        <v>862</v>
      </c>
      <c r="D496" s="103" t="s">
        <v>17</v>
      </c>
      <c r="E496" s="103" t="s">
        <v>18</v>
      </c>
      <c r="F496" s="471">
        <v>40</v>
      </c>
      <c r="G496" s="258">
        <v>6000000</v>
      </c>
      <c r="H496" s="258">
        <f>List34[[#This Row],[Pengajuan Donasi]]</f>
        <v>7950000</v>
      </c>
      <c r="I496" s="214" t="str">
        <f>IF(List34[[#This Row],[Tanggal Trf]]&gt;0,"Done","-")</f>
        <v>Done</v>
      </c>
      <c r="J496" s="100" t="s">
        <v>1206</v>
      </c>
      <c r="K496" s="734">
        <v>44792</v>
      </c>
      <c r="L496" s="100" t="s">
        <v>1213</v>
      </c>
      <c r="M496" s="100">
        <f>MONTH(List34[[#This Row],[Tanggal Pengajuan]])</f>
        <v>6</v>
      </c>
      <c r="N496" s="183"/>
      <c r="O496" s="105" t="s">
        <v>888</v>
      </c>
      <c r="P496" s="111"/>
      <c r="Q496" s="229"/>
      <c r="S496" s="275"/>
      <c r="T496" s="738">
        <f>SUM(G489:G496)</f>
        <v>48649500</v>
      </c>
    </row>
    <row r="497" spans="1:20" s="4" customFormat="1" ht="15.75" x14ac:dyDescent="0.2">
      <c r="A497" s="102">
        <v>44587</v>
      </c>
      <c r="B497" s="67"/>
      <c r="C497" s="14" t="s">
        <v>848</v>
      </c>
      <c r="D497" s="103" t="s">
        <v>17</v>
      </c>
      <c r="E497" s="103" t="s">
        <v>18</v>
      </c>
      <c r="F497" s="15">
        <v>36</v>
      </c>
      <c r="G497" s="262">
        <f>'[5]REV-PENAWARAN PER JAN''22'!$E$646</f>
        <v>5999000</v>
      </c>
      <c r="H497" s="258">
        <f>List34[[#This Row],[Pengajuan Donasi]]</f>
        <v>3008700</v>
      </c>
      <c r="I497" s="214" t="str">
        <f>IF(List34[[#This Row],[Tanggal Trf]]&gt;0,"Done","-")</f>
        <v>Done</v>
      </c>
      <c r="J497" s="606" t="s">
        <v>830</v>
      </c>
      <c r="K497" s="223">
        <v>44589</v>
      </c>
      <c r="L497" s="100" t="s">
        <v>1015</v>
      </c>
      <c r="M497" s="100">
        <f>MONTH(List34[[#This Row],[Tanggal Pengajuan]])</f>
        <v>6</v>
      </c>
      <c r="N497" s="183"/>
      <c r="O497" s="105" t="s">
        <v>687</v>
      </c>
      <c r="P497" s="111"/>
      <c r="Q497" s="229"/>
      <c r="S497" s="275"/>
    </row>
    <row r="498" spans="1:20" s="4" customFormat="1" ht="15.75" x14ac:dyDescent="0.2">
      <c r="A498" s="102">
        <v>44644</v>
      </c>
      <c r="B498" s="593"/>
      <c r="C498" s="103" t="s">
        <v>848</v>
      </c>
      <c r="D498" s="103" t="s">
        <v>17</v>
      </c>
      <c r="E498" s="103" t="s">
        <v>18</v>
      </c>
      <c r="F498" s="15">
        <v>36</v>
      </c>
      <c r="G498" s="258">
        <v>5998600</v>
      </c>
      <c r="H498" s="258">
        <f>List34[[#This Row],[Pengajuan Donasi]]</f>
        <v>6282000</v>
      </c>
      <c r="I498" s="214" t="str">
        <f>IF(List34[[#This Row],[Tanggal Trf]]&gt;0,"Done","-")</f>
        <v>Done</v>
      </c>
      <c r="J498" s="437" t="s">
        <v>25</v>
      </c>
      <c r="K498" s="223">
        <v>44645</v>
      </c>
      <c r="L498" s="105" t="s">
        <v>1015</v>
      </c>
      <c r="M498" s="20">
        <f>MONTH(List34[[#This Row],[Tanggal Pengajuan]])</f>
        <v>6</v>
      </c>
      <c r="N498" s="183"/>
      <c r="O498" s="105" t="s">
        <v>707</v>
      </c>
      <c r="P498" s="111"/>
      <c r="Q498" s="229"/>
      <c r="S498" s="275"/>
    </row>
    <row r="499" spans="1:20" s="4" customFormat="1" ht="15.75" x14ac:dyDescent="0.2">
      <c r="A499" s="102">
        <v>44651</v>
      </c>
      <c r="B499" s="67"/>
      <c r="C499" s="14" t="s">
        <v>848</v>
      </c>
      <c r="D499" s="103" t="s">
        <v>17</v>
      </c>
      <c r="E499" s="103" t="s">
        <v>18</v>
      </c>
      <c r="F499" s="15">
        <v>36</v>
      </c>
      <c r="G499" s="258">
        <v>5998800</v>
      </c>
      <c r="H499" s="258">
        <f>List34[[#This Row],[Pengajuan Donasi]]</f>
        <v>6286400</v>
      </c>
      <c r="I499" s="214" t="str">
        <f>IF(List34[[#This Row],[Tanggal Trf]]&gt;0,"Done","-")</f>
        <v>Done</v>
      </c>
      <c r="J499" s="437" t="s">
        <v>25</v>
      </c>
      <c r="K499" s="223">
        <v>44652</v>
      </c>
      <c r="L499" s="100" t="s">
        <v>1015</v>
      </c>
      <c r="M499" s="100">
        <f>MONTH(List34[[#This Row],[Tanggal Pengajuan]])</f>
        <v>6</v>
      </c>
      <c r="N499" s="183"/>
      <c r="O499" s="105" t="s">
        <v>746</v>
      </c>
      <c r="P499" s="111"/>
      <c r="Q499" s="229"/>
      <c r="S499" s="275"/>
    </row>
    <row r="500" spans="1:20" s="4" customFormat="1" ht="15.75" x14ac:dyDescent="0.2">
      <c r="A500" s="102">
        <v>44678</v>
      </c>
      <c r="B500" s="67"/>
      <c r="C500" s="103" t="s">
        <v>848</v>
      </c>
      <c r="D500" s="14" t="s">
        <v>17</v>
      </c>
      <c r="E500" s="14" t="s">
        <v>18</v>
      </c>
      <c r="F500" s="15">
        <v>36</v>
      </c>
      <c r="G500" s="258">
        <v>6226400</v>
      </c>
      <c r="H500" s="258">
        <f>List34[[#This Row],[Pengajuan Donasi]]</f>
        <v>6243400</v>
      </c>
      <c r="I500" s="214" t="str">
        <f>IF(List34[[#This Row],[Tanggal Trf]]&gt;0,"Done","-")</f>
        <v>Done</v>
      </c>
      <c r="J500" s="437" t="s">
        <v>25</v>
      </c>
      <c r="K500" s="223">
        <v>44679</v>
      </c>
      <c r="L500" s="100" t="s">
        <v>1015</v>
      </c>
      <c r="M500" s="100">
        <f>MONTH(List34[[#This Row],[Tanggal Pengajuan]])</f>
        <v>6</v>
      </c>
      <c r="N500" s="183">
        <v>44686</v>
      </c>
      <c r="O500" s="105" t="s">
        <v>795</v>
      </c>
      <c r="P500" s="111"/>
      <c r="Q500" s="229"/>
      <c r="S500" s="275"/>
    </row>
    <row r="501" spans="1:20" s="4" customFormat="1" ht="15.75" x14ac:dyDescent="0.2">
      <c r="A501" s="102">
        <v>44711</v>
      </c>
      <c r="B501" s="163"/>
      <c r="C501" s="103" t="s">
        <v>848</v>
      </c>
      <c r="D501" s="14" t="s">
        <v>17</v>
      </c>
      <c r="E501" s="14" t="s">
        <v>18</v>
      </c>
      <c r="F501" s="15">
        <v>36</v>
      </c>
      <c r="G501" s="258">
        <v>6310000</v>
      </c>
      <c r="H501" s="258">
        <f>List34[[#This Row],[Pengajuan Donasi]]</f>
        <v>6226600</v>
      </c>
      <c r="I501" s="214" t="str">
        <f>IF(List34[[#This Row],[Tanggal Trf]]&gt;0,"Done","-")</f>
        <v>Done</v>
      </c>
      <c r="J501" s="440"/>
      <c r="K501" s="223">
        <v>44715</v>
      </c>
      <c r="L501" s="105" t="s">
        <v>1015</v>
      </c>
      <c r="M501" s="100">
        <f>MONTH(List34[[#This Row],[Tanggal Pengajuan]])</f>
        <v>6</v>
      </c>
      <c r="N501" s="183">
        <v>44747</v>
      </c>
      <c r="O501" s="105" t="s">
        <v>932</v>
      </c>
      <c r="P501" s="111"/>
      <c r="Q501" s="229"/>
      <c r="S501" s="275"/>
    </row>
    <row r="502" spans="1:20" s="4" customFormat="1" ht="15.75" x14ac:dyDescent="0.2">
      <c r="A502" s="102">
        <v>44736</v>
      </c>
      <c r="B502" s="67"/>
      <c r="C502" s="14" t="s">
        <v>848</v>
      </c>
      <c r="D502" s="103" t="s">
        <v>17</v>
      </c>
      <c r="E502" s="103" t="s">
        <v>18</v>
      </c>
      <c r="F502" s="471">
        <v>36</v>
      </c>
      <c r="G502" s="258">
        <v>6007000</v>
      </c>
      <c r="H502" s="258">
        <f>List34[[#This Row],[Pengajuan Donasi]]</f>
        <v>6333300</v>
      </c>
      <c r="I502" s="214" t="str">
        <f>IF(List34[[#This Row],[Tanggal Trf]]&gt;0,"Done","-")</f>
        <v>Done</v>
      </c>
      <c r="J502" s="437"/>
      <c r="K502" s="734">
        <v>44741</v>
      </c>
      <c r="L502" s="105" t="s">
        <v>1015</v>
      </c>
      <c r="M502" s="100">
        <f>MONTH(List34[[#This Row],[Tanggal Pengajuan]])</f>
        <v>6</v>
      </c>
      <c r="N502" s="183"/>
      <c r="O502" s="105" t="s">
        <v>1116</v>
      </c>
      <c r="P502" s="111"/>
      <c r="Q502" s="229"/>
      <c r="S502" s="275"/>
    </row>
    <row r="503" spans="1:20" s="4" customFormat="1" ht="24.75" x14ac:dyDescent="0.2">
      <c r="A503" s="102">
        <v>44760</v>
      </c>
      <c r="B503" s="67"/>
      <c r="C503" s="103" t="s">
        <v>848</v>
      </c>
      <c r="D503" s="14" t="s">
        <v>17</v>
      </c>
      <c r="E503" s="14" t="s">
        <v>18</v>
      </c>
      <c r="F503" s="471">
        <v>36</v>
      </c>
      <c r="G503" s="258">
        <v>6400000</v>
      </c>
      <c r="H503" s="258">
        <f>List34[[#This Row],[Pengajuan Donasi]]</f>
        <v>6247600</v>
      </c>
      <c r="I503" s="214" t="str">
        <f>IF(List34[[#This Row],[Tanggal Trf]]&gt;0,"Done","-")</f>
        <v>Done</v>
      </c>
      <c r="J503" s="445" t="s">
        <v>1177</v>
      </c>
      <c r="K503" s="484">
        <v>44764</v>
      </c>
      <c r="L503" s="403" t="s">
        <v>683</v>
      </c>
      <c r="M503" s="100">
        <f>MONTH(List34[[#This Row],[Tanggal Pengajuan]])</f>
        <v>6</v>
      </c>
      <c r="N503" s="183">
        <v>44763</v>
      </c>
      <c r="O503" s="105" t="s">
        <v>1180</v>
      </c>
      <c r="P503" s="111"/>
      <c r="Q503" s="229"/>
      <c r="S503" s="275"/>
    </row>
    <row r="504" spans="1:20" s="4" customFormat="1" ht="29.25" x14ac:dyDescent="0.2">
      <c r="A504" s="102">
        <v>44781</v>
      </c>
      <c r="B504" s="67"/>
      <c r="C504" s="103" t="s">
        <v>848</v>
      </c>
      <c r="D504" s="14" t="s">
        <v>17</v>
      </c>
      <c r="E504" s="14" t="s">
        <v>18</v>
      </c>
      <c r="F504" s="471">
        <v>40</v>
      </c>
      <c r="G504" s="258">
        <v>6000000</v>
      </c>
      <c r="H504" s="258">
        <f>List34[[#This Row],[Pengajuan Donasi]]</f>
        <v>6004100</v>
      </c>
      <c r="I504" s="214" t="str">
        <f>IF(List34[[#This Row],[Tanggal Trf]]&gt;0,"Done","-")</f>
        <v>Done</v>
      </c>
      <c r="J504" s="14" t="s">
        <v>1206</v>
      </c>
      <c r="K504" s="484">
        <v>44792</v>
      </c>
      <c r="L504" s="403" t="s">
        <v>1213</v>
      </c>
      <c r="M504" s="100">
        <f>MONTH(List34[[#This Row],[Tanggal Pengajuan]])</f>
        <v>6</v>
      </c>
      <c r="N504" s="183"/>
      <c r="O504" s="105" t="s">
        <v>888</v>
      </c>
      <c r="P504" s="111"/>
      <c r="Q504" s="229"/>
      <c r="S504" s="275"/>
      <c r="T504" s="738">
        <f>SUM(G497:G504)</f>
        <v>48939800</v>
      </c>
    </row>
    <row r="505" spans="1:20" s="4" customFormat="1" ht="15.75" x14ac:dyDescent="0.2">
      <c r="A505" s="102">
        <v>44587</v>
      </c>
      <c r="B505" s="594"/>
      <c r="C505" s="103" t="s">
        <v>865</v>
      </c>
      <c r="D505" s="14" t="s">
        <v>17</v>
      </c>
      <c r="E505" s="14" t="s">
        <v>18</v>
      </c>
      <c r="F505" s="469">
        <v>96</v>
      </c>
      <c r="G505" s="262">
        <f>'[5]REV-PENAWARAN PER JAN''22'!$E$1408</f>
        <v>6000200</v>
      </c>
      <c r="H505" s="258">
        <f>List34[[#This Row],[Pengajuan Donasi]]</f>
        <v>6002300</v>
      </c>
      <c r="I505" s="604" t="str">
        <f>IF(List34[[#This Row],[Tanggal Trf]]&gt;0,"Done","-")</f>
        <v>Done</v>
      </c>
      <c r="J505" s="442" t="s">
        <v>846</v>
      </c>
      <c r="K505" s="221">
        <v>44589</v>
      </c>
      <c r="L505" s="403" t="s">
        <v>1015</v>
      </c>
      <c r="M505" s="200">
        <f>MONTH(List34[[#This Row],[Tanggal Pengajuan]])</f>
        <v>6</v>
      </c>
      <c r="N505" s="201"/>
      <c r="O505" s="105" t="s">
        <v>687</v>
      </c>
      <c r="P505" s="111"/>
      <c r="Q505" s="229"/>
      <c r="S505" s="275"/>
    </row>
    <row r="506" spans="1:20" s="4" customFormat="1" ht="15.75" x14ac:dyDescent="0.2">
      <c r="A506" s="102">
        <v>44644</v>
      </c>
      <c r="B506" s="593"/>
      <c r="C506" s="103" t="s">
        <v>865</v>
      </c>
      <c r="D506" s="14" t="s">
        <v>17</v>
      </c>
      <c r="E506" s="14" t="s">
        <v>18</v>
      </c>
      <c r="F506" s="469">
        <v>96</v>
      </c>
      <c r="G506" s="258">
        <v>5998400</v>
      </c>
      <c r="H506" s="258">
        <f>List34[[#This Row],[Pengajuan Donasi]]</f>
        <v>6000700</v>
      </c>
      <c r="I506" s="214" t="str">
        <f>IF(List34[[#This Row],[Tanggal Trf]]&gt;0,"Done","-")</f>
        <v>Done</v>
      </c>
      <c r="J506" s="445" t="s">
        <v>25</v>
      </c>
      <c r="K506" s="221">
        <v>44645</v>
      </c>
      <c r="L506" s="403" t="s">
        <v>1015</v>
      </c>
      <c r="M506" s="20">
        <f>MONTH(List34[[#This Row],[Tanggal Pengajuan]])</f>
        <v>6</v>
      </c>
      <c r="N506" s="183"/>
      <c r="O506" s="105" t="s">
        <v>707</v>
      </c>
      <c r="P506" s="111"/>
      <c r="Q506" s="229"/>
      <c r="S506" s="275"/>
    </row>
    <row r="507" spans="1:20" s="4" customFormat="1" ht="15.75" x14ac:dyDescent="0.2">
      <c r="A507" s="102">
        <v>44651</v>
      </c>
      <c r="B507" s="67"/>
      <c r="C507" s="103" t="s">
        <v>865</v>
      </c>
      <c r="D507" s="14" t="s">
        <v>17</v>
      </c>
      <c r="E507" s="14" t="s">
        <v>18</v>
      </c>
      <c r="F507" s="469">
        <v>96</v>
      </c>
      <c r="G507" s="258">
        <v>5997800</v>
      </c>
      <c r="H507" s="258">
        <f>List34[[#This Row],[Pengajuan Donasi]]</f>
        <v>6008600</v>
      </c>
      <c r="I507" s="214" t="str">
        <f>IF(List34[[#This Row],[Tanggal Trf]]&gt;0,"Done","-")</f>
        <v>Done</v>
      </c>
      <c r="J507" s="445" t="s">
        <v>25</v>
      </c>
      <c r="K507" s="221">
        <v>44652</v>
      </c>
      <c r="L507" s="403" t="s">
        <v>1015</v>
      </c>
      <c r="M507" s="100">
        <f>MONTH(List34[[#This Row],[Tanggal Pengajuan]])</f>
        <v>6</v>
      </c>
      <c r="N507" s="183"/>
      <c r="O507" s="105" t="s">
        <v>746</v>
      </c>
      <c r="P507" s="111"/>
      <c r="Q507" s="229"/>
      <c r="S507" s="275"/>
    </row>
    <row r="508" spans="1:20" s="4" customFormat="1" ht="15.75" x14ac:dyDescent="0.2">
      <c r="A508" s="102">
        <v>44678</v>
      </c>
      <c r="B508" s="67"/>
      <c r="C508" s="103" t="s">
        <v>865</v>
      </c>
      <c r="D508" s="14" t="s">
        <v>17</v>
      </c>
      <c r="E508" s="14" t="s">
        <v>18</v>
      </c>
      <c r="F508" s="469">
        <v>96</v>
      </c>
      <c r="G508" s="258">
        <v>6136000</v>
      </c>
      <c r="H508" s="258">
        <f>List34[[#This Row],[Pengajuan Donasi]]</f>
        <v>6004600</v>
      </c>
      <c r="I508" s="214" t="str">
        <f>IF(List34[[#This Row],[Tanggal Trf]]&gt;0,"Done","-")</f>
        <v>Done</v>
      </c>
      <c r="J508" s="445" t="s">
        <v>25</v>
      </c>
      <c r="K508" s="221">
        <v>44679</v>
      </c>
      <c r="L508" s="618" t="s">
        <v>1015</v>
      </c>
      <c r="M508" s="100">
        <f>MONTH(List34[[#This Row],[Tanggal Pengajuan]])</f>
        <v>6</v>
      </c>
      <c r="N508" s="183">
        <v>44686</v>
      </c>
      <c r="O508" s="105" t="s">
        <v>795</v>
      </c>
      <c r="P508" s="111"/>
      <c r="Q508" s="229"/>
      <c r="S508" s="275"/>
    </row>
    <row r="509" spans="1:20" s="4" customFormat="1" ht="15.75" x14ac:dyDescent="0.2">
      <c r="A509" s="102">
        <v>44711</v>
      </c>
      <c r="B509" s="163"/>
      <c r="C509" s="103" t="s">
        <v>865</v>
      </c>
      <c r="D509" s="14" t="s">
        <v>17</v>
      </c>
      <c r="E509" s="14" t="s">
        <v>18</v>
      </c>
      <c r="F509" s="469">
        <v>96</v>
      </c>
      <c r="G509" s="258">
        <v>6172300</v>
      </c>
      <c r="H509" s="258">
        <f>List34[[#This Row],[Pengajuan Donasi]]</f>
        <v>6002500</v>
      </c>
      <c r="I509" s="213" t="str">
        <f>IF(List34[[#This Row],[Tanggal Trf]]&gt;0,"Done","-")</f>
        <v>Done</v>
      </c>
      <c r="J509" s="445"/>
      <c r="K509" s="221">
        <v>44715</v>
      </c>
      <c r="L509" s="403" t="s">
        <v>1015</v>
      </c>
      <c r="M509" s="100">
        <f>MONTH(List34[[#This Row],[Tanggal Pengajuan]])</f>
        <v>6</v>
      </c>
      <c r="N509" s="183">
        <v>44747</v>
      </c>
      <c r="O509" s="105" t="s">
        <v>932</v>
      </c>
      <c r="P509" s="111"/>
      <c r="Q509" s="229"/>
      <c r="S509" s="275"/>
    </row>
    <row r="510" spans="1:20" s="4" customFormat="1" ht="15.75" x14ac:dyDescent="0.2">
      <c r="A510" s="102">
        <v>44736</v>
      </c>
      <c r="B510" s="67"/>
      <c r="C510" s="103" t="s">
        <v>865</v>
      </c>
      <c r="D510" s="14" t="s">
        <v>17</v>
      </c>
      <c r="E510" s="14" t="s">
        <v>18</v>
      </c>
      <c r="F510" s="471">
        <v>96</v>
      </c>
      <c r="G510" s="258">
        <v>5999200</v>
      </c>
      <c r="H510" s="258">
        <f>List34[[#This Row],[Pengajuan Donasi]]</f>
        <v>6008700</v>
      </c>
      <c r="I510" s="213" t="str">
        <f>IF(List34[[#This Row],[Tanggal Trf]]&gt;0,"Done","-")</f>
        <v>Done</v>
      </c>
      <c r="J510" s="445"/>
      <c r="K510" s="484">
        <v>44741</v>
      </c>
      <c r="L510" s="403" t="s">
        <v>1015</v>
      </c>
      <c r="M510" s="100">
        <f>MONTH(List34[[#This Row],[Tanggal Pengajuan]])</f>
        <v>6</v>
      </c>
      <c r="N510" s="183"/>
      <c r="O510" s="105" t="s">
        <v>1116</v>
      </c>
      <c r="P510" s="111"/>
      <c r="Q510" s="229"/>
      <c r="S510" s="275"/>
    </row>
    <row r="511" spans="1:20" s="4" customFormat="1" ht="24.75" x14ac:dyDescent="0.2">
      <c r="A511" s="102">
        <v>44754</v>
      </c>
      <c r="B511" s="67"/>
      <c r="C511" s="103" t="s">
        <v>865</v>
      </c>
      <c r="D511" s="14" t="s">
        <v>17</v>
      </c>
      <c r="E511" s="14" t="s">
        <v>18</v>
      </c>
      <c r="F511" s="471">
        <v>96</v>
      </c>
      <c r="G511" s="258">
        <v>6000000</v>
      </c>
      <c r="H511" s="258">
        <f>List34[[#This Row],[Pengajuan Donasi]]</f>
        <v>6007000</v>
      </c>
      <c r="I511" s="213" t="str">
        <f>IF(List34[[#This Row],[Tanggal Trf]]&gt;0,"Done","-")</f>
        <v>Done</v>
      </c>
      <c r="J511" s="445" t="s">
        <v>1176</v>
      </c>
      <c r="K511" s="484">
        <v>44764</v>
      </c>
      <c r="L511" s="403" t="s">
        <v>1213</v>
      </c>
      <c r="M511" s="100">
        <f>MONTH(List34[[#This Row],[Tanggal Pengajuan]])</f>
        <v>6</v>
      </c>
      <c r="N511" s="183">
        <v>44775</v>
      </c>
      <c r="O511" s="105" t="s">
        <v>1180</v>
      </c>
      <c r="P511" s="111"/>
      <c r="Q511" s="229"/>
      <c r="S511" s="275"/>
    </row>
    <row r="512" spans="1:20" s="4" customFormat="1" ht="57" x14ac:dyDescent="0.2">
      <c r="A512" s="102">
        <v>44774</v>
      </c>
      <c r="B512" s="67"/>
      <c r="C512" s="103" t="s">
        <v>865</v>
      </c>
      <c r="D512" s="14" t="s">
        <v>17</v>
      </c>
      <c r="E512" s="14" t="s">
        <v>17</v>
      </c>
      <c r="F512" s="471">
        <v>96</v>
      </c>
      <c r="G512" s="258">
        <v>6249860</v>
      </c>
      <c r="H512" s="258">
        <f>List34[[#This Row],[Pengajuan Donasi]]</f>
        <v>6001500</v>
      </c>
      <c r="I512" s="213" t="str">
        <f>IF(List34[[#This Row],[Tanggal Trf]]&gt;0,"Done","-")</f>
        <v>Done</v>
      </c>
      <c r="J512" s="14" t="s">
        <v>1205</v>
      </c>
      <c r="K512" s="484">
        <v>44783</v>
      </c>
      <c r="L512" s="618"/>
      <c r="M512" s="100">
        <f>MONTH(List34[[#This Row],[Tanggal Pengajuan]])</f>
        <v>6</v>
      </c>
      <c r="N512" s="183">
        <v>44788</v>
      </c>
      <c r="O512" s="105" t="s">
        <v>1224</v>
      </c>
      <c r="P512" s="111"/>
      <c r="Q512" s="229"/>
      <c r="S512" s="275"/>
      <c r="T512" s="738">
        <f>SUM(G505:G512)</f>
        <v>48553760</v>
      </c>
    </row>
    <row r="513" spans="1:20" s="4" customFormat="1" ht="25.5" x14ac:dyDescent="0.2">
      <c r="A513" s="102">
        <v>44743</v>
      </c>
      <c r="B513" s="67"/>
      <c r="C513" s="103" t="s">
        <v>1115</v>
      </c>
      <c r="D513" s="14" t="s">
        <v>17</v>
      </c>
      <c r="E513" s="14" t="s">
        <v>18</v>
      </c>
      <c r="F513" s="471">
        <v>35</v>
      </c>
      <c r="G513" s="258">
        <v>6001700</v>
      </c>
      <c r="H513" s="258">
        <f>List34[[#This Row],[Pengajuan Donasi]]</f>
        <v>6019800</v>
      </c>
      <c r="I513" s="213" t="str">
        <f>IF(List34[[#This Row],[Tanggal Trf]]&gt;0,"Done","-")</f>
        <v>Done</v>
      </c>
      <c r="J513" s="448" t="s">
        <v>1185</v>
      </c>
      <c r="K513" s="484">
        <v>44743</v>
      </c>
      <c r="L513" s="618" t="s">
        <v>683</v>
      </c>
      <c r="M513" s="100">
        <f>MONTH(List34[[#This Row],[Tanggal Pengajuan]])</f>
        <v>6</v>
      </c>
      <c r="N513" s="183">
        <v>44749</v>
      </c>
      <c r="O513" s="105" t="s">
        <v>1116</v>
      </c>
      <c r="P513" s="111"/>
      <c r="Q513" s="229"/>
      <c r="S513" s="275"/>
    </row>
    <row r="514" spans="1:20" s="4" customFormat="1" ht="29.25" x14ac:dyDescent="0.2">
      <c r="A514" s="102">
        <v>44781</v>
      </c>
      <c r="B514" s="67"/>
      <c r="C514" s="103" t="s">
        <v>1115</v>
      </c>
      <c r="D514" s="14" t="s">
        <v>17</v>
      </c>
      <c r="E514" s="14" t="s">
        <v>18</v>
      </c>
      <c r="F514" s="471">
        <v>35</v>
      </c>
      <c r="G514" s="258">
        <v>6000000</v>
      </c>
      <c r="H514" s="258">
        <f>List34[[#This Row],[Pengajuan Donasi]]</f>
        <v>6119600</v>
      </c>
      <c r="I514" s="213" t="str">
        <f>IF(List34[[#This Row],[Tanggal Trf]]&gt;0,"Done","-")</f>
        <v>Done</v>
      </c>
      <c r="J514" s="14" t="s">
        <v>1206</v>
      </c>
      <c r="K514" s="484">
        <v>44792</v>
      </c>
      <c r="L514" s="618" t="s">
        <v>1213</v>
      </c>
      <c r="M514" s="100">
        <f>MONTH(List34[[#This Row],[Tanggal Pengajuan]])</f>
        <v>6</v>
      </c>
      <c r="N514" s="183"/>
      <c r="O514" s="105" t="s">
        <v>888</v>
      </c>
      <c r="P514" s="111"/>
      <c r="Q514" s="229"/>
      <c r="S514" s="275"/>
      <c r="T514" s="738">
        <f>SUM(G513:G514)</f>
        <v>12001700</v>
      </c>
    </row>
    <row r="515" spans="1:20" s="4" customFormat="1" ht="15.75" x14ac:dyDescent="0.2">
      <c r="A515" s="102">
        <v>44587</v>
      </c>
      <c r="B515" s="67"/>
      <c r="C515" s="103" t="s">
        <v>856</v>
      </c>
      <c r="D515" s="14" t="s">
        <v>17</v>
      </c>
      <c r="E515" s="14" t="s">
        <v>18</v>
      </c>
      <c r="F515" s="15">
        <v>32</v>
      </c>
      <c r="G515" s="262">
        <f>'[5]REV-PENAWARAN PER JAN''22'!$E$848</f>
        <v>5999000</v>
      </c>
      <c r="H515" s="258">
        <f>List34[[#This Row],[Pengajuan Donasi]]</f>
        <v>5999300</v>
      </c>
      <c r="I515" s="213" t="str">
        <f>IF(List34[[#This Row],[Tanggal Trf]]&gt;0,"Done","-")</f>
        <v>Done</v>
      </c>
      <c r="J515" s="442" t="s">
        <v>834</v>
      </c>
      <c r="K515" s="221">
        <v>44589</v>
      </c>
      <c r="L515" s="618" t="s">
        <v>1015</v>
      </c>
      <c r="M515" s="100">
        <f>MONTH(List34[[#This Row],[Tanggal Pengajuan]])</f>
        <v>6</v>
      </c>
      <c r="N515" s="183"/>
      <c r="O515" s="105" t="s">
        <v>687</v>
      </c>
      <c r="P515" s="111"/>
      <c r="Q515" s="229"/>
      <c r="S515" s="275"/>
    </row>
    <row r="516" spans="1:20" s="4" customFormat="1" ht="15.75" x14ac:dyDescent="0.2">
      <c r="A516" s="102">
        <v>44644</v>
      </c>
      <c r="B516" s="593"/>
      <c r="C516" s="103" t="s">
        <v>856</v>
      </c>
      <c r="D516" s="14" t="s">
        <v>17</v>
      </c>
      <c r="E516" s="14" t="s">
        <v>18</v>
      </c>
      <c r="F516" s="15">
        <v>32</v>
      </c>
      <c r="G516" s="258">
        <v>5998100</v>
      </c>
      <c r="H516" s="258">
        <f>List34[[#This Row],[Pengajuan Donasi]]</f>
        <v>5999500</v>
      </c>
      <c r="I516" s="213" t="str">
        <f>IF(List34[[#This Row],[Tanggal Trf]]&gt;0,"Done","-")</f>
        <v>Done</v>
      </c>
      <c r="J516" s="445" t="s">
        <v>25</v>
      </c>
      <c r="K516" s="221">
        <v>44645</v>
      </c>
      <c r="L516" s="403" t="s">
        <v>1015</v>
      </c>
      <c r="M516" s="20">
        <f>MONTH(List34[[#This Row],[Tanggal Pengajuan]])</f>
        <v>6</v>
      </c>
      <c r="N516" s="183"/>
      <c r="O516" s="105" t="s">
        <v>707</v>
      </c>
      <c r="P516" s="111"/>
      <c r="Q516" s="229"/>
      <c r="S516" s="275"/>
    </row>
    <row r="517" spans="1:20" s="4" customFormat="1" ht="15.75" x14ac:dyDescent="0.2">
      <c r="A517" s="102">
        <v>44651</v>
      </c>
      <c r="B517" s="67"/>
      <c r="C517" s="103" t="s">
        <v>856</v>
      </c>
      <c r="D517" s="14" t="s">
        <v>17</v>
      </c>
      <c r="E517" s="14" t="s">
        <v>18</v>
      </c>
      <c r="F517" s="15">
        <v>32</v>
      </c>
      <c r="G517" s="258">
        <v>5999000</v>
      </c>
      <c r="H517" s="258">
        <f>List34[[#This Row],[Pengajuan Donasi]]</f>
        <v>6004200</v>
      </c>
      <c r="I517" s="213" t="str">
        <f>IF(List34[[#This Row],[Tanggal Trf]]&gt;0,"Done","-")</f>
        <v>Done</v>
      </c>
      <c r="J517" s="445" t="s">
        <v>25</v>
      </c>
      <c r="K517" s="221">
        <v>44652</v>
      </c>
      <c r="L517" s="403" t="s">
        <v>1015</v>
      </c>
      <c r="M517" s="100">
        <f>MONTH(List34[[#This Row],[Tanggal Pengajuan]])</f>
        <v>6</v>
      </c>
      <c r="N517" s="183"/>
      <c r="O517" s="105" t="s">
        <v>746</v>
      </c>
      <c r="P517" s="111"/>
      <c r="Q517" s="229"/>
      <c r="S517" s="275"/>
    </row>
    <row r="518" spans="1:20" s="4" customFormat="1" ht="15.75" x14ac:dyDescent="0.2">
      <c r="A518" s="102">
        <v>44678</v>
      </c>
      <c r="B518" s="67"/>
      <c r="C518" s="14" t="s">
        <v>856</v>
      </c>
      <c r="D518" s="14" t="s">
        <v>17</v>
      </c>
      <c r="E518" s="14" t="s">
        <v>18</v>
      </c>
      <c r="F518" s="15">
        <v>32</v>
      </c>
      <c r="G518" s="258">
        <v>6166300</v>
      </c>
      <c r="H518" s="258">
        <f>List34[[#This Row],[Pengajuan Donasi]]</f>
        <v>6002100</v>
      </c>
      <c r="I518" s="213" t="str">
        <f>IF(List34[[#This Row],[Tanggal Trf]]&gt;0,"Done","-")</f>
        <v>Done</v>
      </c>
      <c r="J518" s="437" t="s">
        <v>25</v>
      </c>
      <c r="K518" s="221">
        <v>44679</v>
      </c>
      <c r="L518" s="404" t="s">
        <v>1015</v>
      </c>
      <c r="M518" s="100">
        <f>MONTH(List34[[#This Row],[Tanggal Pengajuan]])</f>
        <v>6</v>
      </c>
      <c r="N518" s="183">
        <v>44686</v>
      </c>
      <c r="O518" s="105" t="s">
        <v>795</v>
      </c>
      <c r="P518" s="111"/>
      <c r="Q518" s="229"/>
      <c r="S518" s="275"/>
    </row>
    <row r="519" spans="1:20" s="4" customFormat="1" ht="15.75" x14ac:dyDescent="0.2">
      <c r="A519" s="102">
        <v>44711</v>
      </c>
      <c r="B519" s="163"/>
      <c r="C519" s="14" t="s">
        <v>856</v>
      </c>
      <c r="D519" s="103" t="s">
        <v>17</v>
      </c>
      <c r="E519" s="103" t="s">
        <v>18</v>
      </c>
      <c r="F519" s="15">
        <v>32</v>
      </c>
      <c r="G519" s="258">
        <v>6282000</v>
      </c>
      <c r="H519" s="258">
        <f>List34[[#This Row],[Pengajuan Donasi]]</f>
        <v>5507900</v>
      </c>
      <c r="I519" s="213" t="str">
        <f>IF(List34[[#This Row],[Tanggal Trf]]&gt;0,"Done","-")</f>
        <v>Done</v>
      </c>
      <c r="J519" s="445"/>
      <c r="K519" s="221">
        <v>44715</v>
      </c>
      <c r="L519" s="403" t="s">
        <v>1015</v>
      </c>
      <c r="M519" s="100">
        <f>MONTH(List34[[#This Row],[Tanggal Pengajuan]])</f>
        <v>6</v>
      </c>
      <c r="N519" s="183">
        <v>44747</v>
      </c>
      <c r="O519" s="105" t="s">
        <v>932</v>
      </c>
      <c r="P519" s="111"/>
      <c r="Q519" s="229"/>
      <c r="S519" s="275"/>
    </row>
    <row r="520" spans="1:20" s="4" customFormat="1" ht="15.75" x14ac:dyDescent="0.2">
      <c r="A520" s="102">
        <v>44718</v>
      </c>
      <c r="B520" s="66" t="s">
        <v>1096</v>
      </c>
      <c r="C520" s="14" t="s">
        <v>856</v>
      </c>
      <c r="D520" s="103" t="s">
        <v>17</v>
      </c>
      <c r="E520" s="103" t="s">
        <v>18</v>
      </c>
      <c r="F520" s="15">
        <v>32</v>
      </c>
      <c r="G520" s="258">
        <v>6282000</v>
      </c>
      <c r="H520" s="258">
        <f>List34[[#This Row],[Pengajuan Donasi]]</f>
        <v>5997500</v>
      </c>
      <c r="I520" s="213" t="str">
        <f>IF(List34[[#This Row],[Tanggal Trf]]&gt;0,"Done","-")</f>
        <v>Done</v>
      </c>
      <c r="J520" s="445"/>
      <c r="K520" s="221">
        <v>44721</v>
      </c>
      <c r="L520" s="403" t="s">
        <v>683</v>
      </c>
      <c r="M520" s="100">
        <f>MONTH(List34[[#This Row],[Tanggal Pengajuan]])</f>
        <v>6</v>
      </c>
      <c r="N520" s="183">
        <v>44725</v>
      </c>
      <c r="O520" s="105" t="s">
        <v>1116</v>
      </c>
      <c r="P520" s="111"/>
      <c r="Q520" s="229"/>
      <c r="S520" s="275"/>
    </row>
    <row r="521" spans="1:20" s="4" customFormat="1" ht="24.75" x14ac:dyDescent="0.2">
      <c r="A521" s="102">
        <v>44754</v>
      </c>
      <c r="B521" s="66"/>
      <c r="C521" s="14" t="s">
        <v>856</v>
      </c>
      <c r="D521" s="14" t="s">
        <v>17</v>
      </c>
      <c r="E521" s="103" t="s">
        <v>18</v>
      </c>
      <c r="F521" s="471">
        <v>32</v>
      </c>
      <c r="G521" s="258">
        <v>6000000</v>
      </c>
      <c r="H521" s="258">
        <f>List34[[#This Row],[Pengajuan Donasi]]</f>
        <v>6005700</v>
      </c>
      <c r="I521" s="213" t="str">
        <f>IF(List34[[#This Row],[Tanggal Trf]]&gt;0,"Done","-")</f>
        <v>Done</v>
      </c>
      <c r="J521" s="445" t="s">
        <v>1176</v>
      </c>
      <c r="K521" s="484">
        <v>44764</v>
      </c>
      <c r="L521" s="403" t="s">
        <v>1213</v>
      </c>
      <c r="M521" s="100">
        <f>MONTH(List34[[#This Row],[Tanggal Pengajuan]])</f>
        <v>6</v>
      </c>
      <c r="N521" s="183">
        <v>44775</v>
      </c>
      <c r="O521" s="105" t="s">
        <v>1180</v>
      </c>
      <c r="P521" s="111"/>
      <c r="Q521" s="229"/>
      <c r="S521" s="275"/>
    </row>
    <row r="522" spans="1:20" s="4" customFormat="1" ht="29.25" x14ac:dyDescent="0.2">
      <c r="A522" s="102">
        <v>44781</v>
      </c>
      <c r="B522" s="67"/>
      <c r="C522" s="14" t="s">
        <v>856</v>
      </c>
      <c r="D522" s="14" t="s">
        <v>17</v>
      </c>
      <c r="E522" s="103" t="s">
        <v>18</v>
      </c>
      <c r="F522" s="471">
        <v>28</v>
      </c>
      <c r="G522" s="258">
        <v>6000000</v>
      </c>
      <c r="H522" s="258">
        <f>List34[[#This Row],[Pengajuan Donasi]]</f>
        <v>6007200</v>
      </c>
      <c r="I522" s="213" t="str">
        <f>IF(List34[[#This Row],[Tanggal Trf]]&gt;0,"Done","-")</f>
        <v>Done</v>
      </c>
      <c r="J522" s="14" t="s">
        <v>1206</v>
      </c>
      <c r="K522" s="484">
        <v>44792</v>
      </c>
      <c r="L522" s="403" t="s">
        <v>1213</v>
      </c>
      <c r="M522" s="100">
        <f>MONTH(List34[[#This Row],[Tanggal Pengajuan]])</f>
        <v>6</v>
      </c>
      <c r="N522" s="183"/>
      <c r="O522" s="105" t="s">
        <v>888</v>
      </c>
      <c r="P522" s="111"/>
      <c r="Q522" s="229"/>
      <c r="S522" s="275"/>
      <c r="T522" s="738">
        <f>SUM(G515:G522)</f>
        <v>48726400</v>
      </c>
    </row>
    <row r="523" spans="1:20" s="4" customFormat="1" ht="15.75" x14ac:dyDescent="0.2">
      <c r="A523" s="102">
        <v>44587</v>
      </c>
      <c r="B523" s="67"/>
      <c r="C523" s="14" t="s">
        <v>853</v>
      </c>
      <c r="D523" s="103" t="s">
        <v>17</v>
      </c>
      <c r="E523" s="103" t="s">
        <v>18</v>
      </c>
      <c r="F523" s="15">
        <v>25</v>
      </c>
      <c r="G523" s="732">
        <f>'[5]REV-PENAWARAN PER JAN''22'!$E$1049</f>
        <v>5999100</v>
      </c>
      <c r="H523" s="258">
        <f>List34[[#This Row],[Pengajuan Donasi]]</f>
        <v>6006700</v>
      </c>
      <c r="I523" s="213" t="str">
        <f>IF(List34[[#This Row],[Tanggal Trf]]&gt;0,"Done","-")</f>
        <v>Done</v>
      </c>
      <c r="J523" s="606" t="s">
        <v>838</v>
      </c>
      <c r="K523" s="221">
        <v>44589</v>
      </c>
      <c r="L523" s="403" t="s">
        <v>1015</v>
      </c>
      <c r="M523" s="100">
        <f>MONTH(List34[[#This Row],[Tanggal Pengajuan]])</f>
        <v>6</v>
      </c>
      <c r="N523" s="183"/>
      <c r="O523" s="105" t="s">
        <v>687</v>
      </c>
      <c r="P523" s="111"/>
      <c r="Q523" s="229"/>
      <c r="S523" s="275"/>
    </row>
    <row r="524" spans="1:20" s="4" customFormat="1" ht="15.75" x14ac:dyDescent="0.2">
      <c r="A524" s="102">
        <v>44644</v>
      </c>
      <c r="B524" s="593"/>
      <c r="C524" s="14" t="s">
        <v>853</v>
      </c>
      <c r="D524" s="103" t="s">
        <v>17</v>
      </c>
      <c r="E524" s="103" t="s">
        <v>18</v>
      </c>
      <c r="F524" s="15">
        <v>25</v>
      </c>
      <c r="G524" s="258">
        <v>5998700</v>
      </c>
      <c r="H524" s="258">
        <f>List34[[#This Row],[Pengajuan Donasi]]</f>
        <v>6009500</v>
      </c>
      <c r="I524" s="213" t="str">
        <f>IF(List34[[#This Row],[Tanggal Trf]]&gt;0,"Done","-")</f>
        <v>Done</v>
      </c>
      <c r="J524" s="437" t="s">
        <v>25</v>
      </c>
      <c r="K524" s="221">
        <v>44645</v>
      </c>
      <c r="L524" s="403" t="s">
        <v>1015</v>
      </c>
      <c r="M524" s="20">
        <f>MONTH(List34[[#This Row],[Tanggal Pengajuan]])</f>
        <v>6</v>
      </c>
      <c r="N524" s="183"/>
      <c r="O524" s="105" t="s">
        <v>707</v>
      </c>
      <c r="P524" s="111"/>
      <c r="Q524" s="229"/>
      <c r="S524" s="275"/>
    </row>
    <row r="525" spans="1:20" s="4" customFormat="1" ht="15.75" x14ac:dyDescent="0.2">
      <c r="A525" s="102">
        <v>44651</v>
      </c>
      <c r="B525" s="593"/>
      <c r="C525" s="14" t="s">
        <v>853</v>
      </c>
      <c r="D525" s="103" t="s">
        <v>17</v>
      </c>
      <c r="E525" s="103" t="s">
        <v>18</v>
      </c>
      <c r="F525" s="15">
        <v>25</v>
      </c>
      <c r="G525" s="258">
        <v>5999200</v>
      </c>
      <c r="H525" s="258">
        <f>List34[[#This Row],[Pengajuan Donasi]]</f>
        <v>6006700</v>
      </c>
      <c r="I525" s="215" t="str">
        <f>IF(List34[[#This Row],[Tanggal Trf]]&gt;0,"Done","-")</f>
        <v>Done</v>
      </c>
      <c r="J525" s="437" t="s">
        <v>25</v>
      </c>
      <c r="K525" s="221">
        <v>44652</v>
      </c>
      <c r="L525" s="403" t="s">
        <v>1015</v>
      </c>
      <c r="M525" s="20">
        <f>MONTH(List34[[#This Row],[Tanggal Pengajuan]])</f>
        <v>6</v>
      </c>
      <c r="N525" s="183"/>
      <c r="O525" s="105" t="s">
        <v>746</v>
      </c>
      <c r="P525" s="111"/>
      <c r="Q525" s="229"/>
      <c r="S525" s="275"/>
    </row>
    <row r="526" spans="1:20" s="4" customFormat="1" ht="15.75" x14ac:dyDescent="0.2">
      <c r="A526" s="102">
        <v>44678</v>
      </c>
      <c r="B526" s="67"/>
      <c r="C526" s="14" t="s">
        <v>853</v>
      </c>
      <c r="D526" s="103" t="s">
        <v>17</v>
      </c>
      <c r="E526" s="103" t="s">
        <v>18</v>
      </c>
      <c r="F526" s="15">
        <v>25</v>
      </c>
      <c r="G526" s="258">
        <v>6212300</v>
      </c>
      <c r="H526" s="258">
        <f>List34[[#This Row],[Pengajuan Donasi]]</f>
        <v>5500200</v>
      </c>
      <c r="I526" s="213" t="str">
        <f>IF(List34[[#This Row],[Tanggal Trf]]&gt;0,"Done","-")</f>
        <v>Done</v>
      </c>
      <c r="J526" s="437" t="s">
        <v>25</v>
      </c>
      <c r="K526" s="221">
        <v>44679</v>
      </c>
      <c r="L526" s="403" t="s">
        <v>1015</v>
      </c>
      <c r="M526" s="100">
        <f>MONTH(List34[[#This Row],[Tanggal Pengajuan]])</f>
        <v>6</v>
      </c>
      <c r="N526" s="183">
        <v>44686</v>
      </c>
      <c r="O526" s="105" t="s">
        <v>795</v>
      </c>
      <c r="P526" s="111"/>
      <c r="Q526" s="229"/>
      <c r="S526" s="275"/>
    </row>
    <row r="527" spans="1:20" s="4" customFormat="1" ht="15.75" x14ac:dyDescent="0.2">
      <c r="A527" s="102">
        <v>44711</v>
      </c>
      <c r="B527" s="163"/>
      <c r="C527" s="14" t="s">
        <v>853</v>
      </c>
      <c r="D527" s="103" t="s">
        <v>17</v>
      </c>
      <c r="E527" s="103" t="s">
        <v>18</v>
      </c>
      <c r="F527" s="15">
        <v>25</v>
      </c>
      <c r="G527" s="258">
        <v>6286400</v>
      </c>
      <c r="H527" s="258">
        <f>List34[[#This Row],[Pengajuan Donasi]]</f>
        <v>5999200</v>
      </c>
      <c r="I527" s="213" t="str">
        <f>IF(List34[[#This Row],[Tanggal Trf]]&gt;0,"Done","-")</f>
        <v>Done</v>
      </c>
      <c r="J527" s="437"/>
      <c r="K527" s="221">
        <v>44715</v>
      </c>
      <c r="L527" s="403" t="s">
        <v>1015</v>
      </c>
      <c r="M527" s="100">
        <f>MONTH(List34[[#This Row],[Tanggal Pengajuan]])</f>
        <v>6</v>
      </c>
      <c r="N527" s="183">
        <v>44747</v>
      </c>
      <c r="O527" s="105" t="s">
        <v>932</v>
      </c>
      <c r="P527" s="111"/>
      <c r="Q527" s="229"/>
      <c r="S527" s="275"/>
    </row>
    <row r="528" spans="1:20" s="4" customFormat="1" ht="15.75" x14ac:dyDescent="0.2">
      <c r="A528" s="13">
        <v>44718</v>
      </c>
      <c r="B528" s="67"/>
      <c r="C528" s="14" t="s">
        <v>853</v>
      </c>
      <c r="D528" s="103" t="s">
        <v>17</v>
      </c>
      <c r="E528" s="103" t="s">
        <v>18</v>
      </c>
      <c r="F528" s="471">
        <v>25</v>
      </c>
      <c r="G528" s="258">
        <v>6286400</v>
      </c>
      <c r="H528" s="258">
        <f>List34[[#This Row],[Pengajuan Donasi]]</f>
        <v>6010600</v>
      </c>
      <c r="I528" s="214" t="str">
        <f>IF(List34[[#This Row],[Tanggal Trf]]&gt;0,"Done","-")</f>
        <v>Done</v>
      </c>
      <c r="J528" s="437"/>
      <c r="K528" s="221">
        <v>44721</v>
      </c>
      <c r="L528" s="406" t="s">
        <v>683</v>
      </c>
      <c r="M528" s="100">
        <f>MONTH(List34[[#This Row],[Tanggal Pengajuan]])</f>
        <v>6</v>
      </c>
      <c r="N528" s="183">
        <v>44725</v>
      </c>
      <c r="O528" s="105" t="s">
        <v>1116</v>
      </c>
      <c r="P528" s="111"/>
      <c r="Q528" s="229"/>
      <c r="S528" s="275"/>
    </row>
    <row r="529" spans="1:20" s="4" customFormat="1" ht="24.75" x14ac:dyDescent="0.2">
      <c r="A529" s="13">
        <v>44754</v>
      </c>
      <c r="B529" s="67"/>
      <c r="C529" s="103" t="s">
        <v>853</v>
      </c>
      <c r="D529" s="103" t="s">
        <v>17</v>
      </c>
      <c r="E529" s="103" t="s">
        <v>18</v>
      </c>
      <c r="F529" s="471">
        <v>25</v>
      </c>
      <c r="G529" s="258">
        <v>6000000</v>
      </c>
      <c r="H529" s="258">
        <f>List34[[#This Row],[Pengajuan Donasi]]</f>
        <v>6017800</v>
      </c>
      <c r="I529" s="214" t="str">
        <f>IF(List34[[#This Row],[Tanggal Trf]]&gt;0,"Done","-")</f>
        <v>Done</v>
      </c>
      <c r="J529" s="437" t="s">
        <v>1176</v>
      </c>
      <c r="K529" s="484">
        <v>44764</v>
      </c>
      <c r="L529" s="403" t="s">
        <v>1213</v>
      </c>
      <c r="M529" s="100">
        <f>MONTH(List34[[#This Row],[Tanggal Pengajuan]])</f>
        <v>6</v>
      </c>
      <c r="N529" s="183">
        <v>44775</v>
      </c>
      <c r="O529" s="105" t="s">
        <v>1180</v>
      </c>
      <c r="P529" s="111"/>
      <c r="Q529" s="229"/>
      <c r="S529" s="275"/>
    </row>
    <row r="530" spans="1:20" s="4" customFormat="1" ht="29.25" x14ac:dyDescent="0.2">
      <c r="A530" s="13">
        <v>44781</v>
      </c>
      <c r="B530" s="67"/>
      <c r="C530" s="103" t="s">
        <v>853</v>
      </c>
      <c r="D530" s="103" t="s">
        <v>17</v>
      </c>
      <c r="E530" s="103" t="s">
        <v>18</v>
      </c>
      <c r="F530" s="471">
        <v>25</v>
      </c>
      <c r="G530" s="258">
        <v>6000000</v>
      </c>
      <c r="H530" s="258">
        <f>List34[[#This Row],[Pengajuan Donasi]]</f>
        <v>1508700</v>
      </c>
      <c r="I530" s="213" t="str">
        <f>IF(List34[[#This Row],[Tanggal Trf]]&gt;0,"Done","-")</f>
        <v>Done</v>
      </c>
      <c r="J530" s="14" t="s">
        <v>1206</v>
      </c>
      <c r="K530" s="640">
        <v>44792</v>
      </c>
      <c r="L530" s="403" t="s">
        <v>1213</v>
      </c>
      <c r="M530" s="100">
        <f>MONTH(List34[[#This Row],[Tanggal Pengajuan]])</f>
        <v>6</v>
      </c>
      <c r="N530" s="183"/>
      <c r="O530" s="105" t="s">
        <v>888</v>
      </c>
      <c r="P530" s="111"/>
      <c r="Q530" s="229"/>
      <c r="S530" s="275"/>
      <c r="T530" s="738">
        <f>SUM(G523:G530)</f>
        <v>48782100</v>
      </c>
    </row>
    <row r="531" spans="1:20" s="4" customFormat="1" ht="15.75" x14ac:dyDescent="0.2">
      <c r="A531" s="13">
        <v>44587</v>
      </c>
      <c r="B531" s="67" t="s">
        <v>682</v>
      </c>
      <c r="C531" s="14" t="s">
        <v>872</v>
      </c>
      <c r="D531" s="103" t="s">
        <v>17</v>
      </c>
      <c r="E531" s="103" t="s">
        <v>18</v>
      </c>
      <c r="F531" s="15">
        <v>59</v>
      </c>
      <c r="G531" s="262">
        <f>'[5]REV-PENAWARAN PER JAN''22'!$E$44</f>
        <v>6000600</v>
      </c>
      <c r="H531" s="258">
        <f>List34[[#This Row],[Pengajuan Donasi]]</f>
        <v>777000</v>
      </c>
      <c r="I531" s="213" t="str">
        <f>IF(List34[[#This Row],[Tanggal Trf]]&gt;0,"Done","-")</f>
        <v>Done</v>
      </c>
      <c r="J531" s="442" t="s">
        <v>817</v>
      </c>
      <c r="K531" s="223">
        <v>44589</v>
      </c>
      <c r="L531" s="100" t="s">
        <v>1015</v>
      </c>
      <c r="M531" s="100">
        <f>MONTH(List34[[#This Row],[Tanggal Pengajuan]])</f>
        <v>6</v>
      </c>
      <c r="N531" s="183"/>
      <c r="O531" s="105" t="s">
        <v>651</v>
      </c>
      <c r="P531" s="111"/>
      <c r="Q531" s="229"/>
      <c r="S531" s="275"/>
    </row>
    <row r="532" spans="1:20" s="4" customFormat="1" ht="15.75" x14ac:dyDescent="0.2">
      <c r="A532" s="13">
        <v>44644</v>
      </c>
      <c r="B532" s="67" t="s">
        <v>775</v>
      </c>
      <c r="C532" s="14" t="s">
        <v>872</v>
      </c>
      <c r="D532" s="103" t="s">
        <v>17</v>
      </c>
      <c r="E532" s="103" t="s">
        <v>18</v>
      </c>
      <c r="F532" s="15">
        <v>59</v>
      </c>
      <c r="G532" s="258">
        <v>5998800</v>
      </c>
      <c r="H532" s="258">
        <v>5998800</v>
      </c>
      <c r="I532" s="213" t="str">
        <f>IF(List34[[#This Row],[Tanggal Trf]]&gt;0,"Done","-")</f>
        <v>Done</v>
      </c>
      <c r="J532" s="445" t="s">
        <v>25</v>
      </c>
      <c r="K532" s="223">
        <v>44645</v>
      </c>
      <c r="L532" s="100" t="s">
        <v>1015</v>
      </c>
      <c r="M532" s="100">
        <f>MONTH(List34[[#This Row],[Tanggal Pengajuan]])</f>
        <v>6</v>
      </c>
      <c r="N532" s="183"/>
      <c r="O532" s="105" t="s">
        <v>707</v>
      </c>
      <c r="P532" s="111"/>
      <c r="Q532" s="229"/>
      <c r="S532" s="275"/>
    </row>
    <row r="533" spans="1:20" s="4" customFormat="1" ht="15.75" x14ac:dyDescent="0.2">
      <c r="A533" s="13">
        <v>44651</v>
      </c>
      <c r="B533" s="67" t="s">
        <v>793</v>
      </c>
      <c r="C533" s="14" t="s">
        <v>872</v>
      </c>
      <c r="D533" s="103" t="s">
        <v>17</v>
      </c>
      <c r="E533" s="103" t="s">
        <v>18</v>
      </c>
      <c r="F533" s="15">
        <v>59</v>
      </c>
      <c r="G533" s="258">
        <v>5998500</v>
      </c>
      <c r="H533" s="258">
        <v>5998500</v>
      </c>
      <c r="I533" s="213" t="str">
        <f>IF(List34[[#This Row],[Tanggal Trf]]&gt;0,"Done","-")</f>
        <v>Done</v>
      </c>
      <c r="J533" s="445" t="s">
        <v>25</v>
      </c>
      <c r="K533" s="613">
        <v>44652</v>
      </c>
      <c r="L533" s="100" t="s">
        <v>1015</v>
      </c>
      <c r="M533" s="100">
        <f>MONTH(List34[[#This Row],[Tanggal Pengajuan]])</f>
        <v>6</v>
      </c>
      <c r="N533" s="183"/>
      <c r="O533" s="105" t="s">
        <v>746</v>
      </c>
      <c r="P533" s="111"/>
      <c r="Q533" s="229"/>
      <c r="S533" s="275"/>
    </row>
    <row r="534" spans="1:20" s="4" customFormat="1" ht="15.75" x14ac:dyDescent="0.2">
      <c r="A534" s="13">
        <v>44678</v>
      </c>
      <c r="B534" s="67" t="s">
        <v>914</v>
      </c>
      <c r="C534" s="14" t="s">
        <v>872</v>
      </c>
      <c r="D534" s="103" t="s">
        <v>17</v>
      </c>
      <c r="E534" s="103" t="s">
        <v>18</v>
      </c>
      <c r="F534" s="15">
        <v>59</v>
      </c>
      <c r="G534" s="258">
        <v>6214000</v>
      </c>
      <c r="H534" s="258">
        <f>List34[[#This Row],[Pengajuan Donasi]]</f>
        <v>6800300</v>
      </c>
      <c r="I534" s="213" t="str">
        <f>IF(List34[[#This Row],[Tanggal Trf]]&gt;0,"Done","-")</f>
        <v>Done</v>
      </c>
      <c r="J534" s="445" t="s">
        <v>25</v>
      </c>
      <c r="K534" s="613">
        <v>44679</v>
      </c>
      <c r="L534" s="100" t="s">
        <v>1015</v>
      </c>
      <c r="M534" s="100">
        <f>MONTH(List34[[#This Row],[Tanggal Pengajuan]])</f>
        <v>7</v>
      </c>
      <c r="N534" s="183">
        <v>44686</v>
      </c>
      <c r="O534" s="105" t="s">
        <v>795</v>
      </c>
      <c r="P534" s="111"/>
      <c r="Q534" s="229"/>
      <c r="S534" s="275"/>
    </row>
    <row r="535" spans="1:20" s="4" customFormat="1" ht="15.75" x14ac:dyDescent="0.2">
      <c r="A535" s="13">
        <v>44711</v>
      </c>
      <c r="B535" s="67" t="s">
        <v>1060</v>
      </c>
      <c r="C535" s="14" t="s">
        <v>872</v>
      </c>
      <c r="D535" s="103" t="s">
        <v>17</v>
      </c>
      <c r="E535" s="103" t="s">
        <v>18</v>
      </c>
      <c r="F535" s="15">
        <v>59</v>
      </c>
      <c r="G535" s="258">
        <v>6202600</v>
      </c>
      <c r="H535" s="258">
        <f>List34[[#This Row],[Pengajuan Donasi]]</f>
        <v>6001700</v>
      </c>
      <c r="I535" s="213" t="str">
        <f>IF(List34[[#This Row],[Tanggal Trf]]&gt;0,"Done","-")</f>
        <v>Done</v>
      </c>
      <c r="J535" s="445"/>
      <c r="K535" s="613">
        <v>44715</v>
      </c>
      <c r="L535" s="100" t="s">
        <v>1015</v>
      </c>
      <c r="M535" s="100">
        <f>MONTH(List34[[#This Row],[Tanggal Pengajuan]])</f>
        <v>7</v>
      </c>
      <c r="N535" s="183">
        <v>44747</v>
      </c>
      <c r="O535" s="105" t="s">
        <v>932</v>
      </c>
      <c r="P535" s="111"/>
      <c r="Q535" s="229"/>
      <c r="S535" s="275"/>
    </row>
    <row r="536" spans="1:20" s="4" customFormat="1" ht="15.75" x14ac:dyDescent="0.2">
      <c r="A536" s="13">
        <v>44736</v>
      </c>
      <c r="B536" s="67" t="s">
        <v>1107</v>
      </c>
      <c r="C536" s="14" t="s">
        <v>872</v>
      </c>
      <c r="D536" s="103" t="s">
        <v>17</v>
      </c>
      <c r="E536" s="103" t="s">
        <v>18</v>
      </c>
      <c r="F536" s="471">
        <v>59</v>
      </c>
      <c r="G536" s="258">
        <v>6004100</v>
      </c>
      <c r="H536" s="258">
        <f>List34[[#This Row],[Pengajuan Donasi]]</f>
        <v>6000000</v>
      </c>
      <c r="I536" s="213" t="str">
        <f>IF(List34[[#This Row],[Tanggal Trf]]&gt;0,"Done","-")</f>
        <v>Done</v>
      </c>
      <c r="J536" s="445"/>
      <c r="K536" s="224">
        <v>44741</v>
      </c>
      <c r="L536" s="100" t="s">
        <v>1015</v>
      </c>
      <c r="M536" s="100">
        <f>MONTH(List34[[#This Row],[Tanggal Pengajuan]])</f>
        <v>7</v>
      </c>
      <c r="N536" s="183"/>
      <c r="O536" s="105" t="s">
        <v>1116</v>
      </c>
      <c r="P536" s="111"/>
      <c r="Q536" s="229"/>
      <c r="S536" s="275"/>
    </row>
    <row r="537" spans="1:20" s="4" customFormat="1" ht="24.75" x14ac:dyDescent="0.2">
      <c r="A537" s="13">
        <v>44754</v>
      </c>
      <c r="B537" s="67" t="s">
        <v>1154</v>
      </c>
      <c r="C537" s="14" t="s">
        <v>872</v>
      </c>
      <c r="D537" s="103" t="s">
        <v>17</v>
      </c>
      <c r="E537" s="103" t="s">
        <v>18</v>
      </c>
      <c r="F537" s="471">
        <v>59</v>
      </c>
      <c r="G537" s="258">
        <v>6000000</v>
      </c>
      <c r="H537" s="258">
        <f>List34[[#This Row],[Pengajuan Donasi]]</f>
        <v>6007200</v>
      </c>
      <c r="I537" s="213" t="str">
        <f>IF(List34[[#This Row],[Tanggal Trf]]&gt;0,"Done","-")</f>
        <v>Done</v>
      </c>
      <c r="J537" s="445" t="s">
        <v>1176</v>
      </c>
      <c r="K537" s="224">
        <v>44764</v>
      </c>
      <c r="L537" s="100" t="s">
        <v>1213</v>
      </c>
      <c r="M537" s="100">
        <f>MONTH(List34[[#This Row],[Tanggal Pengajuan]])</f>
        <v>7</v>
      </c>
      <c r="N537" s="183">
        <v>44775</v>
      </c>
      <c r="O537" s="105" t="s">
        <v>1180</v>
      </c>
      <c r="P537" s="111"/>
      <c r="Q537" s="229"/>
      <c r="S537" s="275"/>
    </row>
    <row r="538" spans="1:20" s="4" customFormat="1" ht="57" x14ac:dyDescent="0.2">
      <c r="A538" s="13">
        <v>44781</v>
      </c>
      <c r="B538" s="67" t="s">
        <v>1260</v>
      </c>
      <c r="C538" s="14" t="s">
        <v>872</v>
      </c>
      <c r="D538" s="103" t="s">
        <v>17</v>
      </c>
      <c r="E538" s="103" t="s">
        <v>18</v>
      </c>
      <c r="F538" s="471">
        <v>59</v>
      </c>
      <c r="G538" s="258">
        <v>6250360</v>
      </c>
      <c r="H538" s="258">
        <f>List34[[#This Row],[Pengajuan Donasi]]</f>
        <v>15851950</v>
      </c>
      <c r="I538" s="213" t="str">
        <f>IF(List34[[#This Row],[Tanggal Trf]]&gt;0,"Done","-")</f>
        <v>Done</v>
      </c>
      <c r="J538" s="14" t="s">
        <v>1261</v>
      </c>
      <c r="K538" s="224">
        <v>44783</v>
      </c>
      <c r="L538" s="100" t="s">
        <v>683</v>
      </c>
      <c r="M538" s="100">
        <f>MONTH(List34[[#This Row],[Tanggal Pengajuan]])</f>
        <v>7</v>
      </c>
      <c r="N538" s="183">
        <v>44791</v>
      </c>
      <c r="O538" s="105" t="s">
        <v>888</v>
      </c>
      <c r="P538" s="111"/>
      <c r="Q538" s="229"/>
      <c r="S538" s="275"/>
      <c r="T538" s="738">
        <f>SUM(G531:G538)</f>
        <v>48668960</v>
      </c>
    </row>
    <row r="539" spans="1:20" s="4" customFormat="1" ht="15.75" x14ac:dyDescent="0.2">
      <c r="A539" s="13">
        <v>44587</v>
      </c>
      <c r="B539" s="67"/>
      <c r="C539" s="14" t="s">
        <v>849</v>
      </c>
      <c r="D539" s="103" t="s">
        <v>17</v>
      </c>
      <c r="E539" s="103" t="s">
        <v>18</v>
      </c>
      <c r="F539" s="15">
        <v>63</v>
      </c>
      <c r="G539" s="262">
        <f>'[5]REV-PENAWARAN PER JAN''22'!$E$139</f>
        <v>5999200</v>
      </c>
      <c r="H539" s="258">
        <f>List34[[#This Row],[Pengajuan Donasi]]</f>
        <v>14274000</v>
      </c>
      <c r="I539" s="213" t="str">
        <f>IF(List34[[#This Row],[Tanggal Trf]]&gt;0,"Done","-")</f>
        <v>Done</v>
      </c>
      <c r="J539" s="442" t="s">
        <v>819</v>
      </c>
      <c r="K539" s="613">
        <v>44589</v>
      </c>
      <c r="L539" s="100" t="s">
        <v>1015</v>
      </c>
      <c r="M539" s="100">
        <f>MONTH(List34[[#This Row],[Tanggal Pengajuan]])</f>
        <v>7</v>
      </c>
      <c r="N539" s="183"/>
      <c r="O539" s="105" t="s">
        <v>687</v>
      </c>
      <c r="P539" s="111"/>
      <c r="Q539" s="229"/>
      <c r="S539" s="275"/>
    </row>
    <row r="540" spans="1:20" s="4" customFormat="1" ht="15.75" x14ac:dyDescent="0.2">
      <c r="A540" s="13">
        <v>44644</v>
      </c>
      <c r="B540" s="593"/>
      <c r="C540" s="14" t="s">
        <v>849</v>
      </c>
      <c r="D540" s="103" t="s">
        <v>17</v>
      </c>
      <c r="E540" s="103" t="s">
        <v>18</v>
      </c>
      <c r="F540" s="15">
        <v>63</v>
      </c>
      <c r="G540" s="258">
        <v>5998600</v>
      </c>
      <c r="H540" s="258">
        <v>5998600</v>
      </c>
      <c r="I540" s="213" t="str">
        <f>IF(List34[[#This Row],[Tanggal Trf]]&gt;0,"Done","-")</f>
        <v>Done</v>
      </c>
      <c r="J540" s="445" t="s">
        <v>25</v>
      </c>
      <c r="K540" s="613">
        <v>44645</v>
      </c>
      <c r="L540" s="100" t="s">
        <v>1015</v>
      </c>
      <c r="M540" s="20">
        <f>MONTH(List34[[#This Row],[Tanggal Pengajuan]])</f>
        <v>7</v>
      </c>
      <c r="N540" s="183"/>
      <c r="O540" s="105" t="s">
        <v>707</v>
      </c>
      <c r="P540" s="111"/>
      <c r="Q540" s="229"/>
      <c r="S540" s="275"/>
    </row>
    <row r="541" spans="1:20" s="4" customFormat="1" ht="15.75" x14ac:dyDescent="0.2">
      <c r="A541" s="13">
        <v>44651</v>
      </c>
      <c r="B541" s="67"/>
      <c r="C541" s="14" t="s">
        <v>849</v>
      </c>
      <c r="D541" s="103" t="s">
        <v>17</v>
      </c>
      <c r="E541" s="103" t="s">
        <v>18</v>
      </c>
      <c r="F541" s="15">
        <v>63</v>
      </c>
      <c r="G541" s="258">
        <v>5992300</v>
      </c>
      <c r="H541" s="258">
        <f>List34[[#This Row],[Pengajuan Donasi]]</f>
        <v>5000000</v>
      </c>
      <c r="I541" s="213" t="str">
        <f>IF(List34[[#This Row],[Tanggal Trf]]&gt;0,"Done","-")</f>
        <v>Done</v>
      </c>
      <c r="J541" s="445" t="s">
        <v>25</v>
      </c>
      <c r="K541" s="613">
        <v>44652</v>
      </c>
      <c r="L541" s="100" t="s">
        <v>1015</v>
      </c>
      <c r="M541" s="100">
        <f>MONTH(List34[[#This Row],[Tanggal Pengajuan]])</f>
        <v>7</v>
      </c>
      <c r="N541" s="183"/>
      <c r="O541" s="105" t="s">
        <v>746</v>
      </c>
      <c r="P541" s="111"/>
      <c r="Q541" s="229"/>
      <c r="S541" s="275"/>
    </row>
    <row r="542" spans="1:20" s="4" customFormat="1" ht="15.75" x14ac:dyDescent="0.2">
      <c r="A542" s="13">
        <v>44678</v>
      </c>
      <c r="B542" s="67"/>
      <c r="C542" s="14" t="s">
        <v>849</v>
      </c>
      <c r="D542" s="103" t="s">
        <v>17</v>
      </c>
      <c r="E542" s="103" t="s">
        <v>18</v>
      </c>
      <c r="F542" s="15">
        <v>63</v>
      </c>
      <c r="G542" s="258">
        <v>6146800</v>
      </c>
      <c r="H542" s="258">
        <f>List34[[#This Row],[Pengajuan Donasi]]</f>
        <v>1000000</v>
      </c>
      <c r="I542" s="213" t="str">
        <f>IF(List34[[#This Row],[Tanggal Trf]]&gt;0,"Done","-")</f>
        <v>Done</v>
      </c>
      <c r="J542" s="445" t="s">
        <v>25</v>
      </c>
      <c r="K542" s="613">
        <v>44679</v>
      </c>
      <c r="L542" s="100" t="s">
        <v>1015</v>
      </c>
      <c r="M542" s="100">
        <f>MONTH(List34[[#This Row],[Tanggal Pengajuan]])</f>
        <v>7</v>
      </c>
      <c r="N542" s="183">
        <v>44686</v>
      </c>
      <c r="O542" s="105" t="s">
        <v>795</v>
      </c>
      <c r="P542" s="111"/>
      <c r="Q542" s="229"/>
      <c r="S542" s="275"/>
    </row>
    <row r="543" spans="1:20" s="4" customFormat="1" ht="15.75" x14ac:dyDescent="0.2">
      <c r="A543" s="13">
        <v>44711</v>
      </c>
      <c r="B543" s="163"/>
      <c r="C543" s="14" t="s">
        <v>849</v>
      </c>
      <c r="D543" s="103" t="s">
        <v>17</v>
      </c>
      <c r="E543" s="103" t="s">
        <v>18</v>
      </c>
      <c r="F543" s="15">
        <v>63</v>
      </c>
      <c r="G543" s="258">
        <v>6165700</v>
      </c>
      <c r="H543" s="258">
        <f>List34[[#This Row],[Pengajuan Donasi]]</f>
        <v>1000000</v>
      </c>
      <c r="I543" s="213" t="str">
        <f>IF(List34[[#This Row],[Tanggal Trf]]&gt;0,"Done","-")</f>
        <v>Done</v>
      </c>
      <c r="J543" s="445"/>
      <c r="K543" s="613">
        <v>44715</v>
      </c>
      <c r="L543" s="100" t="s">
        <v>1015</v>
      </c>
      <c r="M543" s="100">
        <f>MONTH(List34[[#This Row],[Tanggal Pengajuan]])</f>
        <v>7</v>
      </c>
      <c r="N543" s="183">
        <v>44747</v>
      </c>
      <c r="O543" s="105" t="s">
        <v>932</v>
      </c>
      <c r="P543" s="111"/>
      <c r="Q543" s="229"/>
      <c r="S543" s="275"/>
    </row>
    <row r="544" spans="1:20" s="4" customFormat="1" ht="15.75" x14ac:dyDescent="0.2">
      <c r="A544" s="13">
        <v>44736</v>
      </c>
      <c r="B544" s="67"/>
      <c r="C544" s="14" t="s">
        <v>849</v>
      </c>
      <c r="D544" s="103" t="s">
        <v>17</v>
      </c>
      <c r="E544" s="103" t="s">
        <v>18</v>
      </c>
      <c r="F544" s="471">
        <v>62</v>
      </c>
      <c r="G544" s="258">
        <v>6119600</v>
      </c>
      <c r="H544" s="258">
        <f>List34[[#This Row],[Pengajuan Donasi]]</f>
        <v>1000000</v>
      </c>
      <c r="I544" s="213" t="str">
        <f>IF(List34[[#This Row],[Tanggal Trf]]&gt;0,"Done","-")</f>
        <v>Done</v>
      </c>
      <c r="J544" s="445"/>
      <c r="K544" s="224">
        <v>44741</v>
      </c>
      <c r="L544" s="100" t="s">
        <v>1015</v>
      </c>
      <c r="M544" s="100">
        <f>MONTH(List34[[#This Row],[Tanggal Pengajuan]])</f>
        <v>7</v>
      </c>
      <c r="N544" s="183"/>
      <c r="O544" s="105" t="s">
        <v>1116</v>
      </c>
      <c r="P544" s="111"/>
      <c r="Q544" s="229"/>
      <c r="S544" s="275"/>
    </row>
    <row r="545" spans="1:20" s="4" customFormat="1" ht="24.75" x14ac:dyDescent="0.2">
      <c r="A545" s="13">
        <v>44754</v>
      </c>
      <c r="B545" s="67"/>
      <c r="C545" s="14" t="s">
        <v>849</v>
      </c>
      <c r="D545" s="103" t="s">
        <v>17</v>
      </c>
      <c r="E545" s="103" t="s">
        <v>18</v>
      </c>
      <c r="F545" s="471">
        <v>63</v>
      </c>
      <c r="G545" s="258">
        <v>6000000</v>
      </c>
      <c r="H545" s="258">
        <f>List34[[#This Row],[Pengajuan Donasi]]</f>
        <v>1000000</v>
      </c>
      <c r="I545" s="213" t="str">
        <f>IF(List34[[#This Row],[Tanggal Trf]]&gt;0,"Done","-")</f>
        <v>Done</v>
      </c>
      <c r="J545" s="445" t="s">
        <v>1176</v>
      </c>
      <c r="K545" s="224">
        <v>44764</v>
      </c>
      <c r="L545" s="100" t="s">
        <v>1213</v>
      </c>
      <c r="M545" s="100">
        <f>MONTH(List34[[#This Row],[Tanggal Pengajuan]])</f>
        <v>7</v>
      </c>
      <c r="N545" s="183">
        <v>44775</v>
      </c>
      <c r="O545" s="105" t="s">
        <v>1180</v>
      </c>
      <c r="P545" s="111"/>
      <c r="Q545" s="229"/>
      <c r="S545" s="275"/>
    </row>
    <row r="546" spans="1:20" s="4" customFormat="1" ht="29.25" x14ac:dyDescent="0.2">
      <c r="A546" s="13">
        <v>44781</v>
      </c>
      <c r="B546" s="67"/>
      <c r="C546" s="14" t="s">
        <v>849</v>
      </c>
      <c r="D546" s="103" t="s">
        <v>17</v>
      </c>
      <c r="E546" s="103" t="s">
        <v>18</v>
      </c>
      <c r="F546" s="471">
        <v>63</v>
      </c>
      <c r="G546" s="258">
        <v>6000000</v>
      </c>
      <c r="H546" s="258">
        <f>List34[[#This Row],[Pengajuan Donasi]]</f>
        <v>1000000</v>
      </c>
      <c r="I546" s="213" t="str">
        <f>IF(List34[[#This Row],[Tanggal Trf]]&gt;0,"Done","-")</f>
        <v>Done</v>
      </c>
      <c r="J546" s="14" t="s">
        <v>1206</v>
      </c>
      <c r="K546" s="224">
        <v>44792</v>
      </c>
      <c r="L546" s="100" t="s">
        <v>1213</v>
      </c>
      <c r="M546" s="100">
        <f>MONTH(List34[[#This Row],[Tanggal Pengajuan]])</f>
        <v>7</v>
      </c>
      <c r="N546" s="183"/>
      <c r="O546" s="105" t="s">
        <v>888</v>
      </c>
      <c r="P546" s="111"/>
      <c r="Q546" s="229"/>
      <c r="S546" s="275"/>
      <c r="T546" s="738">
        <f>SUM(G539:G546)</f>
        <v>48422200</v>
      </c>
    </row>
    <row r="547" spans="1:20" s="4" customFormat="1" ht="15.75" x14ac:dyDescent="0.2">
      <c r="A547" s="13">
        <v>44587</v>
      </c>
      <c r="B547" s="67"/>
      <c r="C547" s="14" t="s">
        <v>869</v>
      </c>
      <c r="D547" s="103" t="s">
        <v>17</v>
      </c>
      <c r="E547" s="103" t="s">
        <v>18</v>
      </c>
      <c r="F547" s="15">
        <v>93</v>
      </c>
      <c r="G547" s="262">
        <f>'[5]REV-PENAWARAN PER JAN''22'!$E$599</f>
        <v>6000800</v>
      </c>
      <c r="H547" s="258">
        <f>List34[[#This Row],[Pengajuan Donasi]]</f>
        <v>1000000</v>
      </c>
      <c r="I547" s="213" t="str">
        <f>IF(List34[[#This Row],[Tanggal Trf]]&gt;0,"Done","-")</f>
        <v>Done</v>
      </c>
      <c r="J547" s="442" t="s">
        <v>829</v>
      </c>
      <c r="K547" s="613">
        <v>44589</v>
      </c>
      <c r="L547" s="100" t="s">
        <v>1015</v>
      </c>
      <c r="M547" s="100">
        <f>MONTH(List34[[#This Row],[Tanggal Pengajuan]])</f>
        <v>7</v>
      </c>
      <c r="N547" s="183"/>
      <c r="O547" s="105" t="s">
        <v>651</v>
      </c>
      <c r="P547" s="111"/>
      <c r="Q547" s="229"/>
      <c r="S547" s="275"/>
    </row>
    <row r="548" spans="1:20" s="4" customFormat="1" ht="15.75" x14ac:dyDescent="0.2">
      <c r="A548" s="13">
        <v>44644</v>
      </c>
      <c r="B548" s="593"/>
      <c r="C548" s="14" t="s">
        <v>869</v>
      </c>
      <c r="D548" s="103" t="s">
        <v>17</v>
      </c>
      <c r="E548" s="103" t="s">
        <v>18</v>
      </c>
      <c r="F548" s="15">
        <v>93</v>
      </c>
      <c r="G548" s="258">
        <v>5998500</v>
      </c>
      <c r="H548" s="258">
        <f>List34[[#This Row],[Pengajuan Donasi]]</f>
        <v>1000000</v>
      </c>
      <c r="I548" s="213" t="str">
        <f>IF(List34[[#This Row],[Tanggal Trf]]&gt;0,"Done","-")</f>
        <v>Done</v>
      </c>
      <c r="J548" s="445" t="s">
        <v>25</v>
      </c>
      <c r="K548" s="613">
        <v>44645</v>
      </c>
      <c r="L548" s="100" t="s">
        <v>1015</v>
      </c>
      <c r="M548" s="20">
        <f>MONTH(List34[[#This Row],[Tanggal Pengajuan]])</f>
        <v>7</v>
      </c>
      <c r="N548" s="183"/>
      <c r="O548" s="105" t="s">
        <v>707</v>
      </c>
      <c r="P548" s="111"/>
      <c r="Q548" s="229"/>
      <c r="S548" s="275"/>
    </row>
    <row r="549" spans="1:20" s="4" customFormat="1" ht="15.75" x14ac:dyDescent="0.2">
      <c r="A549" s="13">
        <v>44651</v>
      </c>
      <c r="B549" s="67"/>
      <c r="C549" s="14" t="s">
        <v>869</v>
      </c>
      <c r="D549" s="103" t="s">
        <v>17</v>
      </c>
      <c r="E549" s="103" t="s">
        <v>18</v>
      </c>
      <c r="F549" s="15">
        <v>93</v>
      </c>
      <c r="G549" s="258">
        <v>5999000</v>
      </c>
      <c r="H549" s="258">
        <f>List34[[#This Row],[Pengajuan Donasi]]</f>
        <v>1000000</v>
      </c>
      <c r="I549" s="213" t="str">
        <f>IF(List34[[#This Row],[Tanggal Trf]]&gt;0,"Done","-")</f>
        <v>Done</v>
      </c>
      <c r="J549" s="445" t="s">
        <v>25</v>
      </c>
      <c r="K549" s="613">
        <v>44652</v>
      </c>
      <c r="L549" s="100" t="s">
        <v>1015</v>
      </c>
      <c r="M549" s="100">
        <f>MONTH(List34[[#This Row],[Tanggal Pengajuan]])</f>
        <v>7</v>
      </c>
      <c r="N549" s="183"/>
      <c r="O549" s="105" t="s">
        <v>746</v>
      </c>
      <c r="P549" s="111"/>
      <c r="Q549" s="229"/>
      <c r="S549" s="275"/>
    </row>
    <row r="550" spans="1:20" s="4" customFormat="1" ht="15.75" x14ac:dyDescent="0.2">
      <c r="A550" s="13">
        <v>44678</v>
      </c>
      <c r="B550" s="67"/>
      <c r="C550" s="14" t="s">
        <v>869</v>
      </c>
      <c r="D550" s="103" t="s">
        <v>17</v>
      </c>
      <c r="E550" s="103" t="s">
        <v>18</v>
      </c>
      <c r="F550" s="15">
        <v>93</v>
      </c>
      <c r="G550" s="258">
        <v>6320800</v>
      </c>
      <c r="H550" s="258">
        <f>List34[[#This Row],[Pengajuan Donasi]]</f>
        <v>750000</v>
      </c>
      <c r="I550" s="213" t="str">
        <f>IF(List34[[#This Row],[Tanggal Trf]]&gt;0,"Done","-")</f>
        <v>Done</v>
      </c>
      <c r="J550" s="445" t="s">
        <v>25</v>
      </c>
      <c r="K550" s="613">
        <v>44679</v>
      </c>
      <c r="L550" s="100" t="s">
        <v>1015</v>
      </c>
      <c r="M550" s="100">
        <f>MONTH(List34[[#This Row],[Tanggal Pengajuan]])</f>
        <v>7</v>
      </c>
      <c r="N550" s="183">
        <v>44686</v>
      </c>
      <c r="O550" s="105" t="s">
        <v>795</v>
      </c>
      <c r="P550" s="111"/>
      <c r="Q550" s="229"/>
      <c r="S550" s="275"/>
    </row>
    <row r="551" spans="1:20" s="4" customFormat="1" ht="15.75" x14ac:dyDescent="0.2">
      <c r="A551" s="13">
        <v>44711</v>
      </c>
      <c r="B551" s="163"/>
      <c r="C551" s="14" t="s">
        <v>869</v>
      </c>
      <c r="D551" s="103" t="s">
        <v>17</v>
      </c>
      <c r="E551" s="103" t="s">
        <v>18</v>
      </c>
      <c r="F551" s="15">
        <v>93</v>
      </c>
      <c r="G551" s="258">
        <v>6358600</v>
      </c>
      <c r="H551" s="258">
        <f>List34[[#This Row],[Pengajuan Donasi]]</f>
        <v>750000</v>
      </c>
      <c r="I551" s="213" t="str">
        <f>IF(List34[[#This Row],[Tanggal Trf]]&gt;0,"Done","-")</f>
        <v>Done</v>
      </c>
      <c r="J551" s="445"/>
      <c r="K551" s="613">
        <v>44715</v>
      </c>
      <c r="L551" s="100" t="s">
        <v>1015</v>
      </c>
      <c r="M551" s="100">
        <f>MONTH(List34[[#This Row],[Tanggal Pengajuan]])</f>
        <v>7</v>
      </c>
      <c r="N551" s="183">
        <v>44747</v>
      </c>
      <c r="O551" s="105" t="s">
        <v>932</v>
      </c>
      <c r="P551" s="111"/>
      <c r="Q551" s="229"/>
      <c r="S551" s="275"/>
    </row>
    <row r="552" spans="1:20" s="4" customFormat="1" ht="15.75" x14ac:dyDescent="0.2">
      <c r="A552" s="13">
        <v>44736</v>
      </c>
      <c r="B552" s="67"/>
      <c r="C552" s="14" t="s">
        <v>869</v>
      </c>
      <c r="D552" s="103" t="s">
        <v>17</v>
      </c>
      <c r="E552" s="103" t="s">
        <v>18</v>
      </c>
      <c r="F552" s="471">
        <v>98</v>
      </c>
      <c r="G552" s="258">
        <v>6004600</v>
      </c>
      <c r="H552" s="258">
        <f>List34[[#This Row],[Pengajuan Donasi]]</f>
        <v>1000000</v>
      </c>
      <c r="I552" s="213" t="str">
        <f>IF(List34[[#This Row],[Tanggal Trf]]&gt;0,"Done","-")</f>
        <v>Done</v>
      </c>
      <c r="J552" s="445"/>
      <c r="K552" s="224">
        <v>44741</v>
      </c>
      <c r="L552" s="100" t="s">
        <v>1015</v>
      </c>
      <c r="M552" s="100">
        <f>MONTH(List34[[#This Row],[Tanggal Pengajuan]])</f>
        <v>7</v>
      </c>
      <c r="N552" s="183"/>
      <c r="O552" s="105" t="s">
        <v>1116</v>
      </c>
      <c r="P552" s="111"/>
      <c r="Q552" s="229"/>
      <c r="S552" s="275"/>
    </row>
    <row r="553" spans="1:20" s="4" customFormat="1" ht="24.75" x14ac:dyDescent="0.2">
      <c r="A553" s="13">
        <v>44754</v>
      </c>
      <c r="B553" s="67"/>
      <c r="C553" s="14" t="s">
        <v>869</v>
      </c>
      <c r="D553" s="103" t="s">
        <v>17</v>
      </c>
      <c r="E553" s="103" t="s">
        <v>18</v>
      </c>
      <c r="F553" s="471">
        <v>98</v>
      </c>
      <c r="G553" s="258">
        <v>6000000</v>
      </c>
      <c r="H553" s="258">
        <f>List34[[#This Row],[Pengajuan Donasi]]</f>
        <v>1000000</v>
      </c>
      <c r="I553" s="213" t="str">
        <f>IF(List34[[#This Row],[Tanggal Trf]]&gt;0,"Done","-")</f>
        <v>Done</v>
      </c>
      <c r="J553" s="445" t="s">
        <v>1176</v>
      </c>
      <c r="K553" s="224">
        <v>44764</v>
      </c>
      <c r="L553" s="100" t="s">
        <v>1213</v>
      </c>
      <c r="M553" s="100">
        <f>MONTH(List34[[#This Row],[Tanggal Pengajuan]])</f>
        <v>7</v>
      </c>
      <c r="N553" s="183">
        <v>44775</v>
      </c>
      <c r="O553" s="105" t="s">
        <v>1180</v>
      </c>
      <c r="P553" s="111"/>
      <c r="Q553" s="229"/>
      <c r="S553" s="275"/>
    </row>
    <row r="554" spans="1:20" s="4" customFormat="1" ht="29.25" x14ac:dyDescent="0.2">
      <c r="A554" s="13">
        <v>44781</v>
      </c>
      <c r="B554" s="67"/>
      <c r="C554" s="14" t="s">
        <v>869</v>
      </c>
      <c r="D554" s="103" t="s">
        <v>17</v>
      </c>
      <c r="E554" s="103" t="s">
        <v>18</v>
      </c>
      <c r="F554" s="471">
        <v>96</v>
      </c>
      <c r="G554" s="258">
        <v>6000000</v>
      </c>
      <c r="H554" s="258">
        <f>List34[[#This Row],[Pengajuan Donasi]]</f>
        <v>1000000</v>
      </c>
      <c r="I554" s="213" t="str">
        <f>IF(List34[[#This Row],[Tanggal Trf]]&gt;0,"Done","-")</f>
        <v>Done</v>
      </c>
      <c r="J554" s="14" t="s">
        <v>1206</v>
      </c>
      <c r="K554" s="224">
        <v>44792</v>
      </c>
      <c r="L554" s="100" t="s">
        <v>1213</v>
      </c>
      <c r="M554" s="100">
        <f>MONTH(List34[[#This Row],[Tanggal Pengajuan]])</f>
        <v>7</v>
      </c>
      <c r="N554" s="183"/>
      <c r="O554" s="105" t="s">
        <v>888</v>
      </c>
      <c r="P554" s="111"/>
      <c r="Q554" s="229"/>
      <c r="S554" s="275"/>
      <c r="T554" s="738">
        <f>SUM(G547:G554)</f>
        <v>48682300</v>
      </c>
    </row>
    <row r="555" spans="1:20" s="4" customFormat="1" ht="15.75" x14ac:dyDescent="0.2">
      <c r="A555" s="13">
        <v>44587</v>
      </c>
      <c r="B555" s="67"/>
      <c r="C555" s="14" t="s">
        <v>860</v>
      </c>
      <c r="D555" s="103" t="s">
        <v>17</v>
      </c>
      <c r="E555" s="103" t="s">
        <v>18</v>
      </c>
      <c r="F555" s="15">
        <v>45</v>
      </c>
      <c r="G555" s="262">
        <f>'[5]REV-PENAWARAN PER JAN''22'!$E$1172</f>
        <v>5999900</v>
      </c>
      <c r="H555" s="258">
        <f>List34[[#This Row],[Pengajuan Donasi]]</f>
        <v>0</v>
      </c>
      <c r="I555" s="213" t="str">
        <f>IF(List34[[#This Row],[Tanggal Trf]]&gt;0,"Done","-")</f>
        <v>-</v>
      </c>
      <c r="J555" s="442" t="s">
        <v>841</v>
      </c>
      <c r="K555" s="613">
        <v>44589</v>
      </c>
      <c r="L555" s="100" t="s">
        <v>1015</v>
      </c>
      <c r="M555" s="100">
        <f>MONTH(List34[[#This Row],[Tanggal Pengajuan]])</f>
        <v>7</v>
      </c>
      <c r="N555" s="183"/>
      <c r="O555" s="105" t="s">
        <v>651</v>
      </c>
      <c r="P555" s="111"/>
      <c r="Q555" s="229"/>
      <c r="S555" s="275"/>
    </row>
    <row r="556" spans="1:20" s="4" customFormat="1" ht="15.75" x14ac:dyDescent="0.2">
      <c r="A556" s="13">
        <v>44644</v>
      </c>
      <c r="B556" s="593"/>
      <c r="C556" s="14" t="s">
        <v>860</v>
      </c>
      <c r="D556" s="103" t="s">
        <v>17</v>
      </c>
      <c r="E556" s="103" t="s">
        <v>18</v>
      </c>
      <c r="F556" s="15">
        <v>45</v>
      </c>
      <c r="G556" s="258">
        <v>5999900</v>
      </c>
      <c r="H556" s="258">
        <f>List34[[#This Row],[Pengajuan Donasi]]</f>
        <v>10000000</v>
      </c>
      <c r="I556" s="213" t="str">
        <f>IF(List34[[#This Row],[Tanggal Trf]]&gt;0,"Done","-")</f>
        <v>Done</v>
      </c>
      <c r="J556" s="445" t="s">
        <v>25</v>
      </c>
      <c r="K556" s="613">
        <v>44645</v>
      </c>
      <c r="L556" s="100" t="s">
        <v>1015</v>
      </c>
      <c r="M556" s="20">
        <f>MONTH(List34[[#This Row],[Tanggal Pengajuan]])</f>
        <v>7</v>
      </c>
      <c r="N556" s="183"/>
      <c r="O556" s="105" t="s">
        <v>707</v>
      </c>
      <c r="P556" s="111"/>
      <c r="Q556" s="229"/>
      <c r="S556" s="275"/>
    </row>
    <row r="557" spans="1:20" s="4" customFormat="1" ht="15.75" x14ac:dyDescent="0.2">
      <c r="A557" s="13">
        <v>44651</v>
      </c>
      <c r="B557" s="593"/>
      <c r="C557" s="14" t="s">
        <v>860</v>
      </c>
      <c r="D557" s="103" t="s">
        <v>17</v>
      </c>
      <c r="E557" s="103" t="s">
        <v>18</v>
      </c>
      <c r="F557" s="15">
        <v>45</v>
      </c>
      <c r="G557" s="258">
        <v>5992700</v>
      </c>
      <c r="H557" s="258">
        <f>List34[[#This Row],[Pengajuan Donasi]]</f>
        <v>10000000</v>
      </c>
      <c r="I557" s="215" t="str">
        <f>IF(List34[[#This Row],[Tanggal Trf]]&gt;0,"Done","-")</f>
        <v>Done</v>
      </c>
      <c r="J557" s="445" t="s">
        <v>25</v>
      </c>
      <c r="K557" s="613">
        <v>44652</v>
      </c>
      <c r="L557" s="100" t="s">
        <v>1015</v>
      </c>
      <c r="M557" s="20">
        <f>MONTH(List34[[#This Row],[Tanggal Pengajuan]])</f>
        <v>7</v>
      </c>
      <c r="N557" s="183"/>
      <c r="O557" s="105" t="s">
        <v>746</v>
      </c>
      <c r="P557" s="111"/>
      <c r="Q557" s="229"/>
      <c r="S557" s="275"/>
    </row>
    <row r="558" spans="1:20" s="4" customFormat="1" ht="15.75" x14ac:dyDescent="0.2">
      <c r="A558" s="13">
        <v>44678</v>
      </c>
      <c r="B558" s="67"/>
      <c r="C558" s="14" t="s">
        <v>860</v>
      </c>
      <c r="D558" s="103" t="s">
        <v>17</v>
      </c>
      <c r="E558" s="103" t="s">
        <v>18</v>
      </c>
      <c r="F558" s="15">
        <v>45</v>
      </c>
      <c r="G558" s="258">
        <v>6292500</v>
      </c>
      <c r="H558" s="258">
        <f>List34[[#This Row],[Pengajuan Donasi]]</f>
        <v>10000000</v>
      </c>
      <c r="I558" s="213" t="str">
        <f>IF(List34[[#This Row],[Tanggal Trf]]&gt;0,"Done","-")</f>
        <v>Done</v>
      </c>
      <c r="J558" s="445" t="s">
        <v>25</v>
      </c>
      <c r="K558" s="613">
        <v>44679</v>
      </c>
      <c r="L558" s="100" t="s">
        <v>1015</v>
      </c>
      <c r="M558" s="100">
        <f>MONTH(List34[[#This Row],[Tanggal Pengajuan]])</f>
        <v>7</v>
      </c>
      <c r="N558" s="183">
        <v>44686</v>
      </c>
      <c r="O558" s="105" t="s">
        <v>795</v>
      </c>
      <c r="P558" s="111"/>
      <c r="Q558" s="229"/>
      <c r="S558" s="275"/>
    </row>
    <row r="559" spans="1:20" s="4" customFormat="1" ht="15.75" x14ac:dyDescent="0.2">
      <c r="A559" s="13">
        <v>44711</v>
      </c>
      <c r="B559" s="163"/>
      <c r="C559" s="14" t="s">
        <v>860</v>
      </c>
      <c r="D559" s="103" t="s">
        <v>17</v>
      </c>
      <c r="E559" s="103" t="s">
        <v>18</v>
      </c>
      <c r="F559" s="15">
        <v>45</v>
      </c>
      <c r="G559" s="258">
        <v>6299500</v>
      </c>
      <c r="H559" s="258">
        <f>List34[[#This Row],[Pengajuan Donasi]]</f>
        <v>10000000</v>
      </c>
      <c r="I559" s="213" t="str">
        <f>IF(List34[[#This Row],[Tanggal Trf]]&gt;0,"Done","-")</f>
        <v>Done</v>
      </c>
      <c r="J559" s="445"/>
      <c r="K559" s="613">
        <v>44715</v>
      </c>
      <c r="L559" s="100" t="s">
        <v>1015</v>
      </c>
      <c r="M559" s="100">
        <f>MONTH(List34[[#This Row],[Tanggal Pengajuan]])</f>
        <v>7</v>
      </c>
      <c r="N559" s="183">
        <v>44747</v>
      </c>
      <c r="O559" s="105" t="s">
        <v>932</v>
      </c>
      <c r="P559" s="111"/>
      <c r="Q559" s="229"/>
      <c r="S559" s="275"/>
    </row>
    <row r="560" spans="1:20" s="4" customFormat="1" ht="15.75" x14ac:dyDescent="0.2">
      <c r="A560" s="13">
        <v>44736</v>
      </c>
      <c r="B560" s="67"/>
      <c r="C560" s="14" t="s">
        <v>860</v>
      </c>
      <c r="D560" s="103" t="s">
        <v>17</v>
      </c>
      <c r="E560" s="103" t="s">
        <v>18</v>
      </c>
      <c r="F560" s="471">
        <v>45</v>
      </c>
      <c r="G560" s="258">
        <v>6006700</v>
      </c>
      <c r="H560" s="258">
        <f>List34[[#This Row],[Pengajuan Donasi]]</f>
        <v>10000000</v>
      </c>
      <c r="I560" s="213" t="str">
        <f>IF(List34[[#This Row],[Tanggal Trf]]&gt;0,"Done","-")</f>
        <v>Done</v>
      </c>
      <c r="J560" s="445"/>
      <c r="K560" s="224">
        <v>44741</v>
      </c>
      <c r="L560" s="100" t="s">
        <v>1015</v>
      </c>
      <c r="M560" s="100">
        <f>MONTH(List34[[#This Row],[Tanggal Pengajuan]])</f>
        <v>7</v>
      </c>
      <c r="N560" s="183"/>
      <c r="O560" s="105" t="s">
        <v>1116</v>
      </c>
      <c r="P560" s="111"/>
      <c r="Q560" s="229"/>
      <c r="S560" s="275"/>
    </row>
    <row r="561" spans="1:20" s="4" customFormat="1" ht="24.75" x14ac:dyDescent="0.2">
      <c r="A561" s="13">
        <v>44754</v>
      </c>
      <c r="B561" s="67"/>
      <c r="C561" s="14" t="s">
        <v>860</v>
      </c>
      <c r="D561" s="14" t="s">
        <v>17</v>
      </c>
      <c r="E561" s="103" t="s">
        <v>18</v>
      </c>
      <c r="F561" s="471">
        <v>45</v>
      </c>
      <c r="G561" s="258">
        <v>6000000</v>
      </c>
      <c r="H561" s="258">
        <f>List34[[#This Row],[Pengajuan Donasi]]</f>
        <v>10000000</v>
      </c>
      <c r="I561" s="213" t="str">
        <f>IF(List34[[#This Row],[Tanggal Trf]]&gt;0,"Done","-")</f>
        <v>Done</v>
      </c>
      <c r="J561" s="445" t="s">
        <v>1176</v>
      </c>
      <c r="K561" s="224">
        <v>44764</v>
      </c>
      <c r="L561" s="100" t="s">
        <v>1213</v>
      </c>
      <c r="M561" s="100">
        <f>MONTH(List34[[#This Row],[Tanggal Pengajuan]])</f>
        <v>7</v>
      </c>
      <c r="N561" s="183">
        <v>44775</v>
      </c>
      <c r="O561" s="105" t="s">
        <v>1180</v>
      </c>
      <c r="P561" s="111"/>
      <c r="Q561" s="229"/>
      <c r="S561" s="275"/>
    </row>
    <row r="562" spans="1:20" s="4" customFormat="1" ht="57" x14ac:dyDescent="0.2">
      <c r="A562" s="13">
        <v>44774</v>
      </c>
      <c r="B562" s="67" t="s">
        <v>1190</v>
      </c>
      <c r="C562" s="14" t="s">
        <v>860</v>
      </c>
      <c r="D562" s="14" t="s">
        <v>17</v>
      </c>
      <c r="E562" s="103" t="s">
        <v>17</v>
      </c>
      <c r="F562" s="471">
        <v>45</v>
      </c>
      <c r="G562" s="258">
        <v>6250560</v>
      </c>
      <c r="H562" s="258">
        <f>List34[[#This Row],[Pengajuan Donasi]]</f>
        <v>500000</v>
      </c>
      <c r="I562" s="213" t="str">
        <f>IF(List34[[#This Row],[Tanggal Trf]]&gt;0,"Done","-")</f>
        <v>Done</v>
      </c>
      <c r="J562" s="14" t="s">
        <v>1205</v>
      </c>
      <c r="K562" s="224">
        <v>44783</v>
      </c>
      <c r="L562" s="105"/>
      <c r="M562" s="100">
        <f>MONTH(List34[[#This Row],[Tanggal Pengajuan]])</f>
        <v>7</v>
      </c>
      <c r="N562" s="183">
        <v>44788</v>
      </c>
      <c r="O562" s="105" t="s">
        <v>1224</v>
      </c>
      <c r="P562" s="111"/>
      <c r="Q562" s="229"/>
      <c r="S562" s="275"/>
      <c r="T562" s="738">
        <f>SUM(G555:G562)</f>
        <v>48841760</v>
      </c>
    </row>
    <row r="563" spans="1:20" s="4" customFormat="1" ht="15.75" x14ac:dyDescent="0.2">
      <c r="A563" s="13">
        <v>44587</v>
      </c>
      <c r="B563" s="67"/>
      <c r="C563" s="14" t="s">
        <v>855</v>
      </c>
      <c r="D563" s="14" t="s">
        <v>17</v>
      </c>
      <c r="E563" s="103" t="s">
        <v>18</v>
      </c>
      <c r="F563" s="15">
        <v>91</v>
      </c>
      <c r="G563" s="262">
        <f>'[5]REV-PENAWARAN PER JAN''22'!$E$461</f>
        <v>6000500</v>
      </c>
      <c r="H563" s="258">
        <f>List34[[#This Row],[Pengajuan Donasi]]</f>
        <v>500000</v>
      </c>
      <c r="I563" s="213" t="str">
        <f>IF(List34[[#This Row],[Tanggal Trf]]&gt;0,"Done","-")</f>
        <v>Done</v>
      </c>
      <c r="J563" s="442" t="s">
        <v>826</v>
      </c>
      <c r="K563" s="613">
        <v>44589</v>
      </c>
      <c r="L563" s="100" t="s">
        <v>1015</v>
      </c>
      <c r="M563" s="100">
        <f>MONTH(List34[[#This Row],[Tanggal Pengajuan]])</f>
        <v>7</v>
      </c>
      <c r="N563" s="183"/>
      <c r="O563" s="105" t="s">
        <v>687</v>
      </c>
      <c r="P563" s="111"/>
      <c r="Q563" s="229"/>
      <c r="S563" s="275"/>
    </row>
    <row r="564" spans="1:20" s="4" customFormat="1" ht="15.75" x14ac:dyDescent="0.2">
      <c r="A564" s="13">
        <v>44644</v>
      </c>
      <c r="B564" s="593"/>
      <c r="C564" s="14" t="s">
        <v>855</v>
      </c>
      <c r="D564" s="14" t="s">
        <v>17</v>
      </c>
      <c r="E564" s="103" t="s">
        <v>18</v>
      </c>
      <c r="F564" s="15">
        <v>91</v>
      </c>
      <c r="G564" s="258">
        <v>5999600</v>
      </c>
      <c r="H564" s="258">
        <f>List34[[#This Row],[Pengajuan Donasi]]</f>
        <v>500000</v>
      </c>
      <c r="I564" s="213" t="str">
        <f>IF(List34[[#This Row],[Tanggal Trf]]&gt;0,"Done","-")</f>
        <v>Done</v>
      </c>
      <c r="J564" s="445" t="s">
        <v>25</v>
      </c>
      <c r="K564" s="613">
        <v>44645</v>
      </c>
      <c r="L564" s="100" t="s">
        <v>1015</v>
      </c>
      <c r="M564" s="20">
        <f>MONTH(List34[[#This Row],[Tanggal Pengajuan]])</f>
        <v>7</v>
      </c>
      <c r="N564" s="183"/>
      <c r="O564" s="105" t="s">
        <v>707</v>
      </c>
      <c r="P564" s="111"/>
      <c r="Q564" s="229"/>
      <c r="S564" s="275"/>
    </row>
    <row r="565" spans="1:20" s="4" customFormat="1" ht="15.75" x14ac:dyDescent="0.2">
      <c r="A565" s="13">
        <v>44651</v>
      </c>
      <c r="B565" s="67"/>
      <c r="C565" s="14" t="s">
        <v>855</v>
      </c>
      <c r="D565" s="103" t="s">
        <v>17</v>
      </c>
      <c r="E565" s="103" t="s">
        <v>18</v>
      </c>
      <c r="F565" s="15">
        <v>91</v>
      </c>
      <c r="G565" s="258">
        <v>5998000</v>
      </c>
      <c r="H565" s="258">
        <f>List34[[#This Row],[Pengajuan Donasi]]</f>
        <v>500000</v>
      </c>
      <c r="I565" s="213" t="str">
        <f>IF(List34[[#This Row],[Tanggal Trf]]&gt;0,"Done","-")</f>
        <v>Done</v>
      </c>
      <c r="J565" s="445" t="s">
        <v>25</v>
      </c>
      <c r="K565" s="613">
        <v>44652</v>
      </c>
      <c r="L565" s="100" t="s">
        <v>1015</v>
      </c>
      <c r="M565" s="100">
        <f>MONTH(List34[[#This Row],[Tanggal Pengajuan]])</f>
        <v>7</v>
      </c>
      <c r="N565" s="183"/>
      <c r="O565" s="105" t="s">
        <v>746</v>
      </c>
      <c r="P565" s="111"/>
      <c r="Q565" s="229"/>
      <c r="S565" s="275"/>
    </row>
    <row r="566" spans="1:20" s="4" customFormat="1" ht="15.75" x14ac:dyDescent="0.2">
      <c r="A566" s="13">
        <v>44678</v>
      </c>
      <c r="B566" s="67"/>
      <c r="C566" s="14" t="s">
        <v>855</v>
      </c>
      <c r="D566" s="103" t="s">
        <v>17</v>
      </c>
      <c r="E566" s="103" t="s">
        <v>18</v>
      </c>
      <c r="F566" s="15">
        <v>91</v>
      </c>
      <c r="G566" s="258">
        <v>6235000</v>
      </c>
      <c r="H566" s="258">
        <f>List34[[#This Row],[Pengajuan Donasi]]</f>
        <v>500000</v>
      </c>
      <c r="I566" s="213" t="str">
        <f>IF(List34[[#This Row],[Tanggal Trf]]&gt;0,"Done","-")</f>
        <v>Done</v>
      </c>
      <c r="J566" s="445" t="s">
        <v>25</v>
      </c>
      <c r="K566" s="613">
        <v>44679</v>
      </c>
      <c r="L566" s="100" t="s">
        <v>1015</v>
      </c>
      <c r="M566" s="100">
        <f>MONTH(List34[[#This Row],[Tanggal Pengajuan]])</f>
        <v>7</v>
      </c>
      <c r="N566" s="183">
        <v>44686</v>
      </c>
      <c r="O566" s="105" t="s">
        <v>795</v>
      </c>
      <c r="P566" s="111"/>
      <c r="Q566" s="229"/>
      <c r="S566" s="275"/>
    </row>
    <row r="567" spans="1:20" s="4" customFormat="1" ht="15.75" x14ac:dyDescent="0.2">
      <c r="A567" s="13">
        <v>44711</v>
      </c>
      <c r="B567" s="163"/>
      <c r="C567" s="14" t="s">
        <v>855</v>
      </c>
      <c r="D567" s="103" t="s">
        <v>17</v>
      </c>
      <c r="E567" s="103" t="s">
        <v>18</v>
      </c>
      <c r="F567" s="15">
        <v>91</v>
      </c>
      <c r="G567" s="258">
        <v>6280500</v>
      </c>
      <c r="H567" s="258">
        <f>List34[[#This Row],[Pengajuan Donasi]]</f>
        <v>500000</v>
      </c>
      <c r="I567" s="213" t="str">
        <f>IF(List34[[#This Row],[Tanggal Trf]]&gt;0,"Done","-")</f>
        <v>Done</v>
      </c>
      <c r="J567" s="445"/>
      <c r="K567" s="613">
        <v>44715</v>
      </c>
      <c r="L567" s="100" t="s">
        <v>1015</v>
      </c>
      <c r="M567" s="100">
        <f>MONTH(List34[[#This Row],[Tanggal Pengajuan]])</f>
        <v>7</v>
      </c>
      <c r="N567" s="183">
        <v>44747</v>
      </c>
      <c r="O567" s="105" t="s">
        <v>932</v>
      </c>
      <c r="P567" s="111"/>
      <c r="Q567" s="229"/>
      <c r="S567" s="275"/>
    </row>
    <row r="568" spans="1:20" s="4" customFormat="1" ht="15.75" x14ac:dyDescent="0.2">
      <c r="A568" s="13">
        <v>44736</v>
      </c>
      <c r="B568" s="67"/>
      <c r="C568" s="14" t="s">
        <v>855</v>
      </c>
      <c r="D568" s="103" t="s">
        <v>17</v>
      </c>
      <c r="E568" s="103" t="s">
        <v>18</v>
      </c>
      <c r="F568" s="471">
        <v>91</v>
      </c>
      <c r="G568" s="258">
        <v>6004200</v>
      </c>
      <c r="H568" s="258">
        <f>List34[[#This Row],[Pengajuan Donasi]]</f>
        <v>500000</v>
      </c>
      <c r="I568" s="213" t="str">
        <f>IF(List34[[#This Row],[Tanggal Trf]]&gt;0,"Done","-")</f>
        <v>Done</v>
      </c>
      <c r="J568" s="445"/>
      <c r="K568" s="224">
        <v>44741</v>
      </c>
      <c r="L568" s="100" t="s">
        <v>1015</v>
      </c>
      <c r="M568" s="100">
        <f>MONTH(List34[[#This Row],[Tanggal Pengajuan]])</f>
        <v>7</v>
      </c>
      <c r="N568" s="183"/>
      <c r="O568" s="105" t="s">
        <v>1116</v>
      </c>
      <c r="P568" s="111"/>
      <c r="Q568" s="229"/>
      <c r="S568" s="275"/>
    </row>
    <row r="569" spans="1:20" s="4" customFormat="1" ht="24.75" x14ac:dyDescent="0.2">
      <c r="A569" s="13">
        <v>44754</v>
      </c>
      <c r="B569" s="67"/>
      <c r="C569" s="14" t="s">
        <v>855</v>
      </c>
      <c r="D569" s="14" t="s">
        <v>17</v>
      </c>
      <c r="E569" s="103" t="s">
        <v>18</v>
      </c>
      <c r="F569" s="471">
        <v>91</v>
      </c>
      <c r="G569" s="258">
        <v>6000000</v>
      </c>
      <c r="H569" s="258">
        <f>List34[[#This Row],[Pengajuan Donasi]]</f>
        <v>500000</v>
      </c>
      <c r="I569" s="213" t="str">
        <f>IF(List34[[#This Row],[Tanggal Trf]]&gt;0,"Done","-")</f>
        <v>Done</v>
      </c>
      <c r="J569" s="445" t="s">
        <v>1176</v>
      </c>
      <c r="K569" s="224">
        <v>44764</v>
      </c>
      <c r="L569" s="100" t="s">
        <v>1213</v>
      </c>
      <c r="M569" s="100">
        <f>MONTH(List34[[#This Row],[Tanggal Pengajuan]])</f>
        <v>7</v>
      </c>
      <c r="N569" s="183">
        <v>44775</v>
      </c>
      <c r="O569" s="105" t="s">
        <v>1180</v>
      </c>
      <c r="P569" s="111"/>
      <c r="Q569" s="229"/>
      <c r="S569" s="275"/>
    </row>
    <row r="570" spans="1:20" s="4" customFormat="1" ht="29.25" x14ac:dyDescent="0.2">
      <c r="A570" s="13">
        <v>44781</v>
      </c>
      <c r="B570" s="67"/>
      <c r="C570" s="14" t="s">
        <v>855</v>
      </c>
      <c r="D570" s="14" t="s">
        <v>17</v>
      </c>
      <c r="E570" s="103" t="s">
        <v>18</v>
      </c>
      <c r="F570" s="471">
        <v>91</v>
      </c>
      <c r="G570" s="258">
        <v>6000000</v>
      </c>
      <c r="H570" s="258">
        <f>List34[[#This Row],[Pengajuan Donasi]]</f>
        <v>500000</v>
      </c>
      <c r="I570" s="213" t="str">
        <f>IF(List34[[#This Row],[Tanggal Trf]]&gt;0,"Done","-")</f>
        <v>Done</v>
      </c>
      <c r="J570" s="14" t="s">
        <v>1206</v>
      </c>
      <c r="K570" s="224">
        <v>44792</v>
      </c>
      <c r="L570" s="403" t="s">
        <v>1213</v>
      </c>
      <c r="M570" s="100">
        <f>MONTH(List34[[#This Row],[Tanggal Pengajuan]])</f>
        <v>7</v>
      </c>
      <c r="N570" s="183"/>
      <c r="O570" s="105" t="s">
        <v>888</v>
      </c>
      <c r="P570" s="111"/>
      <c r="Q570" s="229"/>
      <c r="S570" s="275"/>
      <c r="T570" s="738">
        <f>SUM(G563:G570)</f>
        <v>48517800</v>
      </c>
    </row>
    <row r="571" spans="1:20" s="4" customFormat="1" ht="15.75" x14ac:dyDescent="0.2">
      <c r="A571" s="13">
        <v>44587</v>
      </c>
      <c r="B571" s="67"/>
      <c r="C571" s="14" t="s">
        <v>854</v>
      </c>
      <c r="D571" s="14" t="s">
        <v>17</v>
      </c>
      <c r="E571" s="103" t="s">
        <v>18</v>
      </c>
      <c r="F571" s="15">
        <v>118</v>
      </c>
      <c r="G571" s="262">
        <f>'[5]REV-PENAWARAN PER JAN''22'!$E$897</f>
        <v>6000200</v>
      </c>
      <c r="H571" s="258">
        <f>List34[[#This Row],[Pengajuan Donasi]]</f>
        <v>500000</v>
      </c>
      <c r="I571" s="213" t="str">
        <f>IF(List34[[#This Row],[Tanggal Trf]]&gt;0,"Done","-")</f>
        <v>Done</v>
      </c>
      <c r="J571" s="442" t="s">
        <v>835</v>
      </c>
      <c r="K571" s="613">
        <v>44589</v>
      </c>
      <c r="L571" s="105" t="s">
        <v>1015</v>
      </c>
      <c r="M571" s="100">
        <f>MONTH(List34[[#This Row],[Tanggal Pengajuan]])</f>
        <v>7</v>
      </c>
      <c r="N571" s="183"/>
      <c r="O571" s="105" t="s">
        <v>687</v>
      </c>
      <c r="P571" s="111"/>
      <c r="Q571" s="229"/>
      <c r="S571" s="275"/>
    </row>
    <row r="572" spans="1:20" s="4" customFormat="1" ht="15.75" x14ac:dyDescent="0.2">
      <c r="A572" s="13">
        <v>44644</v>
      </c>
      <c r="B572" s="593"/>
      <c r="C572" s="14" t="s">
        <v>854</v>
      </c>
      <c r="D572" s="14" t="s">
        <v>17</v>
      </c>
      <c r="E572" s="103" t="s">
        <v>18</v>
      </c>
      <c r="F572" s="15">
        <v>118</v>
      </c>
      <c r="G572" s="258">
        <v>6000000</v>
      </c>
      <c r="H572" s="258">
        <f>List34[[#This Row],[Pengajuan Donasi]]</f>
        <v>500000</v>
      </c>
      <c r="I572" s="213" t="str">
        <f>IF(List34[[#This Row],[Tanggal Trf]]&gt;0,"Done","-")</f>
        <v>Done</v>
      </c>
      <c r="J572" s="445" t="s">
        <v>25</v>
      </c>
      <c r="K572" s="613">
        <v>44645</v>
      </c>
      <c r="L572" s="100" t="s">
        <v>1015</v>
      </c>
      <c r="M572" s="20">
        <f>MONTH(List34[[#This Row],[Tanggal Pengajuan]])</f>
        <v>7</v>
      </c>
      <c r="N572" s="183"/>
      <c r="O572" s="105" t="s">
        <v>707</v>
      </c>
      <c r="P572" s="111"/>
      <c r="Q572" s="229"/>
      <c r="S572" s="275"/>
    </row>
    <row r="573" spans="1:20" s="4" customFormat="1" ht="15.75" x14ac:dyDescent="0.2">
      <c r="A573" s="13">
        <v>44651</v>
      </c>
      <c r="B573" s="593"/>
      <c r="C573" s="14" t="s">
        <v>854</v>
      </c>
      <c r="D573" s="103" t="s">
        <v>17</v>
      </c>
      <c r="E573" s="103" t="s">
        <v>18</v>
      </c>
      <c r="F573" s="15">
        <v>118</v>
      </c>
      <c r="G573" s="258">
        <v>5998600</v>
      </c>
      <c r="H573" s="258">
        <f>List34[[#This Row],[Pengajuan Donasi]]</f>
        <v>500000</v>
      </c>
      <c r="I573" s="215" t="str">
        <f>IF(List34[[#This Row],[Tanggal Trf]]&gt;0,"Done","-")</f>
        <v>Done</v>
      </c>
      <c r="J573" s="445" t="s">
        <v>25</v>
      </c>
      <c r="K573" s="613">
        <v>44652</v>
      </c>
      <c r="L573" s="100" t="s">
        <v>1015</v>
      </c>
      <c r="M573" s="20">
        <f>MONTH(List34[[#This Row],[Tanggal Pengajuan]])</f>
        <v>7</v>
      </c>
      <c r="N573" s="183"/>
      <c r="O573" s="105" t="s">
        <v>746</v>
      </c>
      <c r="P573" s="111"/>
      <c r="Q573" s="229"/>
      <c r="S573" s="275"/>
    </row>
    <row r="574" spans="1:20" s="4" customFormat="1" ht="15.75" x14ac:dyDescent="0.2">
      <c r="A574" s="13">
        <v>44678</v>
      </c>
      <c r="B574" s="67"/>
      <c r="C574" s="14" t="s">
        <v>854</v>
      </c>
      <c r="D574" s="103" t="s">
        <v>17</v>
      </c>
      <c r="E574" s="103" t="s">
        <v>18</v>
      </c>
      <c r="F574" s="15">
        <v>118</v>
      </c>
      <c r="G574" s="258">
        <v>6186600</v>
      </c>
      <c r="H574" s="258">
        <f>List34[[#This Row],[Pengajuan Donasi]]</f>
        <v>500000</v>
      </c>
      <c r="I574" s="213" t="str">
        <f>IF(List34[[#This Row],[Tanggal Trf]]&gt;0,"Done","-")</f>
        <v>Done</v>
      </c>
      <c r="J574" s="445" t="s">
        <v>25</v>
      </c>
      <c r="K574" s="613">
        <v>44679</v>
      </c>
      <c r="L574" s="100" t="s">
        <v>1015</v>
      </c>
      <c r="M574" s="100">
        <f>MONTH(List34[[#This Row],[Tanggal Pengajuan]])</f>
        <v>7</v>
      </c>
      <c r="N574" s="183">
        <v>44686</v>
      </c>
      <c r="O574" s="105" t="s">
        <v>795</v>
      </c>
      <c r="P574" s="111"/>
      <c r="Q574" s="229"/>
      <c r="S574" s="275"/>
    </row>
    <row r="575" spans="1:20" s="4" customFormat="1" ht="15.75" x14ac:dyDescent="0.2">
      <c r="A575" s="13">
        <v>44711</v>
      </c>
      <c r="B575" s="163"/>
      <c r="C575" s="14" t="s">
        <v>854</v>
      </c>
      <c r="D575" s="103" t="s">
        <v>17</v>
      </c>
      <c r="E575" s="103" t="s">
        <v>18</v>
      </c>
      <c r="F575" s="15">
        <v>118</v>
      </c>
      <c r="G575" s="258">
        <v>6226600</v>
      </c>
      <c r="H575" s="258">
        <f>List34[[#This Row],[Pengajuan Donasi]]</f>
        <v>500000</v>
      </c>
      <c r="I575" s="213" t="str">
        <f>IF(List34[[#This Row],[Tanggal Trf]]&gt;0,"Done","-")</f>
        <v>Done</v>
      </c>
      <c r="J575" s="445"/>
      <c r="K575" s="613">
        <v>44715</v>
      </c>
      <c r="L575" s="100" t="s">
        <v>1015</v>
      </c>
      <c r="M575" s="100">
        <f>MONTH(List34[[#This Row],[Tanggal Pengajuan]])</f>
        <v>7</v>
      </c>
      <c r="N575" s="183">
        <v>44747</v>
      </c>
      <c r="O575" s="105" t="s">
        <v>932</v>
      </c>
      <c r="P575" s="111"/>
      <c r="Q575" s="229"/>
      <c r="S575" s="275"/>
    </row>
    <row r="576" spans="1:20" s="4" customFormat="1" ht="15.75" x14ac:dyDescent="0.2">
      <c r="A576" s="13">
        <v>44725</v>
      </c>
      <c r="B576" s="67"/>
      <c r="C576" s="14" t="s">
        <v>854</v>
      </c>
      <c r="D576" s="103" t="s">
        <v>17</v>
      </c>
      <c r="E576" s="103" t="s">
        <v>18</v>
      </c>
      <c r="F576" s="471">
        <v>118</v>
      </c>
      <c r="G576" s="258">
        <v>6226600</v>
      </c>
      <c r="H576" s="258">
        <f>List34[[#This Row],[Pengajuan Donasi]]</f>
        <v>500000</v>
      </c>
      <c r="I576" s="213" t="str">
        <f>IF(List34[[#This Row],[Tanggal Trf]]&gt;0,"Done","-")</f>
        <v>Done</v>
      </c>
      <c r="J576" s="445"/>
      <c r="K576" s="613">
        <v>44729</v>
      </c>
      <c r="L576" s="100" t="s">
        <v>683</v>
      </c>
      <c r="M576" s="100">
        <f>MONTH(List34[[#This Row],[Tanggal Pengajuan]])</f>
        <v>7</v>
      </c>
      <c r="N576" s="183">
        <v>44735</v>
      </c>
      <c r="O576" s="105" t="s">
        <v>1116</v>
      </c>
      <c r="P576" s="111"/>
      <c r="Q576" s="229"/>
      <c r="S576" s="275"/>
    </row>
    <row r="577" spans="1:20" s="4" customFormat="1" ht="24.75" x14ac:dyDescent="0.2">
      <c r="A577" s="13">
        <v>44754</v>
      </c>
      <c r="B577" s="67"/>
      <c r="C577" s="14" t="s">
        <v>854</v>
      </c>
      <c r="D577" s="103" t="s">
        <v>17</v>
      </c>
      <c r="E577" s="103" t="s">
        <v>18</v>
      </c>
      <c r="F577" s="471">
        <v>118</v>
      </c>
      <c r="G577" s="258">
        <v>6000000</v>
      </c>
      <c r="H577" s="258">
        <f>List34[[#This Row],[Pengajuan Donasi]]</f>
        <v>0</v>
      </c>
      <c r="I577" s="213" t="str">
        <f>IF(List34[[#This Row],[Tanggal Trf]]&gt;0,"Done","-")</f>
        <v>-</v>
      </c>
      <c r="J577" s="445" t="s">
        <v>1176</v>
      </c>
      <c r="K577" s="224">
        <v>44764</v>
      </c>
      <c r="L577" s="100" t="s">
        <v>1213</v>
      </c>
      <c r="M577" s="100">
        <f>MONTH(List34[[#This Row],[Tanggal Pengajuan]])</f>
        <v>7</v>
      </c>
      <c r="N577" s="183">
        <v>44775</v>
      </c>
      <c r="O577" s="105" t="s">
        <v>1180</v>
      </c>
      <c r="P577" s="111"/>
      <c r="Q577" s="229"/>
      <c r="S577" s="275"/>
    </row>
    <row r="578" spans="1:20" s="4" customFormat="1" ht="29.25" x14ac:dyDescent="0.2">
      <c r="A578" s="13">
        <v>44781</v>
      </c>
      <c r="B578" s="67"/>
      <c r="C578" s="14" t="s">
        <v>854</v>
      </c>
      <c r="D578" s="103" t="s">
        <v>17</v>
      </c>
      <c r="E578" s="103" t="s">
        <v>18</v>
      </c>
      <c r="F578" s="471">
        <v>118</v>
      </c>
      <c r="G578" s="258">
        <v>6000000</v>
      </c>
      <c r="H578" s="258">
        <f>List34[[#This Row],[Pengajuan Donasi]]</f>
        <v>8500000</v>
      </c>
      <c r="I578" s="213" t="str">
        <f>IF(List34[[#This Row],[Tanggal Trf]]&gt;0,"Done","-")</f>
        <v>Done</v>
      </c>
      <c r="J578" s="14" t="s">
        <v>1206</v>
      </c>
      <c r="K578" s="224">
        <v>44792</v>
      </c>
      <c r="L578" s="100" t="s">
        <v>1213</v>
      </c>
      <c r="M578" s="100">
        <f>MONTH(List34[[#This Row],[Tanggal Pengajuan]])</f>
        <v>7</v>
      </c>
      <c r="N578" s="183"/>
      <c r="O578" s="105" t="s">
        <v>888</v>
      </c>
      <c r="P578" s="111"/>
      <c r="Q578" s="229"/>
      <c r="S578" s="275"/>
      <c r="T578" s="738">
        <f>SUM(G571:G578)</f>
        <v>48638600</v>
      </c>
    </row>
    <row r="579" spans="1:20" s="4" customFormat="1" ht="15.75" x14ac:dyDescent="0.2">
      <c r="A579" s="13">
        <v>44587</v>
      </c>
      <c r="B579" s="67"/>
      <c r="C579" s="14" t="s">
        <v>850</v>
      </c>
      <c r="D579" s="103" t="s">
        <v>17</v>
      </c>
      <c r="E579" s="103" t="s">
        <v>18</v>
      </c>
      <c r="F579" s="15">
        <v>61</v>
      </c>
      <c r="G579" s="262">
        <f>'[5]REV-PENAWARAN PER JAN''22'!$E$185</f>
        <v>6000600</v>
      </c>
      <c r="H579" s="258">
        <f>List34[[#This Row],[Pengajuan Donasi]]</f>
        <v>5500000</v>
      </c>
      <c r="I579" s="213" t="str">
        <f>IF(List34[[#This Row],[Tanggal Trf]]&gt;0,"Done","-")</f>
        <v>Done</v>
      </c>
      <c r="J579" s="442" t="s">
        <v>820</v>
      </c>
      <c r="K579" s="613">
        <v>44589</v>
      </c>
      <c r="L579" s="100" t="s">
        <v>1015</v>
      </c>
      <c r="M579" s="100">
        <f>MONTH(List34[[#This Row],[Tanggal Pengajuan]])</f>
        <v>7</v>
      </c>
      <c r="N579" s="183"/>
      <c r="O579" s="105" t="s">
        <v>651</v>
      </c>
      <c r="P579" s="111"/>
      <c r="Q579" s="229"/>
      <c r="S579" s="275"/>
    </row>
    <row r="580" spans="1:20" s="4" customFormat="1" ht="15.75" x14ac:dyDescent="0.2">
      <c r="A580" s="13">
        <v>44644</v>
      </c>
      <c r="B580" s="593"/>
      <c r="C580" s="14" t="s">
        <v>850</v>
      </c>
      <c r="D580" s="103" t="s">
        <v>17</v>
      </c>
      <c r="E580" s="103" t="s">
        <v>18</v>
      </c>
      <c r="F580" s="15">
        <v>61</v>
      </c>
      <c r="G580" s="258">
        <v>5999100</v>
      </c>
      <c r="H580" s="258">
        <v>5999100</v>
      </c>
      <c r="I580" s="213" t="str">
        <f>IF(List34[[#This Row],[Tanggal Trf]]&gt;0,"Done","-")</f>
        <v>Done</v>
      </c>
      <c r="J580" s="445" t="s">
        <v>25</v>
      </c>
      <c r="K580" s="613">
        <v>44645</v>
      </c>
      <c r="L580" s="100" t="s">
        <v>1015</v>
      </c>
      <c r="M580" s="20">
        <f>MONTH(List34[[#This Row],[Tanggal Pengajuan]])</f>
        <v>7</v>
      </c>
      <c r="N580" s="183"/>
      <c r="O580" s="105" t="s">
        <v>707</v>
      </c>
      <c r="P580" s="111"/>
      <c r="Q580" s="229"/>
      <c r="S580" s="275"/>
    </row>
    <row r="581" spans="1:20" s="4" customFormat="1" ht="15.75" x14ac:dyDescent="0.2">
      <c r="A581" s="13">
        <v>44651</v>
      </c>
      <c r="B581" s="67"/>
      <c r="C581" s="14" t="s">
        <v>850</v>
      </c>
      <c r="D581" s="103" t="s">
        <v>17</v>
      </c>
      <c r="E581" s="103" t="s">
        <v>18</v>
      </c>
      <c r="F581" s="15">
        <v>61</v>
      </c>
      <c r="G581" s="258">
        <v>5999900</v>
      </c>
      <c r="H581" s="258">
        <f>List34[[#This Row],[Pengajuan Donasi]]</f>
        <v>0</v>
      </c>
      <c r="I581" s="213" t="str">
        <f>IF(List34[[#This Row],[Tanggal Trf]]&gt;0,"Done","-")</f>
        <v>-</v>
      </c>
      <c r="J581" s="445" t="s">
        <v>25</v>
      </c>
      <c r="K581" s="613">
        <v>44652</v>
      </c>
      <c r="L581" s="100" t="s">
        <v>1015</v>
      </c>
      <c r="M581" s="100">
        <f>MONTH(List34[[#This Row],[Tanggal Pengajuan]])</f>
        <v>7</v>
      </c>
      <c r="N581" s="183"/>
      <c r="O581" s="105" t="s">
        <v>746</v>
      </c>
      <c r="P581" s="111"/>
      <c r="Q581" s="229"/>
      <c r="S581" s="275"/>
    </row>
    <row r="582" spans="1:20" s="4" customFormat="1" ht="15.75" x14ac:dyDescent="0.2">
      <c r="A582" s="13">
        <v>44678</v>
      </c>
      <c r="B582" s="67"/>
      <c r="C582" s="14" t="s">
        <v>850</v>
      </c>
      <c r="D582" s="103" t="s">
        <v>17</v>
      </c>
      <c r="E582" s="103" t="s">
        <v>18</v>
      </c>
      <c r="F582" s="15">
        <v>61</v>
      </c>
      <c r="G582" s="258">
        <v>6285100</v>
      </c>
      <c r="H582" s="258">
        <f>List34[[#This Row],[Pengajuan Donasi]]</f>
        <v>0</v>
      </c>
      <c r="I582" s="213" t="str">
        <f>IF(List34[[#This Row],[Tanggal Trf]]&gt;0,"Done","-")</f>
        <v>-</v>
      </c>
      <c r="J582" s="445" t="s">
        <v>25</v>
      </c>
      <c r="K582" s="613">
        <v>44679</v>
      </c>
      <c r="L582" s="100" t="s">
        <v>1015</v>
      </c>
      <c r="M582" s="100">
        <f>MONTH(List34[[#This Row],[Tanggal Pengajuan]])</f>
        <v>7</v>
      </c>
      <c r="N582" s="183">
        <v>44686</v>
      </c>
      <c r="O582" s="105" t="s">
        <v>795</v>
      </c>
      <c r="P582" s="111"/>
      <c r="Q582" s="229"/>
      <c r="S582" s="275"/>
    </row>
    <row r="583" spans="1:20" s="4" customFormat="1" ht="15.75" x14ac:dyDescent="0.2">
      <c r="A583" s="13">
        <v>44711</v>
      </c>
      <c r="B583" s="163"/>
      <c r="C583" s="14" t="s">
        <v>850</v>
      </c>
      <c r="D583" s="103" t="s">
        <v>17</v>
      </c>
      <c r="E583" s="103" t="s">
        <v>18</v>
      </c>
      <c r="F583" s="15">
        <v>61</v>
      </c>
      <c r="G583" s="258">
        <v>6333300</v>
      </c>
      <c r="H583" s="258">
        <f>List34[[#This Row],[Pengajuan Donasi]]</f>
        <v>0</v>
      </c>
      <c r="I583" s="213" t="str">
        <f>IF(List34[[#This Row],[Tanggal Trf]]&gt;0,"Done","-")</f>
        <v>-</v>
      </c>
      <c r="J583" s="445"/>
      <c r="K583" s="613">
        <v>44715</v>
      </c>
      <c r="L583" s="100" t="s">
        <v>1015</v>
      </c>
      <c r="M583" s="100">
        <f>MONTH(List34[[#This Row],[Tanggal Pengajuan]])</f>
        <v>7</v>
      </c>
      <c r="N583" s="183">
        <v>44747</v>
      </c>
      <c r="O583" s="105" t="s">
        <v>932</v>
      </c>
      <c r="P583" s="111"/>
      <c r="Q583" s="229"/>
      <c r="S583" s="275"/>
    </row>
    <row r="584" spans="1:20" s="4" customFormat="1" ht="15.75" x14ac:dyDescent="0.2">
      <c r="A584" s="13">
        <v>44725</v>
      </c>
      <c r="B584" s="67" t="s">
        <v>1106</v>
      </c>
      <c r="C584" s="14" t="s">
        <v>850</v>
      </c>
      <c r="D584" s="103" t="s">
        <v>17</v>
      </c>
      <c r="E584" s="103" t="s">
        <v>18</v>
      </c>
      <c r="F584" s="471">
        <v>61</v>
      </c>
      <c r="G584" s="258">
        <v>6333300</v>
      </c>
      <c r="H584" s="258">
        <f>List34[[#This Row],[Pengajuan Donasi]]</f>
        <v>0</v>
      </c>
      <c r="I584" s="213" t="str">
        <f>IF(List34[[#This Row],[Tanggal Trf]]&gt;0,"Done","-")</f>
        <v>-</v>
      </c>
      <c r="J584" s="445"/>
      <c r="K584" s="224">
        <v>44735</v>
      </c>
      <c r="L584" s="100" t="s">
        <v>683</v>
      </c>
      <c r="M584" s="100">
        <f>MONTH(List34[[#This Row],[Tanggal Pengajuan]])</f>
        <v>7</v>
      </c>
      <c r="N584" s="183">
        <v>44749</v>
      </c>
      <c r="O584" s="105" t="s">
        <v>1116</v>
      </c>
      <c r="P584" s="111"/>
      <c r="Q584" s="229"/>
      <c r="S584" s="275"/>
    </row>
    <row r="585" spans="1:20" s="4" customFormat="1" ht="24.75" x14ac:dyDescent="0.2">
      <c r="A585" s="13">
        <v>44754</v>
      </c>
      <c r="B585" s="67"/>
      <c r="C585" s="14" t="s">
        <v>850</v>
      </c>
      <c r="D585" s="103" t="s">
        <v>17</v>
      </c>
      <c r="E585" s="103" t="s">
        <v>18</v>
      </c>
      <c r="F585" s="471">
        <v>61</v>
      </c>
      <c r="G585" s="258">
        <v>6000000</v>
      </c>
      <c r="H585" s="258">
        <f>List34[[#This Row],[Pengajuan Donasi]]</f>
        <v>0</v>
      </c>
      <c r="I585" s="213" t="str">
        <f>IF(List34[[#This Row],[Tanggal Trf]]&gt;0,"Done","-")</f>
        <v>-</v>
      </c>
      <c r="J585" s="445" t="s">
        <v>1176</v>
      </c>
      <c r="K585" s="224">
        <v>44764</v>
      </c>
      <c r="L585" s="100" t="s">
        <v>1213</v>
      </c>
      <c r="M585" s="100">
        <f>MONTH(List34[[#This Row],[Tanggal Pengajuan]])</f>
        <v>7</v>
      </c>
      <c r="N585" s="183">
        <v>44775</v>
      </c>
      <c r="O585" s="105" t="s">
        <v>1180</v>
      </c>
      <c r="P585" s="111"/>
      <c r="Q585" s="229"/>
      <c r="S585" s="275"/>
    </row>
    <row r="586" spans="1:20" s="4" customFormat="1" ht="29.25" x14ac:dyDescent="0.2">
      <c r="A586" s="13">
        <v>44781</v>
      </c>
      <c r="B586" s="67"/>
      <c r="C586" s="14" t="s">
        <v>850</v>
      </c>
      <c r="D586" s="103" t="s">
        <v>17</v>
      </c>
      <c r="E586" s="103" t="s">
        <v>18</v>
      </c>
      <c r="F586" s="471">
        <v>61</v>
      </c>
      <c r="G586" s="258">
        <v>6000000</v>
      </c>
      <c r="H586" s="258">
        <f>List34[[#This Row],[Pengajuan Donasi]]</f>
        <v>2400000</v>
      </c>
      <c r="I586" s="213" t="str">
        <f>IF(List34[[#This Row],[Tanggal Trf]]&gt;0,"Done","-")</f>
        <v>Done</v>
      </c>
      <c r="J586" s="14" t="s">
        <v>1206</v>
      </c>
      <c r="K586" s="224">
        <v>44792</v>
      </c>
      <c r="L586" s="100" t="s">
        <v>1213</v>
      </c>
      <c r="M586" s="100">
        <f>MONTH(List34[[#This Row],[Tanggal Pengajuan]])</f>
        <v>7</v>
      </c>
      <c r="N586" s="183"/>
      <c r="O586" s="105" t="s">
        <v>888</v>
      </c>
      <c r="P586" s="111"/>
      <c r="Q586" s="229"/>
      <c r="S586" s="275"/>
      <c r="T586" s="738">
        <f>SUM(G579:G586)</f>
        <v>48951300</v>
      </c>
    </row>
    <row r="587" spans="1:20" s="4" customFormat="1" ht="15.75" x14ac:dyDescent="0.2">
      <c r="A587" s="13">
        <v>44587</v>
      </c>
      <c r="B587" s="67"/>
      <c r="C587" s="14" t="s">
        <v>864</v>
      </c>
      <c r="D587" s="103" t="s">
        <v>17</v>
      </c>
      <c r="E587" s="103" t="s">
        <v>18</v>
      </c>
      <c r="F587" s="15">
        <v>141</v>
      </c>
      <c r="G587" s="262">
        <f>'[5]REV-PENAWARAN PER JAN''22'!$E$1361</f>
        <v>5999500</v>
      </c>
      <c r="H587" s="258">
        <f>List34[[#This Row],[Pengajuan Donasi]]</f>
        <v>6000000</v>
      </c>
      <c r="I587" s="213" t="str">
        <f>IF(List34[[#This Row],[Tanggal Trf]]&gt;0,"Done","-")</f>
        <v>Done</v>
      </c>
      <c r="J587" s="442" t="s">
        <v>845</v>
      </c>
      <c r="K587" s="613">
        <v>44589</v>
      </c>
      <c r="L587" s="100" t="s">
        <v>1015</v>
      </c>
      <c r="M587" s="100">
        <f>MONTH(List34[[#This Row],[Tanggal Pengajuan]])</f>
        <v>7</v>
      </c>
      <c r="N587" s="183"/>
      <c r="O587" s="105" t="s">
        <v>651</v>
      </c>
      <c r="P587" s="111"/>
      <c r="Q587" s="229"/>
      <c r="S587" s="275"/>
    </row>
    <row r="588" spans="1:20" s="4" customFormat="1" ht="15.75" x14ac:dyDescent="0.2">
      <c r="A588" s="13">
        <v>44644</v>
      </c>
      <c r="B588" s="593"/>
      <c r="C588" s="14" t="s">
        <v>864</v>
      </c>
      <c r="D588" s="103" t="s">
        <v>17</v>
      </c>
      <c r="E588" s="103" t="s">
        <v>18</v>
      </c>
      <c r="F588" s="15">
        <v>141</v>
      </c>
      <c r="G588" s="258">
        <v>5998600</v>
      </c>
      <c r="H588" s="258">
        <f>List34[[#This Row],[Pengajuan Donasi]]</f>
        <v>6000000</v>
      </c>
      <c r="I588" s="213" t="str">
        <f>IF(List34[[#This Row],[Tanggal Trf]]&gt;0,"Done","-")</f>
        <v>Done</v>
      </c>
      <c r="J588" s="445" t="s">
        <v>25</v>
      </c>
      <c r="K588" s="613">
        <v>44645</v>
      </c>
      <c r="L588" s="105" t="s">
        <v>1015</v>
      </c>
      <c r="M588" s="20">
        <f>MONTH(List34[[#This Row],[Tanggal Pengajuan]])</f>
        <v>7</v>
      </c>
      <c r="N588" s="183"/>
      <c r="O588" s="105" t="s">
        <v>707</v>
      </c>
      <c r="P588" s="111"/>
      <c r="Q588" s="229"/>
      <c r="S588" s="275"/>
    </row>
    <row r="589" spans="1:20" s="4" customFormat="1" ht="15.75" x14ac:dyDescent="0.2">
      <c r="A589" s="13">
        <v>44651</v>
      </c>
      <c r="B589" s="67"/>
      <c r="C589" s="14" t="s">
        <v>864</v>
      </c>
      <c r="D589" s="103" t="s">
        <v>17</v>
      </c>
      <c r="E589" s="103" t="s">
        <v>18</v>
      </c>
      <c r="F589" s="15">
        <v>141</v>
      </c>
      <c r="G589" s="258">
        <v>5998200</v>
      </c>
      <c r="H589" s="258">
        <f>List34[[#This Row],[Pengajuan Donasi]]</f>
        <v>6000000</v>
      </c>
      <c r="I589" s="213" t="str">
        <f>IF(List34[[#This Row],[Tanggal Trf]]&gt;0,"Done","-")</f>
        <v>Done</v>
      </c>
      <c r="J589" s="445" t="s">
        <v>25</v>
      </c>
      <c r="K589" s="613">
        <v>44652</v>
      </c>
      <c r="L589" s="100" t="s">
        <v>1015</v>
      </c>
      <c r="M589" s="100">
        <f>MONTH(List34[[#This Row],[Tanggal Pengajuan]])</f>
        <v>7</v>
      </c>
      <c r="N589" s="183"/>
      <c r="O589" s="105" t="s">
        <v>746</v>
      </c>
      <c r="P589" s="111"/>
      <c r="Q589" s="229"/>
      <c r="S589" s="275"/>
    </row>
    <row r="590" spans="1:20" s="4" customFormat="1" ht="15.75" x14ac:dyDescent="0.2">
      <c r="A590" s="13">
        <v>44678</v>
      </c>
      <c r="B590" s="67"/>
      <c r="C590" s="14" t="s">
        <v>864</v>
      </c>
      <c r="D590" s="103" t="s">
        <v>17</v>
      </c>
      <c r="E590" s="103" t="s">
        <v>18</v>
      </c>
      <c r="F590" s="15">
        <v>141</v>
      </c>
      <c r="G590" s="258">
        <v>5607000</v>
      </c>
      <c r="H590" s="258">
        <f>List34[[#This Row],[Pengajuan Donasi]]</f>
        <v>6000000</v>
      </c>
      <c r="I590" s="213" t="str">
        <f>IF(List34[[#This Row],[Tanggal Trf]]&gt;0,"Done","-")</f>
        <v>Done</v>
      </c>
      <c r="J590" s="445" t="s">
        <v>25</v>
      </c>
      <c r="K590" s="613">
        <v>44679</v>
      </c>
      <c r="L590" s="100" t="s">
        <v>1015</v>
      </c>
      <c r="M590" s="100">
        <f>MONTH(List34[[#This Row],[Tanggal Pengajuan]])</f>
        <v>7</v>
      </c>
      <c r="N590" s="183">
        <v>44686</v>
      </c>
      <c r="O590" s="105" t="s">
        <v>795</v>
      </c>
      <c r="P590" s="111"/>
      <c r="Q590" s="229"/>
      <c r="S590" s="275"/>
    </row>
    <row r="591" spans="1:20" s="4" customFormat="1" ht="15.75" x14ac:dyDescent="0.2">
      <c r="A591" s="13">
        <v>44711</v>
      </c>
      <c r="B591" s="163"/>
      <c r="C591" s="14" t="s">
        <v>864</v>
      </c>
      <c r="D591" s="103" t="s">
        <v>17</v>
      </c>
      <c r="E591" s="103" t="s">
        <v>18</v>
      </c>
      <c r="F591" s="15">
        <v>141</v>
      </c>
      <c r="G591" s="258">
        <v>5661300</v>
      </c>
      <c r="H591" s="258">
        <f>List34[[#This Row],[Pengajuan Donasi]]</f>
        <v>6000000</v>
      </c>
      <c r="I591" s="213" t="str">
        <f>IF(List34[[#This Row],[Tanggal Trf]]&gt;0,"Done","-")</f>
        <v>Done</v>
      </c>
      <c r="J591" s="445"/>
      <c r="K591" s="613">
        <v>44715</v>
      </c>
      <c r="L591" s="100" t="s">
        <v>1015</v>
      </c>
      <c r="M591" s="100">
        <f>MONTH(List34[[#This Row],[Tanggal Pengajuan]])</f>
        <v>7</v>
      </c>
      <c r="N591" s="183">
        <v>44747</v>
      </c>
      <c r="O591" s="105" t="s">
        <v>932</v>
      </c>
      <c r="P591" s="111"/>
      <c r="Q591" s="229"/>
      <c r="S591" s="275"/>
    </row>
    <row r="592" spans="1:20" s="4" customFormat="1" ht="15.75" x14ac:dyDescent="0.2">
      <c r="A592" s="13">
        <v>44736</v>
      </c>
      <c r="B592" s="67"/>
      <c r="C592" s="14" t="s">
        <v>864</v>
      </c>
      <c r="D592" s="103" t="s">
        <v>17</v>
      </c>
      <c r="E592" s="103" t="s">
        <v>18</v>
      </c>
      <c r="F592" s="471">
        <v>141</v>
      </c>
      <c r="G592" s="258">
        <v>5500200</v>
      </c>
      <c r="H592" s="258">
        <f>List34[[#This Row],[Pengajuan Donasi]]</f>
        <v>6000000</v>
      </c>
      <c r="I592" s="213" t="str">
        <f>IF(List34[[#This Row],[Tanggal Trf]]&gt;0,"Done","-")</f>
        <v>Done</v>
      </c>
      <c r="J592" s="445"/>
      <c r="K592" s="224">
        <v>44741</v>
      </c>
      <c r="L592" s="100" t="s">
        <v>1015</v>
      </c>
      <c r="M592" s="100">
        <f>MONTH(List34[[#This Row],[Tanggal Pengajuan]])</f>
        <v>7</v>
      </c>
      <c r="N592" s="183"/>
      <c r="O592" s="105" t="s">
        <v>1116</v>
      </c>
      <c r="P592" s="111"/>
      <c r="Q592" s="229"/>
      <c r="S592" s="275"/>
    </row>
    <row r="593" spans="1:20" s="4" customFormat="1" ht="24.75" x14ac:dyDescent="0.2">
      <c r="A593" s="13">
        <v>44760</v>
      </c>
      <c r="B593" s="67" t="s">
        <v>1155</v>
      </c>
      <c r="C593" s="14" t="s">
        <v>864</v>
      </c>
      <c r="D593" s="14" t="s">
        <v>17</v>
      </c>
      <c r="E593" s="103" t="s">
        <v>18</v>
      </c>
      <c r="F593" s="471">
        <v>141</v>
      </c>
      <c r="G593" s="258">
        <v>6002460</v>
      </c>
      <c r="H593" s="258">
        <f>List34[[#This Row],[Pengajuan Donasi]]</f>
        <v>6000000</v>
      </c>
      <c r="I593" s="213" t="str">
        <f>IF(List34[[#This Row],[Tanggal Trf]]&gt;0,"Done","-")</f>
        <v>Done</v>
      </c>
      <c r="J593" s="445" t="s">
        <v>1177</v>
      </c>
      <c r="K593" s="224">
        <v>44764</v>
      </c>
      <c r="L593" s="100" t="s">
        <v>683</v>
      </c>
      <c r="M593" s="100">
        <f>MONTH(List34[[#This Row],[Tanggal Pengajuan]])</f>
        <v>7</v>
      </c>
      <c r="N593" s="183">
        <v>44763</v>
      </c>
      <c r="O593" s="105" t="s">
        <v>1180</v>
      </c>
      <c r="P593" s="111"/>
      <c r="Q593" s="229"/>
      <c r="S593" s="275"/>
    </row>
    <row r="594" spans="1:20" s="4" customFormat="1" ht="29.25" x14ac:dyDescent="0.2">
      <c r="A594" s="13">
        <v>44781</v>
      </c>
      <c r="B594" s="67"/>
      <c r="C594" s="14" t="s">
        <v>864</v>
      </c>
      <c r="D594" s="14" t="s">
        <v>17</v>
      </c>
      <c r="E594" s="103" t="s">
        <v>18</v>
      </c>
      <c r="F594" s="471">
        <v>144</v>
      </c>
      <c r="G594" s="258">
        <v>6000000</v>
      </c>
      <c r="H594" s="258">
        <f>List34[[#This Row],[Pengajuan Donasi]]</f>
        <v>6000000</v>
      </c>
      <c r="I594" s="213" t="str">
        <f>IF(List34[[#This Row],[Tanggal Trf]]&gt;0,"Done","-")</f>
        <v>Done</v>
      </c>
      <c r="J594" s="14" t="s">
        <v>1206</v>
      </c>
      <c r="K594" s="224">
        <v>44792</v>
      </c>
      <c r="L594" s="100" t="s">
        <v>1213</v>
      </c>
      <c r="M594" s="100">
        <f>MONTH(List34[[#This Row],[Tanggal Pengajuan]])</f>
        <v>7</v>
      </c>
      <c r="N594" s="183"/>
      <c r="O594" s="105" t="s">
        <v>888</v>
      </c>
      <c r="P594" s="111"/>
      <c r="Q594" s="229"/>
      <c r="S594" s="275"/>
      <c r="T594" s="738">
        <f>SUM(G587:G594)</f>
        <v>46767260</v>
      </c>
    </row>
    <row r="595" spans="1:20" s="4" customFormat="1" ht="15.75" x14ac:dyDescent="0.2">
      <c r="A595" s="13">
        <v>44587</v>
      </c>
      <c r="B595" s="67"/>
      <c r="C595" s="14" t="s">
        <v>863</v>
      </c>
      <c r="D595" s="14" t="s">
        <v>17</v>
      </c>
      <c r="E595" s="103" t="s">
        <v>18</v>
      </c>
      <c r="F595" s="15">
        <v>142</v>
      </c>
      <c r="G595" s="262">
        <f>'[5]REV-PENAWARAN PER JAN''22'!$E$1312</f>
        <v>5999800</v>
      </c>
      <c r="H595" s="258">
        <f>List34[[#This Row],[Pengajuan Donasi]]</f>
        <v>6000000</v>
      </c>
      <c r="I595" s="213" t="str">
        <f>IF(List34[[#This Row],[Tanggal Trf]]&gt;0,"Done","-")</f>
        <v>Done</v>
      </c>
      <c r="J595" s="442" t="s">
        <v>844</v>
      </c>
      <c r="K595" s="613">
        <v>44589</v>
      </c>
      <c r="L595" s="100" t="s">
        <v>1015</v>
      </c>
      <c r="M595" s="100">
        <f>MONTH(List34[[#This Row],[Tanggal Pengajuan]])</f>
        <v>7</v>
      </c>
      <c r="N595" s="183"/>
      <c r="O595" s="105" t="s">
        <v>651</v>
      </c>
      <c r="P595" s="111"/>
      <c r="Q595" s="229"/>
      <c r="S595" s="275"/>
    </row>
    <row r="596" spans="1:20" s="4" customFormat="1" ht="15.75" x14ac:dyDescent="0.2">
      <c r="A596" s="13">
        <v>44644</v>
      </c>
      <c r="B596" s="593"/>
      <c r="C596" s="14" t="s">
        <v>863</v>
      </c>
      <c r="D596" s="14" t="s">
        <v>17</v>
      </c>
      <c r="E596" s="103" t="s">
        <v>18</v>
      </c>
      <c r="F596" s="15">
        <v>142</v>
      </c>
      <c r="G596" s="258">
        <v>5998400</v>
      </c>
      <c r="H596" s="258">
        <f>List34[[#This Row],[Pengajuan Donasi]]</f>
        <v>6000000</v>
      </c>
      <c r="I596" s="213" t="str">
        <f>IF(List34[[#This Row],[Tanggal Trf]]&gt;0,"Done","-")</f>
        <v>Done</v>
      </c>
      <c r="J596" s="445" t="s">
        <v>25</v>
      </c>
      <c r="K596" s="613">
        <v>44645</v>
      </c>
      <c r="L596" s="100" t="s">
        <v>1015</v>
      </c>
      <c r="M596" s="20">
        <f>MONTH(List34[[#This Row],[Tanggal Pengajuan]])</f>
        <v>7</v>
      </c>
      <c r="N596" s="183"/>
      <c r="O596" s="105" t="s">
        <v>707</v>
      </c>
      <c r="P596" s="111"/>
      <c r="Q596" s="229"/>
      <c r="S596" s="275"/>
    </row>
    <row r="597" spans="1:20" s="4" customFormat="1" ht="15.75" x14ac:dyDescent="0.2">
      <c r="A597" s="13">
        <v>44651</v>
      </c>
      <c r="B597" s="67"/>
      <c r="C597" s="14" t="s">
        <v>863</v>
      </c>
      <c r="D597" s="14" t="s">
        <v>17</v>
      </c>
      <c r="E597" s="103" t="s">
        <v>18</v>
      </c>
      <c r="F597" s="15">
        <v>142</v>
      </c>
      <c r="G597" s="258">
        <v>5999100</v>
      </c>
      <c r="H597" s="258">
        <f>List34[[#This Row],[Pengajuan Donasi]]</f>
        <v>6000000</v>
      </c>
      <c r="I597" s="213" t="str">
        <f>IF(List34[[#This Row],[Tanggal Trf]]&gt;0,"Done","-")</f>
        <v>Done</v>
      </c>
      <c r="J597" s="445" t="s">
        <v>25</v>
      </c>
      <c r="K597" s="613">
        <v>44652</v>
      </c>
      <c r="L597" s="100" t="s">
        <v>1015</v>
      </c>
      <c r="M597" s="100">
        <f>MONTH(List34[[#This Row],[Tanggal Pengajuan]])</f>
        <v>7</v>
      </c>
      <c r="N597" s="183"/>
      <c r="O597" s="105" t="s">
        <v>746</v>
      </c>
      <c r="P597" s="111"/>
      <c r="Q597" s="229"/>
      <c r="S597" s="275"/>
    </row>
    <row r="598" spans="1:20" s="4" customFormat="1" ht="15.75" x14ac:dyDescent="0.2">
      <c r="A598" s="13">
        <v>44678</v>
      </c>
      <c r="B598" s="67"/>
      <c r="C598" s="14" t="s">
        <v>863</v>
      </c>
      <c r="D598" s="14" t="s">
        <v>17</v>
      </c>
      <c r="E598" s="103" t="s">
        <v>18</v>
      </c>
      <c r="F598" s="15">
        <v>142</v>
      </c>
      <c r="G598" s="258">
        <v>6316400</v>
      </c>
      <c r="H598" s="258">
        <f>List34[[#This Row],[Pengajuan Donasi]]</f>
        <v>6000000</v>
      </c>
      <c r="I598" s="213" t="str">
        <f>IF(List34[[#This Row],[Tanggal Trf]]&gt;0,"Done","-")</f>
        <v>Done</v>
      </c>
      <c r="J598" s="445" t="s">
        <v>25</v>
      </c>
      <c r="K598" s="613">
        <v>44679</v>
      </c>
      <c r="L598" s="100" t="s">
        <v>1015</v>
      </c>
      <c r="M598" s="100">
        <f>MONTH(List34[[#This Row],[Tanggal Pengajuan]])</f>
        <v>7</v>
      </c>
      <c r="N598" s="183">
        <v>44686</v>
      </c>
      <c r="O598" s="105" t="s">
        <v>795</v>
      </c>
      <c r="P598" s="111"/>
      <c r="Q598" s="229"/>
      <c r="S598" s="275"/>
    </row>
    <row r="599" spans="1:20" s="4" customFormat="1" ht="15.75" x14ac:dyDescent="0.2">
      <c r="A599" s="13">
        <v>44711</v>
      </c>
      <c r="B599" s="163"/>
      <c r="C599" s="14" t="s">
        <v>863</v>
      </c>
      <c r="D599" s="14" t="s">
        <v>17</v>
      </c>
      <c r="E599" s="103" t="s">
        <v>18</v>
      </c>
      <c r="F599" s="15">
        <v>142</v>
      </c>
      <c r="G599" s="258">
        <v>6478200</v>
      </c>
      <c r="H599" s="258">
        <f>List34[[#This Row],[Pengajuan Donasi]]</f>
        <v>6000000</v>
      </c>
      <c r="I599" s="213" t="str">
        <f>IF(List34[[#This Row],[Tanggal Trf]]&gt;0,"Done","-")</f>
        <v>Done</v>
      </c>
      <c r="J599" s="445"/>
      <c r="K599" s="613">
        <v>44715</v>
      </c>
      <c r="L599" s="100" t="s">
        <v>1015</v>
      </c>
      <c r="M599" s="100">
        <f>MONTH(List34[[#This Row],[Tanggal Pengajuan]])</f>
        <v>7</v>
      </c>
      <c r="N599" s="183">
        <v>44747</v>
      </c>
      <c r="O599" s="105" t="s">
        <v>932</v>
      </c>
      <c r="P599" s="111"/>
      <c r="Q599" s="229"/>
      <c r="S599" s="275"/>
    </row>
    <row r="600" spans="1:20" s="4" customFormat="1" ht="15.75" x14ac:dyDescent="0.2">
      <c r="A600" s="13">
        <v>44736</v>
      </c>
      <c r="B600" s="67"/>
      <c r="C600" s="14" t="s">
        <v>863</v>
      </c>
      <c r="D600" s="14" t="s">
        <v>17</v>
      </c>
      <c r="E600" s="103" t="s">
        <v>18</v>
      </c>
      <c r="F600" s="471">
        <v>142</v>
      </c>
      <c r="G600" s="258">
        <v>6006700</v>
      </c>
      <c r="H600" s="258">
        <f>List34[[#This Row],[Pengajuan Donasi]]</f>
        <v>6000000</v>
      </c>
      <c r="I600" s="213" t="str">
        <f>IF(List34[[#This Row],[Tanggal Trf]]&gt;0,"Done","-")</f>
        <v>Done</v>
      </c>
      <c r="J600" s="445"/>
      <c r="K600" s="224">
        <v>44741</v>
      </c>
      <c r="L600" s="100" t="s">
        <v>1015</v>
      </c>
      <c r="M600" s="100">
        <f>MONTH(List34[[#This Row],[Tanggal Pengajuan]])</f>
        <v>7</v>
      </c>
      <c r="N600" s="183"/>
      <c r="O600" s="105" t="s">
        <v>1116</v>
      </c>
      <c r="P600" s="111"/>
      <c r="Q600" s="229"/>
      <c r="S600" s="275"/>
    </row>
    <row r="601" spans="1:20" s="4" customFormat="1" ht="25.5" x14ac:dyDescent="0.2">
      <c r="A601" s="13">
        <v>44743</v>
      </c>
      <c r="B601" s="67" t="s">
        <v>1113</v>
      </c>
      <c r="C601" s="14" t="s">
        <v>863</v>
      </c>
      <c r="D601" s="14" t="s">
        <v>17</v>
      </c>
      <c r="E601" s="103" t="s">
        <v>18</v>
      </c>
      <c r="F601" s="471">
        <v>142</v>
      </c>
      <c r="G601" s="258">
        <v>6800300</v>
      </c>
      <c r="H601" s="258">
        <f>List34[[#This Row],[Pengajuan Donasi]]</f>
        <v>6000000</v>
      </c>
      <c r="I601" s="213" t="str">
        <f>IF(List34[[#This Row],[Tanggal Trf]]&gt;0,"Done","-")</f>
        <v>Done</v>
      </c>
      <c r="J601" s="448" t="s">
        <v>1185</v>
      </c>
      <c r="K601" s="224">
        <v>44743</v>
      </c>
      <c r="L601" s="100" t="s">
        <v>683</v>
      </c>
      <c r="M601" s="100">
        <f>MONTH(List34[[#This Row],[Tanggal Pengajuan]])</f>
        <v>7</v>
      </c>
      <c r="N601" s="183">
        <v>44749</v>
      </c>
      <c r="O601" s="105" t="s">
        <v>1116</v>
      </c>
      <c r="P601" s="111"/>
      <c r="Q601" s="229"/>
      <c r="S601" s="275"/>
    </row>
    <row r="602" spans="1:20" s="4" customFormat="1" ht="29.25" x14ac:dyDescent="0.2">
      <c r="A602" s="13">
        <v>44781</v>
      </c>
      <c r="B602" s="67"/>
      <c r="C602" s="14" t="s">
        <v>863</v>
      </c>
      <c r="D602" s="14" t="s">
        <v>17</v>
      </c>
      <c r="E602" s="103" t="s">
        <v>18</v>
      </c>
      <c r="F602" s="471">
        <v>142</v>
      </c>
      <c r="G602" s="258">
        <v>6000000</v>
      </c>
      <c r="H602" s="258">
        <f>List34[[#This Row],[Pengajuan Donasi]]</f>
        <v>6000000</v>
      </c>
      <c r="I602" s="213" t="str">
        <f>IF(List34[[#This Row],[Tanggal Trf]]&gt;0,"Done","-")</f>
        <v>Done</v>
      </c>
      <c r="J602" s="14" t="s">
        <v>1206</v>
      </c>
      <c r="K602" s="224">
        <v>44792</v>
      </c>
      <c r="L602" s="100" t="s">
        <v>1213</v>
      </c>
      <c r="M602" s="100">
        <f>MONTH(List34[[#This Row],[Tanggal Pengajuan]])</f>
        <v>7</v>
      </c>
      <c r="N602" s="183"/>
      <c r="O602" s="105" t="s">
        <v>888</v>
      </c>
      <c r="P602" s="111"/>
      <c r="Q602" s="229"/>
      <c r="S602" s="275"/>
      <c r="T602" s="738">
        <f>SUM(G595:G602)</f>
        <v>49598900</v>
      </c>
    </row>
    <row r="603" spans="1:20" s="4" customFormat="1" ht="15.75" x14ac:dyDescent="0.2">
      <c r="A603" s="13">
        <v>44587</v>
      </c>
      <c r="B603" s="67"/>
      <c r="C603" s="14" t="s">
        <v>851</v>
      </c>
      <c r="D603" s="14" t="s">
        <v>17</v>
      </c>
      <c r="E603" s="103" t="s">
        <v>18</v>
      </c>
      <c r="F603" s="15">
        <v>22</v>
      </c>
      <c r="G603" s="262">
        <f>'[5]REV-PENAWARAN PER JAN''22'!$E$551</f>
        <v>6000400</v>
      </c>
      <c r="H603" s="258">
        <f>List34[[#This Row],[Pengajuan Donasi]]</f>
        <v>6000000</v>
      </c>
      <c r="I603" s="213" t="str">
        <f>IF(List34[[#This Row],[Tanggal Trf]]&gt;0,"Done","-")</f>
        <v>Done</v>
      </c>
      <c r="J603" s="442" t="s">
        <v>828</v>
      </c>
      <c r="K603" s="613">
        <v>44589</v>
      </c>
      <c r="L603" s="100" t="s">
        <v>1015</v>
      </c>
      <c r="M603" s="100">
        <f>MONTH(List34[[#This Row],[Tanggal Pengajuan]])</f>
        <v>7</v>
      </c>
      <c r="N603" s="183"/>
      <c r="O603" s="105" t="s">
        <v>651</v>
      </c>
      <c r="P603" s="111"/>
      <c r="Q603" s="229"/>
      <c r="S603" s="275"/>
    </row>
    <row r="604" spans="1:20" s="4" customFormat="1" ht="15.75" x14ac:dyDescent="0.2">
      <c r="A604" s="13">
        <v>44644</v>
      </c>
      <c r="B604" s="593"/>
      <c r="C604" s="14" t="s">
        <v>851</v>
      </c>
      <c r="D604" s="14" t="s">
        <v>17</v>
      </c>
      <c r="E604" s="103" t="s">
        <v>18</v>
      </c>
      <c r="F604" s="15">
        <v>22</v>
      </c>
      <c r="G604" s="258">
        <v>5998400</v>
      </c>
      <c r="H604" s="258">
        <f>List34[[#This Row],[Pengajuan Donasi]]</f>
        <v>6000000</v>
      </c>
      <c r="I604" s="213" t="str">
        <f>IF(List34[[#This Row],[Tanggal Trf]]&gt;0,"Done","-")</f>
        <v>Done</v>
      </c>
      <c r="J604" s="445" t="s">
        <v>25</v>
      </c>
      <c r="K604" s="613">
        <v>44645</v>
      </c>
      <c r="L604" s="100" t="s">
        <v>1015</v>
      </c>
      <c r="M604" s="20">
        <f>MONTH(List34[[#This Row],[Tanggal Pengajuan]])</f>
        <v>7</v>
      </c>
      <c r="N604" s="183"/>
      <c r="O604" s="105" t="s">
        <v>707</v>
      </c>
      <c r="P604" s="111"/>
      <c r="Q604" s="229"/>
      <c r="S604" s="275"/>
    </row>
    <row r="605" spans="1:20" s="4" customFormat="1" ht="15.75" x14ac:dyDescent="0.2">
      <c r="A605" s="13">
        <v>44651</v>
      </c>
      <c r="B605" s="67"/>
      <c r="C605" s="14" t="s">
        <v>851</v>
      </c>
      <c r="D605" s="14" t="s">
        <v>17</v>
      </c>
      <c r="E605" s="103" t="s">
        <v>18</v>
      </c>
      <c r="F605" s="15">
        <v>22</v>
      </c>
      <c r="G605" s="258">
        <v>5993700</v>
      </c>
      <c r="H605" s="258">
        <f>List34[[#This Row],[Pengajuan Donasi]]</f>
        <v>6000000</v>
      </c>
      <c r="I605" s="213" t="str">
        <f>IF(List34[[#This Row],[Tanggal Trf]]&gt;0,"Done","-")</f>
        <v>Done</v>
      </c>
      <c r="J605" s="445" t="s">
        <v>25</v>
      </c>
      <c r="K605" s="613">
        <v>44652</v>
      </c>
      <c r="L605" s="100" t="s">
        <v>1015</v>
      </c>
      <c r="M605" s="100">
        <f>MONTH(List34[[#This Row],[Tanggal Pengajuan]])</f>
        <v>7</v>
      </c>
      <c r="N605" s="183"/>
      <c r="O605" s="105" t="s">
        <v>746</v>
      </c>
      <c r="P605" s="111"/>
      <c r="Q605" s="229"/>
      <c r="S605" s="275"/>
    </row>
    <row r="606" spans="1:20" s="4" customFormat="1" ht="15.75" x14ac:dyDescent="0.2">
      <c r="A606" s="13">
        <v>44678</v>
      </c>
      <c r="B606" s="67"/>
      <c r="C606" s="14" t="s">
        <v>851</v>
      </c>
      <c r="D606" s="14" t="s">
        <v>17</v>
      </c>
      <c r="E606" s="103" t="s">
        <v>18</v>
      </c>
      <c r="F606" s="15">
        <v>22</v>
      </c>
      <c r="G606" s="258">
        <v>6190200</v>
      </c>
      <c r="H606" s="258">
        <f>List34[[#This Row],[Pengajuan Donasi]]</f>
        <v>6000000</v>
      </c>
      <c r="I606" s="213" t="str">
        <f>IF(List34[[#This Row],[Tanggal Trf]]&gt;0,"Done","-")</f>
        <v>Done</v>
      </c>
      <c r="J606" s="445" t="s">
        <v>25</v>
      </c>
      <c r="K606" s="613">
        <v>44679</v>
      </c>
      <c r="L606" s="100" t="s">
        <v>1015</v>
      </c>
      <c r="M606" s="100">
        <f>MONTH(List34[[#This Row],[Tanggal Pengajuan]])</f>
        <v>7</v>
      </c>
      <c r="N606" s="183">
        <v>44686</v>
      </c>
      <c r="O606" s="105" t="s">
        <v>795</v>
      </c>
      <c r="P606" s="111"/>
      <c r="Q606" s="229"/>
      <c r="S606" s="275"/>
    </row>
    <row r="607" spans="1:20" s="4" customFormat="1" ht="15.75" x14ac:dyDescent="0.2">
      <c r="A607" s="13">
        <v>44711</v>
      </c>
      <c r="B607" s="163"/>
      <c r="C607" s="14" t="s">
        <v>851</v>
      </c>
      <c r="D607" s="14" t="s">
        <v>17</v>
      </c>
      <c r="E607" s="103" t="s">
        <v>18</v>
      </c>
      <c r="F607" s="15">
        <v>22</v>
      </c>
      <c r="G607" s="258">
        <v>6294800</v>
      </c>
      <c r="H607" s="258">
        <f>List34[[#This Row],[Pengajuan Donasi]]</f>
        <v>6000000</v>
      </c>
      <c r="I607" s="213" t="str">
        <f>IF(List34[[#This Row],[Tanggal Trf]]&gt;0,"Done","-")</f>
        <v>Done</v>
      </c>
      <c r="J607" s="445"/>
      <c r="K607" s="613">
        <v>44715</v>
      </c>
      <c r="L607" s="100" t="s">
        <v>1015</v>
      </c>
      <c r="M607" s="100">
        <f>MONTH(List34[[#This Row],[Tanggal Pengajuan]])</f>
        <v>7</v>
      </c>
      <c r="N607" s="183">
        <v>44747</v>
      </c>
      <c r="O607" s="105" t="s">
        <v>932</v>
      </c>
      <c r="P607" s="111"/>
      <c r="Q607" s="229"/>
      <c r="S607" s="275"/>
    </row>
    <row r="608" spans="1:20" s="4" customFormat="1" ht="15.75" x14ac:dyDescent="0.2">
      <c r="A608" s="13">
        <v>44736</v>
      </c>
      <c r="B608" s="67"/>
      <c r="C608" s="14" t="s">
        <v>851</v>
      </c>
      <c r="D608" s="14" t="s">
        <v>17</v>
      </c>
      <c r="E608" s="103" t="s">
        <v>18</v>
      </c>
      <c r="F608" s="471">
        <v>22</v>
      </c>
      <c r="G608" s="258">
        <v>5999300</v>
      </c>
      <c r="H608" s="258">
        <f>List34[[#This Row],[Pengajuan Donasi]]</f>
        <v>6000000</v>
      </c>
      <c r="I608" s="213" t="str">
        <f>IF(List34[[#This Row],[Tanggal Trf]]&gt;0,"Done","-")</f>
        <v>Done</v>
      </c>
      <c r="J608" s="445"/>
      <c r="K608" s="224">
        <v>44741</v>
      </c>
      <c r="L608" s="404" t="s">
        <v>1015</v>
      </c>
      <c r="M608" s="100">
        <f>MONTH(List34[[#This Row],[Tanggal Pengajuan]])</f>
        <v>7</v>
      </c>
      <c r="N608" s="183"/>
      <c r="O608" s="100" t="s">
        <v>1116</v>
      </c>
      <c r="P608" s="111"/>
      <c r="Q608" s="229"/>
      <c r="S608" s="275"/>
    </row>
    <row r="609" spans="1:20" s="4" customFormat="1" ht="24.75" x14ac:dyDescent="0.2">
      <c r="A609" s="13">
        <v>44754</v>
      </c>
      <c r="B609" s="67"/>
      <c r="C609" s="14" t="s">
        <v>851</v>
      </c>
      <c r="D609" s="14" t="s">
        <v>17</v>
      </c>
      <c r="E609" s="103" t="s">
        <v>18</v>
      </c>
      <c r="F609" s="471">
        <v>22</v>
      </c>
      <c r="G609" s="258">
        <v>6000000</v>
      </c>
      <c r="H609" s="258">
        <f>List34[[#This Row],[Pengajuan Donasi]]</f>
        <v>6000000</v>
      </c>
      <c r="I609" s="213" t="str">
        <f>IF(List34[[#This Row],[Tanggal Trf]]&gt;0,"Done","-")</f>
        <v>Done</v>
      </c>
      <c r="J609" s="445" t="s">
        <v>1176</v>
      </c>
      <c r="K609" s="224">
        <v>44764</v>
      </c>
      <c r="L609" s="100" t="s">
        <v>1213</v>
      </c>
      <c r="M609" s="100">
        <f>MONTH(List34[[#This Row],[Tanggal Pengajuan]])</f>
        <v>7</v>
      </c>
      <c r="N609" s="183">
        <v>44775</v>
      </c>
      <c r="O609" s="105" t="s">
        <v>1180</v>
      </c>
      <c r="P609" s="111"/>
      <c r="Q609" s="229"/>
      <c r="S609" s="275"/>
    </row>
    <row r="610" spans="1:20" s="4" customFormat="1" ht="29.25" x14ac:dyDescent="0.2">
      <c r="A610" s="13">
        <v>44781</v>
      </c>
      <c r="B610" s="67"/>
      <c r="C610" s="14" t="s">
        <v>851</v>
      </c>
      <c r="D610" s="14" t="s">
        <v>17</v>
      </c>
      <c r="E610" s="103" t="s">
        <v>18</v>
      </c>
      <c r="F610" s="471">
        <v>22</v>
      </c>
      <c r="G610" s="258">
        <v>6000000</v>
      </c>
      <c r="H610" s="258">
        <f>List34[[#This Row],[Pengajuan Donasi]]</f>
        <v>6000000</v>
      </c>
      <c r="I610" s="213" t="str">
        <f>IF(List34[[#This Row],[Tanggal Trf]]&gt;0,"Done","-")</f>
        <v>Done</v>
      </c>
      <c r="J610" s="14" t="s">
        <v>1206</v>
      </c>
      <c r="K610" s="224">
        <v>44792</v>
      </c>
      <c r="L610" s="100" t="s">
        <v>1213</v>
      </c>
      <c r="M610" s="100">
        <f>MONTH(List34[[#This Row],[Tanggal Pengajuan]])</f>
        <v>7</v>
      </c>
      <c r="N610" s="183"/>
      <c r="O610" s="105" t="s">
        <v>888</v>
      </c>
      <c r="P610" s="111"/>
      <c r="Q610" s="229"/>
      <c r="S610" s="275"/>
      <c r="T610" s="738">
        <f>SUM(G603:G610)</f>
        <v>48476800</v>
      </c>
    </row>
    <row r="611" spans="1:20" s="4" customFormat="1" ht="15.75" x14ac:dyDescent="0.2">
      <c r="A611" s="13">
        <v>44587</v>
      </c>
      <c r="B611" s="67"/>
      <c r="C611" s="14" t="s">
        <v>852</v>
      </c>
      <c r="D611" s="14" t="s">
        <v>17</v>
      </c>
      <c r="E611" s="103" t="s">
        <v>18</v>
      </c>
      <c r="F611" s="15">
        <v>42</v>
      </c>
      <c r="G611" s="262">
        <f>'[5]REV-PENAWARAN PER JAN''22'!$E$233</f>
        <v>5999300</v>
      </c>
      <c r="H611" s="258">
        <f>List34[[#This Row],[Pengajuan Donasi]]</f>
        <v>6000000</v>
      </c>
      <c r="I611" s="213" t="str">
        <f>IF(List34[[#This Row],[Tanggal Trf]]&gt;0,"Done","-")</f>
        <v>Done</v>
      </c>
      <c r="J611" s="442" t="s">
        <v>821</v>
      </c>
      <c r="K611" s="613">
        <v>44589</v>
      </c>
      <c r="L611" s="100" t="s">
        <v>1015</v>
      </c>
      <c r="M611" s="100">
        <f>MONTH(List34[[#This Row],[Tanggal Pengajuan]])</f>
        <v>7</v>
      </c>
      <c r="N611" s="183"/>
      <c r="O611" s="105" t="s">
        <v>651</v>
      </c>
      <c r="P611" s="111"/>
      <c r="Q611" s="229"/>
      <c r="S611" s="275"/>
    </row>
    <row r="612" spans="1:20" s="4" customFormat="1" ht="15.75" x14ac:dyDescent="0.2">
      <c r="A612" s="13">
        <v>44644</v>
      </c>
      <c r="B612" s="593"/>
      <c r="C612" s="14" t="s">
        <v>852</v>
      </c>
      <c r="D612" s="14" t="s">
        <v>17</v>
      </c>
      <c r="E612" s="103" t="s">
        <v>18</v>
      </c>
      <c r="F612" s="15">
        <v>42</v>
      </c>
      <c r="G612" s="258">
        <v>5999700</v>
      </c>
      <c r="H612" s="258">
        <v>5999700</v>
      </c>
      <c r="I612" s="213" t="str">
        <f>IF(List34[[#This Row],[Tanggal Trf]]&gt;0,"Done","-")</f>
        <v>Done</v>
      </c>
      <c r="J612" s="445" t="s">
        <v>25</v>
      </c>
      <c r="K612" s="613">
        <v>44645</v>
      </c>
      <c r="L612" s="100" t="s">
        <v>1015</v>
      </c>
      <c r="M612" s="20">
        <f>MONTH(List34[[#This Row],[Tanggal Pengajuan]])</f>
        <v>7</v>
      </c>
      <c r="N612" s="183"/>
      <c r="O612" s="100" t="s">
        <v>707</v>
      </c>
      <c r="P612" s="111"/>
      <c r="Q612" s="229"/>
      <c r="S612" s="275"/>
    </row>
    <row r="613" spans="1:20" s="4" customFormat="1" ht="15.75" x14ac:dyDescent="0.2">
      <c r="A613" s="13">
        <v>44651</v>
      </c>
      <c r="B613" s="67"/>
      <c r="C613" s="14" t="s">
        <v>852</v>
      </c>
      <c r="D613" s="14" t="s">
        <v>17</v>
      </c>
      <c r="E613" s="103" t="s">
        <v>18</v>
      </c>
      <c r="F613" s="15">
        <v>42</v>
      </c>
      <c r="G613" s="258">
        <v>5998400</v>
      </c>
      <c r="H613" s="258">
        <f>List34[[#This Row],[Pengajuan Donasi]]</f>
        <v>6000000</v>
      </c>
      <c r="I613" s="213" t="str">
        <f>IF(List34[[#This Row],[Tanggal Trf]]&gt;0,"Done","-")</f>
        <v>Done</v>
      </c>
      <c r="J613" s="445" t="s">
        <v>25</v>
      </c>
      <c r="K613" s="613">
        <v>44652</v>
      </c>
      <c r="L613" s="100" t="s">
        <v>1015</v>
      </c>
      <c r="M613" s="100">
        <f>MONTH(List34[[#This Row],[Tanggal Pengajuan]])</f>
        <v>7</v>
      </c>
      <c r="N613" s="183"/>
      <c r="O613" s="100" t="s">
        <v>746</v>
      </c>
      <c r="P613" s="111"/>
      <c r="Q613" s="229"/>
      <c r="S613" s="275"/>
    </row>
    <row r="614" spans="1:20" s="4" customFormat="1" ht="15.75" x14ac:dyDescent="0.2">
      <c r="A614" s="13">
        <v>44678</v>
      </c>
      <c r="B614" s="67"/>
      <c r="C614" s="14" t="s">
        <v>852</v>
      </c>
      <c r="D614" s="14" t="s">
        <v>17</v>
      </c>
      <c r="E614" s="103" t="s">
        <v>18</v>
      </c>
      <c r="F614" s="15">
        <v>42</v>
      </c>
      <c r="G614" s="258">
        <v>6165300</v>
      </c>
      <c r="H614" s="258">
        <f>List34[[#This Row],[Pengajuan Donasi]]</f>
        <v>6002460</v>
      </c>
      <c r="I614" s="213" t="str">
        <f>IF(List34[[#This Row],[Tanggal Trf]]&gt;0,"Done","-")</f>
        <v>Done</v>
      </c>
      <c r="J614" s="445" t="s">
        <v>25</v>
      </c>
      <c r="K614" s="613">
        <v>44679</v>
      </c>
      <c r="L614" s="100" t="s">
        <v>1015</v>
      </c>
      <c r="M614" s="100">
        <f>MONTH(List34[[#This Row],[Tanggal Pengajuan]])</f>
        <v>7</v>
      </c>
      <c r="N614" s="183">
        <v>44686</v>
      </c>
      <c r="O614" s="100" t="s">
        <v>795</v>
      </c>
      <c r="P614" s="111"/>
      <c r="Q614" s="229"/>
      <c r="S614" s="275"/>
    </row>
    <row r="615" spans="1:20" s="4" customFormat="1" ht="15.75" x14ac:dyDescent="0.2">
      <c r="A615" s="13">
        <v>44711</v>
      </c>
      <c r="B615" s="163"/>
      <c r="C615" s="14" t="s">
        <v>852</v>
      </c>
      <c r="D615" s="14" t="s">
        <v>17</v>
      </c>
      <c r="E615" s="103" t="s">
        <v>18</v>
      </c>
      <c r="F615" s="15">
        <v>42</v>
      </c>
      <c r="G615" s="258">
        <v>6140200</v>
      </c>
      <c r="H615" s="258">
        <f>List34[[#This Row],[Pengajuan Donasi]]</f>
        <v>6400000</v>
      </c>
      <c r="I615" s="213" t="str">
        <f>IF(List34[[#This Row],[Tanggal Trf]]&gt;0,"Done","-")</f>
        <v>Done</v>
      </c>
      <c r="J615" s="445"/>
      <c r="K615" s="613">
        <v>44715</v>
      </c>
      <c r="L615" s="100" t="s">
        <v>1015</v>
      </c>
      <c r="M615" s="100">
        <f>MONTH(List34[[#This Row],[Tanggal Pengajuan]])</f>
        <v>7</v>
      </c>
      <c r="N615" s="183">
        <v>44747</v>
      </c>
      <c r="O615" s="100" t="s">
        <v>932</v>
      </c>
      <c r="P615" s="111"/>
      <c r="Q615" s="229"/>
      <c r="S615" s="275"/>
    </row>
    <row r="616" spans="1:20" s="4" customFormat="1" ht="15.75" x14ac:dyDescent="0.2">
      <c r="A616" s="13">
        <v>44736</v>
      </c>
      <c r="B616" s="67"/>
      <c r="C616" s="14" t="s">
        <v>852</v>
      </c>
      <c r="D616" s="14" t="s">
        <v>17</v>
      </c>
      <c r="E616" s="103" t="s">
        <v>18</v>
      </c>
      <c r="F616" s="471">
        <v>42</v>
      </c>
      <c r="G616" s="258">
        <v>5999500</v>
      </c>
      <c r="H616" s="258">
        <f>List34[[#This Row],[Pengajuan Donasi]]</f>
        <v>0</v>
      </c>
      <c r="I616" s="213" t="str">
        <f>IF(List34[[#This Row],[Tanggal Trf]]&gt;0,"Done","-")</f>
        <v>Done</v>
      </c>
      <c r="J616" s="445"/>
      <c r="K616" s="224">
        <v>44741</v>
      </c>
      <c r="L616" s="100" t="s">
        <v>1015</v>
      </c>
      <c r="M616" s="100">
        <f>MONTH(List34[[#This Row],[Tanggal Pengajuan]])</f>
        <v>7</v>
      </c>
      <c r="N616" s="183"/>
      <c r="O616" s="100" t="s">
        <v>1116</v>
      </c>
      <c r="P616" s="111"/>
      <c r="Q616" s="229"/>
      <c r="S616" s="275"/>
    </row>
    <row r="617" spans="1:20" s="4" customFormat="1" ht="24.75" x14ac:dyDescent="0.2">
      <c r="A617" s="13">
        <v>44754</v>
      </c>
      <c r="B617" s="67"/>
      <c r="C617" s="14" t="s">
        <v>852</v>
      </c>
      <c r="D617" s="14" t="s">
        <v>17</v>
      </c>
      <c r="E617" s="103" t="s">
        <v>18</v>
      </c>
      <c r="F617" s="471">
        <v>42</v>
      </c>
      <c r="G617" s="258">
        <v>6000000</v>
      </c>
      <c r="H617" s="258">
        <f>List34[[#This Row],[Pengajuan Donasi]]</f>
        <v>0</v>
      </c>
      <c r="I617" s="213" t="str">
        <f>IF(List34[[#This Row],[Tanggal Trf]]&gt;0,"Done","-")</f>
        <v>Done</v>
      </c>
      <c r="J617" s="445" t="s">
        <v>1176</v>
      </c>
      <c r="K617" s="224">
        <v>44764</v>
      </c>
      <c r="L617" s="100" t="s">
        <v>1213</v>
      </c>
      <c r="M617" s="100">
        <f>MONTH(List34[[#This Row],[Tanggal Pengajuan]])</f>
        <v>7</v>
      </c>
      <c r="N617" s="183">
        <v>44775</v>
      </c>
      <c r="O617" s="105" t="s">
        <v>1180</v>
      </c>
      <c r="P617" s="111"/>
      <c r="Q617" s="229"/>
      <c r="S617" s="275"/>
    </row>
    <row r="618" spans="1:20" s="4" customFormat="1" ht="29.25" x14ac:dyDescent="0.2">
      <c r="A618" s="13">
        <v>44781</v>
      </c>
      <c r="B618" s="67"/>
      <c r="C618" s="14" t="s">
        <v>852</v>
      </c>
      <c r="D618" s="14" t="s">
        <v>17</v>
      </c>
      <c r="E618" s="103" t="s">
        <v>18</v>
      </c>
      <c r="F618" s="471">
        <v>42</v>
      </c>
      <c r="G618" s="258">
        <v>6000000</v>
      </c>
      <c r="H618" s="258">
        <f>List34[[#This Row],[Pengajuan Donasi]]</f>
        <v>6250560</v>
      </c>
      <c r="I618" s="213" t="str">
        <f>IF(List34[[#This Row],[Tanggal Trf]]&gt;0,"Done","-")</f>
        <v>Done</v>
      </c>
      <c r="J618" s="14" t="s">
        <v>1206</v>
      </c>
      <c r="K618" s="224">
        <v>44792</v>
      </c>
      <c r="L618" s="100" t="s">
        <v>1213</v>
      </c>
      <c r="M618" s="100">
        <f>MONTH(List34[[#This Row],[Tanggal Pengajuan]])</f>
        <v>8</v>
      </c>
      <c r="N618" s="183"/>
      <c r="O618" s="105" t="s">
        <v>888</v>
      </c>
      <c r="P618" s="111"/>
      <c r="Q618" s="229"/>
      <c r="S618" s="275"/>
      <c r="T618" s="738">
        <f>SUM(G611:G618)</f>
        <v>48302400</v>
      </c>
    </row>
    <row r="619" spans="1:20" s="4" customFormat="1" ht="15.75" x14ac:dyDescent="0.2">
      <c r="A619" s="13">
        <v>44587</v>
      </c>
      <c r="B619" s="67"/>
      <c r="C619" s="14" t="s">
        <v>870</v>
      </c>
      <c r="D619" s="14" t="s">
        <v>17</v>
      </c>
      <c r="E619" s="103" t="s">
        <v>18</v>
      </c>
      <c r="F619" s="15">
        <v>19</v>
      </c>
      <c r="G619" s="262">
        <f>'[5]REV-PENAWARAN PER JAN''22'!$E$90</f>
        <v>6000400</v>
      </c>
      <c r="H619" s="258">
        <f>List34[[#This Row],[Pengajuan Donasi]]</f>
        <v>6249860</v>
      </c>
      <c r="I619" s="213" t="str">
        <f>IF(List34[[#This Row],[Tanggal Trf]]&gt;0,"Done","-")</f>
        <v>Done</v>
      </c>
      <c r="J619" s="442" t="s">
        <v>818</v>
      </c>
      <c r="K619" s="613">
        <v>44589</v>
      </c>
      <c r="L619" s="100" t="s">
        <v>1015</v>
      </c>
      <c r="M619" s="100">
        <f>MONTH(List34[[#This Row],[Tanggal Pengajuan]])</f>
        <v>8</v>
      </c>
      <c r="N619" s="183"/>
      <c r="O619" s="105" t="s">
        <v>687</v>
      </c>
      <c r="P619" s="111"/>
      <c r="Q619" s="229"/>
      <c r="S619" s="275"/>
    </row>
    <row r="620" spans="1:20" s="4" customFormat="1" ht="15.75" x14ac:dyDescent="0.2">
      <c r="A620" s="13">
        <v>44644</v>
      </c>
      <c r="B620" s="593"/>
      <c r="C620" s="14" t="s">
        <v>870</v>
      </c>
      <c r="D620" s="14" t="s">
        <v>17</v>
      </c>
      <c r="E620" s="103" t="s">
        <v>18</v>
      </c>
      <c r="F620" s="15">
        <v>19</v>
      </c>
      <c r="G620" s="258">
        <v>5999800</v>
      </c>
      <c r="H620" s="258">
        <v>5999800</v>
      </c>
      <c r="I620" s="213" t="str">
        <f>IF(List34[[#This Row],[Tanggal Trf]]&gt;0,"Done","-")</f>
        <v>-</v>
      </c>
      <c r="J620" s="445" t="s">
        <v>25</v>
      </c>
      <c r="K620" s="613">
        <v>44645</v>
      </c>
      <c r="L620" s="100" t="s">
        <v>1015</v>
      </c>
      <c r="M620" s="20">
        <f>MONTH(List34[[#This Row],[Tanggal Pengajuan]])</f>
        <v>8</v>
      </c>
      <c r="N620" s="183"/>
      <c r="O620" s="105" t="s">
        <v>707</v>
      </c>
      <c r="P620" s="111"/>
      <c r="Q620" s="229"/>
      <c r="S620" s="275"/>
    </row>
    <row r="621" spans="1:20" s="4" customFormat="1" ht="15.75" x14ac:dyDescent="0.2">
      <c r="A621" s="13">
        <v>44651</v>
      </c>
      <c r="B621" s="67"/>
      <c r="C621" s="14" t="s">
        <v>870</v>
      </c>
      <c r="D621" s="14" t="s">
        <v>17</v>
      </c>
      <c r="E621" s="103" t="s">
        <v>18</v>
      </c>
      <c r="F621" s="15">
        <v>19</v>
      </c>
      <c r="G621" s="258">
        <v>5999700</v>
      </c>
      <c r="H621" s="258">
        <f>List34[[#This Row],[Pengajuan Donasi]]</f>
        <v>3820000</v>
      </c>
      <c r="I621" s="213" t="str">
        <f>IF(List34[[#This Row],[Tanggal Trf]]&gt;0,"Done","-")</f>
        <v>Done</v>
      </c>
      <c r="J621" s="445" t="s">
        <v>25</v>
      </c>
      <c r="K621" s="613">
        <v>44652</v>
      </c>
      <c r="L621" s="100" t="s">
        <v>1015</v>
      </c>
      <c r="M621" s="100">
        <f>MONTH(List34[[#This Row],[Tanggal Pengajuan]])</f>
        <v>8</v>
      </c>
      <c r="N621" s="183"/>
      <c r="O621" s="105" t="s">
        <v>746</v>
      </c>
      <c r="P621" s="111"/>
      <c r="Q621" s="229"/>
      <c r="S621" s="275"/>
    </row>
    <row r="622" spans="1:20" s="4" customFormat="1" ht="15.75" x14ac:dyDescent="0.2">
      <c r="A622" s="13">
        <v>44678</v>
      </c>
      <c r="B622" s="67"/>
      <c r="C622" s="14" t="s">
        <v>870</v>
      </c>
      <c r="D622" s="14" t="s">
        <v>17</v>
      </c>
      <c r="E622" s="103" t="s">
        <v>18</v>
      </c>
      <c r="F622" s="15">
        <v>19</v>
      </c>
      <c r="G622" s="258">
        <v>5595800</v>
      </c>
      <c r="H622" s="258">
        <f>List34[[#This Row],[Pengajuan Donasi]]</f>
        <v>6000000</v>
      </c>
      <c r="I622" s="213" t="str">
        <f>IF(List34[[#This Row],[Tanggal Trf]]&gt;0,"Done","-")</f>
        <v>Done</v>
      </c>
      <c r="J622" s="445" t="s">
        <v>25</v>
      </c>
      <c r="K622" s="613">
        <v>44679</v>
      </c>
      <c r="L622" s="100" t="s">
        <v>1015</v>
      </c>
      <c r="M622" s="100">
        <f>MONTH(List34[[#This Row],[Tanggal Pengajuan]])</f>
        <v>8</v>
      </c>
      <c r="N622" s="183">
        <v>44686</v>
      </c>
      <c r="O622" s="105" t="s">
        <v>795</v>
      </c>
      <c r="P622" s="111"/>
      <c r="Q622" s="229"/>
      <c r="S622" s="275"/>
    </row>
    <row r="623" spans="1:20" s="4" customFormat="1" ht="15.75" x14ac:dyDescent="0.2">
      <c r="A623" s="13">
        <v>44711</v>
      </c>
      <c r="B623" s="163"/>
      <c r="C623" s="14" t="s">
        <v>870</v>
      </c>
      <c r="D623" s="14" t="s">
        <v>17</v>
      </c>
      <c r="E623" s="103" t="s">
        <v>18</v>
      </c>
      <c r="F623" s="15">
        <v>19</v>
      </c>
      <c r="G623" s="258">
        <v>5579800</v>
      </c>
      <c r="H623" s="258">
        <f>List34[[#This Row],[Pengajuan Donasi]]</f>
        <v>5000000</v>
      </c>
      <c r="I623" s="213" t="str">
        <f>IF(List34[[#This Row],[Tanggal Trf]]&gt;0,"Done","-")</f>
        <v>Done</v>
      </c>
      <c r="J623" s="445"/>
      <c r="K623" s="613">
        <v>44715</v>
      </c>
      <c r="L623" s="100" t="s">
        <v>1015</v>
      </c>
      <c r="M623" s="100">
        <f>MONTH(List34[[#This Row],[Tanggal Pengajuan]])</f>
        <v>8</v>
      </c>
      <c r="N623" s="183">
        <v>44747</v>
      </c>
      <c r="O623" s="105" t="s">
        <v>932</v>
      </c>
      <c r="P623" s="111"/>
      <c r="Q623" s="229"/>
      <c r="S623" s="275"/>
    </row>
    <row r="624" spans="1:20" s="4" customFormat="1" ht="15.75" x14ac:dyDescent="0.2">
      <c r="A624" s="13">
        <v>44736</v>
      </c>
      <c r="B624" s="67"/>
      <c r="C624" s="14" t="s">
        <v>870</v>
      </c>
      <c r="D624" s="14" t="s">
        <v>17</v>
      </c>
      <c r="E624" s="103" t="s">
        <v>18</v>
      </c>
      <c r="F624" s="471">
        <v>19</v>
      </c>
      <c r="G624" s="258">
        <v>6002300</v>
      </c>
      <c r="H624" s="258">
        <f>List34[[#This Row],[Pengajuan Donasi]]</f>
        <v>1000000</v>
      </c>
      <c r="I624" s="213" t="str">
        <f>IF(List34[[#This Row],[Tanggal Trf]]&gt;0,"Done","-")</f>
        <v>Done</v>
      </c>
      <c r="J624" s="445"/>
      <c r="K624" s="224">
        <v>44741</v>
      </c>
      <c r="L624" s="100" t="s">
        <v>1015</v>
      </c>
      <c r="M624" s="100">
        <f>MONTH(List34[[#This Row],[Tanggal Pengajuan]])</f>
        <v>8</v>
      </c>
      <c r="N624" s="183"/>
      <c r="O624" s="105" t="s">
        <v>1116</v>
      </c>
      <c r="P624" s="111"/>
      <c r="Q624" s="229"/>
      <c r="S624" s="275"/>
    </row>
    <row r="625" spans="1:20" s="4" customFormat="1" ht="24.75" x14ac:dyDescent="0.2">
      <c r="A625" s="13">
        <v>44754</v>
      </c>
      <c r="B625" s="67"/>
      <c r="C625" s="14" t="s">
        <v>870</v>
      </c>
      <c r="D625" s="14" t="s">
        <v>17</v>
      </c>
      <c r="E625" s="103" t="s">
        <v>18</v>
      </c>
      <c r="F625" s="471">
        <v>19</v>
      </c>
      <c r="G625" s="258">
        <v>6000000</v>
      </c>
      <c r="H625" s="258">
        <f>List34[[#This Row],[Pengajuan Donasi]]</f>
        <v>1000000</v>
      </c>
      <c r="I625" s="213" t="str">
        <f>IF(List34[[#This Row],[Tanggal Trf]]&gt;0,"Done","-")</f>
        <v>Done</v>
      </c>
      <c r="J625" s="445" t="s">
        <v>1176</v>
      </c>
      <c r="K625" s="224">
        <v>44764</v>
      </c>
      <c r="L625" s="100" t="s">
        <v>1213</v>
      </c>
      <c r="M625" s="100">
        <f>MONTH(List34[[#This Row],[Tanggal Pengajuan]])</f>
        <v>8</v>
      </c>
      <c r="N625" s="183">
        <v>44775</v>
      </c>
      <c r="O625" s="105" t="s">
        <v>1180</v>
      </c>
      <c r="P625" s="111"/>
      <c r="Q625" s="229"/>
      <c r="S625" s="275"/>
    </row>
    <row r="626" spans="1:20" s="4" customFormat="1" ht="29.25" x14ac:dyDescent="0.2">
      <c r="A626" s="13">
        <v>44781</v>
      </c>
      <c r="B626" s="67"/>
      <c r="C626" s="14" t="s">
        <v>870</v>
      </c>
      <c r="D626" s="14" t="s">
        <v>17</v>
      </c>
      <c r="E626" s="103" t="s">
        <v>18</v>
      </c>
      <c r="F626" s="471">
        <v>0</v>
      </c>
      <c r="G626" s="258">
        <v>6000000</v>
      </c>
      <c r="H626" s="258">
        <f>List34[[#This Row],[Pengajuan Donasi]]</f>
        <v>1000000</v>
      </c>
      <c r="I626" s="213" t="str">
        <f>IF(List34[[#This Row],[Tanggal Trf]]&gt;0,"Done","-")</f>
        <v>Done</v>
      </c>
      <c r="J626" s="14" t="s">
        <v>1206</v>
      </c>
      <c r="K626" s="224">
        <v>44792</v>
      </c>
      <c r="L626" s="100" t="s">
        <v>1213</v>
      </c>
      <c r="M626" s="100">
        <f>MONTH(List34[[#This Row],[Tanggal Pengajuan]])</f>
        <v>8</v>
      </c>
      <c r="N626" s="183"/>
      <c r="O626" s="105" t="s">
        <v>888</v>
      </c>
      <c r="P626" s="111"/>
      <c r="Q626" s="229"/>
      <c r="S626" s="275"/>
      <c r="T626" s="738">
        <f>SUM(G619:G626)</f>
        <v>47177800</v>
      </c>
    </row>
    <row r="627" spans="1:20" s="4" customFormat="1" ht="15.75" x14ac:dyDescent="0.2">
      <c r="A627" s="13">
        <v>44587</v>
      </c>
      <c r="B627" s="67"/>
      <c r="C627" s="14" t="s">
        <v>328</v>
      </c>
      <c r="D627" s="14" t="s">
        <v>17</v>
      </c>
      <c r="E627" s="103" t="s">
        <v>18</v>
      </c>
      <c r="F627" s="15">
        <v>14</v>
      </c>
      <c r="G627" s="262">
        <f>'[5]REV-PENAWARAN PER JAN''22'!$E$948</f>
        <v>5999000</v>
      </c>
      <c r="H627" s="258">
        <f>List34[[#This Row],[Pengajuan Donasi]]</f>
        <v>1000000</v>
      </c>
      <c r="I627" s="213" t="str">
        <f>IF(List34[[#This Row],[Tanggal Trf]]&gt;0,"Done","-")</f>
        <v>Done</v>
      </c>
      <c r="J627" s="442" t="s">
        <v>836</v>
      </c>
      <c r="K627" s="613">
        <v>44589</v>
      </c>
      <c r="L627" s="100" t="s">
        <v>1015</v>
      </c>
      <c r="M627" s="100">
        <f>MONTH(List34[[#This Row],[Tanggal Pengajuan]])</f>
        <v>8</v>
      </c>
      <c r="N627" s="183"/>
      <c r="O627" s="105" t="s">
        <v>651</v>
      </c>
      <c r="P627" s="111"/>
      <c r="Q627" s="229"/>
      <c r="S627" s="275"/>
    </row>
    <row r="628" spans="1:20" s="4" customFormat="1" ht="15.75" x14ac:dyDescent="0.2">
      <c r="A628" s="13">
        <v>44644</v>
      </c>
      <c r="B628" s="593"/>
      <c r="C628" s="14" t="s">
        <v>328</v>
      </c>
      <c r="D628" s="14" t="s">
        <v>17</v>
      </c>
      <c r="E628" s="103" t="s">
        <v>18</v>
      </c>
      <c r="F628" s="15">
        <v>14</v>
      </c>
      <c r="G628" s="258">
        <v>5999100</v>
      </c>
      <c r="H628" s="258">
        <f>List34[[#This Row],[Pengajuan Donasi]]</f>
        <v>1000000</v>
      </c>
      <c r="I628" s="213" t="str">
        <f>IF(List34[[#This Row],[Tanggal Trf]]&gt;0,"Done","-")</f>
        <v>Done</v>
      </c>
      <c r="J628" s="445" t="s">
        <v>25</v>
      </c>
      <c r="K628" s="613">
        <v>44645</v>
      </c>
      <c r="L628" s="100" t="s">
        <v>1015</v>
      </c>
      <c r="M628" s="20">
        <f>MONTH(List34[[#This Row],[Tanggal Pengajuan]])</f>
        <v>8</v>
      </c>
      <c r="N628" s="183"/>
      <c r="O628" s="105" t="s">
        <v>707</v>
      </c>
      <c r="P628" s="111"/>
      <c r="Q628" s="229"/>
      <c r="S628" s="275"/>
    </row>
    <row r="629" spans="1:20" s="4" customFormat="1" ht="15.75" x14ac:dyDescent="0.2">
      <c r="A629" s="13">
        <v>44651</v>
      </c>
      <c r="B629" s="593"/>
      <c r="C629" s="14" t="s">
        <v>328</v>
      </c>
      <c r="D629" s="14" t="s">
        <v>17</v>
      </c>
      <c r="E629" s="103" t="s">
        <v>18</v>
      </c>
      <c r="F629" s="15">
        <v>14</v>
      </c>
      <c r="G629" s="258">
        <v>5999900</v>
      </c>
      <c r="H629" s="258">
        <f>List34[[#This Row],[Pengajuan Donasi]]</f>
        <v>1000000</v>
      </c>
      <c r="I629" s="215" t="str">
        <f>IF(List34[[#This Row],[Tanggal Trf]]&gt;0,"Done","-")</f>
        <v>Done</v>
      </c>
      <c r="J629" s="445" t="s">
        <v>25</v>
      </c>
      <c r="K629" s="613">
        <v>44652</v>
      </c>
      <c r="L629" s="100" t="s">
        <v>1015</v>
      </c>
      <c r="M629" s="20">
        <f>MONTH(List34[[#This Row],[Tanggal Pengajuan]])</f>
        <v>8</v>
      </c>
      <c r="N629" s="183"/>
      <c r="O629" s="105" t="s">
        <v>746</v>
      </c>
      <c r="P629" s="111"/>
      <c r="Q629" s="229"/>
      <c r="S629" s="275"/>
    </row>
    <row r="630" spans="1:20" s="4" customFormat="1" ht="15.75" x14ac:dyDescent="0.2">
      <c r="A630" s="13">
        <v>44678</v>
      </c>
      <c r="B630" s="67"/>
      <c r="C630" s="14" t="s">
        <v>328</v>
      </c>
      <c r="D630" s="14" t="s">
        <v>17</v>
      </c>
      <c r="E630" s="103" t="s">
        <v>18</v>
      </c>
      <c r="F630" s="15">
        <v>14</v>
      </c>
      <c r="G630" s="258">
        <v>5023500</v>
      </c>
      <c r="H630" s="258">
        <f>List34[[#This Row],[Pengajuan Donasi]]</f>
        <v>1000000</v>
      </c>
      <c r="I630" s="213" t="str">
        <f>IF(List34[[#This Row],[Tanggal Trf]]&gt;0,"Done","-")</f>
        <v>Done</v>
      </c>
      <c r="J630" s="445" t="s">
        <v>25</v>
      </c>
      <c r="K630" s="613">
        <v>44679</v>
      </c>
      <c r="L630" s="100" t="s">
        <v>1015</v>
      </c>
      <c r="M630" s="100">
        <f>MONTH(List34[[#This Row],[Tanggal Pengajuan]])</f>
        <v>8</v>
      </c>
      <c r="N630" s="183">
        <v>44686</v>
      </c>
      <c r="O630" s="105" t="s">
        <v>795</v>
      </c>
      <c r="P630" s="111"/>
      <c r="Q630" s="229"/>
      <c r="S630" s="275"/>
    </row>
    <row r="631" spans="1:20" s="4" customFormat="1" ht="15.75" x14ac:dyDescent="0.2">
      <c r="A631" s="13">
        <v>44711</v>
      </c>
      <c r="B631" s="163"/>
      <c r="C631" s="14" t="s">
        <v>328</v>
      </c>
      <c r="D631" s="14" t="s">
        <v>17</v>
      </c>
      <c r="E631" s="103" t="s">
        <v>18</v>
      </c>
      <c r="F631" s="15">
        <v>14</v>
      </c>
      <c r="G631" s="258">
        <v>4998500</v>
      </c>
      <c r="H631" s="258">
        <f>List34[[#This Row],[Pengajuan Donasi]]</f>
        <v>1000000</v>
      </c>
      <c r="I631" s="213" t="str">
        <f>IF(List34[[#This Row],[Tanggal Trf]]&gt;0,"Done","-")</f>
        <v>Done</v>
      </c>
      <c r="J631" s="445"/>
      <c r="K631" s="613">
        <v>44715</v>
      </c>
      <c r="L631" s="100" t="s">
        <v>1015</v>
      </c>
      <c r="M631" s="100">
        <f>MONTH(List34[[#This Row],[Tanggal Pengajuan]])</f>
        <v>8</v>
      </c>
      <c r="N631" s="183">
        <v>44747</v>
      </c>
      <c r="O631" s="105" t="s">
        <v>932</v>
      </c>
      <c r="P631" s="111"/>
      <c r="Q631" s="229"/>
      <c r="S631" s="275"/>
    </row>
    <row r="632" spans="1:20" s="4" customFormat="1" ht="15.75" x14ac:dyDescent="0.2">
      <c r="A632" s="13">
        <v>44736</v>
      </c>
      <c r="B632" s="67"/>
      <c r="C632" s="14" t="s">
        <v>328</v>
      </c>
      <c r="D632" s="14" t="s">
        <v>17</v>
      </c>
      <c r="E632" s="103" t="s">
        <v>18</v>
      </c>
      <c r="F632" s="471">
        <v>14</v>
      </c>
      <c r="G632" s="258">
        <v>5507900</v>
      </c>
      <c r="H632" s="258">
        <f>List34[[#This Row],[Pengajuan Donasi]]</f>
        <v>1000000</v>
      </c>
      <c r="I632" s="213" t="str">
        <f>IF(List34[[#This Row],[Tanggal Trf]]&gt;0,"Done","-")</f>
        <v>Done</v>
      </c>
      <c r="J632" s="445"/>
      <c r="K632" s="224">
        <v>44741</v>
      </c>
      <c r="L632" s="100" t="s">
        <v>1015</v>
      </c>
      <c r="M632" s="100">
        <f>MONTH(List34[[#This Row],[Tanggal Pengajuan]])</f>
        <v>8</v>
      </c>
      <c r="N632" s="183"/>
      <c r="O632" s="105" t="s">
        <v>1116</v>
      </c>
      <c r="P632" s="111"/>
      <c r="Q632" s="229"/>
      <c r="S632" s="275"/>
    </row>
    <row r="633" spans="1:20" s="4" customFormat="1" ht="24.75" x14ac:dyDescent="0.2">
      <c r="A633" s="13">
        <v>44754</v>
      </c>
      <c r="B633" s="67"/>
      <c r="C633" s="14" t="s">
        <v>328</v>
      </c>
      <c r="D633" s="14" t="s">
        <v>17</v>
      </c>
      <c r="E633" s="103" t="s">
        <v>18</v>
      </c>
      <c r="F633" s="471">
        <v>98</v>
      </c>
      <c r="G633" s="258">
        <v>6000000</v>
      </c>
      <c r="H633" s="258">
        <f>List34[[#This Row],[Pengajuan Donasi]]</f>
        <v>1000000</v>
      </c>
      <c r="I633" s="213" t="str">
        <f>IF(List34[[#This Row],[Tanggal Trf]]&gt;0,"Done","-")</f>
        <v>Done</v>
      </c>
      <c r="J633" s="445" t="s">
        <v>1176</v>
      </c>
      <c r="K633" s="224">
        <v>44764</v>
      </c>
      <c r="L633" s="100" t="s">
        <v>1213</v>
      </c>
      <c r="M633" s="100">
        <f>MONTH(List34[[#This Row],[Tanggal Pengajuan]])</f>
        <v>8</v>
      </c>
      <c r="N633" s="183">
        <v>44775</v>
      </c>
      <c r="O633" s="105" t="s">
        <v>1180</v>
      </c>
      <c r="P633" s="111"/>
      <c r="Q633" s="229"/>
      <c r="S633" s="275"/>
    </row>
    <row r="634" spans="1:20" s="4" customFormat="1" ht="29.25" x14ac:dyDescent="0.2">
      <c r="A634" s="13">
        <v>44781</v>
      </c>
      <c r="B634" s="67"/>
      <c r="C634" s="14" t="s">
        <v>328</v>
      </c>
      <c r="D634" s="14" t="s">
        <v>17</v>
      </c>
      <c r="E634" s="103" t="s">
        <v>18</v>
      </c>
      <c r="F634" s="471">
        <v>14</v>
      </c>
      <c r="G634" s="258">
        <v>6000000</v>
      </c>
      <c r="H634" s="258">
        <f>List34[[#This Row],[Pengajuan Donasi]]</f>
        <v>1000000</v>
      </c>
      <c r="I634" s="213" t="str">
        <f>IF(List34[[#This Row],[Tanggal Trf]]&gt;0,"Done","-")</f>
        <v>Done</v>
      </c>
      <c r="J634" s="14" t="s">
        <v>1206</v>
      </c>
      <c r="K634" s="224">
        <v>44792</v>
      </c>
      <c r="L634" s="100" t="s">
        <v>1213</v>
      </c>
      <c r="M634" s="100">
        <f>MONTH(List34[[#This Row],[Tanggal Pengajuan]])</f>
        <v>8</v>
      </c>
      <c r="N634" s="183"/>
      <c r="O634" s="105" t="s">
        <v>888</v>
      </c>
      <c r="P634" s="111"/>
      <c r="Q634" s="229"/>
      <c r="S634" s="275"/>
      <c r="T634" s="738">
        <f>SUM(G627:G634)</f>
        <v>45527900</v>
      </c>
    </row>
    <row r="635" spans="1:20" s="4" customFormat="1" ht="15.75" x14ac:dyDescent="0.2">
      <c r="A635" s="13">
        <v>44587</v>
      </c>
      <c r="B635" s="67"/>
      <c r="C635" s="14" t="s">
        <v>228</v>
      </c>
      <c r="D635" s="14" t="s">
        <v>17</v>
      </c>
      <c r="E635" s="103" t="s">
        <v>18</v>
      </c>
      <c r="F635" s="15">
        <v>66</v>
      </c>
      <c r="G635" s="262">
        <f>'[5]REV-PENAWARAN PER JAN''22'!$E$747</f>
        <v>5999100</v>
      </c>
      <c r="H635" s="258">
        <f>List34[[#This Row],[Pengajuan Donasi]]</f>
        <v>750000</v>
      </c>
      <c r="I635" s="213" t="str">
        <f>IF(List34[[#This Row],[Tanggal Trf]]&gt;0,"Done","-")</f>
        <v>Done</v>
      </c>
      <c r="J635" s="442" t="s">
        <v>832</v>
      </c>
      <c r="K635" s="613">
        <v>44589</v>
      </c>
      <c r="L635" s="100" t="s">
        <v>1015</v>
      </c>
      <c r="M635" s="100">
        <f>MONTH(List34[[#This Row],[Tanggal Pengajuan]])</f>
        <v>8</v>
      </c>
      <c r="N635" s="183"/>
      <c r="O635" s="105" t="s">
        <v>651</v>
      </c>
      <c r="P635" s="111"/>
      <c r="Q635" s="229"/>
      <c r="S635" s="275"/>
    </row>
    <row r="636" spans="1:20" s="4" customFormat="1" ht="15.75" x14ac:dyDescent="0.2">
      <c r="A636" s="13">
        <v>44644</v>
      </c>
      <c r="B636" s="593"/>
      <c r="C636" s="14" t="s">
        <v>228</v>
      </c>
      <c r="D636" s="14" t="s">
        <v>17</v>
      </c>
      <c r="E636" s="103" t="s">
        <v>18</v>
      </c>
      <c r="F636" s="15">
        <v>66</v>
      </c>
      <c r="G636" s="258">
        <v>5999900</v>
      </c>
      <c r="H636" s="258">
        <f>List34[[#This Row],[Pengajuan Donasi]]</f>
        <v>750000</v>
      </c>
      <c r="I636" s="213" t="str">
        <f>IF(List34[[#This Row],[Tanggal Trf]]&gt;0,"Done","-")</f>
        <v>Done</v>
      </c>
      <c r="J636" s="445" t="s">
        <v>25</v>
      </c>
      <c r="K636" s="613">
        <v>44645</v>
      </c>
      <c r="L636" s="100" t="s">
        <v>1015</v>
      </c>
      <c r="M636" s="20">
        <f>MONTH(List34[[#This Row],[Tanggal Pengajuan]])</f>
        <v>8</v>
      </c>
      <c r="N636" s="183"/>
      <c r="O636" s="105" t="s">
        <v>707</v>
      </c>
      <c r="P636" s="111"/>
      <c r="Q636" s="229"/>
      <c r="S636" s="275"/>
    </row>
    <row r="637" spans="1:20" s="4" customFormat="1" ht="15.75" x14ac:dyDescent="0.2">
      <c r="A637" s="13">
        <v>44651</v>
      </c>
      <c r="B637" s="67"/>
      <c r="C637" s="14" t="s">
        <v>228</v>
      </c>
      <c r="D637" s="14" t="s">
        <v>17</v>
      </c>
      <c r="E637" s="103" t="s">
        <v>18</v>
      </c>
      <c r="F637" s="15">
        <v>66</v>
      </c>
      <c r="G637" s="258">
        <v>5996900</v>
      </c>
      <c r="H637" s="258">
        <f>List34[[#This Row],[Pengajuan Donasi]]</f>
        <v>750000</v>
      </c>
      <c r="I637" s="213" t="str">
        <f>IF(List34[[#This Row],[Tanggal Trf]]&gt;0,"Done","-")</f>
        <v>Done</v>
      </c>
      <c r="J637" s="445" t="s">
        <v>25</v>
      </c>
      <c r="K637" s="613">
        <v>44652</v>
      </c>
      <c r="L637" s="100" t="s">
        <v>1015</v>
      </c>
      <c r="M637" s="100">
        <f>MONTH(List34[[#This Row],[Tanggal Pengajuan]])</f>
        <v>8</v>
      </c>
      <c r="N637" s="183"/>
      <c r="O637" s="105" t="s">
        <v>746</v>
      </c>
      <c r="P637" s="111"/>
      <c r="Q637" s="229"/>
      <c r="S637" s="275"/>
    </row>
    <row r="638" spans="1:20" s="4" customFormat="1" ht="15.75" x14ac:dyDescent="0.2">
      <c r="A638" s="13">
        <v>44678</v>
      </c>
      <c r="B638" s="67"/>
      <c r="C638" s="14" t="s">
        <v>228</v>
      </c>
      <c r="D638" s="14" t="s">
        <v>17</v>
      </c>
      <c r="E638" s="103" t="s">
        <v>18</v>
      </c>
      <c r="F638" s="15">
        <v>66</v>
      </c>
      <c r="G638" s="258">
        <v>6159100</v>
      </c>
      <c r="H638" s="258">
        <f>List34[[#This Row],[Pengajuan Donasi]]</f>
        <v>0</v>
      </c>
      <c r="I638" s="213" t="str">
        <f>IF(List34[[#This Row],[Tanggal Trf]]&gt;0,"Done","-")</f>
        <v>-</v>
      </c>
      <c r="J638" s="445" t="s">
        <v>25</v>
      </c>
      <c r="K638" s="613">
        <v>44679</v>
      </c>
      <c r="L638" s="100" t="s">
        <v>1015</v>
      </c>
      <c r="M638" s="100">
        <f>MONTH(List34[[#This Row],[Tanggal Pengajuan]])</f>
        <v>8</v>
      </c>
      <c r="N638" s="183">
        <v>44686</v>
      </c>
      <c r="O638" s="105" t="s">
        <v>795</v>
      </c>
      <c r="P638" s="111"/>
      <c r="Q638" s="229"/>
      <c r="S638" s="275"/>
    </row>
    <row r="639" spans="1:20" s="4" customFormat="1" ht="15.75" x14ac:dyDescent="0.2">
      <c r="A639" s="13">
        <v>44711</v>
      </c>
      <c r="B639" s="163"/>
      <c r="C639" s="14" t="s">
        <v>228</v>
      </c>
      <c r="D639" s="14" t="s">
        <v>17</v>
      </c>
      <c r="E639" s="103" t="s">
        <v>18</v>
      </c>
      <c r="F639" s="15">
        <v>66</v>
      </c>
      <c r="G639" s="258">
        <v>6179900</v>
      </c>
      <c r="H639" s="258">
        <f>List34[[#This Row],[Pengajuan Donasi]]</f>
        <v>10000000</v>
      </c>
      <c r="I639" s="213" t="str">
        <f>IF(List34[[#This Row],[Tanggal Trf]]&gt;0,"Done","-")</f>
        <v>Done</v>
      </c>
      <c r="J639" s="445"/>
      <c r="K639" s="613">
        <v>44715</v>
      </c>
      <c r="L639" s="100" t="s">
        <v>1015</v>
      </c>
      <c r="M639" s="100">
        <f>MONTH(List34[[#This Row],[Tanggal Pengajuan]])</f>
        <v>8</v>
      </c>
      <c r="N639" s="183">
        <v>44747</v>
      </c>
      <c r="O639" s="105" t="s">
        <v>932</v>
      </c>
      <c r="P639" s="111"/>
      <c r="Q639" s="229"/>
      <c r="S639" s="275"/>
    </row>
    <row r="640" spans="1:20" s="4" customFormat="1" ht="15.75" x14ac:dyDescent="0.2">
      <c r="A640" s="13">
        <v>44736</v>
      </c>
      <c r="B640" s="67"/>
      <c r="C640" s="14" t="s">
        <v>228</v>
      </c>
      <c r="D640" s="14" t="s">
        <v>17</v>
      </c>
      <c r="E640" s="103" t="s">
        <v>18</v>
      </c>
      <c r="F640" s="471">
        <v>64</v>
      </c>
      <c r="G640" s="258">
        <v>6008600</v>
      </c>
      <c r="H640" s="258">
        <f>List34[[#This Row],[Pengajuan Donasi]]</f>
        <v>10000000</v>
      </c>
      <c r="I640" s="213" t="str">
        <f>IF(List34[[#This Row],[Tanggal Trf]]&gt;0,"Done","-")</f>
        <v>Done</v>
      </c>
      <c r="J640" s="445"/>
      <c r="K640" s="224">
        <v>44741</v>
      </c>
      <c r="L640" s="100" t="s">
        <v>1015</v>
      </c>
      <c r="M640" s="100">
        <f>MONTH(List34[[#This Row],[Tanggal Pengajuan]])</f>
        <v>8</v>
      </c>
      <c r="N640" s="183"/>
      <c r="O640" s="105" t="s">
        <v>1116</v>
      </c>
      <c r="P640" s="111"/>
      <c r="Q640" s="229"/>
      <c r="S640" s="275"/>
    </row>
    <row r="641" spans="1:20" s="4" customFormat="1" ht="24.75" x14ac:dyDescent="0.2">
      <c r="A641" s="13">
        <v>44754</v>
      </c>
      <c r="B641" s="67"/>
      <c r="C641" s="14" t="s">
        <v>228</v>
      </c>
      <c r="D641" s="14" t="s">
        <v>17</v>
      </c>
      <c r="E641" s="103" t="s">
        <v>18</v>
      </c>
      <c r="F641" s="471">
        <v>64</v>
      </c>
      <c r="G641" s="258">
        <v>6000000</v>
      </c>
      <c r="H641" s="258">
        <f>List34[[#This Row],[Pengajuan Donasi]]</f>
        <v>10000000</v>
      </c>
      <c r="I641" s="213" t="str">
        <f>IF(List34[[#This Row],[Tanggal Trf]]&gt;0,"Done","-")</f>
        <v>Done</v>
      </c>
      <c r="J641" s="445" t="s">
        <v>1176</v>
      </c>
      <c r="K641" s="224">
        <v>44764</v>
      </c>
      <c r="L641" s="100" t="s">
        <v>1213</v>
      </c>
      <c r="M641" s="100">
        <f>MONTH(List34[[#This Row],[Tanggal Pengajuan]])</f>
        <v>8</v>
      </c>
      <c r="N641" s="183">
        <v>44775</v>
      </c>
      <c r="O641" s="105" t="s">
        <v>1180</v>
      </c>
      <c r="P641" s="111"/>
      <c r="Q641" s="229"/>
      <c r="S641" s="275"/>
    </row>
    <row r="642" spans="1:20" s="4" customFormat="1" ht="29.25" x14ac:dyDescent="0.2">
      <c r="A642" s="13">
        <v>44781</v>
      </c>
      <c r="B642" s="67"/>
      <c r="C642" s="14" t="s">
        <v>228</v>
      </c>
      <c r="D642" s="14" t="s">
        <v>17</v>
      </c>
      <c r="E642" s="103" t="s">
        <v>18</v>
      </c>
      <c r="F642" s="471">
        <v>0</v>
      </c>
      <c r="G642" s="258">
        <v>6000000</v>
      </c>
      <c r="H642" s="258">
        <f>List34[[#This Row],[Pengajuan Donasi]]</f>
        <v>10000000</v>
      </c>
      <c r="I642" s="213" t="str">
        <f>IF(List34[[#This Row],[Tanggal Trf]]&gt;0,"Done","-")</f>
        <v>Done</v>
      </c>
      <c r="J642" s="14" t="s">
        <v>1206</v>
      </c>
      <c r="K642" s="224">
        <v>44792</v>
      </c>
      <c r="L642" s="100" t="s">
        <v>1213</v>
      </c>
      <c r="M642" s="100">
        <f>MONTH(List34[[#This Row],[Tanggal Pengajuan]])</f>
        <v>8</v>
      </c>
      <c r="N642" s="183"/>
      <c r="O642" s="105" t="s">
        <v>888</v>
      </c>
      <c r="P642" s="111"/>
      <c r="Q642" s="229"/>
      <c r="S642" s="275"/>
      <c r="T642" s="738">
        <f>SUM(G635:G642)</f>
        <v>48343500</v>
      </c>
    </row>
    <row r="643" spans="1:20" s="4" customFormat="1" ht="24.75" x14ac:dyDescent="0.2">
      <c r="A643" s="13">
        <v>44587</v>
      </c>
      <c r="B643" s="67"/>
      <c r="C643" s="14" t="s">
        <v>124</v>
      </c>
      <c r="D643" s="14" t="s">
        <v>17</v>
      </c>
      <c r="E643" s="103" t="s">
        <v>18</v>
      </c>
      <c r="F643" s="15">
        <v>119</v>
      </c>
      <c r="G643" s="262">
        <f>'[5]REV-PENAWARAN PER JAN''22'!$E$415</f>
        <v>5999600</v>
      </c>
      <c r="H643" s="258">
        <f>List34[[#This Row],[Pengajuan Donasi]]</f>
        <v>10000000</v>
      </c>
      <c r="I643" s="213" t="str">
        <f>IF(List34[[#This Row],[Tanggal Trf]]&gt;0,"Done","-")</f>
        <v>Done</v>
      </c>
      <c r="J643" s="442" t="s">
        <v>825</v>
      </c>
      <c r="K643" s="613">
        <v>44589</v>
      </c>
      <c r="L643" s="100" t="s">
        <v>1015</v>
      </c>
      <c r="M643" s="100">
        <f>MONTH(List34[[#This Row],[Tanggal Pengajuan]])</f>
        <v>8</v>
      </c>
      <c r="N643" s="183"/>
      <c r="O643" s="105" t="s">
        <v>651</v>
      </c>
      <c r="P643" s="111"/>
      <c r="Q643" s="229"/>
      <c r="S643" s="275"/>
    </row>
    <row r="644" spans="1:20" s="4" customFormat="1" ht="15.75" x14ac:dyDescent="0.2">
      <c r="A644" s="13">
        <v>44644</v>
      </c>
      <c r="B644" s="593"/>
      <c r="C644" s="14" t="s">
        <v>124</v>
      </c>
      <c r="D644" s="14" t="s">
        <v>17</v>
      </c>
      <c r="E644" s="103" t="s">
        <v>18</v>
      </c>
      <c r="F644" s="15">
        <v>119</v>
      </c>
      <c r="G644" s="258">
        <v>5998400</v>
      </c>
      <c r="H644" s="258">
        <f>List34[[#This Row],[Pengajuan Donasi]]</f>
        <v>10000000</v>
      </c>
      <c r="I644" s="213" t="str">
        <f>IF(List34[[#This Row],[Tanggal Trf]]&gt;0,"Done","-")</f>
        <v>Done</v>
      </c>
      <c r="J644" s="445" t="s">
        <v>25</v>
      </c>
      <c r="K644" s="613">
        <v>44645</v>
      </c>
      <c r="L644" s="100" t="s">
        <v>1015</v>
      </c>
      <c r="M644" s="20">
        <f>MONTH(List34[[#This Row],[Tanggal Pengajuan]])</f>
        <v>8</v>
      </c>
      <c r="N644" s="183"/>
      <c r="O644" s="105" t="s">
        <v>707</v>
      </c>
      <c r="P644" s="111"/>
      <c r="Q644" s="229"/>
      <c r="S644" s="275"/>
    </row>
    <row r="645" spans="1:20" s="4" customFormat="1" ht="15.75" x14ac:dyDescent="0.2">
      <c r="A645" s="13">
        <v>44651</v>
      </c>
      <c r="B645" s="67"/>
      <c r="C645" s="14" t="s">
        <v>124</v>
      </c>
      <c r="D645" s="14" t="s">
        <v>17</v>
      </c>
      <c r="E645" s="103" t="s">
        <v>18</v>
      </c>
      <c r="F645" s="15">
        <v>119</v>
      </c>
      <c r="G645" s="258">
        <v>5997200</v>
      </c>
      <c r="H645" s="258">
        <f>List34[[#This Row],[Pengajuan Donasi]]</f>
        <v>500000</v>
      </c>
      <c r="I645" s="213" t="str">
        <f>IF(List34[[#This Row],[Tanggal Trf]]&gt;0,"Done","-")</f>
        <v>Done</v>
      </c>
      <c r="J645" s="445" t="s">
        <v>25</v>
      </c>
      <c r="K645" s="613">
        <v>44652</v>
      </c>
      <c r="L645" s="100" t="s">
        <v>1015</v>
      </c>
      <c r="M645" s="100">
        <f>MONTH(List34[[#This Row],[Tanggal Pengajuan]])</f>
        <v>8</v>
      </c>
      <c r="N645" s="183"/>
      <c r="O645" s="100" t="s">
        <v>746</v>
      </c>
      <c r="P645" s="111"/>
      <c r="Q645" s="229"/>
      <c r="S645" s="275"/>
    </row>
    <row r="646" spans="1:20" s="4" customFormat="1" ht="15.75" x14ac:dyDescent="0.2">
      <c r="A646" s="13">
        <v>44678</v>
      </c>
      <c r="B646" s="67"/>
      <c r="C646" s="14" t="s">
        <v>124</v>
      </c>
      <c r="D646" s="14" t="s">
        <v>17</v>
      </c>
      <c r="E646" s="103" t="s">
        <v>18</v>
      </c>
      <c r="F646" s="15">
        <v>119</v>
      </c>
      <c r="G646" s="258">
        <v>5756648</v>
      </c>
      <c r="H646" s="258">
        <f>List34[[#This Row],[Pengajuan Donasi]]</f>
        <v>500000</v>
      </c>
      <c r="I646" s="213" t="str">
        <f>IF(List34[[#This Row],[Tanggal Trf]]&gt;0,"Done","-")</f>
        <v>Done</v>
      </c>
      <c r="J646" s="445" t="s">
        <v>25</v>
      </c>
      <c r="K646" s="613">
        <v>44679</v>
      </c>
      <c r="L646" s="100" t="s">
        <v>1015</v>
      </c>
      <c r="M646" s="100">
        <f>MONTH(List34[[#This Row],[Tanggal Pengajuan]])</f>
        <v>8</v>
      </c>
      <c r="N646" s="183">
        <v>44686</v>
      </c>
      <c r="O646" s="100" t="s">
        <v>795</v>
      </c>
      <c r="P646" s="111"/>
      <c r="Q646" s="229"/>
      <c r="S646" s="275"/>
    </row>
    <row r="647" spans="1:20" s="4" customFormat="1" ht="15.75" x14ac:dyDescent="0.2">
      <c r="A647" s="13">
        <v>44711</v>
      </c>
      <c r="B647" s="163"/>
      <c r="C647" s="14" t="s">
        <v>124</v>
      </c>
      <c r="D647" s="14" t="s">
        <v>17</v>
      </c>
      <c r="E647" s="103" t="s">
        <v>18</v>
      </c>
      <c r="F647" s="15">
        <v>119</v>
      </c>
      <c r="G647" s="258">
        <v>6282900</v>
      </c>
      <c r="H647" s="258">
        <f>List34[[#This Row],[Pengajuan Donasi]]</f>
        <v>500000</v>
      </c>
      <c r="I647" s="213" t="str">
        <f>IF(List34[[#This Row],[Tanggal Trf]]&gt;0,"Done","-")</f>
        <v>Done</v>
      </c>
      <c r="J647" s="445"/>
      <c r="K647" s="613">
        <v>44715</v>
      </c>
      <c r="L647" s="100" t="s">
        <v>1015</v>
      </c>
      <c r="M647" s="100">
        <f>MONTH(List34[[#This Row],[Tanggal Pengajuan]])</f>
        <v>8</v>
      </c>
      <c r="N647" s="183">
        <v>44747</v>
      </c>
      <c r="O647" s="100" t="s">
        <v>932</v>
      </c>
      <c r="P647" s="111"/>
      <c r="Q647" s="229"/>
      <c r="S647" s="275"/>
    </row>
    <row r="648" spans="1:20" s="4" customFormat="1" ht="15.75" x14ac:dyDescent="0.2">
      <c r="A648" s="13">
        <v>44736</v>
      </c>
      <c r="B648" s="67"/>
      <c r="C648" s="14" t="s">
        <v>124</v>
      </c>
      <c r="D648" s="14" t="s">
        <v>17</v>
      </c>
      <c r="E648" s="103" t="s">
        <v>18</v>
      </c>
      <c r="F648" s="471">
        <v>119</v>
      </c>
      <c r="G648" s="258">
        <v>6000700</v>
      </c>
      <c r="H648" s="258">
        <f>List34[[#This Row],[Pengajuan Donasi]]</f>
        <v>500000</v>
      </c>
      <c r="I648" s="213" t="str">
        <f>IF(List34[[#This Row],[Tanggal Trf]]&gt;0,"Done","-")</f>
        <v>Done</v>
      </c>
      <c r="J648" s="445"/>
      <c r="K648" s="224">
        <v>44741</v>
      </c>
      <c r="L648" s="100" t="s">
        <v>1015</v>
      </c>
      <c r="M648" s="100">
        <f>MONTH(List34[[#This Row],[Tanggal Pengajuan]])</f>
        <v>8</v>
      </c>
      <c r="N648" s="183"/>
      <c r="O648" s="100" t="s">
        <v>1116</v>
      </c>
      <c r="P648" s="111"/>
      <c r="Q648" s="229"/>
      <c r="S648" s="275"/>
    </row>
    <row r="649" spans="1:20" s="4" customFormat="1" ht="24.75" x14ac:dyDescent="0.2">
      <c r="A649" s="13">
        <v>44754</v>
      </c>
      <c r="B649" s="67"/>
      <c r="C649" s="14" t="s">
        <v>124</v>
      </c>
      <c r="D649" s="14" t="s">
        <v>17</v>
      </c>
      <c r="E649" s="14" t="s">
        <v>18</v>
      </c>
      <c r="F649" s="471">
        <v>119</v>
      </c>
      <c r="G649" s="258">
        <v>6000000</v>
      </c>
      <c r="H649" s="258">
        <f>List34[[#This Row],[Pengajuan Donasi]]</f>
        <v>500000</v>
      </c>
      <c r="I649" s="213" t="str">
        <f>IF(List34[[#This Row],[Tanggal Trf]]&gt;0,"Done","-")</f>
        <v>Done</v>
      </c>
      <c r="J649" s="445" t="s">
        <v>1176</v>
      </c>
      <c r="K649" s="484">
        <v>44764</v>
      </c>
      <c r="L649" s="100" t="s">
        <v>1213</v>
      </c>
      <c r="M649" s="100">
        <f>MONTH(List34[[#This Row],[Tanggal Pengajuan]])</f>
        <v>8</v>
      </c>
      <c r="N649" s="183">
        <v>44775</v>
      </c>
      <c r="O649" s="100" t="s">
        <v>1180</v>
      </c>
      <c r="P649" s="111"/>
      <c r="Q649" s="229"/>
      <c r="S649" s="275"/>
    </row>
    <row r="650" spans="1:20" s="4" customFormat="1" ht="29.25" x14ac:dyDescent="0.2">
      <c r="A650" s="13">
        <v>44781</v>
      </c>
      <c r="B650" s="67"/>
      <c r="C650" s="14" t="s">
        <v>124</v>
      </c>
      <c r="D650" s="14" t="s">
        <v>17</v>
      </c>
      <c r="E650" s="14" t="s">
        <v>18</v>
      </c>
      <c r="F650" s="471">
        <v>0</v>
      </c>
      <c r="G650" s="258">
        <v>6000000</v>
      </c>
      <c r="H650" s="258">
        <f>List34[[#This Row],[Pengajuan Donasi]]</f>
        <v>500000</v>
      </c>
      <c r="I650" s="213" t="str">
        <f>IF(List34[[#This Row],[Tanggal Trf]]&gt;0,"Done","-")</f>
        <v>Done</v>
      </c>
      <c r="J650" s="14" t="s">
        <v>1206</v>
      </c>
      <c r="K650" s="224">
        <v>44792</v>
      </c>
      <c r="L650" s="100" t="s">
        <v>1213</v>
      </c>
      <c r="M650" s="100">
        <f>MONTH(List34[[#This Row],[Tanggal Pengajuan]])</f>
        <v>8</v>
      </c>
      <c r="N650" s="183"/>
      <c r="O650" s="100" t="s">
        <v>888</v>
      </c>
      <c r="P650" s="111"/>
      <c r="Q650" s="229"/>
      <c r="S650" s="275"/>
      <c r="T650" s="738">
        <f>SUM(G643:G650)</f>
        <v>48035448</v>
      </c>
    </row>
    <row r="651" spans="1:20" s="4" customFormat="1" ht="15.75" x14ac:dyDescent="0.2">
      <c r="A651" s="13">
        <v>44587</v>
      </c>
      <c r="B651" s="67"/>
      <c r="C651" s="14" t="s">
        <v>238</v>
      </c>
      <c r="D651" s="14" t="s">
        <v>17</v>
      </c>
      <c r="E651" s="14" t="s">
        <v>18</v>
      </c>
      <c r="F651" s="15">
        <v>42</v>
      </c>
      <c r="G651" s="262">
        <f>'[5]REV-PENAWARAN PER JAN''22'!$E$274</f>
        <v>6000300</v>
      </c>
      <c r="H651" s="258">
        <f>List34[[#This Row],[Pengajuan Donasi]]</f>
        <v>500000</v>
      </c>
      <c r="I651" s="213" t="str">
        <f>IF(List34[[#This Row],[Tanggal Trf]]&gt;0,"Done","-")</f>
        <v>Done</v>
      </c>
      <c r="J651" s="442" t="s">
        <v>822</v>
      </c>
      <c r="K651" s="613">
        <v>44589</v>
      </c>
      <c r="L651" s="100" t="s">
        <v>1015</v>
      </c>
      <c r="M651" s="100">
        <f>MONTH(List34[[#This Row],[Tanggal Pengajuan]])</f>
        <v>8</v>
      </c>
      <c r="N651" s="183"/>
      <c r="O651" s="100" t="s">
        <v>687</v>
      </c>
      <c r="P651" s="111"/>
      <c r="Q651" s="229"/>
      <c r="S651" s="275"/>
    </row>
    <row r="652" spans="1:20" s="4" customFormat="1" ht="15.75" x14ac:dyDescent="0.2">
      <c r="A652" s="13">
        <v>44644</v>
      </c>
      <c r="B652" s="593"/>
      <c r="C652" s="14" t="s">
        <v>238</v>
      </c>
      <c r="D652" s="14" t="s">
        <v>17</v>
      </c>
      <c r="E652" s="103" t="s">
        <v>18</v>
      </c>
      <c r="F652" s="15">
        <v>42</v>
      </c>
      <c r="G652" s="258">
        <v>5999700</v>
      </c>
      <c r="H652" s="258">
        <f>List34[[#This Row],[Pengajuan Donasi]]</f>
        <v>500000</v>
      </c>
      <c r="I652" s="213" t="str">
        <f>IF(List34[[#This Row],[Tanggal Trf]]&gt;0,"Done","-")</f>
        <v>Done</v>
      </c>
      <c r="J652" s="445" t="s">
        <v>25</v>
      </c>
      <c r="K652" s="613">
        <v>44645</v>
      </c>
      <c r="L652" s="403" t="s">
        <v>1015</v>
      </c>
      <c r="M652" s="20">
        <f>MONTH(List34[[#This Row],[Tanggal Pengajuan]])</f>
        <v>8</v>
      </c>
      <c r="N652" s="183"/>
      <c r="O652" s="100" t="s">
        <v>707</v>
      </c>
      <c r="P652" s="111"/>
      <c r="Q652" s="229"/>
      <c r="S652" s="275"/>
    </row>
    <row r="653" spans="1:20" s="4" customFormat="1" ht="15.75" x14ac:dyDescent="0.2">
      <c r="A653" s="13">
        <v>44651</v>
      </c>
      <c r="B653" s="67"/>
      <c r="C653" s="14" t="s">
        <v>238</v>
      </c>
      <c r="D653" s="14" t="s">
        <v>17</v>
      </c>
      <c r="E653" s="103" t="s">
        <v>18</v>
      </c>
      <c r="F653" s="15">
        <v>42</v>
      </c>
      <c r="G653" s="258">
        <v>5993100</v>
      </c>
      <c r="H653" s="258">
        <f>List34[[#This Row],[Pengajuan Donasi]]</f>
        <v>500000</v>
      </c>
      <c r="I653" s="213" t="str">
        <f>IF(List34[[#This Row],[Tanggal Trf]]&gt;0,"Done","-")</f>
        <v>Done</v>
      </c>
      <c r="J653" s="445" t="s">
        <v>25</v>
      </c>
      <c r="K653" s="613">
        <v>44652</v>
      </c>
      <c r="L653" s="105" t="s">
        <v>1015</v>
      </c>
      <c r="M653" s="100">
        <f>MONTH(List34[[#This Row],[Tanggal Pengajuan]])</f>
        <v>8</v>
      </c>
      <c r="N653" s="183"/>
      <c r="O653" s="100" t="s">
        <v>746</v>
      </c>
      <c r="P653" s="111"/>
      <c r="Q653" s="229"/>
      <c r="S653" s="275"/>
    </row>
    <row r="654" spans="1:20" s="4" customFormat="1" ht="15.75" x14ac:dyDescent="0.2">
      <c r="A654" s="13">
        <v>44678</v>
      </c>
      <c r="B654" s="67"/>
      <c r="C654" s="14" t="s">
        <v>238</v>
      </c>
      <c r="D654" s="14" t="s">
        <v>17</v>
      </c>
      <c r="E654" s="103" t="s">
        <v>18</v>
      </c>
      <c r="F654" s="15">
        <v>42</v>
      </c>
      <c r="G654" s="258">
        <v>6256900</v>
      </c>
      <c r="H654" s="258">
        <f>List34[[#This Row],[Pengajuan Donasi]]</f>
        <v>500000</v>
      </c>
      <c r="I654" s="213" t="str">
        <f>IF(List34[[#This Row],[Tanggal Trf]]&gt;0,"Done","-")</f>
        <v>Done</v>
      </c>
      <c r="J654" s="445" t="s">
        <v>25</v>
      </c>
      <c r="K654" s="613">
        <v>44679</v>
      </c>
      <c r="L654" s="100" t="s">
        <v>1015</v>
      </c>
      <c r="M654" s="100">
        <f>MONTH(List34[[#This Row],[Tanggal Pengajuan]])</f>
        <v>8</v>
      </c>
      <c r="N654" s="183">
        <v>44686</v>
      </c>
      <c r="O654" s="100" t="s">
        <v>795</v>
      </c>
      <c r="P654" s="111"/>
      <c r="Q654" s="229"/>
      <c r="S654" s="275"/>
    </row>
    <row r="655" spans="1:20" s="4" customFormat="1" ht="15.75" x14ac:dyDescent="0.2">
      <c r="A655" s="13">
        <v>44711</v>
      </c>
      <c r="B655" s="163"/>
      <c r="C655" s="14" t="s">
        <v>238</v>
      </c>
      <c r="D655" s="103" t="s">
        <v>17</v>
      </c>
      <c r="E655" s="103" t="s">
        <v>18</v>
      </c>
      <c r="F655" s="15">
        <v>42</v>
      </c>
      <c r="G655" s="258">
        <v>6227200</v>
      </c>
      <c r="H655" s="258">
        <f>List34[[#This Row],[Pengajuan Donasi]]</f>
        <v>500000</v>
      </c>
      <c r="I655" s="213" t="str">
        <f>IF(List34[[#This Row],[Tanggal Trf]]&gt;0,"Done","-")</f>
        <v>Done</v>
      </c>
      <c r="J655" s="445"/>
      <c r="K655" s="613">
        <v>44715</v>
      </c>
      <c r="L655" s="100" t="s">
        <v>1015</v>
      </c>
      <c r="M655" s="100">
        <f>MONTH(List34[[#This Row],[Tanggal Pengajuan]])</f>
        <v>8</v>
      </c>
      <c r="N655" s="183">
        <v>44747</v>
      </c>
      <c r="O655" s="100" t="s">
        <v>932</v>
      </c>
      <c r="P655" s="111"/>
      <c r="Q655" s="229"/>
      <c r="S655" s="275"/>
    </row>
    <row r="656" spans="1:20" s="4" customFormat="1" ht="15.75" x14ac:dyDescent="0.2">
      <c r="A656" s="13">
        <v>44736</v>
      </c>
      <c r="B656" s="67"/>
      <c r="C656" s="14" t="s">
        <v>238</v>
      </c>
      <c r="D656" s="103" t="s">
        <v>17</v>
      </c>
      <c r="E656" s="103" t="s">
        <v>18</v>
      </c>
      <c r="F656" s="471">
        <v>42</v>
      </c>
      <c r="G656" s="258">
        <v>6019800</v>
      </c>
      <c r="H656" s="258">
        <f>List34[[#This Row],[Pengajuan Donasi]]</f>
        <v>500000</v>
      </c>
      <c r="I656" s="213" t="str">
        <f>IF(List34[[#This Row],[Tanggal Trf]]&gt;0,"Done","-")</f>
        <v>Done</v>
      </c>
      <c r="J656" s="445"/>
      <c r="K656" s="224">
        <v>44741</v>
      </c>
      <c r="L656" s="100" t="s">
        <v>1015</v>
      </c>
      <c r="M656" s="100">
        <f>MONTH(List34[[#This Row],[Tanggal Pengajuan]])</f>
        <v>8</v>
      </c>
      <c r="N656" s="183"/>
      <c r="O656" s="100" t="s">
        <v>1116</v>
      </c>
      <c r="P656" s="111"/>
      <c r="Q656" s="229"/>
      <c r="S656" s="275"/>
    </row>
    <row r="657" spans="1:20" s="4" customFormat="1" ht="24.75" x14ac:dyDescent="0.2">
      <c r="A657" s="13">
        <v>44754</v>
      </c>
      <c r="B657" s="67"/>
      <c r="C657" s="14" t="s">
        <v>238</v>
      </c>
      <c r="D657" s="103" t="s">
        <v>17</v>
      </c>
      <c r="E657" s="103" t="s">
        <v>18</v>
      </c>
      <c r="F657" s="471">
        <v>42</v>
      </c>
      <c r="G657" s="258">
        <v>6000000</v>
      </c>
      <c r="H657" s="258">
        <f>List34[[#This Row],[Pengajuan Donasi]]</f>
        <v>500000</v>
      </c>
      <c r="I657" s="213" t="str">
        <f>IF(List34[[#This Row],[Tanggal Trf]]&gt;0,"Done","-")</f>
        <v>Done</v>
      </c>
      <c r="J657" s="445" t="s">
        <v>1176</v>
      </c>
      <c r="K657" s="224">
        <v>44764</v>
      </c>
      <c r="L657" s="100" t="s">
        <v>1213</v>
      </c>
      <c r="M657" s="100">
        <f>MONTH(List34[[#This Row],[Tanggal Pengajuan]])</f>
        <v>8</v>
      </c>
      <c r="N657" s="183">
        <v>44775</v>
      </c>
      <c r="O657" s="100" t="s">
        <v>1180</v>
      </c>
      <c r="P657" s="111"/>
      <c r="Q657" s="229"/>
      <c r="S657" s="275"/>
    </row>
    <row r="658" spans="1:20" s="4" customFormat="1" ht="29.25" x14ac:dyDescent="0.2">
      <c r="A658" s="13">
        <v>44781</v>
      </c>
      <c r="B658" s="67"/>
      <c r="C658" s="14" t="s">
        <v>238</v>
      </c>
      <c r="D658" s="103" t="s">
        <v>17</v>
      </c>
      <c r="E658" s="103" t="s">
        <v>18</v>
      </c>
      <c r="F658" s="471">
        <v>36</v>
      </c>
      <c r="G658" s="258">
        <v>6000000</v>
      </c>
      <c r="H658" s="258">
        <f>List34[[#This Row],[Pengajuan Donasi]]</f>
        <v>500000</v>
      </c>
      <c r="I658" s="213" t="str">
        <f>IF(List34[[#This Row],[Tanggal Trf]]&gt;0,"Done","-")</f>
        <v>Done</v>
      </c>
      <c r="J658" s="14" t="s">
        <v>1206</v>
      </c>
      <c r="K658" s="224">
        <v>44792</v>
      </c>
      <c r="L658" s="100" t="s">
        <v>1213</v>
      </c>
      <c r="M658" s="100">
        <f>MONTH(List34[[#This Row],[Tanggal Pengajuan]])</f>
        <v>8</v>
      </c>
      <c r="N658" s="183"/>
      <c r="O658" s="100" t="s">
        <v>888</v>
      </c>
      <c r="P658" s="111"/>
      <c r="Q658" s="229"/>
      <c r="S658" s="275"/>
      <c r="T658" s="738">
        <f>SUM(G651:G658)</f>
        <v>48497000</v>
      </c>
    </row>
    <row r="659" spans="1:20" s="4" customFormat="1" ht="15.75" x14ac:dyDescent="0.2">
      <c r="A659" s="13">
        <v>44587</v>
      </c>
      <c r="B659" s="67"/>
      <c r="C659" s="14" t="s">
        <v>858</v>
      </c>
      <c r="D659" s="103" t="s">
        <v>17</v>
      </c>
      <c r="E659" s="103" t="s">
        <v>18</v>
      </c>
      <c r="F659" s="15">
        <v>12</v>
      </c>
      <c r="G659" s="262">
        <f>'[5]REV-PENAWARAN PER JAN''22'!$E$792</f>
        <v>6000700</v>
      </c>
      <c r="H659" s="258">
        <f>List34[[#This Row],[Pengajuan Donasi]]</f>
        <v>500000</v>
      </c>
      <c r="I659" s="213" t="str">
        <f>IF(List34[[#This Row],[Tanggal Trf]]&gt;0,"Done","-")</f>
        <v>Done</v>
      </c>
      <c r="J659" s="442" t="s">
        <v>833</v>
      </c>
      <c r="K659" s="613">
        <v>44589</v>
      </c>
      <c r="L659" s="100" t="s">
        <v>1015</v>
      </c>
      <c r="M659" s="100">
        <f>MONTH(List34[[#This Row],[Tanggal Pengajuan]])</f>
        <v>8</v>
      </c>
      <c r="N659" s="183"/>
      <c r="O659" s="100" t="s">
        <v>651</v>
      </c>
      <c r="P659" s="111"/>
      <c r="Q659" s="229"/>
      <c r="S659" s="275"/>
    </row>
    <row r="660" spans="1:20" s="4" customFormat="1" ht="15.75" x14ac:dyDescent="0.2">
      <c r="A660" s="13">
        <v>44644</v>
      </c>
      <c r="B660" s="593"/>
      <c r="C660" s="14" t="s">
        <v>858</v>
      </c>
      <c r="D660" s="103" t="s">
        <v>17</v>
      </c>
      <c r="E660" s="103" t="s">
        <v>18</v>
      </c>
      <c r="F660" s="15">
        <v>12</v>
      </c>
      <c r="G660" s="258">
        <v>5999500</v>
      </c>
      <c r="H660" s="258">
        <f>List34[[#This Row],[Pengajuan Donasi]]</f>
        <v>5500000</v>
      </c>
      <c r="I660" s="213" t="str">
        <f>IF(List34[[#This Row],[Tanggal Trf]]&gt;0,"Done","-")</f>
        <v>Done</v>
      </c>
      <c r="J660" s="445" t="s">
        <v>25</v>
      </c>
      <c r="K660" s="613">
        <v>44645</v>
      </c>
      <c r="L660" s="100" t="s">
        <v>1015</v>
      </c>
      <c r="M660" s="20">
        <f>MONTH(List34[[#This Row],[Tanggal Pengajuan]])</f>
        <v>8</v>
      </c>
      <c r="N660" s="183"/>
      <c r="O660" s="100" t="s">
        <v>707</v>
      </c>
      <c r="P660" s="111"/>
      <c r="Q660" s="229"/>
      <c r="S660" s="275"/>
    </row>
    <row r="661" spans="1:20" s="4" customFormat="1" ht="15.75" x14ac:dyDescent="0.2">
      <c r="A661" s="13">
        <v>44651</v>
      </c>
      <c r="B661" s="67"/>
      <c r="C661" s="14" t="s">
        <v>858</v>
      </c>
      <c r="D661" s="103" t="s">
        <v>17</v>
      </c>
      <c r="E661" s="103" t="s">
        <v>18</v>
      </c>
      <c r="F661" s="15">
        <v>12</v>
      </c>
      <c r="G661" s="258">
        <v>5999800</v>
      </c>
      <c r="H661" s="258">
        <f>List34[[#This Row],[Pengajuan Donasi]]</f>
        <v>5500000</v>
      </c>
      <c r="I661" s="213" t="str">
        <f>IF(List34[[#This Row],[Tanggal Trf]]&gt;0,"Done","-")</f>
        <v>Done</v>
      </c>
      <c r="J661" s="445" t="s">
        <v>25</v>
      </c>
      <c r="K661" s="613">
        <v>44652</v>
      </c>
      <c r="L661" s="100" t="s">
        <v>1015</v>
      </c>
      <c r="M661" s="100">
        <f>MONTH(List34[[#This Row],[Tanggal Pengajuan]])</f>
        <v>8</v>
      </c>
      <c r="N661" s="183"/>
      <c r="O661" s="100" t="s">
        <v>746</v>
      </c>
      <c r="P661" s="111"/>
      <c r="Q661" s="229"/>
      <c r="S661" s="275"/>
    </row>
    <row r="662" spans="1:20" s="4" customFormat="1" ht="15.75" x14ac:dyDescent="0.2">
      <c r="A662" s="13">
        <v>44678</v>
      </c>
      <c r="B662" s="67"/>
      <c r="C662" s="14" t="s">
        <v>858</v>
      </c>
      <c r="D662" s="103" t="s">
        <v>17</v>
      </c>
      <c r="E662" s="103" t="s">
        <v>18</v>
      </c>
      <c r="F662" s="15">
        <v>12</v>
      </c>
      <c r="G662" s="258">
        <v>6166300</v>
      </c>
      <c r="H662" s="258">
        <f>List34[[#This Row],[Pengajuan Donasi]]</f>
        <v>5500000</v>
      </c>
      <c r="I662" s="213" t="str">
        <f>IF(List34[[#This Row],[Tanggal Trf]]&gt;0,"Done","-")</f>
        <v>Done</v>
      </c>
      <c r="J662" s="445" t="s">
        <v>25</v>
      </c>
      <c r="K662" s="613">
        <v>44679</v>
      </c>
      <c r="L662" s="100" t="s">
        <v>1015</v>
      </c>
      <c r="M662" s="100">
        <f>MONTH(List34[[#This Row],[Tanggal Pengajuan]])</f>
        <v>8</v>
      </c>
      <c r="N662" s="183">
        <v>44686</v>
      </c>
      <c r="O662" s="100" t="s">
        <v>795</v>
      </c>
      <c r="P662" s="111"/>
      <c r="Q662" s="229"/>
      <c r="S662" s="275"/>
    </row>
    <row r="663" spans="1:20" s="4" customFormat="1" ht="15.75" x14ac:dyDescent="0.2">
      <c r="A663" s="13">
        <v>44711</v>
      </c>
      <c r="B663" s="163"/>
      <c r="C663" s="14" t="s">
        <v>858</v>
      </c>
      <c r="D663" s="103" t="s">
        <v>17</v>
      </c>
      <c r="E663" s="103" t="s">
        <v>18</v>
      </c>
      <c r="F663" s="15">
        <v>12</v>
      </c>
      <c r="G663" s="258">
        <v>6142800</v>
      </c>
      <c r="H663" s="258">
        <f>List34[[#This Row],[Pengajuan Donasi]]</f>
        <v>4100900</v>
      </c>
      <c r="I663" s="213" t="str">
        <f>IF(List34[[#This Row],[Tanggal Trf]]&gt;0,"Done","-")</f>
        <v>Done</v>
      </c>
      <c r="J663" s="445"/>
      <c r="K663" s="613">
        <v>44715</v>
      </c>
      <c r="L663" s="100" t="s">
        <v>1015</v>
      </c>
      <c r="M663" s="100">
        <f>MONTH(List34[[#This Row],[Tanggal Pengajuan]])</f>
        <v>8</v>
      </c>
      <c r="N663" s="183">
        <v>44747</v>
      </c>
      <c r="O663" s="100" t="s">
        <v>932</v>
      </c>
      <c r="P663" s="111"/>
      <c r="Q663" s="229"/>
      <c r="S663" s="275"/>
    </row>
    <row r="664" spans="1:20" s="4" customFormat="1" ht="15.75" x14ac:dyDescent="0.2">
      <c r="A664" s="13">
        <v>44736</v>
      </c>
      <c r="B664" s="67"/>
      <c r="C664" s="14" t="s">
        <v>858</v>
      </c>
      <c r="D664" s="103" t="s">
        <v>17</v>
      </c>
      <c r="E664" s="103" t="s">
        <v>18</v>
      </c>
      <c r="F664" s="471">
        <v>12</v>
      </c>
      <c r="G664" s="258">
        <v>6005700</v>
      </c>
      <c r="H664" s="258">
        <f>List34[[#This Row],[Pengajuan Donasi]]</f>
        <v>6250360</v>
      </c>
      <c r="I664" s="213" t="str">
        <f>IF(List34[[#This Row],[Tanggal Trf]]&gt;0,"Done","-")</f>
        <v>Done</v>
      </c>
      <c r="J664" s="445"/>
      <c r="K664" s="224">
        <v>44741</v>
      </c>
      <c r="L664" s="100" t="s">
        <v>1015</v>
      </c>
      <c r="M664" s="100">
        <f>MONTH(List34[[#This Row],[Tanggal Pengajuan]])</f>
        <v>8</v>
      </c>
      <c r="N664" s="183"/>
      <c r="O664" s="100" t="s">
        <v>1116</v>
      </c>
      <c r="P664" s="111"/>
      <c r="Q664" s="229"/>
      <c r="S664" s="275"/>
    </row>
    <row r="665" spans="1:20" s="4" customFormat="1" ht="24.75" x14ac:dyDescent="0.2">
      <c r="A665" s="13">
        <v>44754</v>
      </c>
      <c r="B665" s="67"/>
      <c r="C665" s="14" t="s">
        <v>858</v>
      </c>
      <c r="D665" s="103" t="s">
        <v>17</v>
      </c>
      <c r="E665" s="103" t="s">
        <v>18</v>
      </c>
      <c r="F665" s="471">
        <v>12</v>
      </c>
      <c r="G665" s="258">
        <v>6000000</v>
      </c>
      <c r="H665" s="258">
        <f>List34[[#This Row],[Pengajuan Donasi]]</f>
        <v>6251860</v>
      </c>
      <c r="I665" s="213" t="str">
        <f>IF(List34[[#This Row],[Tanggal Trf]]&gt;0,"Done","-")</f>
        <v>Done</v>
      </c>
      <c r="J665" s="445" t="s">
        <v>1176</v>
      </c>
      <c r="K665" s="224">
        <v>44764</v>
      </c>
      <c r="L665" s="100" t="s">
        <v>1213</v>
      </c>
      <c r="M665" s="100">
        <f>MONTH(List34[[#This Row],[Tanggal Pengajuan]])</f>
        <v>8</v>
      </c>
      <c r="N665" s="183">
        <v>44775</v>
      </c>
      <c r="O665" s="100" t="s">
        <v>1180</v>
      </c>
      <c r="P665" s="111"/>
      <c r="Q665" s="229"/>
      <c r="S665" s="275"/>
    </row>
    <row r="666" spans="1:20" s="4" customFormat="1" ht="29.25" x14ac:dyDescent="0.2">
      <c r="A666" s="13">
        <v>44781</v>
      </c>
      <c r="B666" s="67"/>
      <c r="C666" s="14" t="s">
        <v>858</v>
      </c>
      <c r="D666" s="103" t="s">
        <v>17</v>
      </c>
      <c r="E666" s="103" t="s">
        <v>18</v>
      </c>
      <c r="F666" s="471">
        <v>12</v>
      </c>
      <c r="G666" s="258">
        <v>6000000</v>
      </c>
      <c r="H666" s="258">
        <f>List34[[#This Row],[Pengajuan Donasi]]</f>
        <v>6000000</v>
      </c>
      <c r="I666" s="213" t="str">
        <f>IF(List34[[#This Row],[Tanggal Trf]]&gt;0,"Done","-")</f>
        <v>Done</v>
      </c>
      <c r="J666" s="14" t="s">
        <v>1206</v>
      </c>
      <c r="K666" s="224">
        <v>44792</v>
      </c>
      <c r="L666" s="100" t="s">
        <v>1213</v>
      </c>
      <c r="M666" s="100">
        <f>MONTH(List34[[#This Row],[Tanggal Pengajuan]])</f>
        <v>8</v>
      </c>
      <c r="N666" s="183"/>
      <c r="O666" s="100" t="s">
        <v>888</v>
      </c>
      <c r="P666" s="111"/>
      <c r="Q666" s="229"/>
      <c r="S666" s="275"/>
      <c r="T666" s="738">
        <f>SUM(G659:G666)</f>
        <v>48314800</v>
      </c>
    </row>
    <row r="667" spans="1:20" s="4" customFormat="1" ht="15.75" x14ac:dyDescent="0.2">
      <c r="A667" s="13">
        <v>44567</v>
      </c>
      <c r="B667" s="67"/>
      <c r="C667" s="14" t="s">
        <v>222</v>
      </c>
      <c r="D667" s="103" t="s">
        <v>17</v>
      </c>
      <c r="E667" s="103" t="s">
        <v>18</v>
      </c>
      <c r="F667" s="15">
        <v>34</v>
      </c>
      <c r="G667" s="258">
        <v>5500000</v>
      </c>
      <c r="H667" s="258">
        <f>List34[[#This Row],[Pengajuan Donasi]]</f>
        <v>6000000</v>
      </c>
      <c r="I667" s="213" t="str">
        <f>IF(List34[[#This Row],[Tanggal Trf]]&gt;0,"Done","-")</f>
        <v>Done</v>
      </c>
      <c r="J667" s="445"/>
      <c r="K667" s="613">
        <v>44580</v>
      </c>
      <c r="L667" s="100" t="s">
        <v>136</v>
      </c>
      <c r="M667" s="100">
        <f>MONTH(List34[[#This Row],[Tanggal Pengajuan]])</f>
        <v>8</v>
      </c>
      <c r="N667" s="183">
        <v>44690</v>
      </c>
      <c r="O667" s="100" t="s">
        <v>665</v>
      </c>
      <c r="P667" s="111"/>
      <c r="Q667" s="229"/>
      <c r="S667" s="275"/>
    </row>
    <row r="668" spans="1:20" s="4" customFormat="1" ht="15.75" x14ac:dyDescent="0.2">
      <c r="A668" s="13">
        <v>44599</v>
      </c>
      <c r="B668" s="67"/>
      <c r="C668" s="14" t="s">
        <v>222</v>
      </c>
      <c r="D668" s="103" t="s">
        <v>17</v>
      </c>
      <c r="E668" s="103" t="s">
        <v>18</v>
      </c>
      <c r="F668" s="15">
        <v>34</v>
      </c>
      <c r="G668" s="258">
        <v>5500000</v>
      </c>
      <c r="H668" s="258">
        <f>List34[[#This Row],[Pengajuan Donasi]]</f>
        <v>6000000</v>
      </c>
      <c r="I668" s="213" t="str">
        <f>IF(List34[[#This Row],[Tanggal Trf]]&gt;0,"Done","-")</f>
        <v>Done</v>
      </c>
      <c r="J668" s="445"/>
      <c r="K668" s="613">
        <v>44607</v>
      </c>
      <c r="L668" s="100" t="s">
        <v>136</v>
      </c>
      <c r="M668" s="100">
        <f>MONTH(List34[[#This Row],[Tanggal Pengajuan]])</f>
        <v>8</v>
      </c>
      <c r="N668" s="183">
        <v>44691</v>
      </c>
      <c r="O668" s="100" t="s">
        <v>707</v>
      </c>
      <c r="P668" s="111"/>
      <c r="Q668" s="229"/>
      <c r="S668" s="275"/>
    </row>
    <row r="669" spans="1:20" s="4" customFormat="1" ht="15.75" x14ac:dyDescent="0.2">
      <c r="A669" s="13">
        <v>44631</v>
      </c>
      <c r="B669" s="67"/>
      <c r="C669" s="14" t="s">
        <v>222</v>
      </c>
      <c r="D669" s="103" t="s">
        <v>17</v>
      </c>
      <c r="E669" s="103" t="s">
        <v>18</v>
      </c>
      <c r="F669" s="15">
        <v>36</v>
      </c>
      <c r="G669" s="258">
        <v>5500000</v>
      </c>
      <c r="H669" s="258">
        <f>List34[[#This Row],[Pengajuan Donasi]]</f>
        <v>6000000</v>
      </c>
      <c r="I669" s="213" t="str">
        <f>IF(List34[[#This Row],[Tanggal Trf]]&gt;0,"Done","-")</f>
        <v>Done</v>
      </c>
      <c r="J669" s="445" t="s">
        <v>35</v>
      </c>
      <c r="K669" s="613">
        <v>44648</v>
      </c>
      <c r="L669" s="100" t="s">
        <v>136</v>
      </c>
      <c r="M669" s="100">
        <f>MONTH(List34[[#This Row],[Tanggal Pengajuan]])</f>
        <v>8</v>
      </c>
      <c r="N669" s="183">
        <v>44691</v>
      </c>
      <c r="O669" s="105" t="s">
        <v>746</v>
      </c>
      <c r="P669" s="111"/>
      <c r="Q669" s="229"/>
      <c r="S669" s="275"/>
    </row>
    <row r="670" spans="1:20" s="4" customFormat="1" ht="15.75" x14ac:dyDescent="0.2">
      <c r="A670" s="13">
        <v>44659</v>
      </c>
      <c r="B670" s="593"/>
      <c r="C670" s="14" t="s">
        <v>222</v>
      </c>
      <c r="D670" s="176" t="s">
        <v>17</v>
      </c>
      <c r="E670" s="103" t="s">
        <v>18</v>
      </c>
      <c r="F670" s="469">
        <v>36</v>
      </c>
      <c r="G670" s="258">
        <v>5500000</v>
      </c>
      <c r="H670" s="258">
        <f>List34[[#This Row],[Pengajuan Donasi]]</f>
        <v>6000000</v>
      </c>
      <c r="I670" s="213" t="str">
        <f>IF(List34[[#This Row],[Tanggal Trf]]&gt;0,"Done","-")</f>
        <v>Done</v>
      </c>
      <c r="J670" s="438"/>
      <c r="K670" s="614">
        <v>44663</v>
      </c>
      <c r="L670" s="20" t="s">
        <v>136</v>
      </c>
      <c r="M670" s="20">
        <f>MONTH(List34[[#This Row],[Tanggal Pengajuan]])</f>
        <v>8</v>
      </c>
      <c r="N670" s="183">
        <v>44677</v>
      </c>
      <c r="O670" s="20" t="s">
        <v>795</v>
      </c>
      <c r="P670" s="111"/>
      <c r="Q670" s="229"/>
      <c r="S670" s="275"/>
    </row>
    <row r="671" spans="1:20" s="4" customFormat="1" ht="15.75" x14ac:dyDescent="0.2">
      <c r="A671" s="13">
        <v>44687</v>
      </c>
      <c r="B671" s="66"/>
      <c r="C671" s="14" t="s">
        <v>222</v>
      </c>
      <c r="D671" s="176" t="s">
        <v>17</v>
      </c>
      <c r="E671" s="103" t="s">
        <v>18</v>
      </c>
      <c r="F671" s="469">
        <v>34</v>
      </c>
      <c r="G671" s="258">
        <v>5500000</v>
      </c>
      <c r="H671" s="258">
        <f>List34[[#This Row],[Pengajuan Donasi]]</f>
        <v>6000000</v>
      </c>
      <c r="I671" s="213" t="str">
        <f>IF(List34[[#This Row],[Tanggal Trf]]&gt;0,"Done","-")</f>
        <v>Done</v>
      </c>
      <c r="J671" s="445"/>
      <c r="K671" s="613">
        <v>44693</v>
      </c>
      <c r="L671" s="100" t="s">
        <v>136</v>
      </c>
      <c r="M671" s="100">
        <f>MONTH(List34[[#This Row],[Tanggal Pengajuan]])</f>
        <v>8</v>
      </c>
      <c r="N671" s="183">
        <v>44698</v>
      </c>
      <c r="O671" s="100"/>
      <c r="P671" s="111"/>
      <c r="Q671" s="229"/>
      <c r="S671" s="275"/>
    </row>
    <row r="672" spans="1:20" s="4" customFormat="1" ht="15.75" x14ac:dyDescent="0.2">
      <c r="A672" s="13">
        <v>44715</v>
      </c>
      <c r="B672" s="181"/>
      <c r="C672" s="14" t="s">
        <v>222</v>
      </c>
      <c r="D672" s="176" t="s">
        <v>17</v>
      </c>
      <c r="E672" s="103" t="s">
        <v>18</v>
      </c>
      <c r="F672" s="469">
        <v>38</v>
      </c>
      <c r="G672" s="258">
        <v>5500000</v>
      </c>
      <c r="H672" s="258">
        <f>List34[[#This Row],[Pengajuan Donasi]]</f>
        <v>6000000</v>
      </c>
      <c r="I672" s="213" t="str">
        <f>IF(List34[[#This Row],[Tanggal Trf]]&gt;0,"Done","-")</f>
        <v>Done</v>
      </c>
      <c r="J672" s="445"/>
      <c r="K672" s="613">
        <v>44721</v>
      </c>
      <c r="L672" s="100" t="s">
        <v>136</v>
      </c>
      <c r="M672" s="100">
        <f>MONTH(List34[[#This Row],[Tanggal Pengajuan]])</f>
        <v>8</v>
      </c>
      <c r="N672" s="183">
        <v>44748</v>
      </c>
      <c r="O672" s="100" t="s">
        <v>1116</v>
      </c>
      <c r="P672" s="111"/>
      <c r="Q672" s="229"/>
      <c r="S672" s="275"/>
    </row>
    <row r="673" spans="1:21" s="4" customFormat="1" ht="15.75" x14ac:dyDescent="0.2">
      <c r="A673" s="13">
        <v>44746</v>
      </c>
      <c r="B673" s="66"/>
      <c r="C673" s="14" t="s">
        <v>222</v>
      </c>
      <c r="D673" s="14" t="s">
        <v>17</v>
      </c>
      <c r="E673" s="103" t="s">
        <v>18</v>
      </c>
      <c r="F673" s="471">
        <v>34</v>
      </c>
      <c r="G673" s="258">
        <v>5500000</v>
      </c>
      <c r="H673" s="258">
        <f>List34[[#This Row],[Pengajuan Donasi]]</f>
        <v>6000000</v>
      </c>
      <c r="I673" s="213" t="str">
        <f>IF(List34[[#This Row],[Tanggal Trf]]&gt;0,"Done","-")</f>
        <v>Done</v>
      </c>
      <c r="J673" s="445" t="s">
        <v>960</v>
      </c>
      <c r="K673" s="224">
        <v>44776</v>
      </c>
      <c r="L673" s="100" t="s">
        <v>136</v>
      </c>
      <c r="M673" s="100">
        <f>MONTH(List34[[#This Row],[Tanggal Pengajuan]])</f>
        <v>8</v>
      </c>
      <c r="N673" s="183"/>
      <c r="O673" s="100" t="s">
        <v>1180</v>
      </c>
      <c r="P673" s="111"/>
      <c r="Q673" s="229"/>
      <c r="S673" s="275"/>
    </row>
    <row r="674" spans="1:21" s="4" customFormat="1" ht="15.75" x14ac:dyDescent="0.2">
      <c r="A674" s="13">
        <v>44775</v>
      </c>
      <c r="B674" s="66"/>
      <c r="C674" s="14" t="s">
        <v>222</v>
      </c>
      <c r="D674" s="14" t="s">
        <v>17</v>
      </c>
      <c r="E674" s="103" t="s">
        <v>18</v>
      </c>
      <c r="F674" s="471">
        <v>26</v>
      </c>
      <c r="G674" s="258">
        <v>5500000</v>
      </c>
      <c r="H674" s="258">
        <f>List34[[#This Row],[Pengajuan Donasi]]</f>
        <v>6000000</v>
      </c>
      <c r="I674" s="213" t="str">
        <f>IF(List34[[#This Row],[Tanggal Trf]]&gt;0,"Done","-")</f>
        <v>Done</v>
      </c>
      <c r="J674" s="445"/>
      <c r="K674" s="224">
        <v>44792</v>
      </c>
      <c r="L674" s="100" t="s">
        <v>136</v>
      </c>
      <c r="M674" s="100">
        <f>MONTH(List34[[#This Row],[Tanggal Pengajuan]])</f>
        <v>8</v>
      </c>
      <c r="N674" s="183"/>
      <c r="O674" s="100" t="s">
        <v>888</v>
      </c>
      <c r="P674" s="111"/>
      <c r="Q674" s="229"/>
      <c r="S674" s="275"/>
      <c r="T674" s="738">
        <f>SUM(G667:G674)</f>
        <v>44000000</v>
      </c>
      <c r="U674" s="738">
        <f>+T674</f>
        <v>44000000</v>
      </c>
    </row>
    <row r="675" spans="1:21" s="4" customFormat="1" ht="15.75" x14ac:dyDescent="0.2">
      <c r="A675" s="13">
        <v>44587</v>
      </c>
      <c r="B675" s="66"/>
      <c r="C675" s="14" t="s">
        <v>868</v>
      </c>
      <c r="D675" s="14" t="s">
        <v>17</v>
      </c>
      <c r="E675" s="103" t="s">
        <v>18</v>
      </c>
      <c r="F675" s="15">
        <v>27</v>
      </c>
      <c r="G675" s="262">
        <f>'[5]REV-PENAWARAN PER JAN''22'!$E$369</f>
        <v>6000500</v>
      </c>
      <c r="H675" s="258">
        <f>List34[[#This Row],[Pengajuan Donasi]]</f>
        <v>6000000</v>
      </c>
      <c r="I675" s="213" t="str">
        <f>IF(List34[[#This Row],[Tanggal Trf]]&gt;0,"Done","-")</f>
        <v>Done</v>
      </c>
      <c r="J675" s="442" t="s">
        <v>824</v>
      </c>
      <c r="K675" s="613">
        <v>44589</v>
      </c>
      <c r="L675" s="100" t="s">
        <v>1015</v>
      </c>
      <c r="M675" s="100">
        <f>MONTH(List34[[#This Row],[Tanggal Pengajuan]])</f>
        <v>8</v>
      </c>
      <c r="N675" s="183"/>
      <c r="O675" s="100" t="s">
        <v>651</v>
      </c>
      <c r="P675" s="111"/>
      <c r="Q675" s="229"/>
      <c r="S675" s="275"/>
    </row>
    <row r="676" spans="1:21" s="4" customFormat="1" ht="15.75" x14ac:dyDescent="0.2">
      <c r="A676" s="13">
        <v>44644</v>
      </c>
      <c r="B676" s="181"/>
      <c r="C676" s="14" t="s">
        <v>868</v>
      </c>
      <c r="D676" s="14" t="s">
        <v>17</v>
      </c>
      <c r="E676" s="103" t="s">
        <v>18</v>
      </c>
      <c r="F676" s="15">
        <v>27</v>
      </c>
      <c r="G676" s="258">
        <v>5999000</v>
      </c>
      <c r="H676" s="258">
        <f>List34[[#This Row],[Pengajuan Donasi]]</f>
        <v>6000000</v>
      </c>
      <c r="I676" s="213" t="str">
        <f>IF(List34[[#This Row],[Tanggal Trf]]&gt;0,"Done","-")</f>
        <v>Done</v>
      </c>
      <c r="J676" s="445" t="s">
        <v>25</v>
      </c>
      <c r="K676" s="613">
        <v>44645</v>
      </c>
      <c r="L676" s="100" t="s">
        <v>1015</v>
      </c>
      <c r="M676" s="20">
        <f>MONTH(List34[[#This Row],[Tanggal Pengajuan]])</f>
        <v>8</v>
      </c>
      <c r="N676" s="183"/>
      <c r="O676" s="100" t="s">
        <v>707</v>
      </c>
      <c r="P676" s="111"/>
      <c r="Q676" s="229"/>
      <c r="S676" s="275"/>
    </row>
    <row r="677" spans="1:21" s="4" customFormat="1" ht="15.75" x14ac:dyDescent="0.2">
      <c r="A677" s="13">
        <v>44651</v>
      </c>
      <c r="B677" s="66"/>
      <c r="C677" s="14" t="s">
        <v>868</v>
      </c>
      <c r="D677" s="14" t="s">
        <v>17</v>
      </c>
      <c r="E677" s="103" t="s">
        <v>18</v>
      </c>
      <c r="F677" s="15">
        <v>27</v>
      </c>
      <c r="G677" s="258">
        <v>5998300</v>
      </c>
      <c r="H677" s="258">
        <f>List34[[#This Row],[Pengajuan Donasi]]</f>
        <v>6000000</v>
      </c>
      <c r="I677" s="213" t="str">
        <f>IF(List34[[#This Row],[Tanggal Trf]]&gt;0,"Done","-")</f>
        <v>Done</v>
      </c>
      <c r="J677" s="445" t="s">
        <v>25</v>
      </c>
      <c r="K677" s="613">
        <v>44652</v>
      </c>
      <c r="L677" s="100" t="s">
        <v>1015</v>
      </c>
      <c r="M677" s="100">
        <f>MONTH(List34[[#This Row],[Tanggal Pengajuan]])</f>
        <v>8</v>
      </c>
      <c r="N677" s="183"/>
      <c r="O677" s="100" t="s">
        <v>746</v>
      </c>
      <c r="P677" s="111"/>
      <c r="Q677" s="229"/>
      <c r="S677" s="275"/>
    </row>
    <row r="678" spans="1:21" s="4" customFormat="1" ht="15.75" x14ac:dyDescent="0.2">
      <c r="A678" s="13">
        <v>44678</v>
      </c>
      <c r="B678" s="66"/>
      <c r="C678" s="14" t="s">
        <v>868</v>
      </c>
      <c r="D678" s="14" t="s">
        <v>17</v>
      </c>
      <c r="E678" s="103" t="s">
        <v>18</v>
      </c>
      <c r="F678" s="15">
        <v>27</v>
      </c>
      <c r="G678" s="258">
        <v>5752755</v>
      </c>
      <c r="H678" s="258">
        <f>List34[[#This Row],[Pengajuan Donasi]]</f>
        <v>6000000</v>
      </c>
      <c r="I678" s="213" t="str">
        <f>IF(List34[[#This Row],[Tanggal Trf]]&gt;0,"Done","-")</f>
        <v>Done</v>
      </c>
      <c r="J678" s="445" t="s">
        <v>25</v>
      </c>
      <c r="K678" s="613">
        <v>44679</v>
      </c>
      <c r="L678" s="100" t="s">
        <v>1015</v>
      </c>
      <c r="M678" s="100">
        <f>MONTH(List34[[#This Row],[Tanggal Pengajuan]])</f>
        <v>8</v>
      </c>
      <c r="N678" s="183">
        <v>44686</v>
      </c>
      <c r="O678" s="100" t="s">
        <v>795</v>
      </c>
      <c r="P678" s="111"/>
      <c r="Q678" s="229"/>
      <c r="S678" s="275"/>
    </row>
    <row r="679" spans="1:21" s="4" customFormat="1" ht="15.75" x14ac:dyDescent="0.2">
      <c r="A679" s="13">
        <v>44711</v>
      </c>
      <c r="B679" s="189"/>
      <c r="C679" s="14" t="s">
        <v>868</v>
      </c>
      <c r="D679" s="14" t="s">
        <v>17</v>
      </c>
      <c r="E679" s="103" t="s">
        <v>18</v>
      </c>
      <c r="F679" s="15">
        <v>27</v>
      </c>
      <c r="G679" s="258">
        <v>6373100</v>
      </c>
      <c r="H679" s="258">
        <f>List34[[#This Row],[Pengajuan Donasi]]</f>
        <v>6000000</v>
      </c>
      <c r="I679" s="213" t="str">
        <f>IF(List34[[#This Row],[Tanggal Trf]]&gt;0,"Done","-")</f>
        <v>Done</v>
      </c>
      <c r="J679" s="445"/>
      <c r="K679" s="613">
        <v>44715</v>
      </c>
      <c r="L679" s="100" t="s">
        <v>1015</v>
      </c>
      <c r="M679" s="100">
        <f>MONTH(List34[[#This Row],[Tanggal Pengajuan]])</f>
        <v>8</v>
      </c>
      <c r="N679" s="183">
        <v>44747</v>
      </c>
      <c r="O679" s="100" t="s">
        <v>932</v>
      </c>
      <c r="P679" s="111"/>
      <c r="Q679" s="229"/>
      <c r="S679" s="275"/>
    </row>
    <row r="680" spans="1:21" s="4" customFormat="1" ht="15.75" x14ac:dyDescent="0.2">
      <c r="A680" s="13">
        <v>44736</v>
      </c>
      <c r="B680" s="66"/>
      <c r="C680" s="14" t="s">
        <v>868</v>
      </c>
      <c r="D680" s="14" t="s">
        <v>17</v>
      </c>
      <c r="E680" s="103" t="s">
        <v>18</v>
      </c>
      <c r="F680" s="471">
        <v>27</v>
      </c>
      <c r="G680" s="258">
        <v>6002500</v>
      </c>
      <c r="H680" s="258">
        <f>List34[[#This Row],[Pengajuan Donasi]]</f>
        <v>6000000</v>
      </c>
      <c r="I680" s="213" t="str">
        <f>IF(List34[[#This Row],[Tanggal Trf]]&gt;0,"Done","-")</f>
        <v>Done</v>
      </c>
      <c r="J680" s="445"/>
      <c r="K680" s="224">
        <v>44741</v>
      </c>
      <c r="L680" s="100" t="s">
        <v>1015</v>
      </c>
      <c r="M680" s="100">
        <f>MONTH(List34[[#This Row],[Tanggal Pengajuan]])</f>
        <v>8</v>
      </c>
      <c r="N680" s="183"/>
      <c r="O680" s="100" t="s">
        <v>1116</v>
      </c>
      <c r="P680" s="111"/>
      <c r="Q680" s="229"/>
      <c r="S680" s="275"/>
    </row>
    <row r="681" spans="1:21" s="4" customFormat="1" ht="24.75" x14ac:dyDescent="0.2">
      <c r="A681" s="13">
        <v>44754</v>
      </c>
      <c r="B681" s="66"/>
      <c r="C681" s="14" t="s">
        <v>868</v>
      </c>
      <c r="D681" s="14" t="s">
        <v>17</v>
      </c>
      <c r="E681" s="103" t="s">
        <v>18</v>
      </c>
      <c r="F681" s="471">
        <v>27</v>
      </c>
      <c r="G681" s="258">
        <v>6000000</v>
      </c>
      <c r="H681" s="258">
        <f>List34[[#This Row],[Pengajuan Donasi]]</f>
        <v>6000000</v>
      </c>
      <c r="I681" s="213" t="str">
        <f>IF(List34[[#This Row],[Tanggal Trf]]&gt;0,"Done","-")</f>
        <v>Done</v>
      </c>
      <c r="J681" s="445" t="s">
        <v>1176</v>
      </c>
      <c r="K681" s="224">
        <v>44764</v>
      </c>
      <c r="L681" s="100" t="s">
        <v>1213</v>
      </c>
      <c r="M681" s="100">
        <f>MONTH(List34[[#This Row],[Tanggal Pengajuan]])</f>
        <v>8</v>
      </c>
      <c r="N681" s="183">
        <v>44775</v>
      </c>
      <c r="O681" s="100" t="s">
        <v>1180</v>
      </c>
      <c r="P681" s="111"/>
      <c r="Q681" s="229"/>
      <c r="S681" s="275"/>
    </row>
    <row r="682" spans="1:21" s="4" customFormat="1" ht="36.75" x14ac:dyDescent="0.2">
      <c r="A682" s="13">
        <v>44782</v>
      </c>
      <c r="B682" s="66" t="s">
        <v>1264</v>
      </c>
      <c r="C682" s="14" t="s">
        <v>868</v>
      </c>
      <c r="D682" s="14" t="s">
        <v>17</v>
      </c>
      <c r="E682" s="103" t="s">
        <v>18</v>
      </c>
      <c r="F682" s="471">
        <v>28</v>
      </c>
      <c r="G682" s="258">
        <v>6250060</v>
      </c>
      <c r="H682" s="258">
        <f>List34[[#This Row],[Pengajuan Donasi]]</f>
        <v>6000000</v>
      </c>
      <c r="I682" s="213" t="str">
        <f>IF(List34[[#This Row],[Tanggal Trf]]&gt;0,"Done","-")</f>
        <v>Done</v>
      </c>
      <c r="J682" s="445" t="s">
        <v>1265</v>
      </c>
      <c r="K682" s="224">
        <v>44792</v>
      </c>
      <c r="L682" s="100" t="s">
        <v>1267</v>
      </c>
      <c r="M682" s="100">
        <f>MONTH(List34[[#This Row],[Tanggal Pengajuan]])</f>
        <v>8</v>
      </c>
      <c r="N682" s="183">
        <v>44796</v>
      </c>
      <c r="O682" s="100" t="s">
        <v>888</v>
      </c>
      <c r="P682" s="111"/>
      <c r="Q682" s="229"/>
      <c r="S682" s="275"/>
      <c r="T682" s="738">
        <f>SUM(G675:G682)</f>
        <v>48376215</v>
      </c>
    </row>
    <row r="683" spans="1:21" s="4" customFormat="1" ht="15.75" x14ac:dyDescent="0.2">
      <c r="A683" s="13">
        <v>44587</v>
      </c>
      <c r="B683" s="66"/>
      <c r="C683" s="14" t="s">
        <v>871</v>
      </c>
      <c r="D683" s="14" t="s">
        <v>17</v>
      </c>
      <c r="E683" s="103" t="s">
        <v>18</v>
      </c>
      <c r="F683" s="15">
        <v>68</v>
      </c>
      <c r="G683" s="262">
        <f>'[5]REV-PENAWARAN PER JAN''22'!$E$503</f>
        <v>5999100</v>
      </c>
      <c r="H683" s="258">
        <f>List34[[#This Row],[Pengajuan Donasi]]</f>
        <v>6000000</v>
      </c>
      <c r="I683" s="213" t="str">
        <f>IF(List34[[#This Row],[Tanggal Trf]]&gt;0,"Done","-")</f>
        <v>Done</v>
      </c>
      <c r="J683" s="442" t="s">
        <v>827</v>
      </c>
      <c r="K683" s="613">
        <v>44589</v>
      </c>
      <c r="L683" s="100" t="s">
        <v>1015</v>
      </c>
      <c r="M683" s="100">
        <f>MONTH(List34[[#This Row],[Tanggal Pengajuan]])</f>
        <v>8</v>
      </c>
      <c r="N683" s="183"/>
      <c r="O683" s="100" t="s">
        <v>687</v>
      </c>
      <c r="P683" s="111"/>
      <c r="Q683" s="229"/>
      <c r="S683" s="275"/>
    </row>
    <row r="684" spans="1:21" s="4" customFormat="1" ht="15.75" x14ac:dyDescent="0.2">
      <c r="A684" s="13">
        <v>44644</v>
      </c>
      <c r="B684" s="181"/>
      <c r="C684" s="14" t="s">
        <v>871</v>
      </c>
      <c r="D684" s="14" t="s">
        <v>17</v>
      </c>
      <c r="E684" s="103" t="s">
        <v>18</v>
      </c>
      <c r="F684" s="15">
        <v>68</v>
      </c>
      <c r="G684" s="258">
        <v>5999400</v>
      </c>
      <c r="H684" s="258">
        <f>List34[[#This Row],[Pengajuan Donasi]]</f>
        <v>6000000</v>
      </c>
      <c r="I684" s="213" t="str">
        <f>IF(List34[[#This Row],[Tanggal Trf]]&gt;0,"Done","-")</f>
        <v>Done</v>
      </c>
      <c r="J684" s="445" t="s">
        <v>25</v>
      </c>
      <c r="K684" s="613">
        <v>44645</v>
      </c>
      <c r="L684" s="100" t="s">
        <v>1015</v>
      </c>
      <c r="M684" s="20">
        <f>MONTH(List34[[#This Row],[Tanggal Pengajuan]])</f>
        <v>8</v>
      </c>
      <c r="N684" s="183"/>
      <c r="O684" s="100" t="s">
        <v>707</v>
      </c>
      <c r="P684" s="111"/>
      <c r="Q684" s="229"/>
      <c r="S684" s="275"/>
    </row>
    <row r="685" spans="1:21" s="4" customFormat="1" ht="15.75" x14ac:dyDescent="0.2">
      <c r="A685" s="13">
        <v>44651</v>
      </c>
      <c r="B685" s="66"/>
      <c r="C685" s="14" t="s">
        <v>871</v>
      </c>
      <c r="D685" s="14" t="s">
        <v>17</v>
      </c>
      <c r="E685" s="103" t="s">
        <v>18</v>
      </c>
      <c r="F685" s="15">
        <v>68</v>
      </c>
      <c r="G685" s="258">
        <v>5999200</v>
      </c>
      <c r="H685" s="258">
        <f>List34[[#This Row],[Pengajuan Donasi]]</f>
        <v>6000000</v>
      </c>
      <c r="I685" s="213" t="str">
        <f>IF(List34[[#This Row],[Tanggal Trf]]&gt;0,"Done","-")</f>
        <v>Done</v>
      </c>
      <c r="J685" s="445" t="s">
        <v>25</v>
      </c>
      <c r="K685" s="613">
        <v>44652</v>
      </c>
      <c r="L685" s="100" t="s">
        <v>1015</v>
      </c>
      <c r="M685" s="100">
        <f>MONTH(List34[[#This Row],[Tanggal Pengajuan]])</f>
        <v>8</v>
      </c>
      <c r="N685" s="183"/>
      <c r="O685" s="100" t="s">
        <v>746</v>
      </c>
      <c r="P685" s="111"/>
      <c r="Q685" s="229"/>
      <c r="S685" s="275"/>
    </row>
    <row r="686" spans="1:21" s="4" customFormat="1" ht="15.75" x14ac:dyDescent="0.2">
      <c r="A686" s="13">
        <v>44678</v>
      </c>
      <c r="B686" s="66"/>
      <c r="C686" s="14" t="s">
        <v>871</v>
      </c>
      <c r="D686" s="14" t="s">
        <v>17</v>
      </c>
      <c r="E686" s="103" t="s">
        <v>18</v>
      </c>
      <c r="F686" s="15">
        <v>68</v>
      </c>
      <c r="G686" s="258">
        <v>6294600</v>
      </c>
      <c r="H686" s="258">
        <f>List34[[#This Row],[Pengajuan Donasi]]</f>
        <v>6000000</v>
      </c>
      <c r="I686" s="213" t="str">
        <f>IF(List34[[#This Row],[Tanggal Trf]]&gt;0,"Done","-")</f>
        <v>Done</v>
      </c>
      <c r="J686" s="445" t="s">
        <v>25</v>
      </c>
      <c r="K686" s="613">
        <v>44679</v>
      </c>
      <c r="L686" s="100" t="s">
        <v>1015</v>
      </c>
      <c r="M686" s="100">
        <f>MONTH(List34[[#This Row],[Tanggal Pengajuan]])</f>
        <v>8</v>
      </c>
      <c r="N686" s="183">
        <v>44686</v>
      </c>
      <c r="O686" s="100" t="s">
        <v>795</v>
      </c>
      <c r="P686" s="111"/>
      <c r="Q686" s="229"/>
      <c r="S686" s="275"/>
    </row>
    <row r="687" spans="1:21" s="4" customFormat="1" ht="15.75" x14ac:dyDescent="0.2">
      <c r="A687" s="13">
        <v>44711</v>
      </c>
      <c r="B687" s="189"/>
      <c r="C687" s="14" t="s">
        <v>871</v>
      </c>
      <c r="D687" s="14" t="s">
        <v>17</v>
      </c>
      <c r="E687" s="103" t="s">
        <v>18</v>
      </c>
      <c r="F687" s="15">
        <v>68</v>
      </c>
      <c r="G687" s="258">
        <v>6243400</v>
      </c>
      <c r="H687" s="258">
        <f>List34[[#This Row],[Pengajuan Donasi]]</f>
        <v>6000000</v>
      </c>
      <c r="I687" s="213" t="str">
        <f>IF(List34[[#This Row],[Tanggal Trf]]&gt;0,"Done","-")</f>
        <v>Done</v>
      </c>
      <c r="J687" s="445"/>
      <c r="K687" s="613">
        <v>44715</v>
      </c>
      <c r="L687" s="100" t="s">
        <v>1015</v>
      </c>
      <c r="M687" s="100">
        <f>MONTH(List34[[#This Row],[Tanggal Pengajuan]])</f>
        <v>8</v>
      </c>
      <c r="N687" s="183">
        <v>44747</v>
      </c>
      <c r="O687" s="100" t="s">
        <v>932</v>
      </c>
      <c r="P687" s="111"/>
      <c r="Q687" s="229"/>
      <c r="S687" s="275"/>
    </row>
    <row r="688" spans="1:21" s="4" customFormat="1" ht="15.75" x14ac:dyDescent="0.2">
      <c r="A688" s="13">
        <v>44725</v>
      </c>
      <c r="B688" s="66" t="s">
        <v>1105</v>
      </c>
      <c r="C688" s="14" t="s">
        <v>871</v>
      </c>
      <c r="D688" s="14" t="s">
        <v>17</v>
      </c>
      <c r="E688" s="103" t="s">
        <v>18</v>
      </c>
      <c r="F688" s="471">
        <v>68</v>
      </c>
      <c r="G688" s="258">
        <v>6243400</v>
      </c>
      <c r="H688" s="258">
        <f>List34[[#This Row],[Pengajuan Donasi]]</f>
        <v>6000000</v>
      </c>
      <c r="I688" s="213" t="str">
        <f>IF(List34[[#This Row],[Tanggal Trf]]&gt;0,"Done","-")</f>
        <v>Done</v>
      </c>
      <c r="J688" s="445"/>
      <c r="K688" s="613">
        <v>44729</v>
      </c>
      <c r="L688" s="100" t="s">
        <v>683</v>
      </c>
      <c r="M688" s="100">
        <f>MONTH(List34[[#This Row],[Tanggal Pengajuan]])</f>
        <v>8</v>
      </c>
      <c r="N688" s="183">
        <v>44735</v>
      </c>
      <c r="O688" s="100" t="s">
        <v>1116</v>
      </c>
      <c r="P688" s="111"/>
      <c r="Q688" s="229"/>
      <c r="S688" s="275"/>
    </row>
    <row r="689" spans="1:21" s="4" customFormat="1" ht="24.75" x14ac:dyDescent="0.2">
      <c r="A689" s="13">
        <v>44754</v>
      </c>
      <c r="B689" s="66"/>
      <c r="C689" s="14" t="s">
        <v>871</v>
      </c>
      <c r="D689" s="14" t="s">
        <v>17</v>
      </c>
      <c r="E689" s="103" t="s">
        <v>18</v>
      </c>
      <c r="F689" s="471">
        <v>68</v>
      </c>
      <c r="G689" s="258">
        <v>6000000</v>
      </c>
      <c r="H689" s="258">
        <f>List34[[#This Row],[Pengajuan Donasi]]</f>
        <v>6000000</v>
      </c>
      <c r="I689" s="213" t="str">
        <f>IF(List34[[#This Row],[Tanggal Trf]]&gt;0,"Done","-")</f>
        <v>Done</v>
      </c>
      <c r="J689" s="445" t="s">
        <v>1176</v>
      </c>
      <c r="K689" s="224">
        <v>44764</v>
      </c>
      <c r="L689" s="100" t="s">
        <v>1213</v>
      </c>
      <c r="M689" s="100">
        <f>MONTH(List34[[#This Row],[Tanggal Pengajuan]])</f>
        <v>8</v>
      </c>
      <c r="N689" s="183">
        <v>44775</v>
      </c>
      <c r="O689" s="100" t="s">
        <v>1180</v>
      </c>
      <c r="P689" s="111"/>
      <c r="Q689" s="229"/>
      <c r="S689" s="275"/>
    </row>
    <row r="690" spans="1:21" s="4" customFormat="1" ht="42.75" x14ac:dyDescent="0.2">
      <c r="A690" s="13">
        <v>44781</v>
      </c>
      <c r="B690" s="66" t="s">
        <v>1263</v>
      </c>
      <c r="C690" s="14" t="s">
        <v>871</v>
      </c>
      <c r="D690" s="14" t="s">
        <v>17</v>
      </c>
      <c r="E690" s="103" t="s">
        <v>17</v>
      </c>
      <c r="F690" s="471">
        <v>68</v>
      </c>
      <c r="G690" s="258">
        <v>6000000</v>
      </c>
      <c r="H690" s="258">
        <f>List34[[#This Row],[Pengajuan Donasi]]</f>
        <v>6000000</v>
      </c>
      <c r="I690" s="213" t="str">
        <f>IF(List34[[#This Row],[Tanggal Trf]]&gt;0,"Done","-")</f>
        <v>Done</v>
      </c>
      <c r="J690" s="14" t="s">
        <v>1206</v>
      </c>
      <c r="K690" s="224">
        <v>44792</v>
      </c>
      <c r="L690" s="100" t="s">
        <v>1213</v>
      </c>
      <c r="M690" s="100">
        <f>MONTH(List34[[#This Row],[Tanggal Pengajuan]])</f>
        <v>8</v>
      </c>
      <c r="N690" s="183"/>
      <c r="O690" s="100" t="s">
        <v>888</v>
      </c>
      <c r="P690" s="111"/>
      <c r="Q690" s="229"/>
      <c r="S690" s="275"/>
      <c r="T690" s="738">
        <f>SUM(G683:G690)</f>
        <v>48779100</v>
      </c>
    </row>
    <row r="691" spans="1:21" s="4" customFormat="1" ht="15.75" x14ac:dyDescent="0.2">
      <c r="A691" s="13">
        <v>44567</v>
      </c>
      <c r="B691" s="66" t="s">
        <v>664</v>
      </c>
      <c r="C691" s="14" t="s">
        <v>256</v>
      </c>
      <c r="D691" s="14" t="s">
        <v>17</v>
      </c>
      <c r="E691" s="103" t="s">
        <v>18</v>
      </c>
      <c r="F691" s="15">
        <v>86</v>
      </c>
      <c r="G691" s="258">
        <v>8500000</v>
      </c>
      <c r="H691" s="258">
        <f>List34[[#This Row],[Pengajuan Donasi]]</f>
        <v>6000000</v>
      </c>
      <c r="I691" s="213" t="str">
        <f>IF(List34[[#This Row],[Tanggal Trf]]&gt;0,"Done","-")</f>
        <v>Done</v>
      </c>
      <c r="J691" s="445"/>
      <c r="K691" s="613">
        <v>44580</v>
      </c>
      <c r="L691" s="100" t="s">
        <v>136</v>
      </c>
      <c r="M691" s="100">
        <f>MONTH(List34[[#This Row],[Tanggal Pengajuan]])</f>
        <v>8</v>
      </c>
      <c r="N691" s="183">
        <v>44690</v>
      </c>
      <c r="O691" s="100" t="s">
        <v>665</v>
      </c>
      <c r="P691" s="111"/>
      <c r="Q691" s="229"/>
      <c r="S691" s="275"/>
    </row>
    <row r="692" spans="1:21" s="4" customFormat="1" ht="15.75" x14ac:dyDescent="0.2">
      <c r="A692" s="13">
        <v>44599</v>
      </c>
      <c r="B692" s="66" t="s">
        <v>716</v>
      </c>
      <c r="C692" s="14" t="s">
        <v>256</v>
      </c>
      <c r="D692" s="14" t="s">
        <v>17</v>
      </c>
      <c r="E692" s="103" t="s">
        <v>18</v>
      </c>
      <c r="F692" s="15">
        <v>86</v>
      </c>
      <c r="G692" s="258">
        <v>8500000</v>
      </c>
      <c r="H692" s="258">
        <f>List34[[#This Row],[Pengajuan Donasi]]</f>
        <v>6000000</v>
      </c>
      <c r="I692" s="213" t="str">
        <f>IF(List34[[#This Row],[Tanggal Trf]]&gt;0,"Done","-")</f>
        <v>Done</v>
      </c>
      <c r="J692" s="445"/>
      <c r="K692" s="613">
        <v>44607</v>
      </c>
      <c r="L692" s="100" t="s">
        <v>136</v>
      </c>
      <c r="M692" s="100">
        <f>MONTH(List34[[#This Row],[Tanggal Pengajuan]])</f>
        <v>8</v>
      </c>
      <c r="N692" s="183">
        <v>44691</v>
      </c>
      <c r="O692" s="100" t="s">
        <v>707</v>
      </c>
      <c r="P692" s="111"/>
      <c r="Q692" s="229"/>
      <c r="S692" s="275"/>
    </row>
    <row r="693" spans="1:21" s="4" customFormat="1" ht="15.75" x14ac:dyDescent="0.2">
      <c r="A693" s="13">
        <v>44631</v>
      </c>
      <c r="B693" s="66" t="s">
        <v>765</v>
      </c>
      <c r="C693" s="14" t="s">
        <v>256</v>
      </c>
      <c r="D693" s="14" t="s">
        <v>17</v>
      </c>
      <c r="E693" s="103" t="s">
        <v>18</v>
      </c>
      <c r="F693" s="15">
        <v>86</v>
      </c>
      <c r="G693" s="258">
        <v>8500000</v>
      </c>
      <c r="H693" s="258">
        <f>List34[[#This Row],[Pengajuan Donasi]]</f>
        <v>6250060</v>
      </c>
      <c r="I693" s="213" t="str">
        <f>IF(List34[[#This Row],[Tanggal Trf]]&gt;0,"Done","-")</f>
        <v>Done</v>
      </c>
      <c r="J693" s="445" t="s">
        <v>35</v>
      </c>
      <c r="K693" s="613">
        <v>44648</v>
      </c>
      <c r="L693" s="100" t="s">
        <v>136</v>
      </c>
      <c r="M693" s="100">
        <f>MONTH(List34[[#This Row],[Tanggal Pengajuan]])</f>
        <v>8</v>
      </c>
      <c r="N693" s="183">
        <v>44691</v>
      </c>
      <c r="O693" s="100" t="s">
        <v>746</v>
      </c>
      <c r="P693" s="111"/>
      <c r="Q693" s="229"/>
      <c r="S693" s="275"/>
    </row>
    <row r="694" spans="1:21" s="4" customFormat="1" ht="15.75" x14ac:dyDescent="0.2">
      <c r="A694" s="13">
        <v>44659</v>
      </c>
      <c r="B694" s="66" t="s">
        <v>796</v>
      </c>
      <c r="C694" s="103" t="s">
        <v>256</v>
      </c>
      <c r="D694" s="103" t="s">
        <v>17</v>
      </c>
      <c r="E694" s="103" t="s">
        <v>18</v>
      </c>
      <c r="F694" s="15">
        <v>86</v>
      </c>
      <c r="G694" s="258">
        <v>8500000</v>
      </c>
      <c r="H694" s="258">
        <f>List34[[#This Row],[Pengajuan Donasi]]</f>
        <v>6250560</v>
      </c>
      <c r="I694" s="213" t="str">
        <f>IF(List34[[#This Row],[Tanggal Trf]]&gt;0,"Done","-")</f>
        <v>Done</v>
      </c>
      <c r="J694" s="445"/>
      <c r="K694" s="613">
        <v>44663</v>
      </c>
      <c r="L694" s="105" t="s">
        <v>136</v>
      </c>
      <c r="M694" s="100">
        <f>MONTH(List34[[#This Row],[Tanggal Pengajuan]])</f>
        <v>8</v>
      </c>
      <c r="N694" s="183">
        <v>44677</v>
      </c>
      <c r="O694" s="100" t="s">
        <v>795</v>
      </c>
      <c r="P694" s="111"/>
      <c r="Q694" s="229"/>
      <c r="S694" s="275"/>
    </row>
    <row r="695" spans="1:21" s="4" customFormat="1" ht="15.75" x14ac:dyDescent="0.2">
      <c r="A695" s="13">
        <v>44687</v>
      </c>
      <c r="B695" s="66" t="s">
        <v>944</v>
      </c>
      <c r="C695" s="14" t="s">
        <v>256</v>
      </c>
      <c r="D695" s="14" t="s">
        <v>17</v>
      </c>
      <c r="E695" s="103" t="s">
        <v>18</v>
      </c>
      <c r="F695" s="15">
        <v>86</v>
      </c>
      <c r="G695" s="258">
        <v>8500000</v>
      </c>
      <c r="H695" s="258">
        <f>List34[[#This Row],[Pengajuan Donasi]]</f>
        <v>25000000</v>
      </c>
      <c r="I695" s="213" t="str">
        <f>IF(List34[[#This Row],[Tanggal Trf]]&gt;0,"Done","-")</f>
        <v>Done</v>
      </c>
      <c r="J695" s="445"/>
      <c r="K695" s="614">
        <v>44693</v>
      </c>
      <c r="L695" s="100" t="s">
        <v>136</v>
      </c>
      <c r="M695" s="100">
        <f>MONTH(List34[[#This Row],[Tanggal Pengajuan]])</f>
        <v>8</v>
      </c>
      <c r="N695" s="183">
        <v>44698</v>
      </c>
      <c r="O695" s="100" t="s">
        <v>932</v>
      </c>
      <c r="P695" s="111"/>
      <c r="Q695" s="229"/>
      <c r="S695" s="275"/>
    </row>
    <row r="696" spans="1:21" s="4" customFormat="1" ht="15.75" x14ac:dyDescent="0.2">
      <c r="A696" s="13">
        <v>44715</v>
      </c>
      <c r="B696" s="66" t="s">
        <v>1088</v>
      </c>
      <c r="C696" s="14" t="s">
        <v>256</v>
      </c>
      <c r="D696" s="14" t="s">
        <v>17</v>
      </c>
      <c r="E696" s="103" t="s">
        <v>18</v>
      </c>
      <c r="F696" s="15">
        <v>86</v>
      </c>
      <c r="G696" s="258">
        <v>8500000</v>
      </c>
      <c r="H696" s="258">
        <f>List34[[#This Row],[Pengajuan Donasi]]</f>
        <v>40000000</v>
      </c>
      <c r="I696" s="213" t="str">
        <f>IF(List34[[#This Row],[Tanggal Trf]]&gt;0,"Done","-")</f>
        <v>Done</v>
      </c>
      <c r="J696" s="445"/>
      <c r="K696" s="614">
        <v>44721</v>
      </c>
      <c r="L696" s="100" t="s">
        <v>136</v>
      </c>
      <c r="M696" s="100">
        <f>MONTH(List34[[#This Row],[Tanggal Pengajuan]])</f>
        <v>8</v>
      </c>
      <c r="N696" s="183">
        <v>44748</v>
      </c>
      <c r="O696" s="100" t="s">
        <v>1116</v>
      </c>
      <c r="P696" s="111"/>
      <c r="Q696" s="229"/>
      <c r="S696" s="275"/>
    </row>
    <row r="697" spans="1:21" s="4" customFormat="1" ht="15.75" x14ac:dyDescent="0.2">
      <c r="A697" s="13">
        <v>44746</v>
      </c>
      <c r="B697" s="66" t="s">
        <v>1147</v>
      </c>
      <c r="C697" s="14" t="s">
        <v>256</v>
      </c>
      <c r="D697" s="14" t="s">
        <v>17</v>
      </c>
      <c r="E697" s="14" t="s">
        <v>18</v>
      </c>
      <c r="F697" s="471">
        <v>86</v>
      </c>
      <c r="G697" s="258">
        <v>8500000</v>
      </c>
      <c r="H697" s="258">
        <f>List34[[#This Row],[Pengajuan Donasi]]</f>
        <v>25000000</v>
      </c>
      <c r="I697" s="213" t="str">
        <f>IF(List34[[#This Row],[Tanggal Trf]]&gt;0,"Done","-")</f>
        <v>Done</v>
      </c>
      <c r="J697" s="445" t="s">
        <v>960</v>
      </c>
      <c r="K697" s="225">
        <v>44776</v>
      </c>
      <c r="L697" s="100" t="s">
        <v>136</v>
      </c>
      <c r="M697" s="100">
        <f>MONTH(List34[[#This Row],[Tanggal Pengajuan]])</f>
        <v>8</v>
      </c>
      <c r="N697" s="183"/>
      <c r="O697" s="100" t="s">
        <v>1180</v>
      </c>
      <c r="P697" s="111"/>
      <c r="Q697" s="229"/>
      <c r="S697" s="275"/>
    </row>
    <row r="698" spans="1:21" s="4" customFormat="1" ht="15.75" x14ac:dyDescent="0.2">
      <c r="A698" s="13">
        <v>44775</v>
      </c>
      <c r="B698" s="66" t="s">
        <v>1203</v>
      </c>
      <c r="C698" s="14" t="s">
        <v>256</v>
      </c>
      <c r="D698" s="14" t="s">
        <v>17</v>
      </c>
      <c r="E698" s="103" t="s">
        <v>18</v>
      </c>
      <c r="F698" s="471">
        <v>86</v>
      </c>
      <c r="G698" s="258">
        <v>5500000</v>
      </c>
      <c r="H698" s="258">
        <f>List34[[#This Row],[Pengajuan Donasi]]</f>
        <v>25000000</v>
      </c>
      <c r="I698" s="213" t="str">
        <f>IF(List34[[#This Row],[Tanggal Trf]]&gt;0,"Done","-")</f>
        <v>Done</v>
      </c>
      <c r="J698" s="445"/>
      <c r="K698" s="225">
        <v>44792</v>
      </c>
      <c r="L698" s="100" t="s">
        <v>136</v>
      </c>
      <c r="M698" s="100">
        <f>MONTH(List34[[#This Row],[Tanggal Pengajuan]])</f>
        <v>8</v>
      </c>
      <c r="N698" s="183"/>
      <c r="O698" s="100" t="s">
        <v>888</v>
      </c>
      <c r="P698" s="111"/>
      <c r="Q698" s="229"/>
      <c r="S698" s="275"/>
      <c r="T698" s="738">
        <f>SUM(G691:G698)</f>
        <v>65000000</v>
      </c>
      <c r="U698" s="738">
        <f>+T698</f>
        <v>65000000</v>
      </c>
    </row>
    <row r="699" spans="1:21" s="4" customFormat="1" ht="15.75" x14ac:dyDescent="0.2">
      <c r="A699" s="13">
        <v>44587</v>
      </c>
      <c r="B699" s="66"/>
      <c r="C699" s="14" t="s">
        <v>391</v>
      </c>
      <c r="D699" s="14" t="s">
        <v>17</v>
      </c>
      <c r="E699" s="103" t="s">
        <v>18</v>
      </c>
      <c r="F699" s="15">
        <v>40</v>
      </c>
      <c r="G699" s="262">
        <f>'[5]REV-PENAWARAN PER JAN''22'!$E$1122</f>
        <v>5998600</v>
      </c>
      <c r="H699" s="258">
        <f>List34[[#This Row],[Pengajuan Donasi]]</f>
        <v>35000000</v>
      </c>
      <c r="I699" s="213" t="str">
        <f>IF(List34[[#This Row],[Tanggal Trf]]&gt;0,"Done","-")</f>
        <v>Done</v>
      </c>
      <c r="J699" s="442" t="s">
        <v>840</v>
      </c>
      <c r="K699" s="614">
        <v>44589</v>
      </c>
      <c r="L699" s="100" t="s">
        <v>1015</v>
      </c>
      <c r="M699" s="100">
        <f>MONTH(List34[[#This Row],[Tanggal Pengajuan]])</f>
        <v>8</v>
      </c>
      <c r="N699" s="183"/>
      <c r="O699" s="100" t="s">
        <v>651</v>
      </c>
      <c r="P699" s="111"/>
      <c r="Q699" s="229"/>
      <c r="S699" s="275"/>
    </row>
    <row r="700" spans="1:21" s="4" customFormat="1" ht="15.75" x14ac:dyDescent="0.2">
      <c r="A700" s="13">
        <v>44644</v>
      </c>
      <c r="B700" s="181"/>
      <c r="C700" s="14" t="s">
        <v>391</v>
      </c>
      <c r="D700" s="14" t="s">
        <v>17</v>
      </c>
      <c r="E700" s="103" t="s">
        <v>18</v>
      </c>
      <c r="F700" s="15">
        <v>40</v>
      </c>
      <c r="G700" s="258">
        <v>5999400</v>
      </c>
      <c r="H700" s="258">
        <f>List34[[#This Row],[Pengajuan Donasi]]</f>
        <v>392000</v>
      </c>
      <c r="I700" s="213" t="str">
        <f>IF(List34[[#This Row],[Tanggal Trf]]&gt;0,"Done","-")</f>
        <v>Done</v>
      </c>
      <c r="J700" s="445" t="s">
        <v>25</v>
      </c>
      <c r="K700" s="614">
        <v>44645</v>
      </c>
      <c r="L700" s="100" t="s">
        <v>1015</v>
      </c>
      <c r="M700" s="20">
        <f>MONTH(List34[[#This Row],[Tanggal Pengajuan]])</f>
        <v>8</v>
      </c>
      <c r="N700" s="183"/>
      <c r="O700" s="100" t="s">
        <v>707</v>
      </c>
      <c r="P700" s="111"/>
      <c r="Q700" s="229"/>
      <c r="S700" s="275"/>
    </row>
    <row r="701" spans="1:21" s="4" customFormat="1" ht="15.75" x14ac:dyDescent="0.2">
      <c r="A701" s="13">
        <v>44651</v>
      </c>
      <c r="B701" s="181"/>
      <c r="C701" s="14" t="s">
        <v>391</v>
      </c>
      <c r="D701" s="14" t="s">
        <v>17</v>
      </c>
      <c r="E701" s="103" t="s">
        <v>18</v>
      </c>
      <c r="F701" s="15">
        <v>40</v>
      </c>
      <c r="G701" s="258">
        <v>5999400</v>
      </c>
      <c r="H701" s="258">
        <f>List34[[#This Row],[Pengajuan Donasi]]</f>
        <v>5325700</v>
      </c>
      <c r="I701" s="215" t="str">
        <f>IF(List34[[#This Row],[Tanggal Trf]]&gt;0,"Done","-")</f>
        <v>Done</v>
      </c>
      <c r="J701" s="445" t="s">
        <v>25</v>
      </c>
      <c r="K701" s="614">
        <v>44652</v>
      </c>
      <c r="L701" s="100" t="s">
        <v>1015</v>
      </c>
      <c r="M701" s="20">
        <f>MONTH(List34[[#This Row],[Tanggal Pengajuan]])</f>
        <v>8</v>
      </c>
      <c r="N701" s="183"/>
      <c r="O701" s="100" t="s">
        <v>746</v>
      </c>
      <c r="P701" s="111"/>
      <c r="Q701" s="229"/>
      <c r="S701" s="275"/>
    </row>
    <row r="702" spans="1:21" s="4" customFormat="1" ht="15.75" x14ac:dyDescent="0.2">
      <c r="A702" s="13">
        <v>44678</v>
      </c>
      <c r="B702" s="66"/>
      <c r="C702" s="14" t="s">
        <v>391</v>
      </c>
      <c r="D702" s="14" t="s">
        <v>17</v>
      </c>
      <c r="E702" s="103" t="s">
        <v>18</v>
      </c>
      <c r="F702" s="15">
        <v>40</v>
      </c>
      <c r="G702" s="258">
        <v>6240400</v>
      </c>
      <c r="H702" s="258">
        <f>List34[[#This Row],[Pengajuan Donasi]]</f>
        <v>0</v>
      </c>
      <c r="I702" s="213" t="str">
        <f>IF(List34[[#This Row],[Tanggal Trf]]&gt;0,"Done","-")</f>
        <v>Done</v>
      </c>
      <c r="J702" s="445" t="s">
        <v>25</v>
      </c>
      <c r="K702" s="614">
        <v>44679</v>
      </c>
      <c r="L702" s="100" t="s">
        <v>1015</v>
      </c>
      <c r="M702" s="100">
        <f>MONTH(List34[[#This Row],[Tanggal Pengajuan]])</f>
        <v>8</v>
      </c>
      <c r="N702" s="183">
        <v>44686</v>
      </c>
      <c r="O702" s="100" t="s">
        <v>795</v>
      </c>
      <c r="P702" s="111"/>
      <c r="Q702" s="229"/>
      <c r="S702" s="275"/>
    </row>
    <row r="703" spans="1:21" s="4" customFormat="1" ht="15.75" x14ac:dyDescent="0.2">
      <c r="A703" s="13">
        <v>44711</v>
      </c>
      <c r="B703" s="189"/>
      <c r="C703" s="14" t="s">
        <v>391</v>
      </c>
      <c r="D703" s="14" t="s">
        <v>17</v>
      </c>
      <c r="E703" s="103" t="s">
        <v>18</v>
      </c>
      <c r="F703" s="15">
        <v>40</v>
      </c>
      <c r="G703" s="258">
        <v>6413000</v>
      </c>
      <c r="H703" s="258">
        <f>List34[[#This Row],[Pengajuan Donasi]]</f>
        <v>0</v>
      </c>
      <c r="I703" s="213" t="str">
        <f>IF(List34[[#This Row],[Tanggal Trf]]&gt;0,"Done","-")</f>
        <v>Done</v>
      </c>
      <c r="J703" s="445"/>
      <c r="K703" s="614">
        <v>44715</v>
      </c>
      <c r="L703" s="100" t="s">
        <v>1015</v>
      </c>
      <c r="M703" s="100">
        <f>MONTH(List34[[#This Row],[Tanggal Pengajuan]])</f>
        <v>8</v>
      </c>
      <c r="N703" s="183">
        <v>44747</v>
      </c>
      <c r="O703" s="100" t="s">
        <v>932</v>
      </c>
      <c r="P703" s="111"/>
      <c r="Q703" s="229"/>
      <c r="S703" s="275"/>
    </row>
    <row r="704" spans="1:21" s="4" customFormat="1" ht="15.75" x14ac:dyDescent="0.2">
      <c r="A704" s="13">
        <v>44736</v>
      </c>
      <c r="B704" s="66"/>
      <c r="C704" s="14" t="s">
        <v>391</v>
      </c>
      <c r="D704" s="14" t="s">
        <v>17</v>
      </c>
      <c r="E704" s="103" t="s">
        <v>18</v>
      </c>
      <c r="F704" s="471">
        <v>40</v>
      </c>
      <c r="G704" s="258">
        <v>6007200</v>
      </c>
      <c r="H704" s="258">
        <f>List34[[#This Row],[Pengajuan Donasi]]</f>
        <v>25000000</v>
      </c>
      <c r="I704" s="213" t="str">
        <f>IF(List34[[#This Row],[Tanggal Trf]]&gt;0,"Done","-")</f>
        <v>Done</v>
      </c>
      <c r="J704" s="445"/>
      <c r="K704" s="225">
        <v>44741</v>
      </c>
      <c r="L704" s="100" t="s">
        <v>1015</v>
      </c>
      <c r="M704" s="100">
        <f>MONTH(List34[[#This Row],[Tanggal Pengajuan]])</f>
        <v>8</v>
      </c>
      <c r="N704" s="183"/>
      <c r="O704" s="100" t="s">
        <v>1116</v>
      </c>
      <c r="P704" s="111"/>
      <c r="Q704" s="229"/>
      <c r="S704" s="275"/>
    </row>
    <row r="705" spans="1:20" s="4" customFormat="1" ht="25.5" x14ac:dyDescent="0.2">
      <c r="A705" s="13">
        <v>44746</v>
      </c>
      <c r="B705" s="66"/>
      <c r="C705" s="14" t="s">
        <v>391</v>
      </c>
      <c r="D705" s="14" t="s">
        <v>17</v>
      </c>
      <c r="E705" s="103" t="s">
        <v>18</v>
      </c>
      <c r="F705" s="471">
        <v>40</v>
      </c>
      <c r="G705" s="258">
        <v>6007200</v>
      </c>
      <c r="H705" s="258">
        <f>List34[[#This Row],[Pengajuan Donasi]]</f>
        <v>21000000</v>
      </c>
      <c r="I705" s="213" t="str">
        <f>IF(List34[[#This Row],[Tanggal Trf]]&gt;0,"Done","-")</f>
        <v>Done</v>
      </c>
      <c r="J705" s="448" t="s">
        <v>1156</v>
      </c>
      <c r="K705" s="225">
        <v>44757</v>
      </c>
      <c r="L705" s="100" t="s">
        <v>683</v>
      </c>
      <c r="M705" s="100">
        <f>MONTH(List34[[#This Row],[Tanggal Pengajuan]])</f>
        <v>8</v>
      </c>
      <c r="N705" s="183">
        <v>44763</v>
      </c>
      <c r="O705" s="100" t="s">
        <v>1180</v>
      </c>
      <c r="P705" s="111"/>
      <c r="Q705" s="229"/>
      <c r="S705" s="275"/>
    </row>
    <row r="706" spans="1:20" s="4" customFormat="1" ht="29.25" x14ac:dyDescent="0.2">
      <c r="A706" s="13">
        <v>44781</v>
      </c>
      <c r="B706" s="66"/>
      <c r="C706" s="14" t="s">
        <v>391</v>
      </c>
      <c r="D706" s="14" t="s">
        <v>17</v>
      </c>
      <c r="E706" s="103" t="s">
        <v>18</v>
      </c>
      <c r="F706" s="471">
        <v>40</v>
      </c>
      <c r="G706" s="258">
        <v>6000000</v>
      </c>
      <c r="H706" s="258">
        <f>List34[[#This Row],[Pengajuan Donasi]]</f>
        <v>50000000</v>
      </c>
      <c r="I706" s="213" t="str">
        <f>IF(List34[[#This Row],[Tanggal Trf]]&gt;0,"Done","-")</f>
        <v>Done</v>
      </c>
      <c r="J706" s="14" t="s">
        <v>1206</v>
      </c>
      <c r="K706" s="225">
        <v>44792</v>
      </c>
      <c r="L706" s="100" t="s">
        <v>1213</v>
      </c>
      <c r="M706" s="100">
        <f>MONTH(List34[[#This Row],[Tanggal Pengajuan]])</f>
        <v>8</v>
      </c>
      <c r="N706" s="183"/>
      <c r="O706" s="100" t="s">
        <v>888</v>
      </c>
      <c r="P706" s="111"/>
      <c r="Q706" s="229"/>
      <c r="S706" s="275"/>
      <c r="T706" s="738">
        <f>SUM(G699:G706)</f>
        <v>48665200</v>
      </c>
    </row>
    <row r="707" spans="1:20" s="4" customFormat="1" ht="15.75" x14ac:dyDescent="0.2">
      <c r="A707" s="13">
        <v>44736</v>
      </c>
      <c r="B707" s="66"/>
      <c r="C707" s="14" t="s">
        <v>1099</v>
      </c>
      <c r="D707" s="14" t="s">
        <v>17</v>
      </c>
      <c r="E707" s="103" t="s">
        <v>18</v>
      </c>
      <c r="F707" s="471">
        <v>65</v>
      </c>
      <c r="G707" s="258">
        <v>6017800</v>
      </c>
      <c r="H707" s="258">
        <f>List34[[#This Row],[Pengajuan Donasi]]</f>
        <v>25000000</v>
      </c>
      <c r="I707" s="213" t="str">
        <f>IF(List34[[#This Row],[Tanggal Trf]]&gt;0,"Done","-")</f>
        <v>Done</v>
      </c>
      <c r="J707" s="445"/>
      <c r="K707" s="225">
        <v>44741</v>
      </c>
      <c r="L707" s="100" t="s">
        <v>1015</v>
      </c>
      <c r="M707" s="100">
        <f>MONTH(List34[[#This Row],[Tanggal Pengajuan]])</f>
        <v>8</v>
      </c>
      <c r="N707" s="183"/>
      <c r="O707" s="100" t="s">
        <v>1116</v>
      </c>
      <c r="P707" s="111"/>
      <c r="Q707" s="229"/>
      <c r="S707" s="275"/>
    </row>
    <row r="708" spans="1:20" s="4" customFormat="1" ht="24.75" x14ac:dyDescent="0.2">
      <c r="A708" s="13">
        <v>44754</v>
      </c>
      <c r="B708" s="66"/>
      <c r="C708" s="14" t="s">
        <v>1099</v>
      </c>
      <c r="D708" s="14" t="s">
        <v>17</v>
      </c>
      <c r="E708" s="103" t="s">
        <v>18</v>
      </c>
      <c r="F708" s="471">
        <v>65</v>
      </c>
      <c r="G708" s="258">
        <v>6000000</v>
      </c>
      <c r="H708" s="258">
        <f>List34[[#This Row],[Pengajuan Donasi]]</f>
        <v>20400000</v>
      </c>
      <c r="I708" s="213" t="str">
        <f>IF(List34[[#This Row],[Tanggal Trf]]&gt;0,"Done","-")</f>
        <v>Done</v>
      </c>
      <c r="J708" s="445" t="s">
        <v>1176</v>
      </c>
      <c r="K708" s="225">
        <v>44764</v>
      </c>
      <c r="L708" s="100" t="s">
        <v>1213</v>
      </c>
      <c r="M708" s="100">
        <f>MONTH(List34[[#This Row],[Tanggal Pengajuan]])</f>
        <v>9</v>
      </c>
      <c r="N708" s="183">
        <v>44775</v>
      </c>
      <c r="O708" s="100" t="s">
        <v>1180</v>
      </c>
      <c r="P708" s="111"/>
      <c r="Q708" s="229"/>
      <c r="S708" s="275"/>
    </row>
    <row r="709" spans="1:20" s="4" customFormat="1" ht="29.25" x14ac:dyDescent="0.2">
      <c r="A709" s="13">
        <v>44781</v>
      </c>
      <c r="B709" s="66"/>
      <c r="C709" s="14" t="s">
        <v>1099</v>
      </c>
      <c r="D709" s="14" t="s">
        <v>17</v>
      </c>
      <c r="E709" s="103" t="s">
        <v>18</v>
      </c>
      <c r="F709" s="471">
        <v>65</v>
      </c>
      <c r="G709" s="258">
        <v>6000000</v>
      </c>
      <c r="H709" s="258">
        <f>List34[[#This Row],[Pengajuan Donasi]]</f>
        <v>0</v>
      </c>
      <c r="I709" s="213" t="str">
        <f>IF(List34[[#This Row],[Tanggal Trf]]&gt;0,"Done","-")</f>
        <v>-</v>
      </c>
      <c r="J709" s="14" t="s">
        <v>1206</v>
      </c>
      <c r="K709" s="225">
        <v>44792</v>
      </c>
      <c r="L709" s="100" t="s">
        <v>1213</v>
      </c>
      <c r="M709" s="100">
        <f>MONTH(List34[[#This Row],[Tanggal Pengajuan]])</f>
        <v>9</v>
      </c>
      <c r="N709" s="183"/>
      <c r="O709" s="100" t="s">
        <v>888</v>
      </c>
      <c r="P709" s="111"/>
      <c r="Q709" s="229"/>
      <c r="S709" s="275"/>
      <c r="T709" s="738">
        <f>SUM(G707:G709)</f>
        <v>18017800</v>
      </c>
    </row>
    <row r="710" spans="1:20" s="4" customFormat="1" ht="15.75" x14ac:dyDescent="0.2">
      <c r="A710" s="13">
        <v>44587</v>
      </c>
      <c r="B710" s="66"/>
      <c r="C710" s="14" t="s">
        <v>229</v>
      </c>
      <c r="D710" s="14" t="s">
        <v>17</v>
      </c>
      <c r="E710" s="103" t="s">
        <v>18</v>
      </c>
      <c r="F710" s="15">
        <v>40</v>
      </c>
      <c r="G710" s="262">
        <f>'[5]REV-PENAWARAN PER JAN''22'!$E$695</f>
        <v>5998900</v>
      </c>
      <c r="H710" s="258">
        <f>List34[[#This Row],[Pengajuan Donasi]]</f>
        <v>5481000</v>
      </c>
      <c r="I710" s="213" t="str">
        <f>IF(List34[[#This Row],[Tanggal Trf]]&gt;0,"Done","-")</f>
        <v>Done</v>
      </c>
      <c r="J710" s="442" t="s">
        <v>831</v>
      </c>
      <c r="K710" s="614">
        <v>44589</v>
      </c>
      <c r="L710" s="100" t="s">
        <v>1015</v>
      </c>
      <c r="M710" s="100">
        <f>MONTH(List34[[#This Row],[Tanggal Pengajuan]])</f>
        <v>9</v>
      </c>
      <c r="N710" s="183"/>
      <c r="O710" s="100" t="s">
        <v>687</v>
      </c>
      <c r="P710" s="111"/>
      <c r="Q710" s="229"/>
      <c r="S710" s="275"/>
    </row>
    <row r="711" spans="1:20" s="4" customFormat="1" ht="15.75" x14ac:dyDescent="0.2">
      <c r="A711" s="13">
        <v>44644</v>
      </c>
      <c r="B711" s="181"/>
      <c r="C711" s="14" t="s">
        <v>229</v>
      </c>
      <c r="D711" s="14" t="s">
        <v>17</v>
      </c>
      <c r="E711" s="103" t="s">
        <v>18</v>
      </c>
      <c r="F711" s="15">
        <v>40</v>
      </c>
      <c r="G711" s="258">
        <v>5999100</v>
      </c>
      <c r="H711" s="258">
        <f>List34[[#This Row],[Pengajuan Donasi]]</f>
        <v>6249320</v>
      </c>
      <c r="I711" s="213" t="str">
        <f>IF(List34[[#This Row],[Tanggal Trf]]&gt;0,"Done","-")</f>
        <v>Done</v>
      </c>
      <c r="J711" s="445" t="s">
        <v>25</v>
      </c>
      <c r="K711" s="614">
        <v>44645</v>
      </c>
      <c r="L711" s="100" t="s">
        <v>1015</v>
      </c>
      <c r="M711" s="20">
        <f>MONTH(List34[[#This Row],[Tanggal Pengajuan]])</f>
        <v>9</v>
      </c>
      <c r="N711" s="183"/>
      <c r="O711" s="100" t="s">
        <v>707</v>
      </c>
      <c r="P711" s="111"/>
      <c r="Q711" s="229"/>
      <c r="S711" s="275"/>
    </row>
    <row r="712" spans="1:20" s="4" customFormat="1" ht="15.75" x14ac:dyDescent="0.2">
      <c r="A712" s="13">
        <v>44651</v>
      </c>
      <c r="B712" s="66"/>
      <c r="C712" s="14" t="s">
        <v>229</v>
      </c>
      <c r="D712" s="14" t="s">
        <v>17</v>
      </c>
      <c r="E712" s="103" t="s">
        <v>18</v>
      </c>
      <c r="F712" s="15">
        <v>40</v>
      </c>
      <c r="G712" s="258">
        <v>5998900</v>
      </c>
      <c r="H712" s="258">
        <f>List34[[#This Row],[Pengajuan Donasi]]</f>
        <v>6283440</v>
      </c>
      <c r="I712" s="213" t="str">
        <f>IF(List34[[#This Row],[Tanggal Trf]]&gt;0,"Done","-")</f>
        <v>Done</v>
      </c>
      <c r="J712" s="445" t="s">
        <v>25</v>
      </c>
      <c r="K712" s="614">
        <v>44652</v>
      </c>
      <c r="L712" s="100" t="s">
        <v>1015</v>
      </c>
      <c r="M712" s="100">
        <f>MONTH(List34[[#This Row],[Tanggal Pengajuan]])</f>
        <v>9</v>
      </c>
      <c r="N712" s="183"/>
      <c r="O712" s="100" t="s">
        <v>746</v>
      </c>
      <c r="P712" s="111"/>
      <c r="Q712" s="229"/>
      <c r="S712" s="275"/>
    </row>
    <row r="713" spans="1:20" s="4" customFormat="1" ht="15.75" x14ac:dyDescent="0.2">
      <c r="A713" s="13">
        <v>44678</v>
      </c>
      <c r="B713" s="66"/>
      <c r="C713" s="14" t="s">
        <v>229</v>
      </c>
      <c r="D713" s="14" t="s">
        <v>17</v>
      </c>
      <c r="E713" s="103" t="s">
        <v>18</v>
      </c>
      <c r="F713" s="15">
        <v>40</v>
      </c>
      <c r="G713" s="258">
        <v>6281100</v>
      </c>
      <c r="H713" s="258">
        <f>List34[[#This Row],[Pengajuan Donasi]]</f>
        <v>6000000</v>
      </c>
      <c r="I713" s="213" t="str">
        <f>IF(List34[[#This Row],[Tanggal Trf]]&gt;0,"Done","-")</f>
        <v>Done</v>
      </c>
      <c r="J713" s="445" t="s">
        <v>25</v>
      </c>
      <c r="K713" s="614">
        <v>44679</v>
      </c>
      <c r="L713" s="100" t="s">
        <v>1015</v>
      </c>
      <c r="M713" s="100">
        <f>MONTH(List34[[#This Row],[Tanggal Pengajuan]])</f>
        <v>9</v>
      </c>
      <c r="N713" s="183">
        <v>44686</v>
      </c>
      <c r="O713" s="100" t="s">
        <v>795</v>
      </c>
      <c r="P713" s="111"/>
      <c r="Q713" s="229"/>
      <c r="S713" s="275"/>
    </row>
    <row r="714" spans="1:20" s="4" customFormat="1" ht="15.75" x14ac:dyDescent="0.2">
      <c r="A714" s="13">
        <v>44711</v>
      </c>
      <c r="B714" s="189"/>
      <c r="C714" s="14" t="s">
        <v>229</v>
      </c>
      <c r="D714" s="14" t="s">
        <v>17</v>
      </c>
      <c r="E714" s="103" t="s">
        <v>18</v>
      </c>
      <c r="F714" s="15">
        <v>40</v>
      </c>
      <c r="G714" s="258">
        <v>6266100</v>
      </c>
      <c r="H714" s="258">
        <f>List34[[#This Row],[Pengajuan Donasi]]</f>
        <v>6000000</v>
      </c>
      <c r="I714" s="213" t="str">
        <f>IF(List34[[#This Row],[Tanggal Trf]]&gt;0,"Done","-")</f>
        <v>Done</v>
      </c>
      <c r="J714" s="445"/>
      <c r="K714" s="614">
        <v>44715</v>
      </c>
      <c r="L714" s="100" t="s">
        <v>1015</v>
      </c>
      <c r="M714" s="100">
        <f>MONTH(List34[[#This Row],[Tanggal Pengajuan]])</f>
        <v>9</v>
      </c>
      <c r="N714" s="183">
        <v>44747</v>
      </c>
      <c r="O714" s="100" t="s">
        <v>932</v>
      </c>
      <c r="P714" s="111"/>
      <c r="Q714" s="229"/>
      <c r="S714" s="275"/>
    </row>
    <row r="715" spans="1:20" s="4" customFormat="1" ht="15.75" x14ac:dyDescent="0.2">
      <c r="A715" s="13">
        <v>44736</v>
      </c>
      <c r="B715" s="66"/>
      <c r="C715" s="14" t="s">
        <v>229</v>
      </c>
      <c r="D715" s="14" t="s">
        <v>17</v>
      </c>
      <c r="E715" s="103" t="s">
        <v>18</v>
      </c>
      <c r="F715" s="471">
        <v>40</v>
      </c>
      <c r="G715" s="258">
        <v>6008700</v>
      </c>
      <c r="H715" s="258">
        <f>List34[[#This Row],[Pengajuan Donasi]]</f>
        <v>6000000</v>
      </c>
      <c r="I715" s="213" t="str">
        <f>IF(List34[[#This Row],[Tanggal Trf]]&gt;0,"Done","-")</f>
        <v>Done</v>
      </c>
      <c r="J715" s="445"/>
      <c r="K715" s="225">
        <v>44741</v>
      </c>
      <c r="L715" s="100" t="s">
        <v>1015</v>
      </c>
      <c r="M715" s="100">
        <f>MONTH(List34[[#This Row],[Tanggal Pengajuan]])</f>
        <v>9</v>
      </c>
      <c r="N715" s="183"/>
      <c r="O715" s="100" t="s">
        <v>1116</v>
      </c>
      <c r="P715" s="111"/>
      <c r="Q715" s="229"/>
      <c r="S715" s="275"/>
    </row>
    <row r="716" spans="1:20" s="4" customFormat="1" ht="24.75" x14ac:dyDescent="0.2">
      <c r="A716" s="13">
        <v>44754</v>
      </c>
      <c r="B716" s="66"/>
      <c r="C716" s="14" t="s">
        <v>229</v>
      </c>
      <c r="D716" s="14" t="s">
        <v>17</v>
      </c>
      <c r="E716" s="103" t="s">
        <v>18</v>
      </c>
      <c r="F716" s="471">
        <v>40</v>
      </c>
      <c r="G716" s="258">
        <v>6000000</v>
      </c>
      <c r="H716" s="258">
        <f>List34[[#This Row],[Pengajuan Donasi]]</f>
        <v>6000000</v>
      </c>
      <c r="I716" s="213" t="str">
        <f>IF(List34[[#This Row],[Tanggal Trf]]&gt;0,"Done","-")</f>
        <v>Done</v>
      </c>
      <c r="J716" s="445" t="s">
        <v>1176</v>
      </c>
      <c r="K716" s="225">
        <v>44764</v>
      </c>
      <c r="L716" s="100" t="s">
        <v>1213</v>
      </c>
      <c r="M716" s="100">
        <f>MONTH(List34[[#This Row],[Tanggal Pengajuan]])</f>
        <v>9</v>
      </c>
      <c r="N716" s="183">
        <v>44775</v>
      </c>
      <c r="O716" s="100" t="s">
        <v>1180</v>
      </c>
      <c r="P716" s="111"/>
      <c r="Q716" s="229"/>
      <c r="S716" s="275"/>
    </row>
    <row r="717" spans="1:20" s="4" customFormat="1" ht="29.25" x14ac:dyDescent="0.2">
      <c r="A717" s="13">
        <v>44781</v>
      </c>
      <c r="B717" s="66"/>
      <c r="C717" s="14" t="s">
        <v>229</v>
      </c>
      <c r="D717" s="14" t="s">
        <v>17</v>
      </c>
      <c r="E717" s="103" t="s">
        <v>18</v>
      </c>
      <c r="F717" s="471">
        <v>40</v>
      </c>
      <c r="G717" s="258">
        <v>6000000</v>
      </c>
      <c r="H717" s="258">
        <f>List34[[#This Row],[Pengajuan Donasi]]</f>
        <v>6000000</v>
      </c>
      <c r="I717" s="213" t="str">
        <f>IF(List34[[#This Row],[Tanggal Trf]]&gt;0,"Done","-")</f>
        <v>Done</v>
      </c>
      <c r="J717" s="14" t="s">
        <v>1206</v>
      </c>
      <c r="K717" s="225">
        <v>44792</v>
      </c>
      <c r="L717" s="100" t="s">
        <v>1213</v>
      </c>
      <c r="M717" s="100">
        <f>MONTH(List34[[#This Row],[Tanggal Pengajuan]])</f>
        <v>9</v>
      </c>
      <c r="N717" s="183"/>
      <c r="O717" s="100" t="s">
        <v>888</v>
      </c>
      <c r="P717" s="111"/>
      <c r="Q717" s="229"/>
      <c r="S717" s="275"/>
      <c r="T717" s="738">
        <f>SUM(G710:G717)</f>
        <v>48552800</v>
      </c>
    </row>
    <row r="718" spans="1:20" s="4" customFormat="1" ht="15.75" x14ac:dyDescent="0.2">
      <c r="A718" s="13">
        <v>44587</v>
      </c>
      <c r="B718" s="66"/>
      <c r="C718" s="14" t="s">
        <v>362</v>
      </c>
      <c r="D718" s="14" t="s">
        <v>17</v>
      </c>
      <c r="E718" s="103" t="s">
        <v>18</v>
      </c>
      <c r="F718" s="15">
        <v>137</v>
      </c>
      <c r="G718" s="262">
        <f>'[5]REV-PENAWARAN PER JAN''22'!$E$1085</f>
        <v>6000200</v>
      </c>
      <c r="H718" s="258">
        <f>List34[[#This Row],[Pengajuan Donasi]]</f>
        <v>6000000</v>
      </c>
      <c r="I718" s="213" t="str">
        <f>IF(List34[[#This Row],[Tanggal Trf]]&gt;0,"Done","-")</f>
        <v>Done</v>
      </c>
      <c r="J718" s="442" t="s">
        <v>839</v>
      </c>
      <c r="K718" s="614">
        <v>44589</v>
      </c>
      <c r="L718" s="100" t="s">
        <v>1015</v>
      </c>
      <c r="M718" s="100">
        <f>MONTH(List34[[#This Row],[Tanggal Pengajuan]])</f>
        <v>9</v>
      </c>
      <c r="N718" s="183"/>
      <c r="O718" s="100" t="s">
        <v>687</v>
      </c>
      <c r="P718" s="111"/>
      <c r="Q718" s="229"/>
      <c r="S718" s="275"/>
    </row>
    <row r="719" spans="1:20" s="4" customFormat="1" ht="15.75" x14ac:dyDescent="0.2">
      <c r="A719" s="13">
        <v>44644</v>
      </c>
      <c r="B719" s="181"/>
      <c r="C719" s="14" t="s">
        <v>362</v>
      </c>
      <c r="D719" s="14" t="s">
        <v>17</v>
      </c>
      <c r="E719" s="103" t="s">
        <v>18</v>
      </c>
      <c r="F719" s="15">
        <v>137</v>
      </c>
      <c r="G719" s="258">
        <v>5991700</v>
      </c>
      <c r="H719" s="258">
        <f>List34[[#This Row],[Pengajuan Donasi]]</f>
        <v>6000000</v>
      </c>
      <c r="I719" s="213" t="str">
        <f>IF(List34[[#This Row],[Tanggal Trf]]&gt;0,"Done","-")</f>
        <v>Done</v>
      </c>
      <c r="J719" s="445" t="s">
        <v>25</v>
      </c>
      <c r="K719" s="614">
        <v>44645</v>
      </c>
      <c r="L719" s="100" t="s">
        <v>1015</v>
      </c>
      <c r="M719" s="20">
        <f>MONTH(List34[[#This Row],[Tanggal Pengajuan]])</f>
        <v>9</v>
      </c>
      <c r="N719" s="183"/>
      <c r="O719" s="100" t="s">
        <v>707</v>
      </c>
      <c r="P719" s="111"/>
      <c r="Q719" s="229"/>
      <c r="S719" s="275"/>
    </row>
    <row r="720" spans="1:20" s="4" customFormat="1" ht="15.75" x14ac:dyDescent="0.2">
      <c r="A720" s="13">
        <v>44651</v>
      </c>
      <c r="B720" s="181"/>
      <c r="C720" s="14" t="s">
        <v>362</v>
      </c>
      <c r="D720" s="14" t="s">
        <v>17</v>
      </c>
      <c r="E720" s="103" t="s">
        <v>18</v>
      </c>
      <c r="F720" s="15">
        <v>137</v>
      </c>
      <c r="G720" s="258">
        <v>5998200</v>
      </c>
      <c r="H720" s="258">
        <f>List34[[#This Row],[Pengajuan Donasi]]</f>
        <v>6000000</v>
      </c>
      <c r="I720" s="215" t="str">
        <f>IF(List34[[#This Row],[Tanggal Trf]]&gt;0,"Done","-")</f>
        <v>Done</v>
      </c>
      <c r="J720" s="445" t="s">
        <v>25</v>
      </c>
      <c r="K720" s="614">
        <v>44652</v>
      </c>
      <c r="L720" s="100" t="s">
        <v>1015</v>
      </c>
      <c r="M720" s="20">
        <f>MONTH(List34[[#This Row],[Tanggal Pengajuan]])</f>
        <v>9</v>
      </c>
      <c r="N720" s="183"/>
      <c r="O720" s="100" t="s">
        <v>746</v>
      </c>
      <c r="P720" s="111"/>
      <c r="Q720" s="229"/>
      <c r="S720" s="275"/>
    </row>
    <row r="721" spans="1:21" s="4" customFormat="1" ht="15.75" x14ac:dyDescent="0.2">
      <c r="A721" s="13">
        <v>44678</v>
      </c>
      <c r="B721" s="66"/>
      <c r="C721" s="14" t="s">
        <v>362</v>
      </c>
      <c r="D721" s="14" t="s">
        <v>17</v>
      </c>
      <c r="E721" s="103" t="s">
        <v>18</v>
      </c>
      <c r="F721" s="15">
        <v>137</v>
      </c>
      <c r="G721" s="258">
        <v>6059700</v>
      </c>
      <c r="H721" s="258">
        <f>List34[[#This Row],[Pengajuan Donasi]]</f>
        <v>6000000</v>
      </c>
      <c r="I721" s="213" t="str">
        <f>IF(List34[[#This Row],[Tanggal Trf]]&gt;0,"Done","-")</f>
        <v>Done</v>
      </c>
      <c r="J721" s="445" t="s">
        <v>25</v>
      </c>
      <c r="K721" s="614">
        <v>44679</v>
      </c>
      <c r="L721" s="100" t="s">
        <v>1015</v>
      </c>
      <c r="M721" s="100">
        <f>MONTH(List34[[#This Row],[Tanggal Pengajuan]])</f>
        <v>9</v>
      </c>
      <c r="N721" s="183">
        <v>44686</v>
      </c>
      <c r="O721" s="100" t="s">
        <v>795</v>
      </c>
      <c r="P721" s="111"/>
      <c r="Q721" s="229"/>
      <c r="S721" s="275"/>
    </row>
    <row r="722" spans="1:21" s="4" customFormat="1" ht="15.75" x14ac:dyDescent="0.2">
      <c r="A722" s="13">
        <v>44711</v>
      </c>
      <c r="B722" s="189"/>
      <c r="C722" s="14" t="s">
        <v>362</v>
      </c>
      <c r="D722" s="14" t="s">
        <v>17</v>
      </c>
      <c r="E722" s="103" t="s">
        <v>18</v>
      </c>
      <c r="F722" s="15">
        <v>137</v>
      </c>
      <c r="G722" s="258">
        <v>6076100</v>
      </c>
      <c r="H722" s="258">
        <f>List34[[#This Row],[Pengajuan Donasi]]</f>
        <v>6000000</v>
      </c>
      <c r="I722" s="213" t="str">
        <f>IF(List34[[#This Row],[Tanggal Trf]]&gt;0,"Done","-")</f>
        <v>Done</v>
      </c>
      <c r="J722" s="445"/>
      <c r="K722" s="614">
        <v>44715</v>
      </c>
      <c r="L722" s="100" t="s">
        <v>1015</v>
      </c>
      <c r="M722" s="100">
        <f>MONTH(List34[[#This Row],[Tanggal Pengajuan]])</f>
        <v>9</v>
      </c>
      <c r="N722" s="183">
        <v>44747</v>
      </c>
      <c r="O722" s="100" t="s">
        <v>932</v>
      </c>
      <c r="P722" s="111"/>
      <c r="Q722" s="229"/>
      <c r="S722" s="275"/>
    </row>
    <row r="723" spans="1:21" s="4" customFormat="1" ht="15.75" x14ac:dyDescent="0.2">
      <c r="A723" s="13">
        <v>44736</v>
      </c>
      <c r="B723" s="66"/>
      <c r="C723" s="14" t="s">
        <v>362</v>
      </c>
      <c r="D723" s="14" t="s">
        <v>17</v>
      </c>
      <c r="E723" s="103" t="s">
        <v>18</v>
      </c>
      <c r="F723" s="471">
        <v>137</v>
      </c>
      <c r="G723" s="258">
        <v>5997500</v>
      </c>
      <c r="H723" s="258">
        <f>List34[[#This Row],[Pengajuan Donasi]]</f>
        <v>6000000</v>
      </c>
      <c r="I723" s="213" t="str">
        <f>IF(List34[[#This Row],[Tanggal Trf]]&gt;0,"Done","-")</f>
        <v>Done</v>
      </c>
      <c r="J723" s="445"/>
      <c r="K723" s="225">
        <v>44741</v>
      </c>
      <c r="L723" s="100" t="s">
        <v>1015</v>
      </c>
      <c r="M723" s="100">
        <f>MONTH(List34[[#This Row],[Tanggal Pengajuan]])</f>
        <v>9</v>
      </c>
      <c r="N723" s="183"/>
      <c r="O723" s="100" t="s">
        <v>1116</v>
      </c>
      <c r="P723" s="111"/>
      <c r="Q723" s="229"/>
      <c r="S723" s="275"/>
    </row>
    <row r="724" spans="1:21" s="4" customFormat="1" ht="25.5" x14ac:dyDescent="0.2">
      <c r="A724" s="13">
        <v>44746</v>
      </c>
      <c r="B724" s="66" t="s">
        <v>1133</v>
      </c>
      <c r="C724" s="14" t="s">
        <v>362</v>
      </c>
      <c r="D724" s="14" t="s">
        <v>17</v>
      </c>
      <c r="E724" s="103" t="s">
        <v>18</v>
      </c>
      <c r="F724" s="471">
        <v>137</v>
      </c>
      <c r="G724" s="258">
        <v>6000000</v>
      </c>
      <c r="H724" s="258">
        <f>List34[[#This Row],[Pengajuan Donasi]]</f>
        <v>6000000</v>
      </c>
      <c r="I724" s="213" t="str">
        <f>IF(List34[[#This Row],[Tanggal Trf]]&gt;0,"Done","-")</f>
        <v>Done</v>
      </c>
      <c r="J724" s="448" t="s">
        <v>1156</v>
      </c>
      <c r="K724" s="225">
        <v>44757</v>
      </c>
      <c r="L724" s="100" t="s">
        <v>683</v>
      </c>
      <c r="M724" s="100">
        <f>MONTH(List34[[#This Row],[Tanggal Pengajuan]])</f>
        <v>9</v>
      </c>
      <c r="N724" s="183">
        <v>44763</v>
      </c>
      <c r="O724" s="100" t="s">
        <v>1180</v>
      </c>
      <c r="P724" s="111"/>
      <c r="Q724" s="229"/>
      <c r="S724" s="275"/>
    </row>
    <row r="725" spans="1:21" s="4" customFormat="1" ht="29.25" x14ac:dyDescent="0.2">
      <c r="A725" s="13">
        <v>44781</v>
      </c>
      <c r="B725" s="66"/>
      <c r="C725" s="14" t="s">
        <v>362</v>
      </c>
      <c r="D725" s="14" t="s">
        <v>17</v>
      </c>
      <c r="E725" s="103" t="s">
        <v>18</v>
      </c>
      <c r="F725" s="471">
        <v>217</v>
      </c>
      <c r="G725" s="258">
        <v>6000000</v>
      </c>
      <c r="H725" s="258">
        <f>List34[[#This Row],[Pengajuan Donasi]]</f>
        <v>6000000</v>
      </c>
      <c r="I725" s="213" t="str">
        <f>IF(List34[[#This Row],[Tanggal Trf]]&gt;0,"Done","-")</f>
        <v>Done</v>
      </c>
      <c r="J725" s="14" t="s">
        <v>1206</v>
      </c>
      <c r="K725" s="225">
        <v>44792</v>
      </c>
      <c r="L725" s="100" t="s">
        <v>1213</v>
      </c>
      <c r="M725" s="100">
        <f>MONTH(List34[[#This Row],[Tanggal Pengajuan]])</f>
        <v>9</v>
      </c>
      <c r="N725" s="183"/>
      <c r="O725" s="100" t="s">
        <v>888</v>
      </c>
      <c r="P725" s="111"/>
      <c r="Q725" s="229"/>
      <c r="S725" s="275"/>
      <c r="T725" s="738">
        <f>SUM(G718:G725)</f>
        <v>48123400</v>
      </c>
    </row>
    <row r="726" spans="1:21" s="8" customFormat="1" ht="15.75" x14ac:dyDescent="0.2">
      <c r="A726" s="644"/>
      <c r="B726" s="645"/>
      <c r="C726" s="406"/>
      <c r="D726" s="406"/>
      <c r="E726" s="406"/>
      <c r="F726" s="646"/>
      <c r="G726" s="647"/>
      <c r="H726" s="647"/>
      <c r="I726" s="648"/>
      <c r="J726" s="671"/>
      <c r="K726" s="649"/>
      <c r="L726" s="406"/>
      <c r="M726" s="406"/>
      <c r="N726" s="650"/>
      <c r="O726" s="406"/>
      <c r="P726" s="651"/>
      <c r="Q726" s="674"/>
      <c r="S726" s="639"/>
    </row>
    <row r="727" spans="1:21" s="8" customFormat="1" ht="15.75" x14ac:dyDescent="0.2">
      <c r="A727" s="653"/>
      <c r="B727" s="654"/>
      <c r="C727" s="618"/>
      <c r="D727" s="618"/>
      <c r="E727" s="618"/>
      <c r="F727" s="655"/>
      <c r="G727" s="739">
        <f>SUM(G441:G725)</f>
        <v>1732136323</v>
      </c>
      <c r="H727" s="603"/>
      <c r="I727" s="656"/>
      <c r="J727" s="672"/>
      <c r="K727" s="657"/>
      <c r="L727" s="618"/>
      <c r="M727" s="618"/>
      <c r="N727" s="658"/>
      <c r="O727" s="618"/>
      <c r="P727" s="659"/>
      <c r="Q727" s="675"/>
      <c r="S727" s="639"/>
      <c r="T727" s="739">
        <f>SUM(T441:T725)</f>
        <v>1732136323</v>
      </c>
      <c r="U727" s="739">
        <f>SUM(U441:U725)</f>
        <v>153000000</v>
      </c>
    </row>
    <row r="728" spans="1:21" s="8" customFormat="1" ht="15.75" x14ac:dyDescent="0.2">
      <c r="A728" s="653"/>
      <c r="B728" s="654"/>
      <c r="C728" s="618"/>
      <c r="D728" s="618"/>
      <c r="E728" s="618"/>
      <c r="F728" s="655"/>
      <c r="G728" s="739"/>
      <c r="H728" s="603"/>
      <c r="I728" s="656"/>
      <c r="J728" s="672"/>
      <c r="K728" s="657"/>
      <c r="L728" s="618"/>
      <c r="M728" s="618"/>
      <c r="N728" s="658"/>
      <c r="O728" s="618"/>
      <c r="P728" s="659"/>
      <c r="Q728" s="675"/>
      <c r="S728" s="639"/>
      <c r="T728" s="739">
        <f>+T727-'S1 - S2  2022'!O4</f>
        <v>-892089900.46999979</v>
      </c>
      <c r="U728" s="739"/>
    </row>
    <row r="729" spans="1:21" s="8" customFormat="1" ht="15.75" x14ac:dyDescent="0.2">
      <c r="A729" s="653"/>
      <c r="B729" s="654"/>
      <c r="C729" s="618"/>
      <c r="D729" s="618"/>
      <c r="E729" s="618"/>
      <c r="F729" s="655"/>
      <c r="G729" s="739"/>
      <c r="H729" s="603"/>
      <c r="I729" s="656"/>
      <c r="J729" s="672"/>
      <c r="K729" s="657"/>
      <c r="L729" s="618"/>
      <c r="M729" s="618"/>
      <c r="N729" s="658"/>
      <c r="O729" s="618"/>
      <c r="P729" s="659"/>
      <c r="Q729" s="675"/>
      <c r="S729" s="639"/>
      <c r="T729" s="739"/>
      <c r="U729" s="739"/>
    </row>
    <row r="730" spans="1:21" s="8" customFormat="1" ht="15.75" x14ac:dyDescent="0.2">
      <c r="A730" s="653"/>
      <c r="B730" s="654"/>
      <c r="C730" s="618"/>
      <c r="D730" s="618"/>
      <c r="E730" s="618"/>
      <c r="F730" s="655"/>
      <c r="G730" s="739"/>
      <c r="H730" s="603"/>
      <c r="I730" s="656"/>
      <c r="J730" s="672"/>
      <c r="K730" s="657"/>
      <c r="L730" s="618"/>
      <c r="M730" s="618"/>
      <c r="N730" s="658"/>
      <c r="O730" s="618"/>
      <c r="P730" s="659"/>
      <c r="Q730" s="675"/>
      <c r="S730" s="639"/>
      <c r="T730" s="739"/>
      <c r="U730" s="739"/>
    </row>
    <row r="731" spans="1:21" s="8" customFormat="1" ht="15.75" x14ac:dyDescent="0.2">
      <c r="A731" s="661"/>
      <c r="B731" s="662"/>
      <c r="C731" s="663"/>
      <c r="D731" s="663"/>
      <c r="E731" s="618"/>
      <c r="F731" s="664"/>
      <c r="G731" s="665"/>
      <c r="H731" s="665"/>
      <c r="I731" s="666"/>
      <c r="J731" s="673"/>
      <c r="K731" s="667"/>
      <c r="L731" s="663"/>
      <c r="M731" s="663"/>
      <c r="N731" s="658"/>
      <c r="O731" s="663"/>
      <c r="P731" s="659"/>
      <c r="Q731" s="676"/>
      <c r="S731" s="639"/>
    </row>
    <row r="732" spans="1:21" s="4" customFormat="1" ht="15.75" x14ac:dyDescent="0.2">
      <c r="A732" s="13">
        <v>44650</v>
      </c>
      <c r="B732" s="66" t="s">
        <v>789</v>
      </c>
      <c r="C732" s="14" t="s">
        <v>790</v>
      </c>
      <c r="D732" s="14" t="s">
        <v>1055</v>
      </c>
      <c r="E732" s="103" t="s">
        <v>960</v>
      </c>
      <c r="F732" s="15"/>
      <c r="G732" s="261">
        <v>0</v>
      </c>
      <c r="H732" s="261">
        <f>List34[[#This Row],[Pengajuan Donasi]]</f>
        <v>6000000</v>
      </c>
      <c r="I732" s="213" t="str">
        <f>IF(List34[[#This Row],[Tanggal Trf]]&gt;0,"Done","-")</f>
        <v>Done</v>
      </c>
      <c r="J732" s="445" t="s">
        <v>1058</v>
      </c>
      <c r="K732" s="614" t="s">
        <v>960</v>
      </c>
      <c r="L732" s="100" t="s">
        <v>786</v>
      </c>
      <c r="M732" s="100">
        <f>MONTH(List34[[#This Row],[Tanggal Pengajuan]])</f>
        <v>9</v>
      </c>
      <c r="N732" s="183"/>
      <c r="O732" s="100"/>
      <c r="P732" s="111"/>
      <c r="Q732" s="229"/>
      <c r="S732" s="275"/>
    </row>
    <row r="733" spans="1:21" s="4" customFormat="1" ht="15.75" x14ac:dyDescent="0.2">
      <c r="A733" s="13">
        <v>44566</v>
      </c>
      <c r="B733" s="66" t="s">
        <v>645</v>
      </c>
      <c r="C733" s="14" t="s">
        <v>702</v>
      </c>
      <c r="D733" s="14" t="s">
        <v>1055</v>
      </c>
      <c r="E733" s="103" t="s">
        <v>28</v>
      </c>
      <c r="F733" s="15">
        <v>0</v>
      </c>
      <c r="G733" s="258">
        <v>100000000</v>
      </c>
      <c r="H733" s="258">
        <f>List34[[#This Row],[Pengajuan Donasi]]</f>
        <v>6000000</v>
      </c>
      <c r="I733" s="213" t="str">
        <f>IF(List34[[#This Row],[Tanggal Trf]]&gt;0,"Done","-")</f>
        <v>Done</v>
      </c>
      <c r="J733" s="445" t="s">
        <v>25</v>
      </c>
      <c r="K733" s="614">
        <v>44568</v>
      </c>
      <c r="L733" s="100" t="s">
        <v>671</v>
      </c>
      <c r="M733" s="100">
        <f>MONTH(List34[[#This Row],[Tanggal Pengajuan]])</f>
        <v>9</v>
      </c>
      <c r="N733" s="183"/>
      <c r="O733" s="100" t="s">
        <v>670</v>
      </c>
      <c r="P733" s="111"/>
      <c r="Q733" s="229"/>
      <c r="S733" s="275"/>
      <c r="T733" s="738">
        <f>+G733</f>
        <v>100000000</v>
      </c>
    </row>
    <row r="734" spans="1:21" s="4" customFormat="1" ht="15.75" x14ac:dyDescent="0.2">
      <c r="A734" s="13">
        <v>44650</v>
      </c>
      <c r="B734" s="66" t="s">
        <v>783</v>
      </c>
      <c r="C734" s="14" t="s">
        <v>1059</v>
      </c>
      <c r="D734" s="14" t="s">
        <v>1055</v>
      </c>
      <c r="E734" s="103" t="s">
        <v>18</v>
      </c>
      <c r="F734" s="15"/>
      <c r="G734" s="258">
        <v>2009400</v>
      </c>
      <c r="H734" s="258">
        <f>List34[[#This Row],[Pengajuan Donasi]]</f>
        <v>6000000</v>
      </c>
      <c r="I734" s="213" t="str">
        <f>IF(List34[[#This Row],[Tanggal Trf]]&gt;0,"Done","-")</f>
        <v>Done</v>
      </c>
      <c r="J734" s="445" t="s">
        <v>784</v>
      </c>
      <c r="K734" s="614">
        <v>44652</v>
      </c>
      <c r="L734" s="100" t="s">
        <v>786</v>
      </c>
      <c r="M734" s="100">
        <f>MONTH(List34[[#This Row],[Tanggal Pengajuan]])</f>
        <v>9</v>
      </c>
      <c r="N734" s="183"/>
      <c r="O734" s="100" t="s">
        <v>785</v>
      </c>
      <c r="P734" s="111"/>
      <c r="Q734" s="229"/>
      <c r="S734" s="275"/>
    </row>
    <row r="735" spans="1:21" s="4" customFormat="1" ht="15.75" x14ac:dyDescent="0.2">
      <c r="A735" s="13">
        <v>44650</v>
      </c>
      <c r="B735" s="66" t="s">
        <v>787</v>
      </c>
      <c r="C735" s="14" t="s">
        <v>1059</v>
      </c>
      <c r="D735" s="14" t="s">
        <v>1055</v>
      </c>
      <c r="E735" s="103" t="s">
        <v>18</v>
      </c>
      <c r="F735" s="15"/>
      <c r="G735" s="258">
        <v>4059200</v>
      </c>
      <c r="H735" s="258">
        <f>List34[[#This Row],[Pengajuan Donasi]]</f>
        <v>6000000</v>
      </c>
      <c r="I735" s="213" t="str">
        <f>IF(List34[[#This Row],[Tanggal Trf]]&gt;0,"Done","-")</f>
        <v>Done</v>
      </c>
      <c r="J735" s="445" t="s">
        <v>784</v>
      </c>
      <c r="K735" s="614">
        <v>44652</v>
      </c>
      <c r="L735" s="100" t="s">
        <v>786</v>
      </c>
      <c r="M735" s="100">
        <f>MONTH(List34[[#This Row],[Tanggal Pengajuan]])</f>
        <v>9</v>
      </c>
      <c r="N735" s="183"/>
      <c r="O735" s="100" t="s">
        <v>788</v>
      </c>
      <c r="P735" s="111"/>
      <c r="Q735" s="229"/>
      <c r="S735" s="275"/>
    </row>
    <row r="736" spans="1:21" s="4" customFormat="1" ht="24.75" x14ac:dyDescent="0.2">
      <c r="A736" s="13">
        <v>44650</v>
      </c>
      <c r="B736" s="66" t="s">
        <v>791</v>
      </c>
      <c r="C736" s="14" t="s">
        <v>1059</v>
      </c>
      <c r="D736" s="14" t="s">
        <v>1055</v>
      </c>
      <c r="E736" s="103" t="s">
        <v>18</v>
      </c>
      <c r="F736" s="15"/>
      <c r="G736" s="258">
        <v>3012300</v>
      </c>
      <c r="H736" s="258">
        <f>List34[[#This Row],[Pengajuan Donasi]]</f>
        <v>6000000</v>
      </c>
      <c r="I736" s="213" t="str">
        <f>IF(List34[[#This Row],[Tanggal Trf]]&gt;0,"Done","-")</f>
        <v>Done</v>
      </c>
      <c r="J736" s="445" t="s">
        <v>1017</v>
      </c>
      <c r="K736" s="614">
        <v>44705</v>
      </c>
      <c r="L736" s="100" t="s">
        <v>786</v>
      </c>
      <c r="M736" s="100">
        <f>MONTH(List34[[#This Row],[Tanggal Pengajuan]])</f>
        <v>9</v>
      </c>
      <c r="N736" s="183"/>
      <c r="O736" s="100" t="s">
        <v>792</v>
      </c>
      <c r="P736" s="111"/>
      <c r="Q736" s="229"/>
      <c r="S736" s="275"/>
    </row>
    <row r="737" spans="1:20" s="4" customFormat="1" ht="24.75" x14ac:dyDescent="0.2">
      <c r="A737" s="13">
        <v>44690</v>
      </c>
      <c r="B737" s="66" t="s">
        <v>996</v>
      </c>
      <c r="C737" s="14" t="s">
        <v>1059</v>
      </c>
      <c r="D737" s="14" t="s">
        <v>1055</v>
      </c>
      <c r="E737" s="103" t="s">
        <v>18</v>
      </c>
      <c r="F737" s="15"/>
      <c r="G737" s="258">
        <v>3012300</v>
      </c>
      <c r="H737" s="258">
        <f>List34[[#This Row],[Pengajuan Donasi]]</f>
        <v>6000000</v>
      </c>
      <c r="I737" s="213" t="str">
        <f>IF(List34[[#This Row],[Tanggal Trf]]&gt;0,"Done","-")</f>
        <v>Done</v>
      </c>
      <c r="J737" s="445" t="s">
        <v>992</v>
      </c>
      <c r="K737" s="614">
        <v>44705</v>
      </c>
      <c r="L737" s="100" t="s">
        <v>1000</v>
      </c>
      <c r="M737" s="100">
        <f>MONTH(List34[[#This Row],[Tanggal Pengajuan]])</f>
        <v>9</v>
      </c>
      <c r="N737" s="183">
        <v>44746</v>
      </c>
      <c r="O737" s="100" t="s">
        <v>1066</v>
      </c>
      <c r="P737" s="111"/>
      <c r="Q737" s="229"/>
      <c r="S737" s="275"/>
    </row>
    <row r="738" spans="1:20" s="4" customFormat="1" ht="24.75" x14ac:dyDescent="0.2">
      <c r="A738" s="13">
        <v>44690</v>
      </c>
      <c r="B738" s="66" t="s">
        <v>997</v>
      </c>
      <c r="C738" s="14" t="s">
        <v>1059</v>
      </c>
      <c r="D738" s="14" t="s">
        <v>1055</v>
      </c>
      <c r="E738" s="103" t="s">
        <v>18</v>
      </c>
      <c r="F738" s="15"/>
      <c r="G738" s="258">
        <v>2005000</v>
      </c>
      <c r="H738" s="258">
        <f>List34[[#This Row],[Pengajuan Donasi]]</f>
        <v>6000000</v>
      </c>
      <c r="I738" s="213" t="str">
        <f>IF(List34[[#This Row],[Tanggal Trf]]&gt;0,"Done","-")</f>
        <v>Done</v>
      </c>
      <c r="J738" s="445" t="s">
        <v>993</v>
      </c>
      <c r="K738" s="614">
        <v>44722</v>
      </c>
      <c r="L738" s="100" t="s">
        <v>1000</v>
      </c>
      <c r="M738" s="100">
        <f>MONTH(List34[[#This Row],[Tanggal Pengajuan]])</f>
        <v>9</v>
      </c>
      <c r="N738" s="183">
        <v>44746</v>
      </c>
      <c r="O738" s="100" t="s">
        <v>795</v>
      </c>
      <c r="P738" s="111"/>
      <c r="Q738" s="229"/>
      <c r="S738" s="275"/>
    </row>
    <row r="739" spans="1:20" s="4" customFormat="1" ht="24.75" x14ac:dyDescent="0.2">
      <c r="A739" s="13">
        <v>44718</v>
      </c>
      <c r="B739" s="66" t="s">
        <v>1095</v>
      </c>
      <c r="C739" s="14" t="s">
        <v>1059</v>
      </c>
      <c r="D739" s="14" t="s">
        <v>1055</v>
      </c>
      <c r="E739" s="103" t="s">
        <v>18</v>
      </c>
      <c r="F739" s="15"/>
      <c r="G739" s="258">
        <v>3008700</v>
      </c>
      <c r="H739" s="258">
        <f>List34[[#This Row],[Pengajuan Donasi]]</f>
        <v>6000000</v>
      </c>
      <c r="I739" s="213" t="str">
        <f>IF(List34[[#This Row],[Tanggal Trf]]&gt;0,"Done","-")</f>
        <v>Done</v>
      </c>
      <c r="J739" s="611" t="s">
        <v>1097</v>
      </c>
      <c r="K739" s="614">
        <v>44757</v>
      </c>
      <c r="L739" s="100" t="s">
        <v>1000</v>
      </c>
      <c r="M739" s="100">
        <f>MONTH(List34[[#This Row],[Tanggal Pengajuan]])</f>
        <v>9</v>
      </c>
      <c r="N739" s="183"/>
      <c r="O739" s="100" t="s">
        <v>1116</v>
      </c>
      <c r="P739" s="111"/>
      <c r="Q739" s="229"/>
      <c r="S739" s="275"/>
    </row>
    <row r="740" spans="1:20" s="4" customFormat="1" ht="24.75" x14ac:dyDescent="0.2">
      <c r="A740" s="13">
        <v>44776</v>
      </c>
      <c r="B740" s="66" t="s">
        <v>1204</v>
      </c>
      <c r="C740" s="14" t="s">
        <v>1059</v>
      </c>
      <c r="D740" s="14" t="s">
        <v>1055</v>
      </c>
      <c r="E740" s="103" t="s">
        <v>18</v>
      </c>
      <c r="F740" s="471"/>
      <c r="G740" s="258">
        <v>4100900</v>
      </c>
      <c r="H740" s="258">
        <f>List34[[#This Row],[Pengajuan Donasi]]</f>
        <v>3820000</v>
      </c>
      <c r="I740" s="213" t="str">
        <f>IF(List34[[#This Row],[Tanggal Trf]]&gt;0,"Done","-")</f>
        <v>Done</v>
      </c>
      <c r="J740" s="445" t="s">
        <v>1212</v>
      </c>
      <c r="K740" s="225">
        <v>44792</v>
      </c>
      <c r="L740" s="100" t="s">
        <v>1000</v>
      </c>
      <c r="M740" s="100">
        <f>MONTH(List34[[#This Row],[Tanggal Pengajuan]])</f>
        <v>9</v>
      </c>
      <c r="N740" s="183"/>
      <c r="O740" s="100" t="s">
        <v>1116</v>
      </c>
      <c r="P740" s="111"/>
      <c r="Q740" s="229"/>
      <c r="S740" s="275"/>
    </row>
    <row r="741" spans="1:20" s="4" customFormat="1" ht="29.25" x14ac:dyDescent="0.2">
      <c r="A741" s="485">
        <v>44798</v>
      </c>
      <c r="B741" s="486" t="s">
        <v>1295</v>
      </c>
      <c r="C741" s="487" t="s">
        <v>1059</v>
      </c>
      <c r="D741" s="487" t="s">
        <v>1055</v>
      </c>
      <c r="E741" s="488" t="s">
        <v>18</v>
      </c>
      <c r="F741" s="489"/>
      <c r="G741" s="490">
        <v>5325700</v>
      </c>
      <c r="H741" s="490">
        <f>List34[[#This Row],[Pengajuan Donasi]]</f>
        <v>6000000</v>
      </c>
      <c r="I741" s="491" t="str">
        <f>IF(List34[[#This Row],[Tanggal Trf]]&gt;0,"Done","-")</f>
        <v>Done</v>
      </c>
      <c r="J741" s="487" t="s">
        <v>1290</v>
      </c>
      <c r="K741" s="492"/>
      <c r="L741" s="493" t="s">
        <v>1000</v>
      </c>
      <c r="M741" s="493">
        <f>MONTH(List34[[#This Row],[Tanggal Pengajuan]])</f>
        <v>9</v>
      </c>
      <c r="N741" s="494"/>
      <c r="O741" s="493" t="s">
        <v>1180</v>
      </c>
      <c r="P741" s="111"/>
      <c r="Q741" s="229"/>
      <c r="S741" s="275"/>
      <c r="T741" s="738">
        <f>SUM(G734:G741)</f>
        <v>26533500</v>
      </c>
    </row>
    <row r="742" spans="1:20" s="4" customFormat="1" ht="15.75" x14ac:dyDescent="0.2">
      <c r="A742" s="13">
        <v>44690</v>
      </c>
      <c r="B742" s="66" t="s">
        <v>998</v>
      </c>
      <c r="C742" s="14" t="s">
        <v>994</v>
      </c>
      <c r="D742" s="14" t="s">
        <v>1055</v>
      </c>
      <c r="E742" s="103" t="s">
        <v>28</v>
      </c>
      <c r="F742" s="15"/>
      <c r="G742" s="258">
        <v>3000000</v>
      </c>
      <c r="H742" s="258">
        <f>List34[[#This Row],[Pengajuan Donasi]]</f>
        <v>5000000</v>
      </c>
      <c r="I742" s="213" t="str">
        <f>IF(List34[[#This Row],[Tanggal Trf]]&gt;0,"Done","-")</f>
        <v>Done</v>
      </c>
      <c r="J742" s="445"/>
      <c r="K742" s="614">
        <v>44693</v>
      </c>
      <c r="L742" s="100" t="s">
        <v>1000</v>
      </c>
      <c r="M742" s="100">
        <f>MONTH(List34[[#This Row],[Tanggal Pengajuan]])</f>
        <v>9</v>
      </c>
      <c r="N742" s="183">
        <v>44746</v>
      </c>
      <c r="O742" s="100" t="s">
        <v>932</v>
      </c>
      <c r="P742" s="111"/>
      <c r="Q742" s="229"/>
      <c r="S742" s="275"/>
      <c r="T742" s="738">
        <f>+G742</f>
        <v>3000000</v>
      </c>
    </row>
    <row r="743" spans="1:20" s="8" customFormat="1" ht="15.75" x14ac:dyDescent="0.2">
      <c r="A743" s="677"/>
      <c r="B743" s="678"/>
      <c r="C743" s="679"/>
      <c r="D743" s="679"/>
      <c r="E743" s="679"/>
      <c r="F743" s="680"/>
      <c r="G743" s="681"/>
      <c r="H743" s="681"/>
      <c r="I743" s="682"/>
      <c r="J743" s="679"/>
      <c r="K743" s="683"/>
      <c r="L743" s="679"/>
      <c r="M743" s="679"/>
      <c r="N743" s="684"/>
      <c r="O743" s="679"/>
      <c r="P743" s="651"/>
      <c r="Q743" s="674"/>
      <c r="S743" s="639"/>
    </row>
    <row r="744" spans="1:20" s="8" customFormat="1" ht="15.75" x14ac:dyDescent="0.2">
      <c r="A744" s="685"/>
      <c r="B744" s="686"/>
      <c r="C744" s="687"/>
      <c r="D744" s="687"/>
      <c r="E744" s="687"/>
      <c r="F744" s="688"/>
      <c r="G744" s="740">
        <f>SUM(G733:G743)</f>
        <v>129533500</v>
      </c>
      <c r="H744" s="689"/>
      <c r="I744" s="690"/>
      <c r="J744" s="687"/>
      <c r="K744" s="691"/>
      <c r="L744" s="687"/>
      <c r="M744" s="687"/>
      <c r="N744" s="692"/>
      <c r="O744" s="687"/>
      <c r="P744" s="659"/>
      <c r="Q744" s="675"/>
      <c r="S744" s="639"/>
      <c r="T744" s="740">
        <f>SUM(T733:T743)</f>
        <v>129533500</v>
      </c>
    </row>
    <row r="745" spans="1:20" s="8" customFormat="1" ht="15.75" x14ac:dyDescent="0.2">
      <c r="A745" s="685"/>
      <c r="B745" s="686"/>
      <c r="C745" s="687"/>
      <c r="D745" s="687"/>
      <c r="E745" s="687"/>
      <c r="F745" s="688"/>
      <c r="G745" s="740"/>
      <c r="H745" s="689"/>
      <c r="I745" s="690"/>
      <c r="J745" s="687"/>
      <c r="K745" s="691"/>
      <c r="L745" s="687"/>
      <c r="M745" s="687"/>
      <c r="N745" s="692"/>
      <c r="O745" s="687"/>
      <c r="P745" s="659"/>
      <c r="Q745" s="675"/>
      <c r="S745" s="639"/>
      <c r="T745" s="740">
        <f>+T744-'S1 - S2  2022'!O10</f>
        <v>-291930000</v>
      </c>
    </row>
    <row r="746" spans="1:20" s="8" customFormat="1" ht="15.75" x14ac:dyDescent="0.2">
      <c r="A746" s="685"/>
      <c r="B746" s="686"/>
      <c r="C746" s="687"/>
      <c r="D746" s="687"/>
      <c r="E746" s="687"/>
      <c r="F746" s="688"/>
      <c r="G746" s="740"/>
      <c r="H746" s="689"/>
      <c r="I746" s="690"/>
      <c r="J746" s="687"/>
      <c r="K746" s="691"/>
      <c r="L746" s="687"/>
      <c r="M746" s="687"/>
      <c r="N746" s="692"/>
      <c r="O746" s="687"/>
      <c r="P746" s="659"/>
      <c r="Q746" s="675"/>
      <c r="S746" s="639"/>
      <c r="T746" s="740"/>
    </row>
    <row r="747" spans="1:20" s="8" customFormat="1" ht="15.75" x14ac:dyDescent="0.2">
      <c r="A747" s="693"/>
      <c r="B747" s="694"/>
      <c r="C747" s="695"/>
      <c r="D747" s="695"/>
      <c r="E747" s="687"/>
      <c r="F747" s="696"/>
      <c r="G747" s="697"/>
      <c r="H747" s="697"/>
      <c r="I747" s="698"/>
      <c r="J747" s="695"/>
      <c r="K747" s="699"/>
      <c r="L747" s="695"/>
      <c r="M747" s="695"/>
      <c r="N747" s="692"/>
      <c r="O747" s="695"/>
      <c r="P747" s="659"/>
      <c r="Q747" s="676"/>
      <c r="S747" s="639"/>
    </row>
    <row r="748" spans="1:20" s="4" customFormat="1" ht="15.75" x14ac:dyDescent="0.2">
      <c r="A748" s="13">
        <v>44607</v>
      </c>
      <c r="B748" s="66" t="s">
        <v>727</v>
      </c>
      <c r="C748" s="14" t="s">
        <v>735</v>
      </c>
      <c r="D748" s="14" t="s">
        <v>71</v>
      </c>
      <c r="E748" s="103" t="s">
        <v>28</v>
      </c>
      <c r="F748" s="15">
        <v>1</v>
      </c>
      <c r="G748" s="258">
        <v>660000</v>
      </c>
      <c r="H748" s="258">
        <f>List34[[#This Row],[Pengajuan Donasi]]</f>
        <v>1000000</v>
      </c>
      <c r="I748" s="213" t="str">
        <f>IF(List34[[#This Row],[Tanggal Trf]]&gt;0,"Done","-")</f>
        <v>Done</v>
      </c>
      <c r="J748" s="445" t="s">
        <v>25</v>
      </c>
      <c r="K748" s="614">
        <v>44612</v>
      </c>
      <c r="L748" s="100" t="s">
        <v>732</v>
      </c>
      <c r="M748" s="100">
        <f>MONTH(List34[[#This Row],[Tanggal Pengajuan]])</f>
        <v>9</v>
      </c>
      <c r="N748" s="183"/>
      <c r="O748" s="100"/>
      <c r="P748" s="111"/>
      <c r="Q748" s="229"/>
      <c r="S748" s="275"/>
      <c r="T748" s="738">
        <f>+G748</f>
        <v>660000</v>
      </c>
    </row>
    <row r="749" spans="1:20" s="4" customFormat="1" ht="29.25" x14ac:dyDescent="0.2">
      <c r="A749" s="13">
        <v>44693</v>
      </c>
      <c r="B749" s="66" t="s">
        <v>1002</v>
      </c>
      <c r="C749" s="14" t="s">
        <v>1003</v>
      </c>
      <c r="D749" s="14" t="s">
        <v>71</v>
      </c>
      <c r="E749" s="103" t="s">
        <v>28</v>
      </c>
      <c r="F749" s="15">
        <v>1</v>
      </c>
      <c r="G749" s="258">
        <v>777000</v>
      </c>
      <c r="H749" s="258">
        <f>List34[[#This Row],[Pengajuan Donasi]]</f>
        <v>1000000</v>
      </c>
      <c r="I749" s="213" t="str">
        <f>IF(List34[[#This Row],[Tanggal Trf]]&gt;0,"Done","-")</f>
        <v>Done</v>
      </c>
      <c r="J749" s="445" t="s">
        <v>25</v>
      </c>
      <c r="K749" s="614">
        <v>44705</v>
      </c>
      <c r="L749" s="100" t="s">
        <v>227</v>
      </c>
      <c r="M749" s="100">
        <f>MONTH(List34[[#This Row],[Tanggal Pengajuan]])</f>
        <v>9</v>
      </c>
      <c r="N749" s="183">
        <v>44698</v>
      </c>
      <c r="O749" s="100" t="s">
        <v>932</v>
      </c>
      <c r="P749" s="111"/>
      <c r="Q749" s="229"/>
      <c r="S749" s="275"/>
      <c r="T749" s="738">
        <f>+G749</f>
        <v>777000</v>
      </c>
    </row>
    <row r="750" spans="1:20" s="4" customFormat="1" ht="15.75" x14ac:dyDescent="0.2">
      <c r="A750" s="13"/>
      <c r="B750" s="66"/>
      <c r="C750" s="14"/>
      <c r="D750" s="14"/>
      <c r="E750" s="103"/>
      <c r="F750" s="471"/>
      <c r="G750" s="258"/>
      <c r="H750" s="258">
        <f>List34[[#This Row],[Pengajuan Donasi]]</f>
        <v>1000000</v>
      </c>
      <c r="I750" s="213" t="str">
        <f>IF(List34[[#This Row],[Tanggal Trf]]&gt;0,"Done","-")</f>
        <v>Done</v>
      </c>
      <c r="J750" s="445"/>
      <c r="K750" s="225"/>
      <c r="L750" s="100"/>
      <c r="M750" s="100"/>
      <c r="N750" s="183"/>
      <c r="O750" s="100"/>
      <c r="P750" s="111"/>
      <c r="Q750" s="229"/>
      <c r="S750" s="275"/>
    </row>
    <row r="751" spans="1:20" x14ac:dyDescent="0.2">
      <c r="G751" s="741">
        <f>SUM(G748:G750)</f>
        <v>1437000</v>
      </c>
      <c r="T751" s="741">
        <f>SUM(T748:T750)</f>
        <v>1437000</v>
      </c>
    </row>
    <row r="752" spans="1:20" x14ac:dyDescent="0.2">
      <c r="T752" s="146">
        <f>+T751-'S1 - S2  2022'!O6</f>
        <v>-888000</v>
      </c>
    </row>
    <row r="753" spans="7:20" x14ac:dyDescent="0.2">
      <c r="G753" s="741">
        <f>SUM(G751,G727,G434,G408,G344,G78,G62)+G744</f>
        <v>3541863097</v>
      </c>
      <c r="T753" s="741">
        <f>SUM(T751,T727,T434,T408,T344,T78,T62)+T744</f>
        <v>3541863097</v>
      </c>
    </row>
    <row r="754" spans="7:20" x14ac:dyDescent="0.2">
      <c r="G754" s="146"/>
      <c r="T754" s="146">
        <f>+T753-'S1 - S2  2022'!O11</f>
        <v>-2025406750.4699993</v>
      </c>
    </row>
  </sheetData>
  <sortState xmlns:xlrd2="http://schemas.microsoft.com/office/spreadsheetml/2017/richdata2" ref="A66:I76">
    <sortCondition ref="C66"/>
  </sortState>
  <dataValidations disablePrompts="1" count="3">
    <dataValidation allowBlank="1" showInputMessage="1" showErrorMessage="1" prompt="Enter City, State, and Zip Code in this column under this heading" sqref="B2:B21" xr:uid="{00000000-0002-0000-0800-000000000000}"/>
    <dataValidation errorStyle="warning" allowBlank="1" showInputMessage="1" showErrorMessage="1" error="If the card was received, select Yes from the list. Select CANCEL, press ALT+DOWN ARROW for options, then DOWN ARROW and ENTER to make selection" sqref="M36:O36 L29:L31 L22 L124:L126 N145:N166 L33 K121:K123 K127 K146 O88:O90 L24 L286:L287 K307 O54:O56 O58:O65 O67:O69 O71:O73 O75:O82 O84:O86 O92:O96 M37:N94 O2:O52 L53:L95 M2:N35 N95:N143 L163:L164 N288:N289 L37 L380:L381 K98:K119 L496:L497 L587 M95:M742 N567:N742 M743:N750" xr:uid="{00000000-0002-0000-0800-000001000000}"/>
    <dataValidation allowBlank="1" showInputMessage="1" showErrorMessage="1" prompt="Enter Last Name in this column under this heading. Use heading filters to find specific entries" sqref="A2:A4" xr:uid="{00000000-0002-0000-0800-000002000000}"/>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9511DE68-C748-447E-85A1-8E730CB37275}">
  <ds:schemaRefs>
    <ds:schemaRef ds:uri="http://schemas.microsoft.com/office/2006/metadata/contentType"/>
    <ds:schemaRef ds:uri="http://schemas.microsoft.com/office/2006/metadata/properties/metaAttributes"/>
    <ds:schemaRef ds:uri="http://www.w3.org/2000/xmlns/"/>
    <ds:schemaRef ds:uri="http://www.w3.org/2001/XMLSchema"/>
    <ds:schemaRef ds:uri="71af3243-3dd4-4a8d-8c0d-dd76da1f02a5"/>
    <ds:schemaRef ds:uri="16c05727-aa75-4e4a-9b5f-8a80a1165891"/>
  </ds:schemaRefs>
</ds:datastoreItem>
</file>

<file path=customXml/itemProps2.xml><?xml version="1.0" encoding="utf-8"?>
<ds:datastoreItem xmlns:ds="http://schemas.openxmlformats.org/officeDocument/2006/customXml" ds:itemID="{8034DABD-7DE2-4E65-87FB-4A6AC82DF6FA}">
  <ds:schemaRefs>
    <ds:schemaRef ds:uri="http://schemas.microsoft.com/sharepoint/v3/contenttype/forms"/>
  </ds:schemaRefs>
</ds:datastoreItem>
</file>

<file path=customXml/itemProps3.xml><?xml version="1.0" encoding="utf-8"?>
<ds:datastoreItem xmlns:ds="http://schemas.openxmlformats.org/officeDocument/2006/customXml" ds:itemID="{16E5B6A2-8C39-4577-A9AA-912F3DE14631}">
  <ds:schemaRefs>
    <ds:schemaRef ds:uri="http://schemas.microsoft.com/office/2006/metadata/properties"/>
    <ds:schemaRef ds:uri="http://www.w3.org/2000/xmlns/"/>
    <ds:schemaRef ds:uri="71af3243-3dd4-4a8d-8c0d-dd76da1f02a5"/>
    <ds:schemaRef ds:uri="http://www.w3.org/2001/XMLSchema-instance"/>
  </ds:schemaRefs>
</ds:datastoreItem>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Worksheets</vt:lpstr>
      </vt:variant>
      <vt:variant>
        <vt:i4>30</vt:i4>
      </vt:variant>
      <vt:variant>
        <vt:lpstr>Named Ranges</vt:lpstr>
      </vt:variant>
      <vt:variant>
        <vt:i4>37</vt:i4>
      </vt:variant>
    </vt:vector>
  </HeadingPairs>
  <TitlesOfParts>
    <vt:vector size="67" baseType="lpstr">
      <vt:lpstr>Data</vt:lpstr>
      <vt:lpstr>2019</vt:lpstr>
      <vt:lpstr>anak asuh 2019</vt:lpstr>
      <vt:lpstr>2020</vt:lpstr>
      <vt:lpstr>anak asuh 2020</vt:lpstr>
      <vt:lpstr>2021</vt:lpstr>
      <vt:lpstr>anak asuh 2021</vt:lpstr>
      <vt:lpstr>2022</vt:lpstr>
      <vt:lpstr>anak asuh 2022</vt:lpstr>
      <vt:lpstr>2023</vt:lpstr>
      <vt:lpstr>Category</vt:lpstr>
      <vt:lpstr>Rekap Donasi seminari thn 2023</vt:lpstr>
      <vt:lpstr>Pengurus Site per 18 feb 2021</vt:lpstr>
      <vt:lpstr>Yearly</vt:lpstr>
      <vt:lpstr>Per Kategori </vt:lpstr>
      <vt:lpstr>Per anak</vt:lpstr>
      <vt:lpstr>Program Sosial</vt:lpstr>
      <vt:lpstr>TOTAL BANTUAN 2019-2023</vt:lpstr>
      <vt:lpstr>S2 2019</vt:lpstr>
      <vt:lpstr>S2 2020</vt:lpstr>
      <vt:lpstr>S1-S2  2021</vt:lpstr>
      <vt:lpstr>S1 2022</vt:lpstr>
      <vt:lpstr>S2 2021</vt:lpstr>
      <vt:lpstr>S1 - S2  2022</vt:lpstr>
      <vt:lpstr>S1 - S2  2023</vt:lpstr>
      <vt:lpstr>Data Base P.Asuhan &amp; Jompo</vt:lpstr>
      <vt:lpstr>Data Base Anak Asuh,Seminari </vt:lpstr>
      <vt:lpstr>Masa Berlaku Proposal</vt:lpstr>
      <vt:lpstr>notes</vt:lpstr>
      <vt:lpstr>Sheet1</vt:lpstr>
      <vt:lpstr>2019!ColumnTitle1</vt:lpstr>
      <vt:lpstr>2021!ColumnTitle1</vt:lpstr>
      <vt:lpstr>2022!ColumnTitle1</vt:lpstr>
      <vt:lpstr>2023!ColumnTitle1</vt:lpstr>
      <vt:lpstr>Category!ColumnTitle1</vt:lpstr>
      <vt:lpstr>Per anak!ColumnTitle1</vt:lpstr>
      <vt:lpstr>Per Kategori !ColumnTitle1</vt:lpstr>
      <vt:lpstr>S1 - S2  2022!ColumnTitle1</vt:lpstr>
      <vt:lpstr>S1 - S2  2023!ColumnTitle1</vt:lpstr>
      <vt:lpstr>S1 2022!ColumnTitle1</vt:lpstr>
      <vt:lpstr>S1-S2  2021!ColumnTitle1</vt:lpstr>
      <vt:lpstr>S2 2019!ColumnTitle1</vt:lpstr>
      <vt:lpstr>S2 2021!ColumnTitle1</vt:lpstr>
      <vt:lpstr>TOTAL BANTUAN 2019-2023!ColumnTitle1</vt:lpstr>
      <vt:lpstr>ColumnTitle1</vt:lpstr>
      <vt:lpstr>2019!Print_Area</vt:lpstr>
      <vt:lpstr>2020!Print_Area</vt:lpstr>
      <vt:lpstr>2021!Print_Area</vt:lpstr>
      <vt:lpstr>2022!Print_Area</vt:lpstr>
      <vt:lpstr>2023!Print_Area</vt:lpstr>
      <vt:lpstr>Category!Print_Area</vt:lpstr>
      <vt:lpstr>Masa Berlaku Proposal!Print_Area</vt:lpstr>
      <vt:lpstr>Per anak!Print_Area</vt:lpstr>
      <vt:lpstr>Per Kategori !Print_Area</vt:lpstr>
      <vt:lpstr>Rekap Donasi seminari thn 2023!Print_Area</vt:lpstr>
      <vt:lpstr>S1 2022!Print_Area</vt:lpstr>
      <vt:lpstr>S1-S2  2021!Print_Area</vt:lpstr>
      <vt:lpstr>S2 2019!Print_Area</vt:lpstr>
      <vt:lpstr>S2 2020!Print_Area</vt:lpstr>
      <vt:lpstr>TOTAL BANTUAN 2019-2023!Print_Area</vt:lpstr>
      <vt:lpstr>Yearly!Print_Area</vt:lpstr>
      <vt:lpstr>2019!Print_Titles</vt:lpstr>
      <vt:lpstr>2020!Print_Titles</vt:lpstr>
      <vt:lpstr>2021!Print_Titles</vt:lpstr>
      <vt:lpstr>2022!Print_Titles</vt:lpstr>
      <vt:lpstr>2023!Print_Titles</vt:lpstr>
      <vt:lpstr>TOTAL BANTUAN 2019-2023!Print_Titles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2019-06-19T11:37:02Z</dcterms:created>
  <dcterms:modified xsi:type="dcterms:W3CDTF">2023-03-15T03:17:54Z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